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K:\!KRAJOWE ŚRODKI WYKONAWCZE\4 OKRES ROZLICZENIOWY\HELPDESK_ODPOWIEDZI NA MAILE\Ciepłownie\"/>
    </mc:Choice>
  </mc:AlternateContent>
  <bookViews>
    <workbookView xWindow="0" yWindow="0" windowWidth="28800" windowHeight="14100" tabRatio="848" activeTab="2"/>
  </bookViews>
  <sheets>
    <sheet name="a_Contents" sheetId="9" r:id="rId1"/>
    <sheet name="b_Guidelines &amp; conditions" sheetId="10" r:id="rId2"/>
    <sheet name="A_InstallationData" sheetId="43" r:id="rId3"/>
    <sheet name="B+C_Emissions_Y1" sheetId="55" r:id="rId4"/>
    <sheet name="B+C_Emissions_Y2" sheetId="56" r:id="rId5"/>
    <sheet name="B+C_Emissions_Y3" sheetId="57" r:id="rId6"/>
    <sheet name="B+C_Emissions_Y4" sheetId="58" r:id="rId7"/>
    <sheet name="B+C_Emissions_Y5" sheetId="59" r:id="rId8"/>
    <sheet name="D_Emissions" sheetId="49" r:id="rId9"/>
    <sheet name="E_EnergyFlows" sheetId="41" r:id="rId10"/>
    <sheet name="F_ProductBM" sheetId="37" r:id="rId11"/>
    <sheet name="G_Fall-back" sheetId="42" r:id="rId12"/>
    <sheet name="H_SpecialBM" sheetId="47" r:id="rId13"/>
    <sheet name="I_MSspecific" sheetId="53" r:id="rId14"/>
    <sheet name="J_Comments" sheetId="51" r:id="rId15"/>
    <sheet name="K_Summary" sheetId="50" r:id="rId16"/>
    <sheet name="EUwideConstants" sheetId="34" state="hidden" r:id="rId17"/>
    <sheet name="MSParameters" sheetId="38" state="hidden" r:id="rId18"/>
    <sheet name="Translations" sheetId="33" state="hidden" r:id="rId19"/>
    <sheet name="VersionDocumentation" sheetId="25" state="hidden" r:id="rId20"/>
  </sheets>
  <externalReferences>
    <externalReference r:id="rId21"/>
  </externalReferences>
  <definedNames>
    <definedName name="_xlnm._FilterDatabase" localSheetId="16" hidden="1">EUwideConstants!$A$1:$AF$263</definedName>
    <definedName name="_xlnm._FilterDatabase" localSheetId="18" hidden="1">Translations!$A$1:$E$1541</definedName>
    <definedName name="CNTR_AnnexIActivities">A_InstallationData!$P$115:$P$120</definedName>
    <definedName name="CNTR_ApplyLinF">K_Summary!$I$49</definedName>
    <definedName name="CNTR_BaselinePeriod">A_InstallationData!$P$212</definedName>
    <definedName name="CNTR_BaslineYearRelevant">A_InstallationData!$I$219:$M$219</definedName>
    <definedName name="CNTR_ConfirmationOK">K_Summary!$P$51</definedName>
    <definedName name="CNTR_ConnectionEntityList">A_InstallationData!$H$362:$H$371</definedName>
    <definedName name="CNTR_ConnectionEntityListCITL_IDs">A_InstallationData!$J$362:$J$371</definedName>
    <definedName name="CNTR_ConnectionEntityListTypes">A_InstallationData!$K$362:$K$371</definedName>
    <definedName name="CNTR_ConnectionListAndWithinInst">A_InstallationData!$H$361:$H$371</definedName>
    <definedName name="CNTR_Eligible10a">K_Summary!$M$54</definedName>
    <definedName name="CNTR_ExistConnectionEntries">A_InstallationData!$G$374</definedName>
    <definedName name="CNTR_ExistProductSubEntries">A_InstallationData!$J$357</definedName>
    <definedName name="CNTR_ExistSubInstEntries">A_InstallationData!$G$357</definedName>
    <definedName name="CNTR_FallBackRelevant">'[1]E_Fall-backApproach'!$L$6</definedName>
    <definedName name="CNTR_FallBackSubInstListSigChanges">A_InstallationData!$L$259:$L$265</definedName>
    <definedName name="CNTR_FallBackSubInstRelevant">A_InstallationData!$I$259:$I$265</definedName>
    <definedName name="CNTR_HasEntries_A_I">A_InstallationData!$G$335</definedName>
    <definedName name="CNTR_HasErrors_A">A_InstallationData!$G$381</definedName>
    <definedName name="CNTR_MinMaxActual">K_Summary!$P$1311</definedName>
    <definedName name="CNTR_NACEInstallation">A_InstallationData!$L$128</definedName>
    <definedName name="CNTR_OnlyCombustion">A_InstallationData!$R$115</definedName>
    <definedName name="CNTR_ProdElec">E_EnergyFlows!$M$345</definedName>
    <definedName name="CNTR_SubInstLess1Year">A_InstallationData!$K$339:$K$354</definedName>
    <definedName name="CNTR_SubInstListBMnumbers">A_InstallationData!$I$339:$I$354</definedName>
    <definedName name="CNTR_SubInstListHALUnit">A_InstallationData!$M$339:$M$354</definedName>
    <definedName name="CNTR_SubInstListIsProdBM">A_InstallationData!$H$339:$H$354</definedName>
    <definedName name="CNTR_SubInstListNames">A_InstallationData!$F$339:$F$354</definedName>
    <definedName name="CNTR_SubInstStartDate">A_InstallationData!$J$339:$J$354</definedName>
    <definedName name="CNTR_TemplateVersion">a_Contents!$G$57</definedName>
    <definedName name="CNTR_UniqueID">A_InstallationData!$J$29</definedName>
    <definedName name="CTRL_InputMethodFuelDistribution">E_EnergyFlows!$P$18</definedName>
    <definedName name="CTRL_InputMethodHeatSubInstSplit">E_EnergyFlows!$P$217</definedName>
    <definedName name="EUconst_AbsRel">EUwideConstants!$B$8:$C$8</definedName>
    <definedName name="EUconst_AllocPrelim">EUwideConstants!$B$88</definedName>
    <definedName name="EUconst_Allowances">EUwideConstants!$B$68</definedName>
    <definedName name="EUconst_AllYears">EUwideConstants!$B$4:$R$4</definedName>
    <definedName name="EUconst_AnnexIActivities">EUwideConstants!$B$170:$B$197</definedName>
    <definedName name="EUconst_BaselinePeriods">EUwideConstants!$B$5:$C$5</definedName>
    <definedName name="EUconst_BM">EUwideConstants!$B$14</definedName>
    <definedName name="EUconst_BM_ARR_Range">EUwideConstants!$B$55:$C$55</definedName>
    <definedName name="EUconst_BMlist107">EUwideConstants!$E$257:$E$259</definedName>
    <definedName name="EUconst_BMlistARR">EUwideConstants!$P$201:$P$252</definedName>
    <definedName name="EUconst_BMlistBMARRvaluesMatrix">EUwideConstants!$N$201:$P$252</definedName>
    <definedName name="EUconst_BMlistBMmaxvalues">EUwideConstants!$Q$201:$Q$252</definedName>
    <definedName name="EUconst_BMlistBMminvalues">EUwideConstants!$R$201:$R$252</definedName>
    <definedName name="EUconst_BMlistBMvalues">EUwideConstants!$S$201:$S$252</definedName>
    <definedName name="EUconst_BMlistBMvaluesMatrix">EUwideConstants!$Q$201:$S$252</definedName>
    <definedName name="EUconst_BMlistCLstatus">EUwideConstants!$G$201:$G$252</definedName>
    <definedName name="EUconst_BMlistElExchangability">EUwideConstants!$H$201:$H$252</definedName>
    <definedName name="EUconst_BMlistMatrix">EUwideConstants!$E$201:$H$252</definedName>
    <definedName name="EUconst_BMlistNames">EUwideConstants!$E$201:$E$252</definedName>
    <definedName name="EUconst_BMlistNotCWT">EUwideConstants!$K$201:$K$252</definedName>
    <definedName name="EUconst_BMlistNumberOfActivity">EUwideConstants!$B$201:$B$252</definedName>
    <definedName name="EUconst_BMlistNumberOfBM">EUwideConstants!$C$201:$C$252</definedName>
    <definedName name="EUconst_BMlistPulp">EUwideConstants!$L$201:$L$252</definedName>
    <definedName name="EUconst_BMlistSpecialJumpTable">EUwideConstants!$J$201:$J$252</definedName>
    <definedName name="EUconst_BMlistSpecialReporting">EUwideConstants!$I$201:$I$252</definedName>
    <definedName name="EUconst_BMlistUnits">EUwideConstants!$F$201:$F$252</definedName>
    <definedName name="EUconst_BMSubinst">EUwideConstants!$B$15</definedName>
    <definedName name="EUconst_CLEFDistrict">EUwideConstants!$B$163:$K$163</definedName>
    <definedName name="EUconst_CLEFYears">EUwideConstants!$B$162:$K$162</definedName>
    <definedName name="EUconst_CLnonCL">EUwideConstants!$B$59:$C$59</definedName>
    <definedName name="EUconst_CNTR_AttributedEmissions">EUwideConstants!$B$146</definedName>
    <definedName name="EUconst_CNTR_CO2Feedstock">EUwideConstants!$B$157</definedName>
    <definedName name="EUconst_CNTR_ElectricityExported">EUwideConstants!$B$145</definedName>
    <definedName name="EUconst_CNTR_ELEXCH">EUwideConstants!$B$80</definedName>
    <definedName name="EUconst_CNTR_ELEXCH_max">EUwideConstants!$B$82</definedName>
    <definedName name="EUconst_CNTR_ELEXCH_min">EUwideConstants!$B$81</definedName>
    <definedName name="EUconst_CNTR_Emissions">EUwideConstants!$B$147</definedName>
    <definedName name="EUconst_CNTR_EmissionsIntSource1">EUwideConstants!$B$153</definedName>
    <definedName name="EUconst_CNTR_EmissionsIntSource2">EUwideConstants!$B$154</definedName>
    <definedName name="EUconst_CNTR_FuelEF">EUwideConstants!$B$127</definedName>
    <definedName name="EUconst_CNTR_FuelInput">EUwideConstants!$B$126</definedName>
    <definedName name="EUconst_CNTR_HAL">EUwideConstants!$B$78</definedName>
    <definedName name="EUconst_CNTR_HALPulpTotal">EUwideConstants!$B$158</definedName>
    <definedName name="EUconst_CNTR_HALspecial">EUwideConstants!$B$79</definedName>
    <definedName name="EUconst_CNTR_HEAT">EUwideConstants!$B$83</definedName>
    <definedName name="EUconst_CNTR_HeatExport">EUwideConstants!$B$129</definedName>
    <definedName name="EUconst_CNTR_HeatExportEF">EUwideConstants!$B$130</definedName>
    <definedName name="EUconst_CNTR_HeatImport">EUwideConstants!$B$141</definedName>
    <definedName name="EUconst_CNTR_HeatImportEF">EUwideConstants!$B$142</definedName>
    <definedName name="EUconst_CNTR_HeatImportFuel">EUwideConstants!$B$151</definedName>
    <definedName name="EUconst_CNTR_HeatImportFuelEF">EUwideConstants!$B$152</definedName>
    <definedName name="EUconst_CNTR_HeatImportNitric">EUwideConstants!$B$144</definedName>
    <definedName name="EUconst_CNTR_HeatImportProduct">EUwideConstants!$B$148</definedName>
    <definedName name="EUconst_CNTR_HeatImportProductEF">EUwideConstants!$B$149</definedName>
    <definedName name="EUconst_CNTR_HeatImportPulp">EUwideConstants!$B$143</definedName>
    <definedName name="EUconst_CNTR_HeatImportPulpEF">EUwideConstants!$B$150</definedName>
    <definedName name="EUconst_CNTR_HeatProduced">EUwideConstants!$B$128</definedName>
    <definedName name="EUconst_CNTR_HVC">EUwideConstants!$B$85</definedName>
    <definedName name="EUconst_CNTR_IntermediateExport">EUwideConstants!$B$156</definedName>
    <definedName name="EUconst_CNTR_IntermediateImport">EUwideConstants!$B$155</definedName>
    <definedName name="EUconst_CNTR_nonETSMeasHeat">EUwideConstants!$B$95</definedName>
    <definedName name="EUconst_CNTR_VCM">EUwideConstants!$B$84</definedName>
    <definedName name="EUconst_CNTR_WGConsumed">EUwideConstants!$B$133</definedName>
    <definedName name="EUconst_CNTR_WGConsumedEF">EUwideConstants!$B$134</definedName>
    <definedName name="EUconst_CNTR_WGExport">EUwideConstants!$B$139</definedName>
    <definedName name="EUconst_CNTR_WGExportEF">EUwideConstants!$B$140</definedName>
    <definedName name="EUconst_CNTR_WGFlared">EUwideConstants!$B$135</definedName>
    <definedName name="EUconst_CNTR_WGFlaredEF">EUwideConstants!$B$136</definedName>
    <definedName name="EUconst_CNTR_WGImport">EUwideConstants!$B$137</definedName>
    <definedName name="EUconst_CNTR_WGImportEF">EUwideConstants!$B$138</definedName>
    <definedName name="EUconst_CNTR_WGProduced">EUwideConstants!$B$131</definedName>
    <definedName name="EUconst_CNTR_WGProducedEF">EUwideConstants!$B$132</definedName>
    <definedName name="EUconst_CombustionActivity">EUwideConstants!$B$170</definedName>
    <definedName name="EUconst_ConfirmAllowUseOfData">EUwideConstants!$B$71</definedName>
    <definedName name="EUconst_ConfirmApplicationForAlloc">EUwideConstants!$B$70:$B$70</definedName>
    <definedName name="EUconst_ConfirmationNotEligible">EUwideConstants!$B$69:$B$69</definedName>
    <definedName name="EUconst_ConnectedEntityTypes">EUwideConstants!$B$44:$E$44</definedName>
    <definedName name="EUconst_ConnectionShortTypes">EUwideConstants!$B$46:$D$46</definedName>
    <definedName name="EUconst_ConnectionTransferTypes">EUwideConstants!$B$47:$C$47</definedName>
    <definedName name="EUconst_ConnectionTypes">EUwideConstants!$B$45:$E$45</definedName>
    <definedName name="EUconst_CWTpa">EUwideConstants!$B$67</definedName>
    <definedName name="EUconst_DateMissing">EUwideConstants!$B$93</definedName>
    <definedName name="EUconst_ElBM">EUwideConstants!$B$53</definedName>
    <definedName name="EUconst_ERR_ActivityMissing">EUwideConstants!$B$120</definedName>
    <definedName name="EUconst_ERR_AttrEmBMapplied">EUwideConstants!$B$110</definedName>
    <definedName name="EUconst_ERR_DatesSorting">EUwideConstants!$B$119</definedName>
    <definedName name="EUconst_ERR_DoubleBMentry">EUwideConstants!$B$102</definedName>
    <definedName name="EUconst_ERR_Goto_DI2">EUwideConstants!$B$107</definedName>
    <definedName name="EUconst_ERR_Mandatory_abd">EUwideConstants!$B$99</definedName>
    <definedName name="EUconst_ERR_Mandatory_Bbc">EUwideConstants!$B$105</definedName>
    <definedName name="EUconst_ERR_Mandatory_ef">EUwideConstants!$B$100</definedName>
    <definedName name="EUconst_ERR_Mandatory_g">EUwideConstants!$B$101</definedName>
    <definedName name="EUconst_ERR_MandatoryDII3a">EUwideConstants!$B$109</definedName>
    <definedName name="EUconst_ERR_MandatoryEII4">EUwideConstants!$B$108</definedName>
    <definedName name="EUconst_ERR_MissingFallBackEntry">EUwideConstants!$B$104</definedName>
    <definedName name="EUconst_ERR_MissingSubInstEntry">EUwideConstants!$B$103</definedName>
    <definedName name="EUconst_ERR_StartWithFuels">EUwideConstants!$B$106</definedName>
    <definedName name="EUconst_Error">EUwideConstants!$B$87</definedName>
    <definedName name="EUconst_EUA">EUwideConstants!$B$10</definedName>
    <definedName name="EUconst_EUApa">EUwideConstants!$B$29</definedName>
    <definedName name="EUconst_EUApt">EUwideConstants!$B$30</definedName>
    <definedName name="EUconst_FallBackARR">EUwideConstants!$P$256:$P$262</definedName>
    <definedName name="EUconst_FallBackListBMARRvaluesMatrix">EUwideConstants!$N$256:$P$262</definedName>
    <definedName name="EUconst_FallBackListBMvalues">EUwideConstants!$S$256:$S$262</definedName>
    <definedName name="EUconst_FallBackListBMvaluesMatrix">EUwideConstants!$Q$256:$S$262</definedName>
    <definedName name="EUconst_FallBackListCLstatus">EUwideConstants!$G$256:$G$262</definedName>
    <definedName name="EUconst_FallBackListMatrix">EUwideConstants!$E$256:$H$262</definedName>
    <definedName name="EUconst_FallbackListMissing">EUwideConstants!$I$256:$I$262</definedName>
    <definedName name="EUconst_FallBackListNames">EUwideConstants!$E$256:$E$262</definedName>
    <definedName name="EUconst_FallBackListNumber">EUwideConstants!$C$256:$C$262</definedName>
    <definedName name="EUconst_FallBackListUnits">EUwideConstants!$F$256:$F$262</definedName>
    <definedName name="EUconst_FBSubinst">EUwideConstants!$B$16</definedName>
    <definedName name="EUconst_Fuel">EUwideConstants!$B$13</definedName>
    <definedName name="EUconst_FuelBMvalue">EUwideConstants!$B$54</definedName>
    <definedName name="EUconst_FuelUseTypes">EUwideConstants!$B$50:$E$50</definedName>
    <definedName name="EUconst_GJ">EUwideConstants!$B$20</definedName>
    <definedName name="EUconst_GJpa">EUwideConstants!$B$32</definedName>
    <definedName name="EUconst_GJperTorKNm3">EUwideConstants!$B$62:$C$62</definedName>
    <definedName name="EUconst_GJperUnit">EUwideConstants!$B$65</definedName>
    <definedName name="EUconst_GJpt">EUwideConstants!$B$31</definedName>
    <definedName name="EUconst_HALsum">EUwideConstants!$B$86</definedName>
    <definedName name="EUconst_HeatBMvalue">EUwideConstants!$B$52</definedName>
    <definedName name="EUconst_HeatUseTypes">EUwideConstants!$B$49:$F$49</definedName>
    <definedName name="EUconst_Incomplete">EUwideConstants!$B$89</definedName>
    <definedName name="EUconst_Inconsistent">EUwideConstants!$B$91</definedName>
    <definedName name="EUconst_kNm3pa">EUwideConstants!$B$60</definedName>
    <definedName name="EUconst_MinOrMaxOrActual">EUwideConstants!$B$164:$D$164</definedName>
    <definedName name="EUconst_MNm3pa">EUwideConstants!$B$66</definedName>
    <definedName name="EUconst_Month">EUwideConstants!$B$12</definedName>
    <definedName name="EUconst_MsgAttrEm">EUwideConstants!$B$112</definedName>
    <definedName name="EUconst_MsgBackToSheetF">EUwideConstants!$B$123</definedName>
    <definedName name="EUconst_MsgEnterThisSection">EUwideConstants!$B$121</definedName>
    <definedName name="EUconst_MsgGoOn">EUwideConstants!$B$115</definedName>
    <definedName name="EUconst_MsgGoOn_cd">EUwideConstants!$B$124</definedName>
    <definedName name="EUconst_MsgGoOn_d">EUwideConstants!$B$117</definedName>
    <definedName name="EUconst_MsgGoOn_e">EUwideConstants!$B$125</definedName>
    <definedName name="EUconst_MsgGoOnIfNotRelevant">EUwideConstants!$B$118</definedName>
    <definedName name="EUconst_MsgGoToNextSubInst">EUwideConstants!$B$122</definedName>
    <definedName name="EUconst_MsgProceedEII2">EUwideConstants!$B$114</definedName>
    <definedName name="EUconst_MsgProceedF">EUwideConstants!$B$113</definedName>
    <definedName name="EUconst_MsgSeeFirst">EUwideConstants!$B$111</definedName>
    <definedName name="EUconst_MsgUseElExchTool">EUwideConstants!$B$116</definedName>
    <definedName name="EUconst_MSlist">EUwideConstants!$B$96:$AF$96</definedName>
    <definedName name="EUconst_MSlistEUTLcodes">EUwideConstants!$B$98:$AF$98</definedName>
    <definedName name="EUconst_MSlistISOcodes">EUwideConstants!$B$97:$AF$97</definedName>
    <definedName name="EUconst_MWh">EUwideConstants!$B$25</definedName>
    <definedName name="EUconst_MWhpa">EUwideConstants!$B$26</definedName>
    <definedName name="EUconst_NA">EUwideConstants!$B$9</definedName>
    <definedName name="EUconst_Negative">EUwideConstants!$B$90</definedName>
    <definedName name="EUconst_NGEFvalue">EUwideConstants!$B$160</definedName>
    <definedName name="EUconst_NotEligible">EUwideConstants!$B$94</definedName>
    <definedName name="EUconst_NotRelevant">EUwideConstants!$B$57</definedName>
    <definedName name="EUconst_OK">EUwideConstants!$B$92</definedName>
    <definedName name="EUconst_Or">EUwideConstants!$B$40</definedName>
    <definedName name="EUconst_ProcessEmissionTypes">EUwideConstants!$B$51:$J$51</definedName>
    <definedName name="EUconst_Relevant">EUwideConstants!$B$56</definedName>
    <definedName name="EUconst_RelevantNotRelevant">EUwideConstants!$B$58:$C$58</definedName>
    <definedName name="EUconst_relOrMWhpa">EUwideConstants!$B$42</definedName>
    <definedName name="EUconst_relOrtCO2pa">EUwideConstants!$B$43</definedName>
    <definedName name="EUconst_relOrTJpa">EUwideConstants!$B$41</definedName>
    <definedName name="EUconst_ReportingYears">EUwideConstants!$B$3:$F$3</definedName>
    <definedName name="EUconst_StatusOfDataCollection">EUwideConstants!$B$2</definedName>
    <definedName name="EUconst_SumBioCO2">EUwideConstants!$B$74</definedName>
    <definedName name="EUconst_SumCO2">EUwideConstants!$B$72</definedName>
    <definedName name="EUconst_SumEnergyIN">EUwideConstants!$B$75</definedName>
    <definedName name="EUconst_SumN2O">EUwideConstants!$B$76</definedName>
    <definedName name="EUconst_SumPFC">EUwideConstants!$B$77</definedName>
    <definedName name="EUconst_SumTransferCO2">EUwideConstants!$B$73</definedName>
    <definedName name="EUconst_t">EUwideConstants!$B$27</definedName>
    <definedName name="EUconst_tCO2">EUwideConstants!$B$22</definedName>
    <definedName name="EUconst_tCO2e">EUwideConstants!$B$21</definedName>
    <definedName name="EUconst_tCO2epa">EUwideConstants!$B$38</definedName>
    <definedName name="EUconst_tCO2ept">EUwideConstants!$B$39</definedName>
    <definedName name="EUconst_tCO2eptN2O">EUwideConstants!$B$37</definedName>
    <definedName name="EUconst_tCO2pa">EUwideConstants!$B$34</definedName>
    <definedName name="EUconst_tCO2pkNm3">EUwideConstants!$B$64</definedName>
    <definedName name="EUconst_tCO2pMWh">EUwideConstants!$B$159</definedName>
    <definedName name="EUconst_tCO2pt">EUwideConstants!$B$35</definedName>
    <definedName name="EUconst_tCO2pTJ">EUwideConstants!$B$33</definedName>
    <definedName name="EUconst_tCO2pTJorT">EUwideConstants!$B$63:$D$63</definedName>
    <definedName name="EUconst_TJ">EUwideConstants!$B$19</definedName>
    <definedName name="EUconst_TJpa">EUwideConstants!$B$24</definedName>
    <definedName name="EUconst_tN2O">EUwideConstants!$B$23</definedName>
    <definedName name="EUconst_tN2Opa">EUwideConstants!$B$36</definedName>
    <definedName name="EUconst_TonnesOrkNm3pa">EUwideConstants!$B$61:$C$61</definedName>
    <definedName name="EUconst_Tons">EUwideConstants!$B$18</definedName>
    <definedName name="EUconst_tpa">EUwideConstants!$B$28</definedName>
    <definedName name="Euconst_TrueFalse">EUwideConstants!$B$6:$C$6</definedName>
    <definedName name="Euconst_TrueFalseNA">EUwideConstants!$B$7:$D$7</definedName>
    <definedName name="EUconst_Unit">EUwideConstants!$B$11</definedName>
    <definedName name="EUconst_WasteGasCorrFactor">EUwideConstants!$B$161</definedName>
    <definedName name="EUconst_WithinInst">EUwideConstants!$B$48</definedName>
    <definedName name="EUconst_Year">EUwideConstants!$B$17</definedName>
    <definedName name="JUMP_A_Bottom">A_InstallationData!$D$322</definedName>
    <definedName name="JUMP_A_I">A_InstallationData!$D$8</definedName>
    <definedName name="JUMP_A_I1">A_InstallationData!$C$10</definedName>
    <definedName name="JUMP_A_I2">A_InstallationData!$C$73</definedName>
    <definedName name="JUMP_A_I3">A_InstallationData!$C$88</definedName>
    <definedName name="JUMP_A_I4">A_InstallationData!$C$109</definedName>
    <definedName name="JUMP_A_II">A_InstallationData!$D$166</definedName>
    <definedName name="JUMP_A_II1">A_InstallationData!$C$168</definedName>
    <definedName name="JUMP_A_II2">A_InstallationData!$C$211</definedName>
    <definedName name="JUMP_A_III">A_InstallationData!$D$222</definedName>
    <definedName name="JUMP_A_III1">A_InstallationData!$C$224</definedName>
    <definedName name="JUMP_A_IV">A_InstallationData!$D$270</definedName>
    <definedName name="JUMP_A_IV1">A_InstallationData!$C$272</definedName>
    <definedName name="JUMP_B_I">'B+C_Emissions_Y1'!$C$8</definedName>
    <definedName name="JUMP_B_II">'B+C_Emissions_Y1'!$C$14</definedName>
    <definedName name="JUMP_BY1_Emissions">'B+C_Emissions_Y1'!$D$114</definedName>
    <definedName name="JUMP_BY1_Fallback">'B+C_Emissions_Y1'!$D$129</definedName>
    <definedName name="JUMP_BY1_PFC">'B+C_Emissions_Y1'!$D$100</definedName>
    <definedName name="JUMP_BY1_Source">'B+C_Emissions_Y1'!$D$19</definedName>
    <definedName name="JUMP_BY1_Top">'B+C_Emissions_Y1'!$C$6</definedName>
    <definedName name="JUMP_BY2_Emissions">'B+C_Emissions_Y2'!$D$114</definedName>
    <definedName name="JUMP_BY2_Fallback">'B+C_Emissions_Y2'!$D$129</definedName>
    <definedName name="JUMP_BY2_PFC">'B+C_Emissions_Y2'!$D$100</definedName>
    <definedName name="JUMP_BY2_Source">'B+C_Emissions_Y2'!$D$19</definedName>
    <definedName name="JUMP_BY2_Top">'B+C_Emissions_Y2'!$C$6</definedName>
    <definedName name="JUMP_BY3_Emissions">'B+C_Emissions_Y3'!$D$114</definedName>
    <definedName name="JUMP_BY3_Fallback">'B+C_Emissions_Y3'!$D$129</definedName>
    <definedName name="JUMP_BY3_PFC">'B+C_Emissions_Y3'!$D$100</definedName>
    <definedName name="JUMP_BY3_Source">'B+C_Emissions_Y3'!$D$19</definedName>
    <definedName name="JUMP_BY3_Top">'B+C_Emissions_Y3'!$C$6</definedName>
    <definedName name="JUMP_BY4_Emissions">'B+C_Emissions_Y4'!$D$114</definedName>
    <definedName name="JUMP_BY4_Fallback">'B+C_Emissions_Y4'!$D$129</definedName>
    <definedName name="JUMP_BY4_PFC">'B+C_Emissions_Y4'!$D$100</definedName>
    <definedName name="JUMP_BY4_Source">'B+C_Emissions_Y4'!$D$19</definedName>
    <definedName name="JUMP_BY4_Top">'B+C_Emissions_Y4'!$C$6</definedName>
    <definedName name="JUMP_BY5_Emissions">'B+C_Emissions_Y5'!$D$114</definedName>
    <definedName name="JUMP_BY5_Fallback">'B+C_Emissions_Y5'!$D$129</definedName>
    <definedName name="JUMP_BY5_PFC">'B+C_Emissions_Y5'!$D$100</definedName>
    <definedName name="JUMP_BY5_Source">'B+C_Emissions_Y5'!$D$19</definedName>
    <definedName name="JUMP_BY5_Top">'B+C_Emissions_Y5'!$C$6</definedName>
    <definedName name="JUMP_Coverpage_Bottom">a_Contents!$C$71</definedName>
    <definedName name="JUMP_Coverpage_Top">a_Contents!$B$5</definedName>
    <definedName name="JUMP_D_Bottom">D_Emissions!$D$300</definedName>
    <definedName name="JUMP_D_I">D_Emissions!$D$8</definedName>
    <definedName name="JUMP_D_II">D_Emissions!$D$61</definedName>
    <definedName name="JUMP_D_III">D_Emissions!$D$74</definedName>
    <definedName name="JUMP_D_III2">D_Emissions!$C$140</definedName>
    <definedName name="JUMP_D_IV">D_Emissions!$D$185</definedName>
    <definedName name="JUMP_D_IV2">D_Emissions!$C$253</definedName>
    <definedName name="JUMP_D_Top">D_Emissions!$C$6</definedName>
    <definedName name="JUMP_E_Bottom">E_EnergyFlows!$D$371</definedName>
    <definedName name="JUMP_E_HeatFinal">E_EnergyFlows!$E$221</definedName>
    <definedName name="JUMP_E_I">E_EnergyFlows!$D$8</definedName>
    <definedName name="JUMP_E_II">E_EnergyFlows!$D$51</definedName>
    <definedName name="JUMP_E_II_2">E_EnergyFlows!$C$53</definedName>
    <definedName name="JUMP_E_III">E_EnergyFlows!$D$235</definedName>
    <definedName name="JUMP_E_IV">E_EnergyFlows!$D$341</definedName>
    <definedName name="JUMP_E_Top">E_EnergyFlows!$C$6</definedName>
    <definedName name="JUMP_EmissionTotals">D_Emissions!$D$13</definedName>
    <definedName name="JUMP_F_Bottom">F_ProductBM!$D$1874</definedName>
    <definedName name="JUMP_F_I">F_ProductBM!$D$11</definedName>
    <definedName name="JUMP_F_Top">F_ProductBM!$C$7</definedName>
    <definedName name="JUMP_F1">F_ProductBM!$C$13</definedName>
    <definedName name="JUMP_F10">F_ProductBM!$C$1693</definedName>
    <definedName name="JUMP_F2">F_ProductBM!$C$253</definedName>
    <definedName name="JUMP_F3">F_ProductBM!$C$433</definedName>
    <definedName name="JUMP_F4">F_ProductBM!$C$613</definedName>
    <definedName name="JUMP_F5">F_ProductBM!$C$793</definedName>
    <definedName name="JUMP_F6">F_ProductBM!$C$973</definedName>
    <definedName name="JUMP_F7">F_ProductBM!$C$1153</definedName>
    <definedName name="JUMP_F8">F_ProductBM!$C$1333</definedName>
    <definedName name="JUMP_F9">F_ProductBM!$C$1513</definedName>
    <definedName name="JUMP_G_Bottom">'G_Fall-back'!$D$551</definedName>
    <definedName name="JUMP_G_I">'G_Fall-back'!$D$10</definedName>
    <definedName name="JUMP_G_Top">'G_Fall-back'!$C$6</definedName>
    <definedName name="JUMP_G1">'G_Fall-back'!$C$12</definedName>
    <definedName name="JUMP_G2">'G_Fall-back'!$C$143</definedName>
    <definedName name="JUMP_G3">'G_Fall-back'!$C$234</definedName>
    <definedName name="JUMP_G4">'G_Fall-back'!$C$325</definedName>
    <definedName name="JUMP_G5">'G_Fall-back'!$C$398</definedName>
    <definedName name="JUMP_G6">'G_Fall-back'!$C$466</definedName>
    <definedName name="JUMP_G7">'G_Fall-back'!$C$509</definedName>
    <definedName name="JUMP_Guidelines_Bottom">'b_Guidelines &amp; conditions'!$B$92</definedName>
    <definedName name="JUMP_Guidelines_Home">'b_Guidelines &amp; conditions'!$B$7</definedName>
    <definedName name="JUMP_H_Bottom">H_SpecialBM!$D$382</definedName>
    <definedName name="JUMP_H_I">H_SpecialBM!$D$9</definedName>
    <definedName name="JUMP_H_II">H_SpecialBM!$D$99</definedName>
    <definedName name="JUMP_H_III">H_SpecialBM!$D$133</definedName>
    <definedName name="JUMP_H_IV">H_SpecialBM!$D$167</definedName>
    <definedName name="JUMP_H_IX">H_SpecialBM!$D$354</definedName>
    <definedName name="JUMP_H_Top">H_SpecialBM!$C$7</definedName>
    <definedName name="JUMP_H_V">H_SpecialBM!$D$219</definedName>
    <definedName name="JUMP_H_VI">H_SpecialBM!$D$259</definedName>
    <definedName name="JUMP_H_VII">H_SpecialBM!$D$292</definedName>
    <definedName name="JUMP_H_VIII">H_SpecialBM!$D$325</definedName>
    <definedName name="JUMP_I_Bottom">I_MSspecific!$C$30</definedName>
    <definedName name="JUMP_I_MSspecific">I_MSspecific!$C$7</definedName>
    <definedName name="JUMP_I_Top">I_MSspecific!$B$5</definedName>
    <definedName name="JUMP_J_I">J_Comments!$C$7</definedName>
    <definedName name="JUMP_J_II">J_Comments!$C$57</definedName>
    <definedName name="JUMP_J_Top">J_Comments!$B$5</definedName>
    <definedName name="JUMP_K_Bottom">K_Summary!$D$1389</definedName>
    <definedName name="JUMP_K_I">K_Summary!$D$8</definedName>
    <definedName name="JUMP_K_II">K_Summary!$C$44</definedName>
    <definedName name="JUMP_K_III">K_Summary!$C$60</definedName>
    <definedName name="JUMP_K_III2">K_Summary!$C$74</definedName>
    <definedName name="JUMP_K_IV">K_Summary!$C$444</definedName>
    <definedName name="JUMP_K_Top">K_Summary!$C$6</definedName>
    <definedName name="JUMP_K_V">K_Summary!$C$1290</definedName>
    <definedName name="JUMP_K_V_Disclaimer">K_Summary!$D$1305</definedName>
    <definedName name="JUMP_TOC_Home">a_Contents!$A$5</definedName>
    <definedName name="MSconst_AllowInstEmmisionTotals">MSParameters!$B$5</definedName>
    <definedName name="MSconst_RequireArt27aInfo">MSParameters!$B$4</definedName>
    <definedName name="MSconst_RequireArt27Info">MSParameters!$B$3</definedName>
    <definedName name="MSconst_RequirePermitInfo">MSParameters!$B$2</definedName>
    <definedName name="_xlnm.Print_Area" localSheetId="0">a_Contents!$A$4:$L$70</definedName>
    <definedName name="_xlnm.Print_Area" localSheetId="2">A_InstallationData!$C$5:$O$321</definedName>
    <definedName name="_xlnm.Print_Area" localSheetId="1">'b_Guidelines &amp; conditions'!$A$4:$K$91</definedName>
    <definedName name="_xlnm.Print_Area" localSheetId="3">'B+C_Emissions_Y1'!$C$5:$AY$132</definedName>
    <definedName name="_xlnm.Print_Area" localSheetId="4">'B+C_Emissions_Y2'!$C$5:$AY$132</definedName>
    <definedName name="_xlnm.Print_Area" localSheetId="5">'B+C_Emissions_Y3'!$C$5:$AY$132</definedName>
    <definedName name="_xlnm.Print_Area" localSheetId="6">'B+C_Emissions_Y4'!$C$5:$AY$132</definedName>
    <definedName name="_xlnm.Print_Area" localSheetId="7">'B+C_Emissions_Y5'!$C$5:$AY$132</definedName>
    <definedName name="_xlnm.Print_Area" localSheetId="8">D_Emissions!$C$5:$N$299</definedName>
    <definedName name="_xlnm.Print_Area" localSheetId="9">E_EnergyFlows!$B$5:$N$370</definedName>
    <definedName name="_xlnm.Print_Area" localSheetId="10">F_ProductBM!$B$6:$O$251</definedName>
    <definedName name="_xlnm.Print_Area" localSheetId="11">'G_Fall-back'!$B$5:$N$550</definedName>
    <definedName name="_xlnm.Print_Area" localSheetId="12">H_SpecialBM!$B$6:$N$381</definedName>
    <definedName name="_xlnm.Print_Area" localSheetId="13">I_MSspecific!$A$4:$M$29</definedName>
    <definedName name="_xlnm.Print_Area" localSheetId="14">J_Comments!$A$4:$M$69</definedName>
    <definedName name="_xlnm.Print_Area" localSheetId="15">K_Summary!$C$5:$N$1388</definedName>
    <definedName name="_xlnm.Print_Area" localSheetId="19">VersionDocumentation!$A$1:$E$86</definedName>
  </definedNames>
  <calcPr calcId="162913"/>
</workbook>
</file>

<file path=xl/calcChain.xml><?xml version="1.0" encoding="utf-8"?>
<calcChain xmlns="http://schemas.openxmlformats.org/spreadsheetml/2006/main">
  <c r="I1087" i="50" l="1"/>
  <c r="BA29" i="59" l="1"/>
  <c r="BB29" i="59"/>
  <c r="BA30" i="59"/>
  <c r="BB30" i="59"/>
  <c r="E1063" i="50" l="1"/>
  <c r="E1060" i="50"/>
  <c r="E1003" i="50"/>
  <c r="E1000" i="50"/>
  <c r="E943" i="50"/>
  <c r="E940" i="50"/>
  <c r="E883" i="50"/>
  <c r="E880" i="50"/>
  <c r="E823" i="50"/>
  <c r="E820" i="50"/>
  <c r="E763" i="50"/>
  <c r="E760" i="50"/>
  <c r="E703" i="50"/>
  <c r="E700" i="50"/>
  <c r="E643" i="50"/>
  <c r="E640" i="50"/>
  <c r="E583" i="50"/>
  <c r="E580" i="50"/>
  <c r="E289" i="42"/>
  <c r="E288" i="42"/>
  <c r="E292" i="42"/>
  <c r="E291" i="42"/>
  <c r="S386" i="42"/>
  <c r="E1792" i="37"/>
  <c r="E1612" i="37"/>
  <c r="E1432" i="37"/>
  <c r="E1252" i="37"/>
  <c r="E1072" i="37"/>
  <c r="E892" i="37"/>
  <c r="E712" i="37"/>
  <c r="E532" i="37"/>
  <c r="E352" i="37"/>
  <c r="E1720" i="37"/>
  <c r="E1540" i="37"/>
  <c r="E1360" i="37"/>
  <c r="E1180" i="37"/>
  <c r="E1000" i="37"/>
  <c r="E820" i="37"/>
  <c r="E640" i="37"/>
  <c r="E460" i="37"/>
  <c r="E280" i="37"/>
  <c r="E1174" i="50"/>
  <c r="E1173" i="50"/>
  <c r="E1134" i="50"/>
  <c r="E1133" i="50"/>
  <c r="E1241" i="50"/>
  <c r="E1211" i="50"/>
  <c r="E1093" i="50"/>
  <c r="W318" i="42"/>
  <c r="V318" i="42"/>
  <c r="U318" i="42"/>
  <c r="T318" i="42"/>
  <c r="S318" i="42"/>
  <c r="W314" i="42"/>
  <c r="V314" i="42"/>
  <c r="U314" i="42"/>
  <c r="T314" i="42"/>
  <c r="S314" i="42"/>
  <c r="W310" i="42"/>
  <c r="V310" i="42"/>
  <c r="U310" i="42"/>
  <c r="T310" i="42"/>
  <c r="S310" i="42"/>
  <c r="W306" i="42"/>
  <c r="V306" i="42"/>
  <c r="U306" i="42"/>
  <c r="T306" i="42"/>
  <c r="S306" i="42"/>
  <c r="W227" i="42"/>
  <c r="V227" i="42"/>
  <c r="U227" i="42"/>
  <c r="T227" i="42"/>
  <c r="S227" i="42"/>
  <c r="W223" i="42"/>
  <c r="V223" i="42"/>
  <c r="U223" i="42"/>
  <c r="T223" i="42"/>
  <c r="S223" i="42"/>
  <c r="W219" i="42"/>
  <c r="V219" i="42"/>
  <c r="U219" i="42"/>
  <c r="T219" i="42"/>
  <c r="S219" i="42"/>
  <c r="W215" i="42"/>
  <c r="V215" i="42"/>
  <c r="U215" i="42"/>
  <c r="T215" i="42"/>
  <c r="S215" i="42"/>
  <c r="W136" i="42"/>
  <c r="V136" i="42"/>
  <c r="U136" i="42"/>
  <c r="T136" i="42"/>
  <c r="S136" i="42"/>
  <c r="W132" i="42"/>
  <c r="V132" i="42"/>
  <c r="U132" i="42"/>
  <c r="T132" i="42"/>
  <c r="S132" i="42"/>
  <c r="W128" i="42"/>
  <c r="V128" i="42"/>
  <c r="U128" i="42"/>
  <c r="T128" i="42"/>
  <c r="S128" i="42"/>
  <c r="W124" i="42"/>
  <c r="V124" i="42"/>
  <c r="U124" i="42"/>
  <c r="T124" i="42"/>
  <c r="S124" i="42"/>
  <c r="W386" i="42"/>
  <c r="V386" i="42"/>
  <c r="U386" i="42"/>
  <c r="T386" i="42"/>
  <c r="W456" i="42"/>
  <c r="V456" i="42"/>
  <c r="U456" i="42"/>
  <c r="T456" i="42"/>
  <c r="S456" i="42"/>
  <c r="H35" i="51"/>
  <c r="E262" i="34"/>
  <c r="E261" i="34"/>
  <c r="E260" i="34"/>
  <c r="E259" i="34"/>
  <c r="I392" i="41"/>
  <c r="E258" i="34"/>
  <c r="E257" i="34"/>
  <c r="E256" i="34"/>
  <c r="S255" i="34"/>
  <c r="R255" i="34"/>
  <c r="Q255" i="34"/>
  <c r="M255" i="34"/>
  <c r="I255" i="34"/>
  <c r="H255" i="34"/>
  <c r="G255" i="34"/>
  <c r="F255" i="34"/>
  <c r="E255" i="34"/>
  <c r="D255" i="34"/>
  <c r="C255" i="34"/>
  <c r="A254" i="34"/>
  <c r="E252" i="34"/>
  <c r="I251" i="34"/>
  <c r="E251" i="34"/>
  <c r="I250" i="34"/>
  <c r="E250" i="34"/>
  <c r="E249" i="34"/>
  <c r="E248" i="34"/>
  <c r="I247" i="34"/>
  <c r="E247" i="34"/>
  <c r="P373" i="47" s="1"/>
  <c r="I246" i="34"/>
  <c r="E246" i="34"/>
  <c r="E245" i="34"/>
  <c r="E244" i="34"/>
  <c r="I243" i="34"/>
  <c r="F243" i="34"/>
  <c r="E243" i="34"/>
  <c r="I242" i="34"/>
  <c r="E242" i="34"/>
  <c r="E241" i="34"/>
  <c r="E240" i="34"/>
  <c r="I239" i="34"/>
  <c r="E239" i="34"/>
  <c r="E238" i="34"/>
  <c r="F237" i="34"/>
  <c r="E237" i="34"/>
  <c r="F236" i="34"/>
  <c r="E236" i="34"/>
  <c r="F235" i="34"/>
  <c r="E235" i="34"/>
  <c r="E234" i="34"/>
  <c r="F233" i="34"/>
  <c r="E233" i="34"/>
  <c r="F232" i="34"/>
  <c r="E232" i="34"/>
  <c r="F231" i="34"/>
  <c r="E231" i="34"/>
  <c r="F230" i="34"/>
  <c r="E230" i="34"/>
  <c r="I229" i="34"/>
  <c r="F229" i="34"/>
  <c r="E229" i="34"/>
  <c r="I228" i="34"/>
  <c r="F228" i="34"/>
  <c r="E228" i="34"/>
  <c r="I227" i="34"/>
  <c r="F227" i="34"/>
  <c r="E227" i="34"/>
  <c r="E226" i="34"/>
  <c r="E225" i="34"/>
  <c r="E224" i="34"/>
  <c r="E223" i="34"/>
  <c r="E222" i="34"/>
  <c r="E221" i="34"/>
  <c r="E220" i="34"/>
  <c r="E219" i="34"/>
  <c r="E218" i="34"/>
  <c r="E217" i="34"/>
  <c r="E216" i="34"/>
  <c r="E215" i="34"/>
  <c r="E214" i="34"/>
  <c r="I213" i="34"/>
  <c r="E213" i="34"/>
  <c r="I212" i="34"/>
  <c r="E212" i="34"/>
  <c r="E211" i="34"/>
  <c r="E210" i="34"/>
  <c r="E209" i="34"/>
  <c r="E208" i="34"/>
  <c r="E207" i="34"/>
  <c r="E206" i="34"/>
  <c r="E205" i="34"/>
  <c r="E204" i="34"/>
  <c r="E203" i="34"/>
  <c r="E202" i="34"/>
  <c r="I201" i="34"/>
  <c r="F201" i="34"/>
  <c r="E201" i="34"/>
  <c r="S200" i="34"/>
  <c r="R200" i="34"/>
  <c r="Q200" i="34"/>
  <c r="M200" i="34"/>
  <c r="L200" i="34"/>
  <c r="K200" i="34"/>
  <c r="J200" i="34"/>
  <c r="I200" i="34"/>
  <c r="H200" i="34"/>
  <c r="G200" i="34"/>
  <c r="F200" i="34"/>
  <c r="E200" i="34"/>
  <c r="D200" i="34"/>
  <c r="C200" i="34"/>
  <c r="B200" i="34"/>
  <c r="A200" i="34"/>
  <c r="A199" i="34"/>
  <c r="H197" i="34"/>
  <c r="B197" i="34"/>
  <c r="H196" i="34"/>
  <c r="B196" i="34" s="1"/>
  <c r="H195" i="34"/>
  <c r="B195" i="34"/>
  <c r="H194" i="34"/>
  <c r="B194" i="34" s="1"/>
  <c r="A252" i="34" s="1"/>
  <c r="H193" i="34"/>
  <c r="B193" i="34" s="1"/>
  <c r="H192" i="34"/>
  <c r="B192" i="34"/>
  <c r="H191" i="34"/>
  <c r="B191" i="34"/>
  <c r="A241" i="34"/>
  <c r="H190" i="34"/>
  <c r="B190" i="34"/>
  <c r="H189" i="34"/>
  <c r="B189" i="34"/>
  <c r="A240" i="34"/>
  <c r="H188" i="34"/>
  <c r="B188" i="34"/>
  <c r="A239" i="34"/>
  <c r="H187" i="34"/>
  <c r="B187" i="34"/>
  <c r="A238" i="34" s="1"/>
  <c r="H186" i="34"/>
  <c r="B186" i="34"/>
  <c r="H185" i="34"/>
  <c r="B185" i="34"/>
  <c r="H184" i="34"/>
  <c r="B184" i="34" s="1"/>
  <c r="A224" i="34" s="1"/>
  <c r="H183" i="34"/>
  <c r="B183" i="34"/>
  <c r="A223" i="34"/>
  <c r="H182" i="34"/>
  <c r="B182" i="34"/>
  <c r="H181" i="34"/>
  <c r="B181" i="34" s="1"/>
  <c r="A215" i="34" s="1"/>
  <c r="H180" i="34"/>
  <c r="B180" i="34"/>
  <c r="H179" i="34"/>
  <c r="B179" i="34" s="1"/>
  <c r="H178" i="34"/>
  <c r="B178" i="34"/>
  <c r="H177" i="34"/>
  <c r="B177" i="34"/>
  <c r="H176" i="34"/>
  <c r="B176" i="34"/>
  <c r="A208" i="34"/>
  <c r="H175" i="34"/>
  <c r="B175" i="34"/>
  <c r="A207" i="34"/>
  <c r="H174" i="34"/>
  <c r="B174" i="34"/>
  <c r="H173" i="34"/>
  <c r="B173" i="34"/>
  <c r="A203" i="34"/>
  <c r="H172" i="34"/>
  <c r="B172" i="34"/>
  <c r="A202" i="34"/>
  <c r="H171" i="34"/>
  <c r="B171" i="34"/>
  <c r="H170" i="34"/>
  <c r="B170" i="34"/>
  <c r="P115" i="43"/>
  <c r="B169" i="34"/>
  <c r="A169" i="34"/>
  <c r="A168" i="34"/>
  <c r="D164" i="34"/>
  <c r="C164" i="34"/>
  <c r="B164" i="34"/>
  <c r="P1311" i="50"/>
  <c r="B125" i="34"/>
  <c r="B124" i="34"/>
  <c r="B123" i="34"/>
  <c r="B122" i="34"/>
  <c r="B121" i="34"/>
  <c r="E242" i="41"/>
  <c r="B120" i="34"/>
  <c r="B119" i="34"/>
  <c r="B118" i="34"/>
  <c r="B117" i="34"/>
  <c r="B116" i="34"/>
  <c r="B115" i="34"/>
  <c r="D12" i="55" s="1"/>
  <c r="B114" i="34"/>
  <c r="B113" i="34"/>
  <c r="B112" i="34"/>
  <c r="E72" i="49"/>
  <c r="B111" i="34"/>
  <c r="B110" i="34"/>
  <c r="B109" i="34"/>
  <c r="B108" i="34"/>
  <c r="B107" i="34"/>
  <c r="B106" i="34"/>
  <c r="B105" i="34"/>
  <c r="B104" i="34"/>
  <c r="B103" i="34"/>
  <c r="B102" i="34"/>
  <c r="B101" i="34"/>
  <c r="B100" i="34"/>
  <c r="E51" i="50"/>
  <c r="B99" i="34"/>
  <c r="AF98" i="34"/>
  <c r="AE98" i="34"/>
  <c r="AD98" i="34"/>
  <c r="AC98" i="34"/>
  <c r="AB98" i="34"/>
  <c r="AA98" i="34"/>
  <c r="Z98" i="34"/>
  <c r="Y98" i="34"/>
  <c r="X98" i="34"/>
  <c r="W98" i="34"/>
  <c r="V98" i="34"/>
  <c r="U98" i="34"/>
  <c r="T98" i="34"/>
  <c r="S98" i="34"/>
  <c r="R98" i="34"/>
  <c r="Q98" i="34"/>
  <c r="P98" i="34"/>
  <c r="O98" i="34"/>
  <c r="N98" i="34"/>
  <c r="M98" i="34"/>
  <c r="L98" i="34"/>
  <c r="K98" i="34"/>
  <c r="J98" i="34"/>
  <c r="I98" i="34"/>
  <c r="H98" i="34"/>
  <c r="G98" i="34"/>
  <c r="F98" i="34"/>
  <c r="E98" i="34"/>
  <c r="D98" i="34"/>
  <c r="C98" i="34"/>
  <c r="B98" i="34"/>
  <c r="AF97" i="34"/>
  <c r="AE97" i="34"/>
  <c r="AD97" i="34"/>
  <c r="AC97" i="34"/>
  <c r="AB97" i="34"/>
  <c r="AA97" i="34"/>
  <c r="Z97" i="34"/>
  <c r="Y97" i="34"/>
  <c r="X97" i="34"/>
  <c r="W97" i="34"/>
  <c r="V97" i="34"/>
  <c r="U97" i="34"/>
  <c r="T97" i="34"/>
  <c r="S97" i="34"/>
  <c r="R97" i="34"/>
  <c r="Q97" i="34"/>
  <c r="P97" i="34"/>
  <c r="O97" i="34"/>
  <c r="N97" i="34"/>
  <c r="M97" i="34"/>
  <c r="L97" i="34"/>
  <c r="K97" i="34"/>
  <c r="J97" i="34"/>
  <c r="I97" i="34"/>
  <c r="H97" i="34"/>
  <c r="G97" i="34"/>
  <c r="F97" i="34"/>
  <c r="E97" i="34"/>
  <c r="D97" i="34"/>
  <c r="C97" i="34"/>
  <c r="B97" i="34"/>
  <c r="AF96" i="34"/>
  <c r="AE96" i="34"/>
  <c r="AD96" i="34"/>
  <c r="AC96" i="34"/>
  <c r="AB96" i="34"/>
  <c r="AA96" i="34"/>
  <c r="Z96" i="34"/>
  <c r="Y96" i="34"/>
  <c r="X96" i="34"/>
  <c r="W96" i="34"/>
  <c r="V96" i="34"/>
  <c r="U96" i="34"/>
  <c r="T96" i="34"/>
  <c r="S96" i="34"/>
  <c r="R96" i="34"/>
  <c r="Q96" i="34"/>
  <c r="P96" i="34"/>
  <c r="O96" i="34"/>
  <c r="N96" i="34"/>
  <c r="M96" i="34"/>
  <c r="L96" i="34"/>
  <c r="K96" i="34"/>
  <c r="J96" i="34"/>
  <c r="I96" i="34"/>
  <c r="H96" i="34"/>
  <c r="G96" i="34"/>
  <c r="F96" i="34"/>
  <c r="E96" i="34"/>
  <c r="D96" i="34"/>
  <c r="C96" i="34"/>
  <c r="B96" i="34"/>
  <c r="B95" i="34"/>
  <c r="P638" i="37"/>
  <c r="B93" i="34"/>
  <c r="B92" i="34"/>
  <c r="B91" i="34"/>
  <c r="C29" i="10" s="1"/>
  <c r="B90" i="34"/>
  <c r="C30" i="10"/>
  <c r="B89" i="34"/>
  <c r="B71" i="34"/>
  <c r="B70" i="34"/>
  <c r="B69" i="34"/>
  <c r="B68" i="34"/>
  <c r="H215" i="47" s="1"/>
  <c r="C62" i="34"/>
  <c r="C59" i="34"/>
  <c r="B59" i="34"/>
  <c r="B57" i="34"/>
  <c r="B56" i="34"/>
  <c r="J51" i="34"/>
  <c r="I51" i="34"/>
  <c r="H51" i="34"/>
  <c r="G51" i="34"/>
  <c r="F51" i="34"/>
  <c r="E51" i="34"/>
  <c r="D51" i="34"/>
  <c r="C51" i="34"/>
  <c r="E50" i="34"/>
  <c r="D50" i="34"/>
  <c r="C50" i="34"/>
  <c r="B50" i="34"/>
  <c r="F49" i="34"/>
  <c r="E49" i="34"/>
  <c r="D49" i="34"/>
  <c r="C49" i="34"/>
  <c r="B49" i="34"/>
  <c r="B48" i="34"/>
  <c r="H361" i="43" s="1"/>
  <c r="C47" i="34"/>
  <c r="B47" i="34"/>
  <c r="C46" i="34"/>
  <c r="B46" i="34"/>
  <c r="E45" i="34"/>
  <c r="D45" i="34"/>
  <c r="C45" i="34"/>
  <c r="B45" i="34"/>
  <c r="E44" i="34"/>
  <c r="D44" i="34"/>
  <c r="C44" i="34"/>
  <c r="B44" i="34"/>
  <c r="B40" i="34"/>
  <c r="B18" i="34"/>
  <c r="B17" i="34"/>
  <c r="B16" i="34"/>
  <c r="B15" i="34"/>
  <c r="D1386" i="37"/>
  <c r="B14" i="34"/>
  <c r="B13" i="34"/>
  <c r="B12" i="34"/>
  <c r="B11" i="34"/>
  <c r="B10" i="34"/>
  <c r="B9" i="34"/>
  <c r="C8" i="34"/>
  <c r="B8" i="34"/>
  <c r="C1" i="34"/>
  <c r="B1" i="34"/>
  <c r="A1" i="34"/>
  <c r="E1387" i="50"/>
  <c r="D1385" i="50"/>
  <c r="D1367" i="50"/>
  <c r="E1365" i="50"/>
  <c r="E1364" i="50"/>
  <c r="E1362" i="50"/>
  <c r="E1360" i="50"/>
  <c r="E1359" i="50"/>
  <c r="E1358" i="50"/>
  <c r="E1356" i="50"/>
  <c r="E1355" i="50"/>
  <c r="E1353" i="50"/>
  <c r="E1352" i="50"/>
  <c r="E1351" i="50"/>
  <c r="E1349" i="50"/>
  <c r="E1346" i="50"/>
  <c r="D1344" i="50"/>
  <c r="D1342" i="50"/>
  <c r="D1324" i="50"/>
  <c r="E1322" i="50"/>
  <c r="E1320" i="50"/>
  <c r="E1319" i="50"/>
  <c r="E1318" i="50"/>
  <c r="E1316" i="50"/>
  <c r="E1314" i="50"/>
  <c r="E1313" i="50"/>
  <c r="E1312" i="50"/>
  <c r="E1311" i="50"/>
  <c r="E1309" i="50"/>
  <c r="E1308" i="50"/>
  <c r="D1307" i="50"/>
  <c r="D1305" i="50"/>
  <c r="F1303" i="50"/>
  <c r="F1302" i="50"/>
  <c r="F1301" i="50"/>
  <c r="F1300" i="50"/>
  <c r="F1299" i="50"/>
  <c r="F1298" i="50"/>
  <c r="F1297" i="50"/>
  <c r="E1296" i="50"/>
  <c r="F1295" i="50"/>
  <c r="F1294" i="50"/>
  <c r="F1293" i="50"/>
  <c r="E1292" i="50"/>
  <c r="D1290" i="50"/>
  <c r="C54" i="9" s="1"/>
  <c r="E1287" i="50"/>
  <c r="M1282" i="50"/>
  <c r="K1282" i="50"/>
  <c r="I1282" i="50"/>
  <c r="E1280" i="50"/>
  <c r="N1279" i="50"/>
  <c r="E1279" i="50"/>
  <c r="M1273" i="50"/>
  <c r="L1273" i="50"/>
  <c r="K1273" i="50"/>
  <c r="J1273" i="50"/>
  <c r="I1273" i="50"/>
  <c r="H1273" i="50"/>
  <c r="E1267" i="50"/>
  <c r="M1262" i="50"/>
  <c r="K1262" i="50"/>
  <c r="I1262" i="50"/>
  <c r="E1260" i="50"/>
  <c r="N1259" i="50"/>
  <c r="E1259" i="50"/>
  <c r="M1253" i="50"/>
  <c r="L1253" i="50"/>
  <c r="K1253" i="50"/>
  <c r="J1253" i="50"/>
  <c r="I1253" i="50"/>
  <c r="H1253" i="50"/>
  <c r="E1246" i="50"/>
  <c r="E1244" i="50"/>
  <c r="E1242" i="50"/>
  <c r="E1240" i="50"/>
  <c r="E1239" i="50"/>
  <c r="E1237" i="50"/>
  <c r="M1232" i="50"/>
  <c r="K1232" i="50"/>
  <c r="I1232" i="50"/>
  <c r="E1230" i="50"/>
  <c r="N1229" i="50"/>
  <c r="E1229" i="50"/>
  <c r="M1223" i="50"/>
  <c r="L1223" i="50"/>
  <c r="K1223" i="50"/>
  <c r="J1223" i="50"/>
  <c r="I1223" i="50"/>
  <c r="H1223" i="50"/>
  <c r="E1216" i="50"/>
  <c r="E1214" i="50"/>
  <c r="E1212" i="50"/>
  <c r="E1210" i="50"/>
  <c r="E1209" i="50"/>
  <c r="E1207" i="50"/>
  <c r="M1202" i="50"/>
  <c r="K1202" i="50"/>
  <c r="I1202" i="50"/>
  <c r="E1200" i="50"/>
  <c r="N1199" i="50"/>
  <c r="E1199" i="50"/>
  <c r="M1193" i="50"/>
  <c r="L1193" i="50"/>
  <c r="K1193" i="50"/>
  <c r="J1193" i="50"/>
  <c r="I1193" i="50"/>
  <c r="H1193" i="50"/>
  <c r="E1187" i="50"/>
  <c r="E1186" i="50"/>
  <c r="E1185" i="50"/>
  <c r="E1184" i="50"/>
  <c r="E1183" i="50"/>
  <c r="E1182" i="50"/>
  <c r="E1181" i="50"/>
  <c r="E1180" i="50"/>
  <c r="E1179" i="50"/>
  <c r="E1178" i="50"/>
  <c r="E1176" i="50"/>
  <c r="E1172" i="50"/>
  <c r="E1171" i="50"/>
  <c r="E1169" i="50"/>
  <c r="E1167" i="50"/>
  <c r="M1162" i="50"/>
  <c r="K1162" i="50"/>
  <c r="I1162" i="50"/>
  <c r="E1160" i="50"/>
  <c r="N1159" i="50"/>
  <c r="E1159" i="50"/>
  <c r="M1153" i="50"/>
  <c r="L1153" i="50"/>
  <c r="K1153" i="50"/>
  <c r="J1153" i="50"/>
  <c r="I1153" i="50"/>
  <c r="H1153" i="50"/>
  <c r="E1147" i="50"/>
  <c r="E1146" i="50"/>
  <c r="E1145" i="50"/>
  <c r="E1144" i="50"/>
  <c r="E1143" i="50"/>
  <c r="E1142" i="50"/>
  <c r="E1141" i="50"/>
  <c r="E1140" i="50"/>
  <c r="E1139" i="50"/>
  <c r="E1138" i="50"/>
  <c r="E1136" i="50"/>
  <c r="E1132" i="50"/>
  <c r="E1131" i="50"/>
  <c r="E1129" i="50"/>
  <c r="E1127" i="50"/>
  <c r="M1122" i="50"/>
  <c r="K1122" i="50"/>
  <c r="I1122" i="50"/>
  <c r="E1120" i="50"/>
  <c r="N1119" i="50"/>
  <c r="E1119" i="50"/>
  <c r="M1113" i="50"/>
  <c r="L1113" i="50"/>
  <c r="K1113" i="50"/>
  <c r="J1113" i="50"/>
  <c r="I1113" i="50"/>
  <c r="H1113" i="50"/>
  <c r="E1107" i="50"/>
  <c r="E1106" i="50"/>
  <c r="E1105" i="50"/>
  <c r="E1104" i="50"/>
  <c r="E1103" i="50"/>
  <c r="E1102" i="50"/>
  <c r="E1101" i="50"/>
  <c r="E1100" i="50"/>
  <c r="E1099" i="50"/>
  <c r="E1098" i="50"/>
  <c r="E1096" i="50"/>
  <c r="E1094" i="50"/>
  <c r="E1092" i="50"/>
  <c r="E1091" i="50"/>
  <c r="E1089" i="50"/>
  <c r="E1087" i="50"/>
  <c r="M1082" i="50"/>
  <c r="K1082" i="50"/>
  <c r="I1082" i="50"/>
  <c r="E1080" i="50"/>
  <c r="N1079" i="50"/>
  <c r="E1079" i="50"/>
  <c r="M1073" i="50"/>
  <c r="L1073" i="50"/>
  <c r="K1073" i="50"/>
  <c r="J1073" i="50"/>
  <c r="I1073" i="50"/>
  <c r="H1073" i="50"/>
  <c r="E1058" i="50"/>
  <c r="E1056" i="50"/>
  <c r="E1055" i="50"/>
  <c r="E1053" i="50"/>
  <c r="E1052" i="50"/>
  <c r="E1051" i="50"/>
  <c r="E1050" i="50"/>
  <c r="E1049" i="50"/>
  <c r="E1048" i="50"/>
  <c r="E1047" i="50"/>
  <c r="E1046" i="50"/>
  <c r="E1045" i="50"/>
  <c r="E1044" i="50"/>
  <c r="E1042" i="50"/>
  <c r="E1041" i="50"/>
  <c r="E1039" i="50"/>
  <c r="E1038" i="50"/>
  <c r="E1036" i="50"/>
  <c r="E1035" i="50"/>
  <c r="E1033" i="50"/>
  <c r="E1032" i="50"/>
  <c r="E1031" i="50"/>
  <c r="E1030" i="50"/>
  <c r="E1028" i="50"/>
  <c r="E1027" i="50"/>
  <c r="E1025" i="50"/>
  <c r="M1020" i="50"/>
  <c r="K1020" i="50"/>
  <c r="I1020" i="50"/>
  <c r="E1018" i="50"/>
  <c r="N1017" i="50"/>
  <c r="E1017" i="50"/>
  <c r="E1014" i="50"/>
  <c r="L1013" i="50"/>
  <c r="H1013" i="50"/>
  <c r="G1013" i="50"/>
  <c r="M1011" i="50"/>
  <c r="L1011" i="50"/>
  <c r="K1011" i="50"/>
  <c r="J1011" i="50"/>
  <c r="H1011" i="50"/>
  <c r="E998" i="50"/>
  <c r="E996" i="50"/>
  <c r="E995" i="50"/>
  <c r="E993" i="50"/>
  <c r="E992" i="50"/>
  <c r="E991" i="50"/>
  <c r="E990" i="50"/>
  <c r="E989" i="50"/>
  <c r="E988" i="50"/>
  <c r="E987" i="50"/>
  <c r="E986" i="50"/>
  <c r="E985" i="50"/>
  <c r="E984" i="50"/>
  <c r="E982" i="50"/>
  <c r="E981" i="50"/>
  <c r="E979" i="50"/>
  <c r="E978" i="50"/>
  <c r="E976" i="50"/>
  <c r="E975" i="50"/>
  <c r="E973" i="50"/>
  <c r="E972" i="50"/>
  <c r="E971" i="50"/>
  <c r="E970" i="50"/>
  <c r="E968" i="50"/>
  <c r="E967" i="50"/>
  <c r="E965" i="50"/>
  <c r="M960" i="50"/>
  <c r="K960" i="50"/>
  <c r="I960" i="50"/>
  <c r="E958" i="50"/>
  <c r="N957" i="50"/>
  <c r="E957" i="50"/>
  <c r="E954" i="50"/>
  <c r="L953" i="50"/>
  <c r="H953" i="50"/>
  <c r="G953" i="50"/>
  <c r="M951" i="50"/>
  <c r="L951" i="50"/>
  <c r="K951" i="50"/>
  <c r="J951" i="50"/>
  <c r="H951" i="50"/>
  <c r="E938" i="50"/>
  <c r="E936" i="50"/>
  <c r="E935" i="50"/>
  <c r="E933" i="50"/>
  <c r="E932" i="50"/>
  <c r="E931" i="50"/>
  <c r="E930" i="50"/>
  <c r="E929" i="50"/>
  <c r="E928" i="50"/>
  <c r="E927" i="50"/>
  <c r="E926" i="50"/>
  <c r="E925" i="50"/>
  <c r="E924" i="50"/>
  <c r="E922" i="50"/>
  <c r="E921" i="50"/>
  <c r="E919" i="50"/>
  <c r="E918" i="50"/>
  <c r="E916" i="50"/>
  <c r="E915" i="50"/>
  <c r="E913" i="50"/>
  <c r="E912" i="50"/>
  <c r="E911" i="50"/>
  <c r="E910" i="50"/>
  <c r="E908" i="50"/>
  <c r="E907" i="50"/>
  <c r="E905" i="50"/>
  <c r="M900" i="50"/>
  <c r="K900" i="50"/>
  <c r="I900" i="50"/>
  <c r="E898" i="50"/>
  <c r="N897" i="50"/>
  <c r="E897" i="50"/>
  <c r="E894" i="50"/>
  <c r="L893" i="50"/>
  <c r="H893" i="50"/>
  <c r="G893" i="50"/>
  <c r="M891" i="50"/>
  <c r="L891" i="50"/>
  <c r="K891" i="50"/>
  <c r="J891" i="50"/>
  <c r="H891" i="50"/>
  <c r="E878" i="50"/>
  <c r="E876" i="50"/>
  <c r="E875" i="50"/>
  <c r="E873" i="50"/>
  <c r="E872" i="50"/>
  <c r="E871" i="50"/>
  <c r="E870" i="50"/>
  <c r="E869" i="50"/>
  <c r="E868" i="50"/>
  <c r="E867" i="50"/>
  <c r="E866" i="50"/>
  <c r="E865" i="50"/>
  <c r="E864" i="50"/>
  <c r="E862" i="50"/>
  <c r="E861" i="50"/>
  <c r="E859" i="50"/>
  <c r="E858" i="50"/>
  <c r="E856" i="50"/>
  <c r="E855" i="50"/>
  <c r="E853" i="50"/>
  <c r="E852" i="50"/>
  <c r="E851" i="50"/>
  <c r="E850" i="50"/>
  <c r="E848" i="50"/>
  <c r="E847" i="50"/>
  <c r="E845" i="50"/>
  <c r="M840" i="50"/>
  <c r="K840" i="50"/>
  <c r="I840" i="50"/>
  <c r="E838" i="50"/>
  <c r="N837" i="50"/>
  <c r="E837" i="50"/>
  <c r="E834" i="50"/>
  <c r="L833" i="50"/>
  <c r="H833" i="50"/>
  <c r="G833" i="50"/>
  <c r="M831" i="50"/>
  <c r="L831" i="50"/>
  <c r="K831" i="50"/>
  <c r="J831" i="50"/>
  <c r="H831" i="50"/>
  <c r="E818" i="50"/>
  <c r="E816" i="50"/>
  <c r="E815" i="50"/>
  <c r="E813" i="50"/>
  <c r="E812" i="50"/>
  <c r="E811" i="50"/>
  <c r="E810" i="50"/>
  <c r="E809" i="50"/>
  <c r="E808" i="50"/>
  <c r="E807" i="50"/>
  <c r="E806" i="50"/>
  <c r="E805" i="50"/>
  <c r="E804" i="50"/>
  <c r="E802" i="50"/>
  <c r="E801" i="50"/>
  <c r="E799" i="50"/>
  <c r="E798" i="50"/>
  <c r="E796" i="50"/>
  <c r="E795" i="50"/>
  <c r="E793" i="50"/>
  <c r="E792" i="50"/>
  <c r="E791" i="50"/>
  <c r="E790" i="50"/>
  <c r="E788" i="50"/>
  <c r="E787" i="50"/>
  <c r="E785" i="50"/>
  <c r="M780" i="50"/>
  <c r="K780" i="50"/>
  <c r="I780" i="50"/>
  <c r="E778" i="50"/>
  <c r="N777" i="50"/>
  <c r="E777" i="50"/>
  <c r="E774" i="50"/>
  <c r="L773" i="50"/>
  <c r="H773" i="50"/>
  <c r="G773" i="50"/>
  <c r="M771" i="50"/>
  <c r="L771" i="50"/>
  <c r="K771" i="50"/>
  <c r="J771" i="50"/>
  <c r="H771" i="50"/>
  <c r="E758" i="50"/>
  <c r="E756" i="50"/>
  <c r="E755" i="50"/>
  <c r="E753" i="50"/>
  <c r="E752" i="50"/>
  <c r="E751" i="50"/>
  <c r="E750" i="50"/>
  <c r="E749" i="50"/>
  <c r="E748" i="50"/>
  <c r="E747" i="50"/>
  <c r="E746" i="50"/>
  <c r="E745" i="50"/>
  <c r="E744" i="50"/>
  <c r="E742" i="50"/>
  <c r="E741" i="50"/>
  <c r="E739" i="50"/>
  <c r="E738" i="50"/>
  <c r="E736" i="50"/>
  <c r="E735" i="50"/>
  <c r="E733" i="50"/>
  <c r="E732" i="50"/>
  <c r="E731" i="50"/>
  <c r="E730" i="50"/>
  <c r="E728" i="50"/>
  <c r="E727" i="50"/>
  <c r="E725" i="50"/>
  <c r="M720" i="50"/>
  <c r="K720" i="50"/>
  <c r="I720" i="50"/>
  <c r="E718" i="50"/>
  <c r="N717" i="50"/>
  <c r="E717" i="50"/>
  <c r="E714" i="50"/>
  <c r="L713" i="50"/>
  <c r="H713" i="50"/>
  <c r="G713" i="50"/>
  <c r="M711" i="50"/>
  <c r="L711" i="50"/>
  <c r="K711" i="50"/>
  <c r="J711" i="50"/>
  <c r="H711" i="50"/>
  <c r="E698" i="50"/>
  <c r="E696" i="50"/>
  <c r="E695" i="50"/>
  <c r="E693" i="50"/>
  <c r="E692" i="50"/>
  <c r="E691" i="50"/>
  <c r="E690" i="50"/>
  <c r="E689" i="50"/>
  <c r="E688" i="50"/>
  <c r="E687" i="50"/>
  <c r="E686" i="50"/>
  <c r="E685" i="50"/>
  <c r="E684" i="50"/>
  <c r="E682" i="50"/>
  <c r="E681" i="50"/>
  <c r="E679" i="50"/>
  <c r="E678" i="50"/>
  <c r="E676" i="50"/>
  <c r="E675" i="50"/>
  <c r="E673" i="50"/>
  <c r="E672" i="50"/>
  <c r="E671" i="50"/>
  <c r="E670" i="50"/>
  <c r="E668" i="50"/>
  <c r="E667" i="50"/>
  <c r="E665" i="50"/>
  <c r="M660" i="50"/>
  <c r="K660" i="50"/>
  <c r="I660" i="50"/>
  <c r="E658" i="50"/>
  <c r="N657" i="50"/>
  <c r="E657" i="50"/>
  <c r="E654" i="50"/>
  <c r="L653" i="50"/>
  <c r="H653" i="50"/>
  <c r="G653" i="50"/>
  <c r="M651" i="50"/>
  <c r="L651" i="50"/>
  <c r="K651" i="50"/>
  <c r="J651" i="50"/>
  <c r="H651" i="50"/>
  <c r="E638" i="50"/>
  <c r="E636" i="50"/>
  <c r="E635" i="50"/>
  <c r="E633" i="50"/>
  <c r="E632" i="50"/>
  <c r="E631" i="50"/>
  <c r="E630" i="50"/>
  <c r="E629" i="50"/>
  <c r="E628" i="50"/>
  <c r="E627" i="50"/>
  <c r="E626" i="50"/>
  <c r="E625" i="50"/>
  <c r="E624" i="50"/>
  <c r="E622" i="50"/>
  <c r="E621" i="50"/>
  <c r="E619" i="50"/>
  <c r="E618" i="50"/>
  <c r="E616" i="50"/>
  <c r="E615" i="50"/>
  <c r="E613" i="50"/>
  <c r="E612" i="50"/>
  <c r="E611" i="50"/>
  <c r="E610" i="50"/>
  <c r="E608" i="50"/>
  <c r="E607" i="50"/>
  <c r="E605" i="50"/>
  <c r="M600" i="50"/>
  <c r="K600" i="50"/>
  <c r="I600" i="50"/>
  <c r="E598" i="50"/>
  <c r="N597" i="50"/>
  <c r="E597" i="50"/>
  <c r="E594" i="50"/>
  <c r="L593" i="50"/>
  <c r="H593" i="50"/>
  <c r="G593" i="50"/>
  <c r="M591" i="50"/>
  <c r="L591" i="50"/>
  <c r="K591" i="50"/>
  <c r="J591" i="50"/>
  <c r="H591" i="50"/>
  <c r="E578" i="50"/>
  <c r="E576" i="50"/>
  <c r="E575" i="50"/>
  <c r="E573" i="50"/>
  <c r="E572" i="50"/>
  <c r="E571" i="50"/>
  <c r="E570" i="50"/>
  <c r="E569" i="50"/>
  <c r="E568" i="50"/>
  <c r="E567" i="50"/>
  <c r="E566" i="50"/>
  <c r="E565" i="50"/>
  <c r="E564" i="50"/>
  <c r="E562" i="50"/>
  <c r="E561" i="50"/>
  <c r="E559" i="50"/>
  <c r="E558" i="50"/>
  <c r="E556" i="50"/>
  <c r="E555" i="50"/>
  <c r="E553" i="50"/>
  <c r="E552" i="50"/>
  <c r="E551" i="50"/>
  <c r="E550" i="50"/>
  <c r="E548" i="50"/>
  <c r="E547" i="50"/>
  <c r="E545" i="50"/>
  <c r="M540" i="50"/>
  <c r="K540" i="50"/>
  <c r="I540" i="50"/>
  <c r="E538" i="50"/>
  <c r="N537" i="50"/>
  <c r="E537" i="50"/>
  <c r="E534" i="50"/>
  <c r="L533" i="50"/>
  <c r="H533" i="50"/>
  <c r="G533" i="50"/>
  <c r="M531" i="50"/>
  <c r="L531" i="50"/>
  <c r="K531" i="50"/>
  <c r="J531" i="50"/>
  <c r="H531" i="50"/>
  <c r="E523" i="50"/>
  <c r="E520" i="50"/>
  <c r="E518" i="50"/>
  <c r="E516" i="50"/>
  <c r="E515" i="50"/>
  <c r="E513" i="50"/>
  <c r="E512" i="50"/>
  <c r="E511" i="50"/>
  <c r="E510" i="50"/>
  <c r="E509" i="50"/>
  <c r="E508" i="50"/>
  <c r="E507" i="50"/>
  <c r="E506" i="50"/>
  <c r="E505" i="50"/>
  <c r="E504" i="50"/>
  <c r="E502" i="50"/>
  <c r="E501" i="50"/>
  <c r="E499" i="50"/>
  <c r="E498" i="50"/>
  <c r="E496" i="50"/>
  <c r="E495" i="50"/>
  <c r="E493" i="50"/>
  <c r="E492" i="50"/>
  <c r="E491" i="50"/>
  <c r="E490" i="50"/>
  <c r="E488" i="50"/>
  <c r="E487" i="50"/>
  <c r="E485" i="50"/>
  <c r="M480" i="50"/>
  <c r="K480" i="50"/>
  <c r="I480" i="50"/>
  <c r="E478" i="50"/>
  <c r="N477" i="50"/>
  <c r="E477" i="50"/>
  <c r="E474" i="50"/>
  <c r="L473" i="50"/>
  <c r="H473" i="50"/>
  <c r="G473" i="50"/>
  <c r="M471" i="50"/>
  <c r="L471" i="50"/>
  <c r="K471" i="50"/>
  <c r="J471" i="50"/>
  <c r="H471" i="50"/>
  <c r="D467" i="50"/>
  <c r="F465" i="50"/>
  <c r="D465" i="50"/>
  <c r="F464" i="50"/>
  <c r="D464" i="50"/>
  <c r="F463" i="50"/>
  <c r="F462" i="50"/>
  <c r="D462" i="50"/>
  <c r="F461" i="50"/>
  <c r="D461" i="50"/>
  <c r="F460" i="50"/>
  <c r="F459" i="50"/>
  <c r="F458" i="50"/>
  <c r="D458" i="50"/>
  <c r="F457" i="50"/>
  <c r="D457" i="50"/>
  <c r="F456" i="50"/>
  <c r="F455" i="50"/>
  <c r="F454" i="50"/>
  <c r="D454" i="50"/>
  <c r="F453" i="50"/>
  <c r="D453" i="50"/>
  <c r="F452" i="50"/>
  <c r="D452" i="50"/>
  <c r="F451" i="50"/>
  <c r="D451" i="50"/>
  <c r="F450" i="50"/>
  <c r="D450" i="50"/>
  <c r="F449" i="50"/>
  <c r="D449" i="50"/>
  <c r="D448" i="50"/>
  <c r="D446" i="50"/>
  <c r="D444" i="50"/>
  <c r="C53" i="9" s="1"/>
  <c r="H340" i="50"/>
  <c r="D339" i="50"/>
  <c r="D237" i="50"/>
  <c r="E220" i="50"/>
  <c r="D210" i="50"/>
  <c r="E205" i="50"/>
  <c r="E203" i="50"/>
  <c r="E202" i="50"/>
  <c r="E193" i="50"/>
  <c r="E191" i="50"/>
  <c r="E190" i="50"/>
  <c r="H188" i="50"/>
  <c r="D184" i="50"/>
  <c r="E177" i="50"/>
  <c r="E175" i="50"/>
  <c r="E174" i="50"/>
  <c r="E171" i="50"/>
  <c r="E166" i="50"/>
  <c r="E161" i="50"/>
  <c r="E159" i="50"/>
  <c r="E152" i="50"/>
  <c r="E150" i="50"/>
  <c r="E149" i="50"/>
  <c r="E146" i="50"/>
  <c r="E141" i="50"/>
  <c r="E136" i="50"/>
  <c r="E134" i="50"/>
  <c r="D132" i="50"/>
  <c r="E110" i="50"/>
  <c r="E130" i="50"/>
  <c r="E92" i="50"/>
  <c r="E112" i="50" s="1"/>
  <c r="E91" i="50"/>
  <c r="E90" i="50"/>
  <c r="F89" i="50"/>
  <c r="F88" i="50"/>
  <c r="E87" i="50"/>
  <c r="F86" i="50"/>
  <c r="F85" i="50"/>
  <c r="F84" i="50"/>
  <c r="F83" i="50"/>
  <c r="F82" i="50"/>
  <c r="F81" i="50"/>
  <c r="F80" i="50"/>
  <c r="F79" i="50"/>
  <c r="F78" i="50"/>
  <c r="E77" i="50"/>
  <c r="E76" i="50"/>
  <c r="D74" i="50"/>
  <c r="D62" i="50"/>
  <c r="D60" i="50"/>
  <c r="C52" i="9" s="1"/>
  <c r="E58" i="50"/>
  <c r="D56" i="50"/>
  <c r="E54" i="50"/>
  <c r="K49" i="50"/>
  <c r="E49" i="50"/>
  <c r="K48" i="50"/>
  <c r="E48" i="50"/>
  <c r="D46" i="50"/>
  <c r="D44" i="50"/>
  <c r="C51" i="9"/>
  <c r="L32" i="50"/>
  <c r="I32" i="50"/>
  <c r="E32" i="50"/>
  <c r="D31" i="50"/>
  <c r="E23" i="50"/>
  <c r="K21" i="50"/>
  <c r="E21" i="50"/>
  <c r="K20" i="50"/>
  <c r="K19" i="50"/>
  <c r="E19" i="50"/>
  <c r="K18" i="50"/>
  <c r="E18" i="50"/>
  <c r="K17" i="50"/>
  <c r="E17" i="50"/>
  <c r="E15" i="50"/>
  <c r="E14" i="50"/>
  <c r="E13" i="50"/>
  <c r="K12" i="50"/>
  <c r="E12" i="50"/>
  <c r="D10" i="50"/>
  <c r="D8" i="50"/>
  <c r="C50" i="9" s="1"/>
  <c r="D6" i="50"/>
  <c r="C49" i="9"/>
  <c r="G4" i="50"/>
  <c r="E4" i="50"/>
  <c r="M3" i="50"/>
  <c r="K3" i="50"/>
  <c r="I3" i="50"/>
  <c r="G3" i="50"/>
  <c r="E3" i="50"/>
  <c r="I2" i="50"/>
  <c r="G2" i="50"/>
  <c r="E2" i="50"/>
  <c r="B2" i="50"/>
  <c r="C59" i="51"/>
  <c r="C57" i="51"/>
  <c r="C48" i="9" s="1"/>
  <c r="F46" i="51"/>
  <c r="D46" i="51"/>
  <c r="C44" i="51"/>
  <c r="C43" i="51"/>
  <c r="K35" i="51"/>
  <c r="I35" i="51"/>
  <c r="F35" i="51"/>
  <c r="D35" i="51"/>
  <c r="C35" i="51"/>
  <c r="C33" i="51"/>
  <c r="C32" i="51"/>
  <c r="F27" i="51"/>
  <c r="D27" i="51"/>
  <c r="C25" i="51"/>
  <c r="C24" i="51"/>
  <c r="F19" i="51"/>
  <c r="D19" i="51"/>
  <c r="C17" i="51"/>
  <c r="C16" i="51"/>
  <c r="C14" i="51"/>
  <c r="C13" i="51"/>
  <c r="C12" i="51"/>
  <c r="C11" i="51"/>
  <c r="C10" i="51"/>
  <c r="C9" i="51"/>
  <c r="C7" i="51"/>
  <c r="C47" i="9" s="1"/>
  <c r="C5" i="51"/>
  <c r="C46" i="9"/>
  <c r="D3" i="51"/>
  <c r="D2" i="51"/>
  <c r="L1" i="51"/>
  <c r="J1" i="51"/>
  <c r="H1" i="51"/>
  <c r="F1" i="51"/>
  <c r="D1" i="51"/>
  <c r="A1" i="51"/>
  <c r="C30" i="53"/>
  <c r="C7" i="53"/>
  <c r="C45" i="9" s="1"/>
  <c r="C5" i="53"/>
  <c r="C44" i="9"/>
  <c r="D3" i="53"/>
  <c r="D2" i="53"/>
  <c r="L1" i="53"/>
  <c r="J1" i="53"/>
  <c r="H1" i="53"/>
  <c r="F1" i="53"/>
  <c r="D1" i="53"/>
  <c r="A1" i="53"/>
  <c r="D382" i="47"/>
  <c r="E376" i="47"/>
  <c r="E375" i="47"/>
  <c r="E374" i="47"/>
  <c r="E373" i="47"/>
  <c r="E372" i="47"/>
  <c r="E371" i="47"/>
  <c r="E370" i="47"/>
  <c r="E369" i="47"/>
  <c r="E366" i="47"/>
  <c r="E365" i="47"/>
  <c r="F363" i="47"/>
  <c r="F362" i="47"/>
  <c r="F361" i="47"/>
  <c r="F360" i="47"/>
  <c r="E359" i="47"/>
  <c r="E358" i="47"/>
  <c r="D356" i="47"/>
  <c r="D354" i="47"/>
  <c r="G5" i="47" s="1"/>
  <c r="E350" i="47"/>
  <c r="E348" i="47"/>
  <c r="E347" i="47"/>
  <c r="E346" i="47"/>
  <c r="E344" i="47"/>
  <c r="E343" i="47"/>
  <c r="E342" i="47"/>
  <c r="E341" i="47"/>
  <c r="E340" i="47"/>
  <c r="E338" i="47"/>
  <c r="E337" i="47"/>
  <c r="E336" i="47"/>
  <c r="E333" i="47"/>
  <c r="E332" i="47"/>
  <c r="E330" i="47"/>
  <c r="E329" i="47"/>
  <c r="D327" i="47"/>
  <c r="D325" i="47"/>
  <c r="E321" i="47"/>
  <c r="E319" i="47"/>
  <c r="E318" i="47"/>
  <c r="E317" i="47"/>
  <c r="E316" i="47"/>
  <c r="E314" i="47"/>
  <c r="E312" i="47"/>
  <c r="E311" i="47"/>
  <c r="E310" i="47"/>
  <c r="E308" i="47"/>
  <c r="E306" i="47"/>
  <c r="E305" i="47"/>
  <c r="E304" i="47"/>
  <c r="E301" i="47"/>
  <c r="E300" i="47"/>
  <c r="E298" i="47"/>
  <c r="E297" i="47"/>
  <c r="E296" i="47"/>
  <c r="D294" i="47"/>
  <c r="D292" i="47"/>
  <c r="E288" i="47"/>
  <c r="E286" i="47"/>
  <c r="E285" i="47"/>
  <c r="E284" i="47"/>
  <c r="E283" i="47"/>
  <c r="E281" i="47"/>
  <c r="E279" i="47"/>
  <c r="E278" i="47"/>
  <c r="E277" i="47"/>
  <c r="E275" i="47"/>
  <c r="E273" i="47"/>
  <c r="E272" i="47"/>
  <c r="E271" i="47"/>
  <c r="E268" i="47"/>
  <c r="E267" i="47"/>
  <c r="E265" i="47"/>
  <c r="E264" i="47"/>
  <c r="E263" i="47"/>
  <c r="D261" i="47"/>
  <c r="D259" i="47"/>
  <c r="E255" i="47"/>
  <c r="E253" i="47"/>
  <c r="E252" i="47"/>
  <c r="E251" i="47"/>
  <c r="E250" i="47"/>
  <c r="E249" i="47"/>
  <c r="E247" i="47"/>
  <c r="E246" i="47"/>
  <c r="E245" i="47"/>
  <c r="E244" i="47"/>
  <c r="E243" i="47"/>
  <c r="E242" i="47"/>
  <c r="E241" i="47"/>
  <c r="E240" i="47"/>
  <c r="H239" i="47"/>
  <c r="G239" i="47"/>
  <c r="E239" i="47"/>
  <c r="E237" i="47"/>
  <c r="F236" i="47"/>
  <c r="F235" i="47"/>
  <c r="E234" i="47"/>
  <c r="E233" i="47"/>
  <c r="E232" i="47"/>
  <c r="E231" i="47"/>
  <c r="E228" i="47"/>
  <c r="E227" i="47"/>
  <c r="E225" i="47"/>
  <c r="E224" i="47"/>
  <c r="E223" i="47"/>
  <c r="D221" i="47"/>
  <c r="D219" i="47"/>
  <c r="E215" i="47"/>
  <c r="E213" i="47"/>
  <c r="E212" i="47"/>
  <c r="E210" i="47"/>
  <c r="E209" i="47"/>
  <c r="E208" i="47"/>
  <c r="G207" i="47"/>
  <c r="E207" i="47"/>
  <c r="E206" i="47"/>
  <c r="E205" i="47"/>
  <c r="E203" i="47"/>
  <c r="E202" i="47"/>
  <c r="E201" i="47"/>
  <c r="D199" i="47"/>
  <c r="E197" i="47"/>
  <c r="E195" i="47"/>
  <c r="E194" i="47"/>
  <c r="E193" i="47"/>
  <c r="E191" i="47"/>
  <c r="E190" i="47"/>
  <c r="E189" i="47"/>
  <c r="E188" i="47"/>
  <c r="F187" i="47"/>
  <c r="F186" i="47"/>
  <c r="F185" i="47"/>
  <c r="E184" i="47"/>
  <c r="E183" i="47"/>
  <c r="E181" i="47"/>
  <c r="E179" i="47"/>
  <c r="E178" i="47"/>
  <c r="E175" i="47"/>
  <c r="E174" i="47"/>
  <c r="E172" i="47"/>
  <c r="E171" i="47"/>
  <c r="D169" i="47"/>
  <c r="D167" i="47"/>
  <c r="E163" i="47"/>
  <c r="E161" i="47"/>
  <c r="E160" i="47"/>
  <c r="E159" i="47"/>
  <c r="E157" i="47"/>
  <c r="E156" i="47"/>
  <c r="F154" i="47"/>
  <c r="F153" i="47"/>
  <c r="F152" i="47"/>
  <c r="F151" i="47"/>
  <c r="E150" i="47"/>
  <c r="E149" i="47"/>
  <c r="E147" i="47"/>
  <c r="E145" i="47"/>
  <c r="E144" i="47"/>
  <c r="E141" i="47"/>
  <c r="E140" i="47"/>
  <c r="E138" i="47"/>
  <c r="E137" i="47"/>
  <c r="D135" i="47"/>
  <c r="D133" i="47"/>
  <c r="E129" i="47"/>
  <c r="E127" i="47"/>
  <c r="E126" i="47"/>
  <c r="E125" i="47"/>
  <c r="E123" i="47"/>
  <c r="E122" i="47"/>
  <c r="F120" i="47"/>
  <c r="F119" i="47"/>
  <c r="F118" i="47"/>
  <c r="F117" i="47"/>
  <c r="E116" i="47"/>
  <c r="E115" i="47"/>
  <c r="E113" i="47"/>
  <c r="E111" i="47"/>
  <c r="E110" i="47"/>
  <c r="E107" i="47"/>
  <c r="E106" i="47"/>
  <c r="E104" i="47"/>
  <c r="E103" i="47"/>
  <c r="D101" i="47"/>
  <c r="D99" i="47"/>
  <c r="C36" i="9" s="1"/>
  <c r="E95" i="47"/>
  <c r="E93" i="47"/>
  <c r="E92" i="47"/>
  <c r="E91" i="47"/>
  <c r="E90" i="47"/>
  <c r="E89" i="47"/>
  <c r="E87" i="47"/>
  <c r="E86" i="47"/>
  <c r="E85" i="47"/>
  <c r="E84" i="47"/>
  <c r="E83" i="47"/>
  <c r="E82" i="47"/>
  <c r="E81" i="47"/>
  <c r="E80" i="47"/>
  <c r="E79" i="47"/>
  <c r="E78" i="47"/>
  <c r="E77" i="47"/>
  <c r="E76" i="47"/>
  <c r="E75" i="47"/>
  <c r="E74" i="47"/>
  <c r="E73" i="47"/>
  <c r="E72" i="47"/>
  <c r="E71" i="47"/>
  <c r="E70" i="47"/>
  <c r="E69" i="47"/>
  <c r="E68" i="47"/>
  <c r="E67" i="47"/>
  <c r="E66" i="47"/>
  <c r="E65" i="47"/>
  <c r="E64" i="47"/>
  <c r="E63" i="47"/>
  <c r="E62" i="47"/>
  <c r="E61" i="47"/>
  <c r="E60" i="47"/>
  <c r="E59" i="47"/>
  <c r="E58" i="47"/>
  <c r="E57" i="47"/>
  <c r="E56" i="47"/>
  <c r="E55" i="47"/>
  <c r="E54" i="47"/>
  <c r="E53" i="47"/>
  <c r="E52" i="47"/>
  <c r="E51" i="47"/>
  <c r="E50" i="47"/>
  <c r="E49" i="47"/>
  <c r="E48" i="47"/>
  <c r="E47" i="47"/>
  <c r="E46" i="47"/>
  <c r="E45" i="47"/>
  <c r="E44" i="47"/>
  <c r="E43" i="47"/>
  <c r="E42" i="47"/>
  <c r="E41" i="47"/>
  <c r="E40" i="47"/>
  <c r="E39" i="47"/>
  <c r="E38" i="47"/>
  <c r="E37" i="47"/>
  <c r="E36" i="47"/>
  <c r="E35" i="47"/>
  <c r="E34" i="47"/>
  <c r="E33" i="47"/>
  <c r="E32" i="47"/>
  <c r="H31" i="47"/>
  <c r="G31" i="47"/>
  <c r="E31" i="47"/>
  <c r="E29" i="47"/>
  <c r="F28" i="47"/>
  <c r="F27" i="47"/>
  <c r="F26" i="47"/>
  <c r="F25" i="47"/>
  <c r="E24" i="47"/>
  <c r="E23" i="47"/>
  <c r="E22" i="47"/>
  <c r="E21" i="47"/>
  <c r="E18" i="47"/>
  <c r="E17" i="47"/>
  <c r="E15" i="47"/>
  <c r="E14" i="47"/>
  <c r="E13" i="47"/>
  <c r="D11" i="47"/>
  <c r="D9" i="47"/>
  <c r="G3" i="47" s="1"/>
  <c r="D7" i="47"/>
  <c r="C34" i="9"/>
  <c r="E4" i="47"/>
  <c r="E3" i="47"/>
  <c r="M2" i="47"/>
  <c r="K2" i="47"/>
  <c r="I2" i="47"/>
  <c r="G2" i="47"/>
  <c r="E2" i="47"/>
  <c r="B2" i="47"/>
  <c r="D551" i="42"/>
  <c r="E548" i="42"/>
  <c r="E537" i="42"/>
  <c r="E535" i="42"/>
  <c r="H523" i="42"/>
  <c r="E523" i="42"/>
  <c r="E521" i="42"/>
  <c r="D519" i="42"/>
  <c r="E516" i="42"/>
  <c r="E515" i="42"/>
  <c r="E514" i="42"/>
  <c r="E506" i="42"/>
  <c r="E495" i="42"/>
  <c r="E493" i="42"/>
  <c r="H481" i="42"/>
  <c r="E481" i="42"/>
  <c r="E479" i="42"/>
  <c r="E478" i="42"/>
  <c r="D476" i="42"/>
  <c r="E473" i="42"/>
  <c r="E472" i="42"/>
  <c r="E471" i="42"/>
  <c r="E462" i="42"/>
  <c r="E461" i="42"/>
  <c r="E459" i="42"/>
  <c r="E458" i="42"/>
  <c r="E456" i="42"/>
  <c r="E455" i="42"/>
  <c r="E453" i="42"/>
  <c r="E452" i="42"/>
  <c r="E449" i="42"/>
  <c r="E448" i="42"/>
  <c r="E447" i="42"/>
  <c r="D443" i="42"/>
  <c r="E440" i="42"/>
  <c r="E429" i="42"/>
  <c r="E427" i="42"/>
  <c r="G415" i="42"/>
  <c r="E415" i="42"/>
  <c r="F413" i="42"/>
  <c r="F412" i="42"/>
  <c r="E411" i="42"/>
  <c r="E410" i="42"/>
  <c r="D408" i="42"/>
  <c r="E405" i="42"/>
  <c r="E404" i="42"/>
  <c r="E403" i="42"/>
  <c r="E394" i="42"/>
  <c r="E393" i="42"/>
  <c r="E392" i="42"/>
  <c r="E391" i="42"/>
  <c r="E389" i="42"/>
  <c r="E388" i="42"/>
  <c r="E386" i="42"/>
  <c r="E385" i="42"/>
  <c r="E383" i="42"/>
  <c r="E382" i="42"/>
  <c r="E381" i="42"/>
  <c r="E378" i="42"/>
  <c r="E377" i="42"/>
  <c r="E376" i="42"/>
  <c r="E375" i="42"/>
  <c r="E374" i="42"/>
  <c r="D370" i="42"/>
  <c r="E367" i="42"/>
  <c r="E356" i="42"/>
  <c r="E354" i="42"/>
  <c r="G342" i="42"/>
  <c r="E342" i="42"/>
  <c r="F340" i="42"/>
  <c r="F339" i="42"/>
  <c r="E338" i="42"/>
  <c r="E337" i="42"/>
  <c r="D335" i="42"/>
  <c r="E332" i="42"/>
  <c r="E331" i="42"/>
  <c r="E330" i="42"/>
  <c r="E321" i="42"/>
  <c r="E319" i="42"/>
  <c r="E318" i="42"/>
  <c r="E317" i="42"/>
  <c r="E315" i="42"/>
  <c r="E314" i="42"/>
  <c r="E313" i="42"/>
  <c r="E311" i="42"/>
  <c r="E310" i="42"/>
  <c r="E309" i="42"/>
  <c r="E307" i="42"/>
  <c r="E306" i="42"/>
  <c r="E305" i="42"/>
  <c r="E303" i="42"/>
  <c r="E302" i="42"/>
  <c r="E301" i="42"/>
  <c r="E300" i="42"/>
  <c r="E299" i="42"/>
  <c r="E296" i="42"/>
  <c r="E295" i="42"/>
  <c r="E294" i="42"/>
  <c r="E286" i="42"/>
  <c r="E285" i="42"/>
  <c r="E282" i="42"/>
  <c r="E281" i="42"/>
  <c r="E280" i="42"/>
  <c r="D276" i="42"/>
  <c r="E273" i="42"/>
  <c r="E260" i="42"/>
  <c r="E258" i="42"/>
  <c r="E257" i="42"/>
  <c r="E256" i="42"/>
  <c r="E255" i="42"/>
  <c r="E254" i="42"/>
  <c r="E253" i="42"/>
  <c r="E252" i="42"/>
  <c r="E251" i="42"/>
  <c r="E250" i="42"/>
  <c r="E249" i="42"/>
  <c r="G248" i="42"/>
  <c r="E262" i="42" s="1"/>
  <c r="E248" i="42"/>
  <c r="E246" i="42"/>
  <c r="D244" i="42"/>
  <c r="E241" i="42"/>
  <c r="E240" i="42"/>
  <c r="E239" i="42"/>
  <c r="E230" i="42"/>
  <c r="E228" i="42"/>
  <c r="E227" i="42"/>
  <c r="E226" i="42"/>
  <c r="E224" i="42"/>
  <c r="E223" i="42"/>
  <c r="E222" i="42"/>
  <c r="E220" i="42"/>
  <c r="E219" i="42"/>
  <c r="E218" i="42"/>
  <c r="E216" i="42"/>
  <c r="E215" i="42"/>
  <c r="E214" i="42"/>
  <c r="E212" i="42"/>
  <c r="E211" i="42"/>
  <c r="E210" i="42"/>
  <c r="E209" i="42"/>
  <c r="E208" i="42"/>
  <c r="E205" i="42"/>
  <c r="E204" i="42"/>
  <c r="E203" i="42"/>
  <c r="E201" i="42"/>
  <c r="E200" i="42"/>
  <c r="E198" i="42"/>
  <c r="E197" i="42"/>
  <c r="E195" i="42"/>
  <c r="E194" i="42"/>
  <c r="E191" i="42"/>
  <c r="E190" i="42"/>
  <c r="E189" i="42"/>
  <c r="D185" i="42"/>
  <c r="E182" i="42"/>
  <c r="E169" i="42"/>
  <c r="I157" i="42"/>
  <c r="E171" i="42"/>
  <c r="G157" i="42"/>
  <c r="E157" i="42"/>
  <c r="E155" i="42"/>
  <c r="D153" i="42"/>
  <c r="E150" i="42"/>
  <c r="E149" i="42"/>
  <c r="E148" i="42"/>
  <c r="E139" i="42"/>
  <c r="E137" i="42"/>
  <c r="E136" i="42"/>
  <c r="E135" i="42"/>
  <c r="E133" i="42"/>
  <c r="E132" i="42"/>
  <c r="E131" i="42"/>
  <c r="E129" i="42"/>
  <c r="E128" i="42"/>
  <c r="E127" i="42"/>
  <c r="E125" i="42"/>
  <c r="E124" i="42"/>
  <c r="E123" i="42"/>
  <c r="E121" i="42"/>
  <c r="E120" i="42"/>
  <c r="E119" i="42"/>
  <c r="E118" i="42"/>
  <c r="E117" i="42"/>
  <c r="E116" i="42"/>
  <c r="F115" i="42"/>
  <c r="F114" i="42"/>
  <c r="F113" i="42"/>
  <c r="F112" i="42"/>
  <c r="F111" i="42"/>
  <c r="E110" i="42"/>
  <c r="E109" i="42"/>
  <c r="E108" i="42"/>
  <c r="E105" i="42"/>
  <c r="E104" i="42"/>
  <c r="E103" i="42"/>
  <c r="E102" i="42"/>
  <c r="E100" i="42"/>
  <c r="E99" i="42"/>
  <c r="E97" i="42"/>
  <c r="E96" i="42"/>
  <c r="E94" i="42"/>
  <c r="E93" i="42"/>
  <c r="E92" i="42"/>
  <c r="E91" i="42"/>
  <c r="E90" i="42"/>
  <c r="E89" i="42"/>
  <c r="E88" i="42"/>
  <c r="E85" i="42"/>
  <c r="F84" i="42"/>
  <c r="F83" i="42"/>
  <c r="F82" i="42"/>
  <c r="F81" i="42"/>
  <c r="F80" i="42"/>
  <c r="E79" i="42"/>
  <c r="E78" i="42"/>
  <c r="E77" i="42"/>
  <c r="E75" i="42"/>
  <c r="E74" i="42"/>
  <c r="E73" i="42"/>
  <c r="E72" i="42"/>
  <c r="E71" i="42"/>
  <c r="D67" i="42"/>
  <c r="E64" i="42"/>
  <c r="E51" i="42"/>
  <c r="I39" i="42"/>
  <c r="E53" i="42"/>
  <c r="G39" i="42"/>
  <c r="E39" i="42"/>
  <c r="E37" i="42"/>
  <c r="E36" i="42"/>
  <c r="E35" i="42"/>
  <c r="E34" i="42"/>
  <c r="E33" i="42"/>
  <c r="F32" i="42"/>
  <c r="F31" i="42"/>
  <c r="F30" i="42"/>
  <c r="E29" i="42"/>
  <c r="E28" i="42"/>
  <c r="D26" i="42"/>
  <c r="E23" i="42"/>
  <c r="E22" i="42"/>
  <c r="E21" i="42"/>
  <c r="E20" i="42"/>
  <c r="E19" i="42"/>
  <c r="F17" i="42"/>
  <c r="F16" i="42"/>
  <c r="E15" i="42"/>
  <c r="E14" i="42"/>
  <c r="D10" i="42"/>
  <c r="C33" i="9"/>
  <c r="E8" i="42"/>
  <c r="D6" i="42"/>
  <c r="C32" i="9" s="1"/>
  <c r="E4" i="42"/>
  <c r="E3" i="42"/>
  <c r="M2" i="42"/>
  <c r="K2" i="42"/>
  <c r="I2" i="42"/>
  <c r="G2" i="42"/>
  <c r="E2" i="42"/>
  <c r="B2" i="42"/>
  <c r="D1874" i="37"/>
  <c r="E1867" i="37"/>
  <c r="E1863" i="37"/>
  <c r="E1859" i="37"/>
  <c r="E1857" i="37"/>
  <c r="E1856" i="37"/>
  <c r="E1853" i="37"/>
  <c r="E1851" i="37"/>
  <c r="E1849" i="37"/>
  <c r="E1847" i="37"/>
  <c r="E1846" i="37"/>
  <c r="E1845" i="37"/>
  <c r="E1844" i="37"/>
  <c r="E1841" i="37"/>
  <c r="E1839" i="37"/>
  <c r="E1838" i="37"/>
  <c r="E1837" i="37"/>
  <c r="E1836" i="37"/>
  <c r="E1833" i="37"/>
  <c r="E1831" i="37"/>
  <c r="E1830" i="37"/>
  <c r="E1829" i="37"/>
  <c r="E1828" i="37"/>
  <c r="E1825" i="37"/>
  <c r="E1823" i="37"/>
  <c r="E1822" i="37"/>
  <c r="E1821" i="37"/>
  <c r="E1820" i="37"/>
  <c r="E1817" i="37"/>
  <c r="E1815" i="37"/>
  <c r="E1814" i="37"/>
  <c r="E1813" i="37"/>
  <c r="E1812" i="37"/>
  <c r="E1809" i="37"/>
  <c r="E1807" i="37"/>
  <c r="E1805" i="37"/>
  <c r="E1803" i="37"/>
  <c r="E1802" i="37"/>
  <c r="E1801" i="37"/>
  <c r="E1799" i="37"/>
  <c r="E1798" i="37"/>
  <c r="E1797" i="37"/>
  <c r="E1795" i="37"/>
  <c r="E1794" i="37"/>
  <c r="E1793" i="37"/>
  <c r="E1791" i="37"/>
  <c r="E1789" i="37"/>
  <c r="E1787" i="37"/>
  <c r="E1785" i="37"/>
  <c r="E1784" i="37"/>
  <c r="E1783" i="37"/>
  <c r="E1782" i="37"/>
  <c r="E1781" i="37"/>
  <c r="E1780" i="37"/>
  <c r="E1779" i="37"/>
  <c r="E1778" i="37"/>
  <c r="E1777" i="37"/>
  <c r="E1775" i="37"/>
  <c r="E1773" i="37"/>
  <c r="E1772" i="37"/>
  <c r="E1771" i="37"/>
  <c r="E1770" i="37"/>
  <c r="E1769" i="37"/>
  <c r="E1768" i="37"/>
  <c r="E1767" i="37"/>
  <c r="E1766" i="37"/>
  <c r="E1765" i="37"/>
  <c r="E1763" i="37"/>
  <c r="E1761" i="37"/>
  <c r="E1760" i="37"/>
  <c r="E1758" i="37"/>
  <c r="E1757" i="37"/>
  <c r="E1755" i="37"/>
  <c r="E1752" i="37"/>
  <c r="E1750" i="37"/>
  <c r="E1748" i="37"/>
  <c r="D1744" i="37"/>
  <c r="E1741" i="37"/>
  <c r="F1730" i="37"/>
  <c r="E1728" i="37"/>
  <c r="E1726" i="37"/>
  <c r="E1725" i="37"/>
  <c r="E1724" i="37"/>
  <c r="D1722" i="37"/>
  <c r="E1719" i="37"/>
  <c r="E1718" i="37"/>
  <c r="E1717" i="37"/>
  <c r="E1715" i="37"/>
  <c r="E1713" i="37"/>
  <c r="E1712" i="37"/>
  <c r="E1711" i="37"/>
  <c r="E1710" i="37"/>
  <c r="E1709" i="37"/>
  <c r="E1708" i="37"/>
  <c r="E1707" i="37"/>
  <c r="D1705" i="37"/>
  <c r="E1703" i="37"/>
  <c r="E1701" i="37"/>
  <c r="E1700" i="37"/>
  <c r="E1698" i="37"/>
  <c r="E1697" i="37"/>
  <c r="E1687" i="37"/>
  <c r="E1683" i="37"/>
  <c r="E1679" i="37"/>
  <c r="E1677" i="37"/>
  <c r="E1676" i="37"/>
  <c r="E1673" i="37"/>
  <c r="E1671" i="37"/>
  <c r="E1669" i="37"/>
  <c r="E1667" i="37"/>
  <c r="E1666" i="37"/>
  <c r="E1665" i="37"/>
  <c r="E1664" i="37"/>
  <c r="E1661" i="37"/>
  <c r="E1659" i="37"/>
  <c r="E1658" i="37"/>
  <c r="E1657" i="37"/>
  <c r="E1656" i="37"/>
  <c r="E1653" i="37"/>
  <c r="E1651" i="37"/>
  <c r="E1650" i="37"/>
  <c r="E1649" i="37"/>
  <c r="E1648" i="37"/>
  <c r="E1645" i="37"/>
  <c r="E1643" i="37"/>
  <c r="E1642" i="37"/>
  <c r="E1641" i="37"/>
  <c r="E1640" i="37"/>
  <c r="E1637" i="37"/>
  <c r="E1635" i="37"/>
  <c r="E1634" i="37"/>
  <c r="E1633" i="37"/>
  <c r="E1632" i="37"/>
  <c r="E1629" i="37"/>
  <c r="E1627" i="37"/>
  <c r="E1625" i="37"/>
  <c r="E1623" i="37"/>
  <c r="E1622" i="37"/>
  <c r="E1621" i="37"/>
  <c r="E1619" i="37"/>
  <c r="E1618" i="37"/>
  <c r="E1617" i="37"/>
  <c r="E1615" i="37"/>
  <c r="E1614" i="37"/>
  <c r="E1613" i="37"/>
  <c r="E1611" i="37"/>
  <c r="E1609" i="37"/>
  <c r="E1607" i="37"/>
  <c r="E1605" i="37"/>
  <c r="E1604" i="37"/>
  <c r="E1603" i="37"/>
  <c r="E1602" i="37"/>
  <c r="E1601" i="37"/>
  <c r="E1600" i="37"/>
  <c r="E1599" i="37"/>
  <c r="E1598" i="37"/>
  <c r="E1597" i="37"/>
  <c r="E1595" i="37"/>
  <c r="E1593" i="37"/>
  <c r="E1592" i="37"/>
  <c r="E1591" i="37"/>
  <c r="E1590" i="37"/>
  <c r="E1589" i="37"/>
  <c r="E1588" i="37"/>
  <c r="E1587" i="37"/>
  <c r="E1586" i="37"/>
  <c r="E1585" i="37"/>
  <c r="E1583" i="37"/>
  <c r="E1581" i="37"/>
  <c r="E1580" i="37"/>
  <c r="E1578" i="37"/>
  <c r="E1577" i="37"/>
  <c r="E1575" i="37"/>
  <c r="E1572" i="37"/>
  <c r="E1570" i="37"/>
  <c r="E1568" i="37"/>
  <c r="D1564" i="37"/>
  <c r="E1561" i="37"/>
  <c r="F1550" i="37"/>
  <c r="E1548" i="37"/>
  <c r="E1546" i="37"/>
  <c r="E1545" i="37"/>
  <c r="E1544" i="37"/>
  <c r="D1542" i="37"/>
  <c r="E1539" i="37"/>
  <c r="E1538" i="37"/>
  <c r="E1537" i="37"/>
  <c r="E1535" i="37"/>
  <c r="E1533" i="37"/>
  <c r="E1532" i="37"/>
  <c r="E1531" i="37"/>
  <c r="E1530" i="37"/>
  <c r="E1529" i="37"/>
  <c r="E1528" i="37"/>
  <c r="E1527" i="37"/>
  <c r="D1525" i="37"/>
  <c r="E1523" i="37"/>
  <c r="E1521" i="37"/>
  <c r="E1520" i="37"/>
  <c r="E1518" i="37"/>
  <c r="E1517" i="37"/>
  <c r="E1507" i="37"/>
  <c r="E1503" i="37"/>
  <c r="E1499" i="37"/>
  <c r="E1497" i="37"/>
  <c r="E1496" i="37"/>
  <c r="E1493" i="37"/>
  <c r="E1491" i="37"/>
  <c r="E1489" i="37"/>
  <c r="E1487" i="37"/>
  <c r="E1486" i="37"/>
  <c r="E1485" i="37"/>
  <c r="E1484" i="37"/>
  <c r="E1481" i="37"/>
  <c r="E1479" i="37"/>
  <c r="E1478" i="37"/>
  <c r="E1477" i="37"/>
  <c r="E1476" i="37"/>
  <c r="E1473" i="37"/>
  <c r="E1471" i="37"/>
  <c r="E1470" i="37"/>
  <c r="E1469" i="37"/>
  <c r="E1468" i="37"/>
  <c r="E1465" i="37"/>
  <c r="E1463" i="37"/>
  <c r="E1462" i="37"/>
  <c r="E1461" i="37"/>
  <c r="E1460" i="37"/>
  <c r="E1457" i="37"/>
  <c r="E1455" i="37"/>
  <c r="E1454" i="37"/>
  <c r="E1453" i="37"/>
  <c r="E1452" i="37"/>
  <c r="E1449" i="37"/>
  <c r="E1447" i="37"/>
  <c r="E1445" i="37"/>
  <c r="E1443" i="37"/>
  <c r="E1442" i="37"/>
  <c r="E1441" i="37"/>
  <c r="E1439" i="37"/>
  <c r="E1438" i="37"/>
  <c r="E1437" i="37"/>
  <c r="E1435" i="37"/>
  <c r="E1434" i="37"/>
  <c r="E1433" i="37"/>
  <c r="E1431" i="37"/>
  <c r="E1429" i="37"/>
  <c r="E1427" i="37"/>
  <c r="E1425" i="37"/>
  <c r="E1424" i="37"/>
  <c r="E1423" i="37"/>
  <c r="E1422" i="37"/>
  <c r="E1421" i="37"/>
  <c r="E1420" i="37"/>
  <c r="E1419" i="37"/>
  <c r="E1418" i="37"/>
  <c r="E1417" i="37"/>
  <c r="E1415" i="37"/>
  <c r="E1413" i="37"/>
  <c r="E1412" i="37"/>
  <c r="E1411" i="37"/>
  <c r="E1410" i="37"/>
  <c r="E1409" i="37"/>
  <c r="E1408" i="37"/>
  <c r="E1407" i="37"/>
  <c r="E1406" i="37"/>
  <c r="E1405" i="37"/>
  <c r="E1403" i="37"/>
  <c r="E1401" i="37"/>
  <c r="E1400" i="37"/>
  <c r="E1398" i="37"/>
  <c r="E1397" i="37"/>
  <c r="E1395" i="37"/>
  <c r="E1392" i="37"/>
  <c r="E1390" i="37"/>
  <c r="E1388" i="37"/>
  <c r="D1384" i="37"/>
  <c r="E1381" i="37"/>
  <c r="F1370" i="37"/>
  <c r="E1368" i="37"/>
  <c r="E1366" i="37"/>
  <c r="E1365" i="37"/>
  <c r="E1364" i="37"/>
  <c r="D1362" i="37"/>
  <c r="E1359" i="37"/>
  <c r="E1358" i="37"/>
  <c r="E1357" i="37"/>
  <c r="E1355" i="37"/>
  <c r="E1353" i="37"/>
  <c r="E1352" i="37"/>
  <c r="E1351" i="37"/>
  <c r="E1350" i="37"/>
  <c r="E1349" i="37"/>
  <c r="E1348" i="37"/>
  <c r="E1347" i="37"/>
  <c r="D1345" i="37"/>
  <c r="E1343" i="37"/>
  <c r="E1341" i="37"/>
  <c r="E1340" i="37"/>
  <c r="E1338" i="37"/>
  <c r="E1337" i="37"/>
  <c r="E1327" i="37"/>
  <c r="E1323" i="37"/>
  <c r="E1319" i="37"/>
  <c r="E1317" i="37"/>
  <c r="E1316" i="37"/>
  <c r="E1313" i="37"/>
  <c r="E1311" i="37"/>
  <c r="E1309" i="37"/>
  <c r="E1307" i="37"/>
  <c r="E1306" i="37"/>
  <c r="E1305" i="37"/>
  <c r="E1304" i="37"/>
  <c r="E1301" i="37"/>
  <c r="E1299" i="37"/>
  <c r="E1298" i="37"/>
  <c r="E1297" i="37"/>
  <c r="E1296" i="37"/>
  <c r="E1293" i="37"/>
  <c r="E1291" i="37"/>
  <c r="E1290" i="37"/>
  <c r="E1289" i="37"/>
  <c r="E1288" i="37"/>
  <c r="E1285" i="37"/>
  <c r="E1283" i="37"/>
  <c r="E1282" i="37"/>
  <c r="E1281" i="37"/>
  <c r="E1280" i="37"/>
  <c r="E1277" i="37"/>
  <c r="E1275" i="37"/>
  <c r="E1274" i="37"/>
  <c r="E1273" i="37"/>
  <c r="E1272" i="37"/>
  <c r="E1269" i="37"/>
  <c r="E1267" i="37"/>
  <c r="E1265" i="37"/>
  <c r="E1263" i="37"/>
  <c r="E1262" i="37"/>
  <c r="E1261" i="37"/>
  <c r="E1259" i="37"/>
  <c r="E1258" i="37"/>
  <c r="E1257" i="37"/>
  <c r="E1255" i="37"/>
  <c r="E1254" i="37"/>
  <c r="E1253" i="37"/>
  <c r="E1251" i="37"/>
  <c r="E1249" i="37"/>
  <c r="E1247" i="37"/>
  <c r="E1245" i="37"/>
  <c r="E1244" i="37"/>
  <c r="E1243" i="37"/>
  <c r="E1242" i="37"/>
  <c r="E1241" i="37"/>
  <c r="E1240" i="37"/>
  <c r="E1239" i="37"/>
  <c r="E1238" i="37"/>
  <c r="E1237" i="37"/>
  <c r="E1235" i="37"/>
  <c r="E1233" i="37"/>
  <c r="E1232" i="37"/>
  <c r="E1231" i="37"/>
  <c r="E1230" i="37"/>
  <c r="E1229" i="37"/>
  <c r="E1228" i="37"/>
  <c r="E1227" i="37"/>
  <c r="E1226" i="37"/>
  <c r="E1225" i="37"/>
  <c r="E1223" i="37"/>
  <c r="E1221" i="37"/>
  <c r="E1220" i="37"/>
  <c r="E1218" i="37"/>
  <c r="E1217" i="37"/>
  <c r="E1215" i="37"/>
  <c r="E1212" i="37"/>
  <c r="E1210" i="37"/>
  <c r="E1208" i="37"/>
  <c r="D1204" i="37"/>
  <c r="E1201" i="37"/>
  <c r="F1190" i="37"/>
  <c r="E1188" i="37"/>
  <c r="E1186" i="37"/>
  <c r="E1185" i="37"/>
  <c r="E1184" i="37"/>
  <c r="D1182" i="37"/>
  <c r="E1179" i="37"/>
  <c r="E1178" i="37"/>
  <c r="E1177" i="37"/>
  <c r="E1175" i="37"/>
  <c r="E1173" i="37"/>
  <c r="E1172" i="37"/>
  <c r="E1171" i="37"/>
  <c r="E1170" i="37"/>
  <c r="E1169" i="37"/>
  <c r="E1168" i="37"/>
  <c r="E1167" i="37"/>
  <c r="D1165" i="37"/>
  <c r="E1163" i="37"/>
  <c r="E1161" i="37"/>
  <c r="E1160" i="37"/>
  <c r="E1158" i="37"/>
  <c r="E1157" i="37"/>
  <c r="E1147" i="37"/>
  <c r="E1143" i="37"/>
  <c r="E1139" i="37"/>
  <c r="E1137" i="37"/>
  <c r="E1136" i="37"/>
  <c r="E1133" i="37"/>
  <c r="E1131" i="37"/>
  <c r="E1129" i="37"/>
  <c r="E1127" i="37"/>
  <c r="E1126" i="37"/>
  <c r="E1125" i="37"/>
  <c r="E1124" i="37"/>
  <c r="E1121" i="37"/>
  <c r="E1119" i="37"/>
  <c r="E1118" i="37"/>
  <c r="E1117" i="37"/>
  <c r="E1116" i="37"/>
  <c r="E1113" i="37"/>
  <c r="E1111" i="37"/>
  <c r="E1110" i="37"/>
  <c r="E1109" i="37"/>
  <c r="E1108" i="37"/>
  <c r="E1105" i="37"/>
  <c r="E1103" i="37"/>
  <c r="E1102" i="37"/>
  <c r="E1101" i="37"/>
  <c r="E1100" i="37"/>
  <c r="E1097" i="37"/>
  <c r="E1095" i="37"/>
  <c r="E1094" i="37"/>
  <c r="E1093" i="37"/>
  <c r="E1092" i="37"/>
  <c r="E1089" i="37"/>
  <c r="E1087" i="37"/>
  <c r="E1085" i="37"/>
  <c r="E1083" i="37"/>
  <c r="E1082" i="37"/>
  <c r="E1081" i="37"/>
  <c r="E1079" i="37"/>
  <c r="E1078" i="37"/>
  <c r="E1077" i="37"/>
  <c r="E1075" i="37"/>
  <c r="E1074" i="37"/>
  <c r="E1073" i="37"/>
  <c r="E1071" i="37"/>
  <c r="E1069" i="37"/>
  <c r="E1067" i="37"/>
  <c r="E1065" i="37"/>
  <c r="E1064" i="37"/>
  <c r="E1063" i="37"/>
  <c r="E1062" i="37"/>
  <c r="E1061" i="37"/>
  <c r="E1060" i="37"/>
  <c r="E1059" i="37"/>
  <c r="E1058" i="37"/>
  <c r="E1057" i="37"/>
  <c r="E1055" i="37"/>
  <c r="E1053" i="37"/>
  <c r="E1052" i="37"/>
  <c r="E1051" i="37"/>
  <c r="E1050" i="37"/>
  <c r="E1049" i="37"/>
  <c r="E1048" i="37"/>
  <c r="E1047" i="37"/>
  <c r="E1046" i="37"/>
  <c r="E1045" i="37"/>
  <c r="E1043" i="37"/>
  <c r="E1041" i="37"/>
  <c r="E1040" i="37"/>
  <c r="E1038" i="37"/>
  <c r="E1037" i="37"/>
  <c r="E1035" i="37"/>
  <c r="E1032" i="37"/>
  <c r="E1030" i="37"/>
  <c r="E1028" i="37"/>
  <c r="D1024" i="37"/>
  <c r="E1021" i="37"/>
  <c r="F1010" i="37"/>
  <c r="E1008" i="37"/>
  <c r="E1006" i="37"/>
  <c r="E1005" i="37"/>
  <c r="E1004" i="37"/>
  <c r="D1002" i="37"/>
  <c r="E999" i="37"/>
  <c r="E998" i="37"/>
  <c r="E997" i="37"/>
  <c r="E995" i="37"/>
  <c r="E993" i="37"/>
  <c r="E992" i="37"/>
  <c r="E991" i="37"/>
  <c r="E990" i="37"/>
  <c r="E989" i="37"/>
  <c r="E988" i="37"/>
  <c r="E987" i="37"/>
  <c r="D985" i="37"/>
  <c r="E983" i="37"/>
  <c r="E981" i="37"/>
  <c r="E980" i="37"/>
  <c r="E978" i="37"/>
  <c r="E977" i="37"/>
  <c r="E967" i="37"/>
  <c r="E963" i="37"/>
  <c r="E959" i="37"/>
  <c r="E957" i="37"/>
  <c r="E956" i="37"/>
  <c r="E953" i="37"/>
  <c r="E951" i="37"/>
  <c r="E949" i="37"/>
  <c r="E947" i="37"/>
  <c r="E946" i="37"/>
  <c r="E945" i="37"/>
  <c r="E944" i="37"/>
  <c r="E941" i="37"/>
  <c r="E939" i="37"/>
  <c r="E938" i="37"/>
  <c r="E937" i="37"/>
  <c r="E936" i="37"/>
  <c r="E933" i="37"/>
  <c r="E931" i="37"/>
  <c r="E930" i="37"/>
  <c r="E929" i="37"/>
  <c r="E928" i="37"/>
  <c r="E925" i="37"/>
  <c r="E923" i="37"/>
  <c r="E922" i="37"/>
  <c r="E921" i="37"/>
  <c r="E920" i="37"/>
  <c r="E917" i="37"/>
  <c r="E915" i="37"/>
  <c r="E914" i="37"/>
  <c r="E913" i="37"/>
  <c r="E912" i="37"/>
  <c r="E909" i="37"/>
  <c r="E907" i="37"/>
  <c r="E905" i="37"/>
  <c r="E903" i="37"/>
  <c r="E902" i="37"/>
  <c r="E901" i="37"/>
  <c r="E899" i="37"/>
  <c r="E898" i="37"/>
  <c r="E897" i="37"/>
  <c r="E895" i="37"/>
  <c r="E894" i="37"/>
  <c r="E893" i="37"/>
  <c r="E891" i="37"/>
  <c r="E889" i="37"/>
  <c r="E887" i="37"/>
  <c r="E885" i="37"/>
  <c r="E884" i="37"/>
  <c r="E883" i="37"/>
  <c r="E882" i="37"/>
  <c r="E881" i="37"/>
  <c r="E880" i="37"/>
  <c r="E879" i="37"/>
  <c r="E878" i="37"/>
  <c r="E877" i="37"/>
  <c r="E875" i="37"/>
  <c r="E873" i="37"/>
  <c r="E872" i="37"/>
  <c r="E871" i="37"/>
  <c r="E870" i="37"/>
  <c r="E869" i="37"/>
  <c r="E868" i="37"/>
  <c r="E867" i="37"/>
  <c r="E866" i="37"/>
  <c r="E865" i="37"/>
  <c r="E863" i="37"/>
  <c r="E861" i="37"/>
  <c r="E860" i="37"/>
  <c r="E858" i="37"/>
  <c r="E857" i="37"/>
  <c r="E855" i="37"/>
  <c r="E852" i="37"/>
  <c r="E850" i="37"/>
  <c r="E848" i="37"/>
  <c r="D844" i="37"/>
  <c r="E841" i="37"/>
  <c r="F830" i="37"/>
  <c r="E828" i="37"/>
  <c r="E826" i="37"/>
  <c r="E825" i="37"/>
  <c r="E824" i="37"/>
  <c r="D822" i="37"/>
  <c r="E819" i="37"/>
  <c r="E818" i="37"/>
  <c r="E817" i="37"/>
  <c r="E815" i="37"/>
  <c r="E813" i="37"/>
  <c r="E812" i="37"/>
  <c r="E811" i="37"/>
  <c r="E810" i="37"/>
  <c r="E809" i="37"/>
  <c r="E808" i="37"/>
  <c r="E807" i="37"/>
  <c r="D805" i="37"/>
  <c r="E803" i="37"/>
  <c r="E801" i="37"/>
  <c r="E800" i="37"/>
  <c r="E798" i="37"/>
  <c r="E797" i="37"/>
  <c r="E787" i="37"/>
  <c r="E783" i="37"/>
  <c r="E779" i="37"/>
  <c r="E777" i="37"/>
  <c r="E776" i="37"/>
  <c r="E773" i="37"/>
  <c r="E771" i="37"/>
  <c r="E769" i="37"/>
  <c r="E767" i="37"/>
  <c r="E766" i="37"/>
  <c r="E765" i="37"/>
  <c r="E764" i="37"/>
  <c r="E761" i="37"/>
  <c r="E759" i="37"/>
  <c r="E758" i="37"/>
  <c r="E757" i="37"/>
  <c r="E756" i="37"/>
  <c r="E753" i="37"/>
  <c r="E751" i="37"/>
  <c r="E750" i="37"/>
  <c r="E749" i="37"/>
  <c r="E748" i="37"/>
  <c r="E745" i="37"/>
  <c r="E743" i="37"/>
  <c r="E742" i="37"/>
  <c r="E741" i="37"/>
  <c r="E740" i="37"/>
  <c r="E737" i="37"/>
  <c r="E735" i="37"/>
  <c r="E734" i="37"/>
  <c r="E733" i="37"/>
  <c r="E732" i="37"/>
  <c r="E729" i="37"/>
  <c r="E727" i="37"/>
  <c r="E725" i="37"/>
  <c r="E723" i="37"/>
  <c r="E722" i="37"/>
  <c r="E721" i="37"/>
  <c r="E719" i="37"/>
  <c r="E718" i="37"/>
  <c r="E717" i="37"/>
  <c r="E715" i="37"/>
  <c r="E714" i="37"/>
  <c r="E713" i="37"/>
  <c r="E711" i="37"/>
  <c r="E709" i="37"/>
  <c r="E707" i="37"/>
  <c r="E705" i="37"/>
  <c r="E704" i="37"/>
  <c r="E703" i="37"/>
  <c r="E702" i="37"/>
  <c r="E701" i="37"/>
  <c r="E700" i="37"/>
  <c r="E699" i="37"/>
  <c r="E698" i="37"/>
  <c r="E697" i="37"/>
  <c r="E695" i="37"/>
  <c r="E693" i="37"/>
  <c r="E692" i="37"/>
  <c r="E691" i="37"/>
  <c r="E690" i="37"/>
  <c r="E689" i="37"/>
  <c r="E688" i="37"/>
  <c r="E687" i="37"/>
  <c r="E686" i="37"/>
  <c r="E685" i="37"/>
  <c r="E683" i="37"/>
  <c r="E681" i="37"/>
  <c r="E680" i="37"/>
  <c r="E678" i="37"/>
  <c r="E677" i="37"/>
  <c r="E675" i="37"/>
  <c r="E672" i="37"/>
  <c r="E670" i="37"/>
  <c r="E668" i="37"/>
  <c r="D664" i="37"/>
  <c r="E661" i="37"/>
  <c r="F650" i="37"/>
  <c r="E648" i="37"/>
  <c r="E646" i="37"/>
  <c r="E645" i="37"/>
  <c r="E644" i="37"/>
  <c r="D642" i="37"/>
  <c r="E639" i="37"/>
  <c r="E638" i="37"/>
  <c r="E637" i="37"/>
  <c r="E635" i="37"/>
  <c r="E633" i="37"/>
  <c r="E632" i="37"/>
  <c r="E631" i="37"/>
  <c r="E630" i="37"/>
  <c r="E629" i="37"/>
  <c r="E628" i="37"/>
  <c r="E627" i="37"/>
  <c r="D625" i="37"/>
  <c r="E623" i="37"/>
  <c r="E621" i="37"/>
  <c r="E620" i="37"/>
  <c r="E618" i="37"/>
  <c r="E617" i="37"/>
  <c r="E607" i="37"/>
  <c r="E603" i="37"/>
  <c r="E599" i="37"/>
  <c r="E597" i="37"/>
  <c r="E596" i="37"/>
  <c r="E593" i="37"/>
  <c r="E591" i="37"/>
  <c r="E589" i="37"/>
  <c r="E587" i="37"/>
  <c r="E586" i="37"/>
  <c r="E585" i="37"/>
  <c r="E584" i="37"/>
  <c r="E581" i="37"/>
  <c r="E579" i="37"/>
  <c r="E578" i="37"/>
  <c r="E577" i="37"/>
  <c r="E576" i="37"/>
  <c r="E573" i="37"/>
  <c r="E571" i="37"/>
  <c r="E570" i="37"/>
  <c r="E569" i="37"/>
  <c r="E568" i="37"/>
  <c r="E565" i="37"/>
  <c r="E563" i="37"/>
  <c r="E562" i="37"/>
  <c r="E561" i="37"/>
  <c r="E560" i="37"/>
  <c r="E557" i="37"/>
  <c r="E555" i="37"/>
  <c r="E554" i="37"/>
  <c r="E553" i="37"/>
  <c r="E552" i="37"/>
  <c r="E549" i="37"/>
  <c r="E547" i="37"/>
  <c r="E545" i="37"/>
  <c r="E543" i="37"/>
  <c r="E542" i="37"/>
  <c r="E541" i="37"/>
  <c r="E539" i="37"/>
  <c r="E538" i="37"/>
  <c r="E537" i="37"/>
  <c r="E535" i="37"/>
  <c r="E534" i="37"/>
  <c r="E533" i="37"/>
  <c r="E531" i="37"/>
  <c r="E529" i="37"/>
  <c r="E527" i="37"/>
  <c r="E525" i="37"/>
  <c r="E524" i="37"/>
  <c r="E523" i="37"/>
  <c r="E522" i="37"/>
  <c r="E521" i="37"/>
  <c r="E520" i="37"/>
  <c r="E519" i="37"/>
  <c r="E518" i="37"/>
  <c r="E517" i="37"/>
  <c r="E515" i="37"/>
  <c r="E513" i="37"/>
  <c r="E512" i="37"/>
  <c r="E511" i="37"/>
  <c r="E510" i="37"/>
  <c r="E509" i="37"/>
  <c r="E508" i="37"/>
  <c r="E507" i="37"/>
  <c r="E506" i="37"/>
  <c r="E505" i="37"/>
  <c r="E503" i="37"/>
  <c r="E501" i="37"/>
  <c r="E500" i="37"/>
  <c r="E498" i="37"/>
  <c r="E497" i="37"/>
  <c r="E495" i="37"/>
  <c r="E492" i="37"/>
  <c r="E490" i="37"/>
  <c r="E488" i="37"/>
  <c r="D484" i="37"/>
  <c r="E481" i="37"/>
  <c r="F470" i="37"/>
  <c r="E468" i="37"/>
  <c r="E466" i="37"/>
  <c r="E465" i="37"/>
  <c r="E464" i="37"/>
  <c r="D462" i="37"/>
  <c r="E459" i="37"/>
  <c r="E458" i="37"/>
  <c r="E457" i="37"/>
  <c r="E455" i="37"/>
  <c r="E453" i="37"/>
  <c r="E452" i="37"/>
  <c r="E451" i="37"/>
  <c r="E450" i="37"/>
  <c r="E449" i="37"/>
  <c r="E448" i="37"/>
  <c r="E447" i="37"/>
  <c r="D445" i="37"/>
  <c r="E443" i="37"/>
  <c r="E441" i="37"/>
  <c r="E440" i="37"/>
  <c r="E438" i="37"/>
  <c r="E437" i="37"/>
  <c r="E427" i="37"/>
  <c r="E423" i="37"/>
  <c r="E419" i="37"/>
  <c r="E417" i="37"/>
  <c r="E416" i="37"/>
  <c r="E413" i="37"/>
  <c r="E411" i="37"/>
  <c r="E409" i="37"/>
  <c r="E407" i="37"/>
  <c r="E406" i="37"/>
  <c r="E405" i="37"/>
  <c r="E404" i="37"/>
  <c r="E401" i="37"/>
  <c r="E399" i="37"/>
  <c r="E398" i="37"/>
  <c r="E397" i="37"/>
  <c r="E396" i="37"/>
  <c r="E393" i="37"/>
  <c r="E391" i="37"/>
  <c r="E390" i="37"/>
  <c r="E389" i="37"/>
  <c r="E388" i="37"/>
  <c r="E385" i="37"/>
  <c r="E383" i="37"/>
  <c r="E382" i="37"/>
  <c r="E381" i="37"/>
  <c r="E380" i="37"/>
  <c r="E377" i="37"/>
  <c r="E375" i="37"/>
  <c r="E374" i="37"/>
  <c r="E373" i="37"/>
  <c r="E372" i="37"/>
  <c r="E369" i="37"/>
  <c r="E367" i="37"/>
  <c r="E365" i="37"/>
  <c r="E363" i="37"/>
  <c r="E362" i="37"/>
  <c r="E361" i="37"/>
  <c r="E359" i="37"/>
  <c r="E358" i="37"/>
  <c r="E357" i="37"/>
  <c r="E355" i="37"/>
  <c r="E354" i="37"/>
  <c r="E353" i="37"/>
  <c r="E351" i="37"/>
  <c r="E349" i="37"/>
  <c r="E347" i="37"/>
  <c r="E345" i="37"/>
  <c r="E344" i="37"/>
  <c r="E343" i="37"/>
  <c r="E342" i="37"/>
  <c r="E341" i="37"/>
  <c r="E340" i="37"/>
  <c r="E339" i="37"/>
  <c r="E338" i="37"/>
  <c r="E337" i="37"/>
  <c r="E335" i="37"/>
  <c r="E333" i="37"/>
  <c r="E332" i="37"/>
  <c r="E331" i="37"/>
  <c r="E330" i="37"/>
  <c r="E329" i="37"/>
  <c r="E328" i="37"/>
  <c r="E327" i="37"/>
  <c r="E326" i="37"/>
  <c r="E325" i="37"/>
  <c r="E323" i="37"/>
  <c r="E321" i="37"/>
  <c r="E320" i="37"/>
  <c r="E318" i="37"/>
  <c r="E317" i="37"/>
  <c r="E315" i="37"/>
  <c r="E312" i="37"/>
  <c r="E310" i="37"/>
  <c r="E308" i="37"/>
  <c r="D304" i="37"/>
  <c r="E301" i="37"/>
  <c r="F290" i="37"/>
  <c r="E288" i="37"/>
  <c r="E286" i="37"/>
  <c r="E285" i="37"/>
  <c r="E284" i="37"/>
  <c r="D282" i="37"/>
  <c r="E279" i="37"/>
  <c r="E278" i="37"/>
  <c r="E277" i="37"/>
  <c r="E275" i="37"/>
  <c r="E273" i="37"/>
  <c r="E272" i="37"/>
  <c r="E271" i="37"/>
  <c r="E270" i="37"/>
  <c r="E269" i="37"/>
  <c r="E268" i="37"/>
  <c r="E267" i="37"/>
  <c r="D265" i="37"/>
  <c r="E263" i="37"/>
  <c r="E261" i="37"/>
  <c r="E260" i="37"/>
  <c r="E258" i="37"/>
  <c r="E257" i="37"/>
  <c r="E247" i="37"/>
  <c r="E246" i="37"/>
  <c r="E242" i="37"/>
  <c r="E238" i="37"/>
  <c r="E236" i="37"/>
  <c r="E235" i="37"/>
  <c r="E234" i="37"/>
  <c r="E233" i="37"/>
  <c r="E230" i="37"/>
  <c r="E229" i="37"/>
  <c r="E228" i="37"/>
  <c r="E227" i="37"/>
  <c r="E225" i="37"/>
  <c r="E223" i="37"/>
  <c r="E222" i="37"/>
  <c r="E221" i="37"/>
  <c r="E219" i="37"/>
  <c r="E218" i="37"/>
  <c r="E217" i="37"/>
  <c r="E216" i="37"/>
  <c r="E214" i="37"/>
  <c r="E213" i="37"/>
  <c r="E212" i="37"/>
  <c r="E210" i="37"/>
  <c r="E209" i="37"/>
  <c r="E208" i="37"/>
  <c r="E207" i="37"/>
  <c r="E205" i="37"/>
  <c r="E204" i="37"/>
  <c r="E203" i="37"/>
  <c r="E201" i="37"/>
  <c r="E200" i="37"/>
  <c r="E199" i="37"/>
  <c r="E198" i="37"/>
  <c r="E196" i="37"/>
  <c r="E195" i="37"/>
  <c r="E194" i="37"/>
  <c r="E193" i="37"/>
  <c r="E191" i="37"/>
  <c r="E190" i="37"/>
  <c r="E189" i="37"/>
  <c r="E188" i="37"/>
  <c r="E186" i="37"/>
  <c r="E185" i="37"/>
  <c r="E184" i="37"/>
  <c r="E182" i="37"/>
  <c r="E181" i="37"/>
  <c r="E180" i="37"/>
  <c r="E179" i="37"/>
  <c r="E177" i="37"/>
  <c r="E176" i="37"/>
  <c r="E175" i="37"/>
  <c r="E174" i="37"/>
  <c r="E173" i="37"/>
  <c r="E171" i="37"/>
  <c r="E169" i="37"/>
  <c r="E168" i="37"/>
  <c r="E167" i="37"/>
  <c r="E165" i="37"/>
  <c r="E164" i="37"/>
  <c r="E163" i="37"/>
  <c r="E161" i="37"/>
  <c r="E160" i="37"/>
  <c r="E159" i="37"/>
  <c r="E158" i="37"/>
  <c r="E157" i="37"/>
  <c r="E156" i="37"/>
  <c r="E155" i="37"/>
  <c r="E154" i="37"/>
  <c r="E153" i="37"/>
  <c r="E151" i="37"/>
  <c r="E149" i="37"/>
  <c r="E148" i="37"/>
  <c r="E147" i="37"/>
  <c r="E146" i="37"/>
  <c r="E144" i="37"/>
  <c r="E143" i="37"/>
  <c r="E142" i="37"/>
  <c r="E141" i="37"/>
  <c r="E140" i="37"/>
  <c r="E139" i="37"/>
  <c r="E138" i="37"/>
  <c r="E137" i="37"/>
  <c r="E136" i="37"/>
  <c r="E134" i="37"/>
  <c r="E132" i="37"/>
  <c r="E131" i="37"/>
  <c r="E130" i="37"/>
  <c r="E129" i="37"/>
  <c r="E128" i="37"/>
  <c r="E127" i="37"/>
  <c r="E126" i="37"/>
  <c r="E125" i="37"/>
  <c r="E124" i="37"/>
  <c r="E122" i="37"/>
  <c r="E121" i="37"/>
  <c r="E120" i="37"/>
  <c r="E119" i="37"/>
  <c r="E118" i="37"/>
  <c r="E117" i="37"/>
  <c r="E116" i="37"/>
  <c r="E115" i="37"/>
  <c r="E114" i="37"/>
  <c r="E113" i="37"/>
  <c r="E111" i="37"/>
  <c r="E110" i="37"/>
  <c r="E108" i="37"/>
  <c r="E107" i="37"/>
  <c r="E106" i="37"/>
  <c r="E105" i="37"/>
  <c r="E104" i="37"/>
  <c r="E101" i="37"/>
  <c r="F100" i="37"/>
  <c r="F99" i="37"/>
  <c r="F98" i="37"/>
  <c r="F97" i="37"/>
  <c r="F96" i="37"/>
  <c r="F95" i="37"/>
  <c r="F94" i="37"/>
  <c r="E93" i="37"/>
  <c r="E92" i="37"/>
  <c r="E91" i="37"/>
  <c r="E89" i="37"/>
  <c r="E87" i="37"/>
  <c r="E86" i="37"/>
  <c r="E85" i="37"/>
  <c r="E84" i="37"/>
  <c r="D80" i="37"/>
  <c r="E77" i="37"/>
  <c r="F66" i="37"/>
  <c r="E64" i="37"/>
  <c r="E62" i="37"/>
  <c r="E61" i="37"/>
  <c r="E60" i="37"/>
  <c r="E59" i="37"/>
  <c r="E58" i="37"/>
  <c r="D56" i="37"/>
  <c r="E54" i="37"/>
  <c r="E53" i="37"/>
  <c r="E52" i="37"/>
  <c r="E51" i="37"/>
  <c r="E50" i="37"/>
  <c r="E49" i="37"/>
  <c r="E48" i="37"/>
  <c r="E47" i="37"/>
  <c r="E46" i="37"/>
  <c r="E44" i="37"/>
  <c r="E43" i="37"/>
  <c r="E42" i="37"/>
  <c r="E41" i="37"/>
  <c r="E40" i="37"/>
  <c r="E39" i="37"/>
  <c r="E38" i="37"/>
  <c r="E37" i="37"/>
  <c r="E36" i="37"/>
  <c r="E35" i="37"/>
  <c r="D33" i="37"/>
  <c r="E31" i="37"/>
  <c r="E30" i="37"/>
  <c r="E28" i="37"/>
  <c r="E27" i="37"/>
  <c r="E25" i="37"/>
  <c r="E24" i="37"/>
  <c r="E23" i="37"/>
  <c r="E22" i="37"/>
  <c r="E21" i="37"/>
  <c r="E20" i="37"/>
  <c r="E19" i="37"/>
  <c r="F17" i="37"/>
  <c r="F16" i="37"/>
  <c r="E15" i="37"/>
  <c r="E14" i="37"/>
  <c r="D11" i="37"/>
  <c r="C31" i="9" s="1"/>
  <c r="E9" i="37"/>
  <c r="D7" i="37"/>
  <c r="C30" i="9"/>
  <c r="E4" i="37"/>
  <c r="E3" i="37"/>
  <c r="M2" i="37"/>
  <c r="K2" i="37"/>
  <c r="I2" i="37"/>
  <c r="G2" i="37"/>
  <c r="E2" i="37"/>
  <c r="B2" i="37"/>
  <c r="D371" i="41"/>
  <c r="E368" i="41"/>
  <c r="E367" i="41"/>
  <c r="E366" i="41"/>
  <c r="E364" i="41"/>
  <c r="E442" i="50" s="1"/>
  <c r="E363" i="41"/>
  <c r="E361" i="41"/>
  <c r="E441" i="50" s="1"/>
  <c r="E360" i="41"/>
  <c r="E358" i="41"/>
  <c r="E440" i="50"/>
  <c r="E357" i="41"/>
  <c r="E355" i="41"/>
  <c r="E439" i="50"/>
  <c r="E354" i="41"/>
  <c r="E352" i="41"/>
  <c r="E438" i="50" s="1"/>
  <c r="E351" i="41"/>
  <c r="E437" i="50"/>
  <c r="E349" i="41"/>
  <c r="E348" i="41"/>
  <c r="E346" i="41"/>
  <c r="E345" i="41"/>
  <c r="E434" i="50" s="1"/>
  <c r="D343" i="41"/>
  <c r="D432" i="50"/>
  <c r="D341" i="41"/>
  <c r="C29" i="9" s="1"/>
  <c r="E339" i="41"/>
  <c r="E430" i="50"/>
  <c r="E338" i="41"/>
  <c r="E429" i="50" s="1"/>
  <c r="E337" i="41"/>
  <c r="E336" i="41"/>
  <c r="E428" i="50"/>
  <c r="E334" i="41"/>
  <c r="E426" i="50" s="1"/>
  <c r="E333" i="41"/>
  <c r="E425" i="50"/>
  <c r="E322" i="41"/>
  <c r="E414" i="50" s="1"/>
  <c r="E321" i="41"/>
  <c r="E320" i="41"/>
  <c r="E319" i="41"/>
  <c r="E413" i="50" s="1"/>
  <c r="E317" i="41"/>
  <c r="E411" i="50"/>
  <c r="E316" i="41"/>
  <c r="E410" i="50" s="1"/>
  <c r="E314" i="41"/>
  <c r="E408" i="50"/>
  <c r="E311" i="41"/>
  <c r="P311" i="41" s="1"/>
  <c r="E308" i="41"/>
  <c r="E402" i="50"/>
  <c r="E307" i="41"/>
  <c r="E306" i="41"/>
  <c r="E401" i="50"/>
  <c r="E304" i="41"/>
  <c r="E399" i="50" s="1"/>
  <c r="E293" i="41"/>
  <c r="E388" i="50"/>
  <c r="E292" i="41"/>
  <c r="E291" i="41"/>
  <c r="E387" i="50" s="1"/>
  <c r="E289" i="41"/>
  <c r="E385" i="50"/>
  <c r="E288" i="41"/>
  <c r="E384" i="50" s="1"/>
  <c r="E286" i="41"/>
  <c r="E382" i="50"/>
  <c r="E282" i="41"/>
  <c r="E378" i="50" s="1"/>
  <c r="E281" i="41"/>
  <c r="E280" i="41"/>
  <c r="E377" i="50" s="1"/>
  <c r="E278" i="41"/>
  <c r="E375" i="50"/>
  <c r="E274" i="41"/>
  <c r="E371" i="50" s="1"/>
  <c r="E273" i="41"/>
  <c r="E272" i="41"/>
  <c r="E271" i="41"/>
  <c r="E370" i="50" s="1"/>
  <c r="E269" i="41"/>
  <c r="E368" i="50"/>
  <c r="E268" i="41"/>
  <c r="E367" i="50" s="1"/>
  <c r="E266" i="41"/>
  <c r="E365" i="50"/>
  <c r="E265" i="41"/>
  <c r="E364" i="50" s="1"/>
  <c r="E264" i="41"/>
  <c r="E363" i="50"/>
  <c r="E263" i="41"/>
  <c r="E362" i="50" s="1"/>
  <c r="E262" i="41"/>
  <c r="E261" i="41"/>
  <c r="E260" i="41"/>
  <c r="E361" i="50" s="1"/>
  <c r="E258" i="41"/>
  <c r="E247" i="41"/>
  <c r="E348" i="50"/>
  <c r="E246" i="41"/>
  <c r="E245" i="41"/>
  <c r="E347" i="50"/>
  <c r="E243" i="41"/>
  <c r="E241" i="41"/>
  <c r="D239" i="41"/>
  <c r="D238" i="41"/>
  <c r="D237" i="41"/>
  <c r="D345" i="50" s="1"/>
  <c r="D235" i="41"/>
  <c r="C28" i="9"/>
  <c r="E230" i="41"/>
  <c r="E226" i="41"/>
  <c r="E224" i="41"/>
  <c r="E223" i="41"/>
  <c r="E222" i="41"/>
  <c r="E221" i="41"/>
  <c r="E219" i="41"/>
  <c r="E218" i="41"/>
  <c r="E217" i="41"/>
  <c r="E215" i="41"/>
  <c r="E337" i="50" s="1"/>
  <c r="E213" i="41"/>
  <c r="E212" i="41"/>
  <c r="E211" i="41"/>
  <c r="E335" i="50" s="1"/>
  <c r="E209" i="41"/>
  <c r="E333" i="50"/>
  <c r="E208" i="41"/>
  <c r="E332" i="50" s="1"/>
  <c r="E206" i="41"/>
  <c r="E330" i="50"/>
  <c r="E205" i="41"/>
  <c r="E329" i="50" s="1"/>
  <c r="E203" i="41"/>
  <c r="E202" i="41"/>
  <c r="E201" i="41"/>
  <c r="E327" i="50" s="1"/>
  <c r="E199" i="41"/>
  <c r="E325" i="50"/>
  <c r="E193" i="41"/>
  <c r="E191" i="41"/>
  <c r="E190" i="41"/>
  <c r="E318" i="50"/>
  <c r="E188" i="41"/>
  <c r="E316" i="50" s="1"/>
  <c r="E187" i="41"/>
  <c r="E186" i="41"/>
  <c r="E315" i="50" s="1"/>
  <c r="E184" i="41"/>
  <c r="E313" i="50"/>
  <c r="E183" i="41"/>
  <c r="E312" i="50" s="1"/>
  <c r="E181" i="41"/>
  <c r="E180" i="41"/>
  <c r="E309" i="50"/>
  <c r="E179" i="41"/>
  <c r="E178" i="41"/>
  <c r="E176" i="41"/>
  <c r="E307" i="50"/>
  <c r="E173" i="41"/>
  <c r="E304" i="50" s="1"/>
  <c r="E171" i="41"/>
  <c r="E169" i="41"/>
  <c r="E302" i="50" s="1"/>
  <c r="E163" i="41"/>
  <c r="E162" i="41"/>
  <c r="E161" i="41"/>
  <c r="E160" i="41"/>
  <c r="E295" i="50" s="1"/>
  <c r="E158" i="41"/>
  <c r="E157" i="41"/>
  <c r="E292" i="50" s="1"/>
  <c r="E155" i="41"/>
  <c r="E290" i="50"/>
  <c r="E154" i="41"/>
  <c r="E289" i="50" s="1"/>
  <c r="E152" i="41"/>
  <c r="E151" i="41"/>
  <c r="E150" i="41"/>
  <c r="E148" i="41"/>
  <c r="E147" i="41"/>
  <c r="E145" i="41"/>
  <c r="E284" i="50"/>
  <c r="E133" i="41"/>
  <c r="E132" i="41"/>
  <c r="E131" i="41"/>
  <c r="E272" i="50"/>
  <c r="E129" i="41"/>
  <c r="E270" i="50" s="1"/>
  <c r="E128" i="41"/>
  <c r="E269" i="50"/>
  <c r="E127" i="41"/>
  <c r="E268" i="50" s="1"/>
  <c r="E125" i="41"/>
  <c r="E124" i="41"/>
  <c r="E123" i="41"/>
  <c r="E266" i="50" s="1"/>
  <c r="E121" i="41"/>
  <c r="E120" i="41"/>
  <c r="E119" i="41"/>
  <c r="E118" i="41"/>
  <c r="E116" i="41"/>
  <c r="E264" i="50"/>
  <c r="E114" i="41"/>
  <c r="E113" i="41"/>
  <c r="E112" i="41"/>
  <c r="E263" i="50"/>
  <c r="E110" i="41"/>
  <c r="E109" i="41"/>
  <c r="E260" i="50"/>
  <c r="E107" i="41"/>
  <c r="E258" i="50" s="1"/>
  <c r="E105" i="41"/>
  <c r="E104" i="41"/>
  <c r="E257" i="50"/>
  <c r="E102" i="41"/>
  <c r="E255" i="50" s="1"/>
  <c r="E98" i="41"/>
  <c r="E251" i="50"/>
  <c r="E97" i="41"/>
  <c r="E96" i="41"/>
  <c r="E95" i="41"/>
  <c r="E250" i="50"/>
  <c r="E93" i="41"/>
  <c r="E248" i="50" s="1"/>
  <c r="E89" i="41"/>
  <c r="E244" i="50"/>
  <c r="E87" i="41"/>
  <c r="E86" i="41"/>
  <c r="E243" i="50"/>
  <c r="E84" i="41"/>
  <c r="E241" i="50" s="1"/>
  <c r="E82" i="41"/>
  <c r="E81" i="41"/>
  <c r="E80" i="41"/>
  <c r="E239" i="50" s="1"/>
  <c r="E78" i="41"/>
  <c r="E76" i="41"/>
  <c r="E75" i="41"/>
  <c r="E74" i="41"/>
  <c r="E73" i="41"/>
  <c r="E72" i="41"/>
  <c r="E71" i="41"/>
  <c r="E70" i="41"/>
  <c r="D69" i="41"/>
  <c r="E68" i="41"/>
  <c r="E67" i="41"/>
  <c r="D66" i="41"/>
  <c r="D65" i="41"/>
  <c r="D64" i="41"/>
  <c r="D62" i="41"/>
  <c r="E59" i="41"/>
  <c r="E57" i="41"/>
  <c r="E56" i="41"/>
  <c r="E55" i="41"/>
  <c r="D53" i="41"/>
  <c r="D51" i="41"/>
  <c r="C27" i="9"/>
  <c r="E41" i="41"/>
  <c r="E39" i="41"/>
  <c r="E49" i="41" s="1"/>
  <c r="E218" i="50" s="1"/>
  <c r="E38" i="41"/>
  <c r="E48" i="41" s="1"/>
  <c r="E214" i="50" s="1"/>
  <c r="E35" i="41"/>
  <c r="E45" i="41"/>
  <c r="E213" i="50" s="1"/>
  <c r="E34" i="41"/>
  <c r="E44" i="41"/>
  <c r="E215" i="50"/>
  <c r="E33" i="41"/>
  <c r="E43" i="41" s="1"/>
  <c r="E212" i="50" s="1"/>
  <c r="E31" i="41"/>
  <c r="E30" i="41"/>
  <c r="E29" i="41"/>
  <c r="E28" i="41"/>
  <c r="F27" i="41"/>
  <c r="F26" i="41"/>
  <c r="F25" i="41"/>
  <c r="F24" i="41"/>
  <c r="E23" i="41"/>
  <c r="E22" i="41"/>
  <c r="E20" i="41"/>
  <c r="E19" i="41"/>
  <c r="E18" i="41"/>
  <c r="E16" i="41"/>
  <c r="E13" i="41"/>
  <c r="D10" i="41"/>
  <c r="D8" i="41"/>
  <c r="C26" i="9" s="1"/>
  <c r="D6" i="41"/>
  <c r="C25" i="9"/>
  <c r="G4" i="41"/>
  <c r="E4" i="41"/>
  <c r="M3" i="41"/>
  <c r="K3" i="41"/>
  <c r="I3" i="41"/>
  <c r="G3" i="41"/>
  <c r="E3" i="41"/>
  <c r="M2" i="41"/>
  <c r="K2" i="41"/>
  <c r="I2" i="41"/>
  <c r="G2" i="41"/>
  <c r="E2" i="41"/>
  <c r="B2" i="41"/>
  <c r="D300" i="49"/>
  <c r="E298" i="49"/>
  <c r="E206" i="50"/>
  <c r="E295" i="49"/>
  <c r="E293" i="49"/>
  <c r="E292" i="49"/>
  <c r="E290" i="49"/>
  <c r="E288" i="49"/>
  <c r="M287" i="49"/>
  <c r="M208" i="50" s="1"/>
  <c r="J287" i="49"/>
  <c r="J208" i="50"/>
  <c r="E287" i="49"/>
  <c r="E208" i="50" s="1"/>
  <c r="E285" i="49"/>
  <c r="E283" i="49"/>
  <c r="E204" i="50" s="1"/>
  <c r="E281" i="49"/>
  <c r="E279" i="49"/>
  <c r="E278" i="49"/>
  <c r="E276" i="49"/>
  <c r="E274" i="49"/>
  <c r="E273" i="49"/>
  <c r="E271" i="49"/>
  <c r="E269" i="49"/>
  <c r="E201" i="50" s="1"/>
  <c r="E266" i="49"/>
  <c r="E261" i="49"/>
  <c r="E199" i="50" s="1"/>
  <c r="E259" i="49"/>
  <c r="E257" i="49"/>
  <c r="E198" i="50"/>
  <c r="D253" i="49"/>
  <c r="E250" i="49"/>
  <c r="E194" i="50"/>
  <c r="E248" i="49"/>
  <c r="E247" i="49"/>
  <c r="E246" i="49"/>
  <c r="E245" i="49"/>
  <c r="E243" i="49"/>
  <c r="E242" i="49"/>
  <c r="E241" i="49"/>
  <c r="E240" i="49"/>
  <c r="E238" i="49"/>
  <c r="M237" i="49"/>
  <c r="M196" i="50" s="1"/>
  <c r="J237" i="49"/>
  <c r="E237" i="49"/>
  <c r="E196" i="50" s="1"/>
  <c r="E236" i="49"/>
  <c r="E234" i="49"/>
  <c r="E192" i="50"/>
  <c r="E232" i="49"/>
  <c r="E231" i="49"/>
  <c r="E229" i="49"/>
  <c r="E228" i="49"/>
  <c r="E227" i="49"/>
  <c r="E226" i="49"/>
  <c r="E225" i="49"/>
  <c r="E224" i="49"/>
  <c r="E222" i="49"/>
  <c r="E221" i="49"/>
  <c r="E220" i="49"/>
  <c r="E219" i="49"/>
  <c r="E218" i="49"/>
  <c r="E216" i="49"/>
  <c r="E189" i="50"/>
  <c r="E214" i="49"/>
  <c r="E213" i="49"/>
  <c r="E209" i="49"/>
  <c r="E208" i="49"/>
  <c r="E207" i="49"/>
  <c r="E187" i="50" s="1"/>
  <c r="E205" i="49"/>
  <c r="E203" i="49"/>
  <c r="E202" i="49"/>
  <c r="E201" i="49"/>
  <c r="E186" i="50" s="1"/>
  <c r="D199" i="49"/>
  <c r="E197" i="49"/>
  <c r="F196" i="49"/>
  <c r="F195" i="49"/>
  <c r="F194" i="49"/>
  <c r="F193" i="49"/>
  <c r="F192" i="49"/>
  <c r="E191" i="49"/>
  <c r="E190" i="49"/>
  <c r="E189" i="49"/>
  <c r="E188" i="49"/>
  <c r="E187" i="49"/>
  <c r="D185" i="49"/>
  <c r="C24" i="9"/>
  <c r="E183" i="49"/>
  <c r="E182" i="50" s="1"/>
  <c r="E182" i="49"/>
  <c r="E181" i="50"/>
  <c r="E180" i="49"/>
  <c r="E178" i="49"/>
  <c r="E179" i="50"/>
  <c r="E177" i="49"/>
  <c r="E178" i="50" s="1"/>
  <c r="E175" i="49"/>
  <c r="E173" i="49"/>
  <c r="E172" i="49"/>
  <c r="E170" i="49"/>
  <c r="E168" i="49"/>
  <c r="E173" i="50"/>
  <c r="E167" i="49"/>
  <c r="E172" i="50" s="1"/>
  <c r="E165" i="49"/>
  <c r="L163" i="49"/>
  <c r="I163" i="49"/>
  <c r="E163" i="49"/>
  <c r="E161" i="49"/>
  <c r="E169" i="50"/>
  <c r="E160" i="49"/>
  <c r="E168" i="50" s="1"/>
  <c r="E159" i="49"/>
  <c r="E167" i="50"/>
  <c r="E157" i="49"/>
  <c r="E155" i="49"/>
  <c r="E164" i="50" s="1"/>
  <c r="E154" i="49"/>
  <c r="E152" i="49"/>
  <c r="E150" i="49"/>
  <c r="E163" i="50" s="1"/>
  <c r="E148" i="49"/>
  <c r="E146" i="49"/>
  <c r="E162" i="50" s="1"/>
  <c r="E144" i="49"/>
  <c r="D140" i="49"/>
  <c r="E138" i="49"/>
  <c r="E157" i="50" s="1"/>
  <c r="E137" i="49"/>
  <c r="E156" i="50"/>
  <c r="E135" i="49"/>
  <c r="E134" i="49"/>
  <c r="E132" i="49"/>
  <c r="E154" i="50"/>
  <c r="E131" i="49"/>
  <c r="E153" i="50" s="1"/>
  <c r="E129" i="49"/>
  <c r="E128" i="49"/>
  <c r="E127" i="49"/>
  <c r="E126" i="49"/>
  <c r="E124" i="49"/>
  <c r="E123" i="49"/>
  <c r="E121" i="49"/>
  <c r="E120" i="49"/>
  <c r="E119" i="49"/>
  <c r="E118" i="49"/>
  <c r="E117" i="49"/>
  <c r="E115" i="49"/>
  <c r="E148" i="50" s="1"/>
  <c r="E114" i="49"/>
  <c r="E147" i="50" s="1"/>
  <c r="E112" i="49"/>
  <c r="E111" i="49"/>
  <c r="E110" i="49"/>
  <c r="L108" i="49"/>
  <c r="I108" i="49"/>
  <c r="E108" i="49"/>
  <c r="E106" i="49"/>
  <c r="E144" i="50" s="1"/>
  <c r="E105" i="49"/>
  <c r="E143" i="50" s="1"/>
  <c r="E104" i="49"/>
  <c r="E142" i="50"/>
  <c r="E102" i="49"/>
  <c r="E101" i="49"/>
  <c r="E99" i="49"/>
  <c r="E139" i="50"/>
  <c r="E98" i="49"/>
  <c r="E96" i="49"/>
  <c r="E95" i="49"/>
  <c r="E93" i="49"/>
  <c r="E138" i="50" s="1"/>
  <c r="E91" i="49"/>
  <c r="E90" i="49"/>
  <c r="E88" i="49"/>
  <c r="E137" i="50" s="1"/>
  <c r="E86" i="49"/>
  <c r="E85" i="49"/>
  <c r="D83" i="49"/>
  <c r="E81" i="49"/>
  <c r="E80" i="49"/>
  <c r="E79" i="49"/>
  <c r="E78" i="49"/>
  <c r="E77" i="49"/>
  <c r="E76" i="49"/>
  <c r="D74" i="49"/>
  <c r="C23" i="9"/>
  <c r="E71" i="49"/>
  <c r="E70" i="49"/>
  <c r="D68" i="49"/>
  <c r="E66" i="49"/>
  <c r="E65" i="49"/>
  <c r="D63" i="49"/>
  <c r="D61" i="49"/>
  <c r="C22" i="9"/>
  <c r="E59" i="49"/>
  <c r="E72" i="50" s="1"/>
  <c r="E58" i="49"/>
  <c r="E71" i="50"/>
  <c r="E57" i="49"/>
  <c r="E70" i="50" s="1"/>
  <c r="E56" i="49"/>
  <c r="E69" i="50"/>
  <c r="E55" i="49"/>
  <c r="E68" i="50" s="1"/>
  <c r="E54" i="49"/>
  <c r="E67" i="50" s="1"/>
  <c r="E53" i="49"/>
  <c r="E66" i="50" s="1"/>
  <c r="E52" i="49"/>
  <c r="E65" i="50"/>
  <c r="E51" i="49"/>
  <c r="E64" i="50" s="1"/>
  <c r="E50" i="49"/>
  <c r="E49" i="49"/>
  <c r="E48" i="49"/>
  <c r="D47" i="49"/>
  <c r="E44" i="49"/>
  <c r="E43" i="49"/>
  <c r="E42" i="49"/>
  <c r="E41" i="49"/>
  <c r="E40" i="49"/>
  <c r="E39" i="49"/>
  <c r="E38" i="49"/>
  <c r="E37" i="49"/>
  <c r="E36" i="49"/>
  <c r="F34" i="49"/>
  <c r="F33" i="49"/>
  <c r="F32" i="49"/>
  <c r="F31" i="49"/>
  <c r="F30" i="49"/>
  <c r="F29" i="49"/>
  <c r="E28" i="49"/>
  <c r="E27" i="49"/>
  <c r="D26" i="49"/>
  <c r="E24" i="49"/>
  <c r="E23" i="49"/>
  <c r="E22" i="49"/>
  <c r="E21" i="49"/>
  <c r="E20" i="49"/>
  <c r="E19" i="49"/>
  <c r="E18" i="49"/>
  <c r="E17" i="49"/>
  <c r="E16" i="49"/>
  <c r="E14" i="49"/>
  <c r="D13" i="49"/>
  <c r="D11" i="49"/>
  <c r="D10" i="49"/>
  <c r="D8" i="49"/>
  <c r="C21" i="9"/>
  <c r="D6" i="49"/>
  <c r="C20" i="9" s="1"/>
  <c r="I4" i="49"/>
  <c r="G4" i="49"/>
  <c r="E4" i="49"/>
  <c r="M3" i="49"/>
  <c r="K3" i="49"/>
  <c r="I3" i="49"/>
  <c r="G3" i="49"/>
  <c r="E3" i="49"/>
  <c r="M2" i="49"/>
  <c r="K2" i="49"/>
  <c r="I2" i="49"/>
  <c r="G2" i="49"/>
  <c r="E2" i="49"/>
  <c r="B2" i="49"/>
  <c r="D132" i="59"/>
  <c r="D131" i="59"/>
  <c r="C131" i="59"/>
  <c r="AY130" i="59"/>
  <c r="AX130" i="59"/>
  <c r="AW130" i="59"/>
  <c r="AV130" i="59"/>
  <c r="AU130" i="59"/>
  <c r="AT130" i="59"/>
  <c r="AS130" i="59"/>
  <c r="AR130" i="59"/>
  <c r="AQ130" i="59"/>
  <c r="AP130" i="59"/>
  <c r="AO130" i="59"/>
  <c r="AN130" i="59"/>
  <c r="AM130" i="59"/>
  <c r="AL130" i="59"/>
  <c r="AK130" i="59"/>
  <c r="AJ130" i="59"/>
  <c r="AI130" i="59"/>
  <c r="AH130" i="59"/>
  <c r="AG130" i="59"/>
  <c r="AF130" i="59"/>
  <c r="AE130" i="59"/>
  <c r="AD130" i="59"/>
  <c r="AC130" i="59"/>
  <c r="AB130" i="59"/>
  <c r="AA130" i="59"/>
  <c r="Z130" i="59"/>
  <c r="Y130" i="59"/>
  <c r="X130" i="59"/>
  <c r="W130" i="59"/>
  <c r="V130" i="59"/>
  <c r="U130" i="59"/>
  <c r="T130" i="59"/>
  <c r="S130" i="59"/>
  <c r="R130" i="59"/>
  <c r="Q130" i="59"/>
  <c r="P130" i="59"/>
  <c r="O130" i="59"/>
  <c r="N130" i="59"/>
  <c r="M130" i="59"/>
  <c r="L130" i="59"/>
  <c r="K130" i="59"/>
  <c r="J130" i="59"/>
  <c r="I130" i="59"/>
  <c r="H130" i="59"/>
  <c r="G130" i="59"/>
  <c r="F130" i="59"/>
  <c r="E130" i="59"/>
  <c r="D130" i="59"/>
  <c r="D129" i="59"/>
  <c r="AC117" i="59"/>
  <c r="AA117" i="59"/>
  <c r="Y117" i="59"/>
  <c r="E117" i="59"/>
  <c r="D117" i="59"/>
  <c r="C117" i="59"/>
  <c r="AC116" i="59"/>
  <c r="AA116" i="59"/>
  <c r="Y116" i="59"/>
  <c r="E116" i="59"/>
  <c r="C116" i="59"/>
  <c r="AY115" i="59"/>
  <c r="AX115" i="59"/>
  <c r="AW115" i="59"/>
  <c r="AV115" i="59"/>
  <c r="AU115" i="59"/>
  <c r="AT115" i="59"/>
  <c r="AS115" i="59"/>
  <c r="AR115" i="59"/>
  <c r="AQ115" i="59"/>
  <c r="AP115" i="59"/>
  <c r="AO115" i="59"/>
  <c r="AN115" i="59"/>
  <c r="AM115" i="59"/>
  <c r="AL115" i="59"/>
  <c r="AK115" i="59"/>
  <c r="AJ115" i="59"/>
  <c r="AI115" i="59"/>
  <c r="AH115" i="59"/>
  <c r="AG115" i="59"/>
  <c r="AF115" i="59"/>
  <c r="AE115" i="59"/>
  <c r="AD115" i="59"/>
  <c r="AC115" i="59"/>
  <c r="AB115" i="59"/>
  <c r="AA115" i="59"/>
  <c r="Z115" i="59"/>
  <c r="Y115" i="59"/>
  <c r="X115" i="59"/>
  <c r="W115" i="59"/>
  <c r="V115" i="59"/>
  <c r="U115" i="59"/>
  <c r="T115" i="59"/>
  <c r="S115" i="59"/>
  <c r="R115" i="59"/>
  <c r="Q115" i="59"/>
  <c r="P115" i="59"/>
  <c r="O115" i="59"/>
  <c r="N115" i="59"/>
  <c r="M115" i="59"/>
  <c r="L115" i="59"/>
  <c r="K115" i="59"/>
  <c r="J115" i="59"/>
  <c r="I115" i="59"/>
  <c r="H115" i="59"/>
  <c r="G115" i="59"/>
  <c r="F115" i="59"/>
  <c r="E115" i="59"/>
  <c r="D115" i="59"/>
  <c r="D114" i="59"/>
  <c r="E102" i="59"/>
  <c r="D102" i="59"/>
  <c r="C102" i="59"/>
  <c r="AY101" i="59"/>
  <c r="AX101" i="59"/>
  <c r="AW101" i="59"/>
  <c r="AV101" i="59"/>
  <c r="AU101" i="59"/>
  <c r="AT101" i="59"/>
  <c r="AS101" i="59"/>
  <c r="AR101" i="59"/>
  <c r="AQ101" i="59"/>
  <c r="AP101" i="59"/>
  <c r="AO101" i="59"/>
  <c r="AN101" i="59"/>
  <c r="AM101" i="59"/>
  <c r="AL101" i="59"/>
  <c r="AK101" i="59"/>
  <c r="AJ101" i="59"/>
  <c r="AI101" i="59"/>
  <c r="AH101" i="59"/>
  <c r="AG101" i="59"/>
  <c r="AF101" i="59"/>
  <c r="AE101" i="59"/>
  <c r="AD101" i="59"/>
  <c r="AC101" i="59"/>
  <c r="AB101" i="59"/>
  <c r="AA101" i="59"/>
  <c r="Z101" i="59"/>
  <c r="Y101" i="59"/>
  <c r="X101" i="59"/>
  <c r="W101" i="59"/>
  <c r="V101" i="59"/>
  <c r="U101" i="59"/>
  <c r="T101" i="59"/>
  <c r="S101" i="59"/>
  <c r="R101" i="59"/>
  <c r="Q101" i="59"/>
  <c r="P101" i="59"/>
  <c r="O101" i="59"/>
  <c r="N101" i="59"/>
  <c r="M101" i="59"/>
  <c r="L101" i="59"/>
  <c r="K101" i="59"/>
  <c r="J101" i="59"/>
  <c r="I101" i="59"/>
  <c r="H101" i="59"/>
  <c r="G101" i="59"/>
  <c r="F101" i="59"/>
  <c r="E101" i="59"/>
  <c r="D101" i="59"/>
  <c r="D100" i="59"/>
  <c r="E23" i="59"/>
  <c r="D23" i="59"/>
  <c r="C23" i="59"/>
  <c r="E22" i="59"/>
  <c r="D22" i="59"/>
  <c r="C22" i="59"/>
  <c r="E21" i="59"/>
  <c r="D21" i="59"/>
  <c r="C21"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V20" i="59"/>
  <c r="U20" i="59"/>
  <c r="T20" i="59"/>
  <c r="S20" i="59"/>
  <c r="R20" i="59"/>
  <c r="Q20" i="59"/>
  <c r="P20" i="59"/>
  <c r="O20" i="59"/>
  <c r="N20" i="59"/>
  <c r="M20" i="59"/>
  <c r="L20" i="59"/>
  <c r="K20" i="59"/>
  <c r="J20" i="59"/>
  <c r="I20" i="59"/>
  <c r="H20" i="59"/>
  <c r="G20" i="59"/>
  <c r="F20" i="59"/>
  <c r="E20" i="59"/>
  <c r="D20" i="59"/>
  <c r="D19" i="59"/>
  <c r="D18" i="59"/>
  <c r="D17" i="59"/>
  <c r="D16" i="59"/>
  <c r="D15" i="59"/>
  <c r="D14" i="59"/>
  <c r="D11" i="59"/>
  <c r="D10" i="59"/>
  <c r="D8" i="59"/>
  <c r="D6" i="59"/>
  <c r="L3" i="59"/>
  <c r="J3" i="59"/>
  <c r="H3" i="59"/>
  <c r="F3" i="59"/>
  <c r="E3" i="59"/>
  <c r="L2" i="59"/>
  <c r="J2" i="59"/>
  <c r="H2" i="59"/>
  <c r="F2" i="59"/>
  <c r="E2" i="59"/>
  <c r="B2" i="59"/>
  <c r="D132" i="58"/>
  <c r="D131" i="58"/>
  <c r="C131" i="58"/>
  <c r="AY130" i="58"/>
  <c r="AX130" i="58"/>
  <c r="AW130" i="58"/>
  <c r="AV130" i="58"/>
  <c r="AU130" i="58"/>
  <c r="AT130" i="58"/>
  <c r="AS130" i="58"/>
  <c r="AR130" i="58"/>
  <c r="AQ130" i="58"/>
  <c r="AP130" i="58"/>
  <c r="AO130" i="58"/>
  <c r="AN130" i="58"/>
  <c r="AM130" i="58"/>
  <c r="AL130" i="58"/>
  <c r="AK130" i="58"/>
  <c r="AJ130" i="58"/>
  <c r="AI130" i="58"/>
  <c r="AH130" i="58"/>
  <c r="AG130" i="58"/>
  <c r="AF130" i="58"/>
  <c r="AE130" i="58"/>
  <c r="AD130" i="58"/>
  <c r="AC130" i="58"/>
  <c r="AB130" i="58"/>
  <c r="AA130" i="58"/>
  <c r="Z130" i="58"/>
  <c r="Y130" i="58"/>
  <c r="X130" i="58"/>
  <c r="W130" i="58"/>
  <c r="V130" i="58"/>
  <c r="U130" i="58"/>
  <c r="T130" i="58"/>
  <c r="S130" i="58"/>
  <c r="R130" i="58"/>
  <c r="Q130" i="58"/>
  <c r="P130" i="58"/>
  <c r="O130" i="58"/>
  <c r="N130" i="58"/>
  <c r="M130" i="58"/>
  <c r="L130" i="58"/>
  <c r="K130" i="58"/>
  <c r="J130" i="58"/>
  <c r="I130" i="58"/>
  <c r="H130" i="58"/>
  <c r="G130" i="58"/>
  <c r="F130" i="58"/>
  <c r="E130" i="58"/>
  <c r="D130" i="58"/>
  <c r="D129" i="58"/>
  <c r="AC117" i="58"/>
  <c r="AA117" i="58"/>
  <c r="Y117" i="58"/>
  <c r="E117" i="58"/>
  <c r="D117" i="58"/>
  <c r="C117" i="58"/>
  <c r="AC116" i="58"/>
  <c r="AA116" i="58"/>
  <c r="Y116" i="58"/>
  <c r="E116" i="58"/>
  <c r="C116" i="58"/>
  <c r="AY115" i="58"/>
  <c r="AX115" i="58"/>
  <c r="AW115" i="58"/>
  <c r="AV115" i="58"/>
  <c r="AU115" i="58"/>
  <c r="AT115" i="58"/>
  <c r="AS115" i="58"/>
  <c r="AR115" i="58"/>
  <c r="AQ115" i="58"/>
  <c r="AP115" i="58"/>
  <c r="AO115" i="58"/>
  <c r="AN115" i="58"/>
  <c r="AM115" i="58"/>
  <c r="AL115" i="58"/>
  <c r="AK115" i="58"/>
  <c r="AJ115" i="58"/>
  <c r="AI115" i="58"/>
  <c r="AH115" i="58"/>
  <c r="AG115" i="58"/>
  <c r="AF115" i="58"/>
  <c r="AE115" i="58"/>
  <c r="AD115" i="58"/>
  <c r="AC115" i="58"/>
  <c r="AB115" i="58"/>
  <c r="AA115" i="58"/>
  <c r="Z115" i="58"/>
  <c r="Y115" i="58"/>
  <c r="X115" i="58"/>
  <c r="W115" i="58"/>
  <c r="V115" i="58"/>
  <c r="U115" i="58"/>
  <c r="T115" i="58"/>
  <c r="S115" i="58"/>
  <c r="R115" i="58"/>
  <c r="Q115" i="58"/>
  <c r="P115" i="58"/>
  <c r="O115" i="58"/>
  <c r="N115" i="58"/>
  <c r="M115" i="58"/>
  <c r="L115" i="58"/>
  <c r="K115" i="58"/>
  <c r="J115" i="58"/>
  <c r="I115" i="58"/>
  <c r="H115" i="58"/>
  <c r="G115" i="58"/>
  <c r="F115" i="58"/>
  <c r="E115" i="58"/>
  <c r="D115" i="58"/>
  <c r="D114" i="58"/>
  <c r="E102" i="58"/>
  <c r="D102" i="58"/>
  <c r="C102" i="58"/>
  <c r="AY101" i="58"/>
  <c r="AX101" i="58"/>
  <c r="AW101" i="58"/>
  <c r="AV101" i="58"/>
  <c r="AU101" i="58"/>
  <c r="AT101" i="58"/>
  <c r="AS101" i="58"/>
  <c r="AR101" i="58"/>
  <c r="AQ101" i="58"/>
  <c r="AP101" i="58"/>
  <c r="AO101" i="58"/>
  <c r="AN101" i="58"/>
  <c r="AM101" i="58"/>
  <c r="AL101" i="58"/>
  <c r="AK101" i="58"/>
  <c r="AJ101" i="58"/>
  <c r="AI101" i="58"/>
  <c r="AH101" i="58"/>
  <c r="AG101" i="58"/>
  <c r="AF101" i="58"/>
  <c r="AE101" i="58"/>
  <c r="AD101" i="58"/>
  <c r="AC101" i="58"/>
  <c r="AB101" i="58"/>
  <c r="AA101" i="58"/>
  <c r="Z101" i="58"/>
  <c r="Y101" i="58"/>
  <c r="X101" i="58"/>
  <c r="W101" i="58"/>
  <c r="V101" i="58"/>
  <c r="U101" i="58"/>
  <c r="T101" i="58"/>
  <c r="S101" i="58"/>
  <c r="R101" i="58"/>
  <c r="Q101" i="58"/>
  <c r="P101" i="58"/>
  <c r="O101" i="58"/>
  <c r="N101" i="58"/>
  <c r="M101" i="58"/>
  <c r="L101" i="58"/>
  <c r="K101" i="58"/>
  <c r="J101" i="58"/>
  <c r="I101" i="58"/>
  <c r="H101" i="58"/>
  <c r="G101" i="58"/>
  <c r="F101" i="58"/>
  <c r="E101" i="58"/>
  <c r="D101" i="58"/>
  <c r="D100" i="58"/>
  <c r="E23" i="58"/>
  <c r="D23" i="58"/>
  <c r="C23" i="58"/>
  <c r="E22" i="58"/>
  <c r="D22" i="58"/>
  <c r="C22" i="58"/>
  <c r="E21" i="58"/>
  <c r="D21" i="58"/>
  <c r="C21" i="58"/>
  <c r="AY20" i="58"/>
  <c r="AX20" i="58"/>
  <c r="AW20" i="58"/>
  <c r="AV20" i="58"/>
  <c r="AU20" i="58"/>
  <c r="AT20" i="58"/>
  <c r="AS20" i="58"/>
  <c r="AR20" i="58"/>
  <c r="AQ20" i="58"/>
  <c r="AP20" i="58"/>
  <c r="AO20" i="58"/>
  <c r="AN20" i="58"/>
  <c r="AM20" i="58"/>
  <c r="AL20" i="58"/>
  <c r="AK20" i="58"/>
  <c r="AJ20" i="58"/>
  <c r="AI20" i="58"/>
  <c r="AH20" i="58"/>
  <c r="AG20" i="58"/>
  <c r="AF20" i="58"/>
  <c r="AE20" i="58"/>
  <c r="AD20" i="58"/>
  <c r="AC20" i="58"/>
  <c r="AB20" i="58"/>
  <c r="AA20" i="58"/>
  <c r="Z20" i="58"/>
  <c r="Y20" i="58"/>
  <c r="X20" i="58"/>
  <c r="W20" i="58"/>
  <c r="V20" i="58"/>
  <c r="U20" i="58"/>
  <c r="T20" i="58"/>
  <c r="S20" i="58"/>
  <c r="R20" i="58"/>
  <c r="Q20" i="58"/>
  <c r="P20" i="58"/>
  <c r="O20" i="58"/>
  <c r="N20" i="58"/>
  <c r="M20" i="58"/>
  <c r="L20" i="58"/>
  <c r="K20" i="58"/>
  <c r="J20" i="58"/>
  <c r="I20" i="58"/>
  <c r="H20" i="58"/>
  <c r="G20" i="58"/>
  <c r="F20" i="58"/>
  <c r="E20" i="58"/>
  <c r="D20" i="58"/>
  <c r="D19" i="58"/>
  <c r="D18" i="58"/>
  <c r="D17" i="58"/>
  <c r="D16" i="58"/>
  <c r="D15" i="58"/>
  <c r="D14" i="58"/>
  <c r="D11" i="58"/>
  <c r="D10" i="58"/>
  <c r="D8" i="58"/>
  <c r="D6" i="58"/>
  <c r="L3" i="58"/>
  <c r="J3" i="58"/>
  <c r="H3" i="58"/>
  <c r="F3" i="58"/>
  <c r="E3" i="58"/>
  <c r="L2" i="58"/>
  <c r="J2" i="58"/>
  <c r="H2" i="58"/>
  <c r="F2" i="58"/>
  <c r="E2" i="58"/>
  <c r="B2" i="58"/>
  <c r="D132" i="57"/>
  <c r="D131" i="57"/>
  <c r="C131" i="57"/>
  <c r="AY130" i="57"/>
  <c r="AX130" i="57"/>
  <c r="AW130" i="57"/>
  <c r="AV130" i="57"/>
  <c r="AU130" i="57"/>
  <c r="AT130" i="57"/>
  <c r="AS130" i="57"/>
  <c r="AR130" i="57"/>
  <c r="AQ130" i="57"/>
  <c r="AP130" i="57"/>
  <c r="AO130" i="57"/>
  <c r="AN130" i="57"/>
  <c r="AM130" i="57"/>
  <c r="AL130" i="57"/>
  <c r="AK130" i="57"/>
  <c r="AJ130" i="57"/>
  <c r="AI130" i="57"/>
  <c r="AH130" i="57"/>
  <c r="AG130" i="57"/>
  <c r="AF130" i="57"/>
  <c r="AE130" i="57"/>
  <c r="AD130" i="57"/>
  <c r="AC130" i="57"/>
  <c r="AB130" i="57"/>
  <c r="AA130" i="57"/>
  <c r="Z130" i="57"/>
  <c r="Y130" i="57"/>
  <c r="X130" i="57"/>
  <c r="W130" i="57"/>
  <c r="V130" i="57"/>
  <c r="U130" i="57"/>
  <c r="T130" i="57"/>
  <c r="S130" i="57"/>
  <c r="R130" i="57"/>
  <c r="Q130" i="57"/>
  <c r="P130" i="57"/>
  <c r="O130" i="57"/>
  <c r="N130" i="57"/>
  <c r="M130" i="57"/>
  <c r="L130" i="57"/>
  <c r="K130" i="57"/>
  <c r="J130" i="57"/>
  <c r="I130" i="57"/>
  <c r="H130" i="57"/>
  <c r="G130" i="57"/>
  <c r="F130" i="57"/>
  <c r="E130" i="57"/>
  <c r="D130" i="57"/>
  <c r="D129" i="57"/>
  <c r="AC117" i="57"/>
  <c r="AA117" i="57"/>
  <c r="Y117" i="57"/>
  <c r="E117" i="57"/>
  <c r="D117" i="57"/>
  <c r="C117" i="57"/>
  <c r="AC116" i="57"/>
  <c r="AA116" i="57"/>
  <c r="Y116" i="57"/>
  <c r="E116" i="57"/>
  <c r="C116" i="57"/>
  <c r="AY115" i="57"/>
  <c r="AX115" i="57"/>
  <c r="AW115" i="57"/>
  <c r="AV115" i="57"/>
  <c r="AU115" i="57"/>
  <c r="AT115" i="57"/>
  <c r="AS115" i="57"/>
  <c r="AR115" i="57"/>
  <c r="AQ115" i="57"/>
  <c r="AP115" i="57"/>
  <c r="AO115" i="57"/>
  <c r="AN115" i="57"/>
  <c r="AM115" i="57"/>
  <c r="AL115" i="57"/>
  <c r="AK115" i="57"/>
  <c r="AJ115" i="57"/>
  <c r="AI115" i="57"/>
  <c r="AH115" i="57"/>
  <c r="AG115" i="57"/>
  <c r="AF115" i="57"/>
  <c r="AE115" i="57"/>
  <c r="AD115" i="57"/>
  <c r="AC115" i="57"/>
  <c r="AB115" i="57"/>
  <c r="AA115" i="57"/>
  <c r="Z115" i="57"/>
  <c r="Y115" i="57"/>
  <c r="X115" i="57"/>
  <c r="W115" i="57"/>
  <c r="V115" i="57"/>
  <c r="U115" i="57"/>
  <c r="T115" i="57"/>
  <c r="S115" i="57"/>
  <c r="R115" i="57"/>
  <c r="Q115" i="57"/>
  <c r="P115" i="57"/>
  <c r="O115" i="57"/>
  <c r="N115" i="57"/>
  <c r="M115" i="57"/>
  <c r="L115" i="57"/>
  <c r="K115" i="57"/>
  <c r="J115" i="57"/>
  <c r="I115" i="57"/>
  <c r="H115" i="57"/>
  <c r="G115" i="57"/>
  <c r="F115" i="57"/>
  <c r="E115" i="57"/>
  <c r="D115" i="57"/>
  <c r="D114" i="57"/>
  <c r="E102" i="57"/>
  <c r="D102" i="57"/>
  <c r="C102" i="57"/>
  <c r="AY101" i="57"/>
  <c r="AX101" i="57"/>
  <c r="AW101" i="57"/>
  <c r="AV101" i="57"/>
  <c r="AU101" i="57"/>
  <c r="AT101" i="57"/>
  <c r="AS101" i="57"/>
  <c r="AR101" i="57"/>
  <c r="AQ101" i="57"/>
  <c r="AP101" i="57"/>
  <c r="AO101" i="57"/>
  <c r="AN101" i="57"/>
  <c r="AM101" i="57"/>
  <c r="AL101" i="57"/>
  <c r="AK101" i="57"/>
  <c r="AJ101" i="57"/>
  <c r="AI101" i="57"/>
  <c r="AH101" i="57"/>
  <c r="AG101" i="57"/>
  <c r="AF101" i="57"/>
  <c r="AE101" i="57"/>
  <c r="AD101" i="57"/>
  <c r="AC101" i="57"/>
  <c r="AB101" i="57"/>
  <c r="AA101" i="57"/>
  <c r="Z101" i="57"/>
  <c r="Y101" i="57"/>
  <c r="X101" i="57"/>
  <c r="W101" i="57"/>
  <c r="V101" i="57"/>
  <c r="U101" i="57"/>
  <c r="T101" i="57"/>
  <c r="S101" i="57"/>
  <c r="R101" i="57"/>
  <c r="Q101" i="57"/>
  <c r="P101" i="57"/>
  <c r="O101" i="57"/>
  <c r="N101" i="57"/>
  <c r="M101" i="57"/>
  <c r="L101" i="57"/>
  <c r="K101" i="57"/>
  <c r="J101" i="57"/>
  <c r="I101" i="57"/>
  <c r="H101" i="57"/>
  <c r="G101" i="57"/>
  <c r="F101" i="57"/>
  <c r="E101" i="57"/>
  <c r="D101" i="57"/>
  <c r="D100" i="57"/>
  <c r="E23" i="57"/>
  <c r="D23" i="57"/>
  <c r="C23" i="57"/>
  <c r="E22" i="57"/>
  <c r="D22" i="57"/>
  <c r="C22" i="57"/>
  <c r="E21" i="57"/>
  <c r="D21" i="57"/>
  <c r="C21"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F20" i="57"/>
  <c r="E20" i="57"/>
  <c r="D20" i="57"/>
  <c r="D19" i="57"/>
  <c r="D18" i="57"/>
  <c r="D17" i="57"/>
  <c r="D16" i="57"/>
  <c r="D15" i="57"/>
  <c r="D14" i="57"/>
  <c r="D11" i="57"/>
  <c r="D10" i="57"/>
  <c r="D8" i="57"/>
  <c r="D6" i="57"/>
  <c r="L3" i="57"/>
  <c r="J3" i="57"/>
  <c r="H3" i="57"/>
  <c r="F3" i="57"/>
  <c r="E3" i="57"/>
  <c r="L2" i="57"/>
  <c r="J2" i="57"/>
  <c r="H2" i="57"/>
  <c r="F2" i="57"/>
  <c r="E2" i="57"/>
  <c r="B2" i="57"/>
  <c r="D132" i="56"/>
  <c r="D131" i="56"/>
  <c r="C131" i="56"/>
  <c r="AY130" i="56"/>
  <c r="AX130" i="56"/>
  <c r="AW130" i="56"/>
  <c r="AV130" i="56"/>
  <c r="AU130" i="56"/>
  <c r="AT130" i="56"/>
  <c r="AS130" i="56"/>
  <c r="AR130" i="56"/>
  <c r="AQ130" i="56"/>
  <c r="AP130" i="56"/>
  <c r="AO130" i="56"/>
  <c r="AN130" i="56"/>
  <c r="AM130" i="56"/>
  <c r="AL130" i="56"/>
  <c r="AK130" i="56"/>
  <c r="AJ130" i="56"/>
  <c r="AI130" i="56"/>
  <c r="AH130" i="56"/>
  <c r="AG130" i="56"/>
  <c r="AF130" i="56"/>
  <c r="AE130" i="56"/>
  <c r="AD130" i="56"/>
  <c r="AC130" i="56"/>
  <c r="AB130" i="56"/>
  <c r="AA130" i="56"/>
  <c r="Z130" i="56"/>
  <c r="Y130" i="56"/>
  <c r="X130" i="56"/>
  <c r="W130" i="56"/>
  <c r="V130" i="56"/>
  <c r="U130" i="56"/>
  <c r="T130" i="56"/>
  <c r="S130" i="56"/>
  <c r="R130" i="56"/>
  <c r="Q130" i="56"/>
  <c r="P130" i="56"/>
  <c r="O130" i="56"/>
  <c r="N130" i="56"/>
  <c r="M130" i="56"/>
  <c r="L130" i="56"/>
  <c r="K130" i="56"/>
  <c r="J130" i="56"/>
  <c r="I130" i="56"/>
  <c r="H130" i="56"/>
  <c r="G130" i="56"/>
  <c r="F130" i="56"/>
  <c r="E130" i="56"/>
  <c r="D130" i="56"/>
  <c r="D129" i="56"/>
  <c r="AC117" i="56"/>
  <c r="AA117" i="56"/>
  <c r="Y117" i="56"/>
  <c r="E117" i="56"/>
  <c r="D117" i="56"/>
  <c r="C117" i="56"/>
  <c r="AC116" i="56"/>
  <c r="AA116" i="56"/>
  <c r="Y116" i="56"/>
  <c r="E116" i="56"/>
  <c r="C116" i="56"/>
  <c r="AY115" i="56"/>
  <c r="AX115" i="56"/>
  <c r="AW115" i="56"/>
  <c r="AV115" i="56"/>
  <c r="AU115" i="56"/>
  <c r="AT115" i="56"/>
  <c r="AS115" i="56"/>
  <c r="AR115" i="56"/>
  <c r="AQ115" i="56"/>
  <c r="AP115" i="56"/>
  <c r="AO115" i="56"/>
  <c r="AN115" i="56"/>
  <c r="AM115" i="56"/>
  <c r="AL115" i="56"/>
  <c r="AK115" i="56"/>
  <c r="AJ115" i="56"/>
  <c r="AI115" i="56"/>
  <c r="AH115" i="56"/>
  <c r="AG115" i="56"/>
  <c r="AF115" i="56"/>
  <c r="AE115" i="56"/>
  <c r="AD115" i="56"/>
  <c r="AC115" i="56"/>
  <c r="AB115" i="56"/>
  <c r="AA115" i="56"/>
  <c r="Z115" i="56"/>
  <c r="Y115" i="56"/>
  <c r="X115" i="56"/>
  <c r="W115" i="56"/>
  <c r="V115" i="56"/>
  <c r="U115" i="56"/>
  <c r="T115" i="56"/>
  <c r="S115" i="56"/>
  <c r="R115" i="56"/>
  <c r="Q115" i="56"/>
  <c r="P115" i="56"/>
  <c r="O115" i="56"/>
  <c r="N115" i="56"/>
  <c r="M115" i="56"/>
  <c r="L115" i="56"/>
  <c r="K115" i="56"/>
  <c r="J115" i="56"/>
  <c r="I115" i="56"/>
  <c r="H115" i="56"/>
  <c r="G115" i="56"/>
  <c r="F115" i="56"/>
  <c r="E115" i="56"/>
  <c r="D115" i="56"/>
  <c r="D114" i="56"/>
  <c r="E102" i="56"/>
  <c r="D102" i="56"/>
  <c r="C102" i="56"/>
  <c r="AY101" i="56"/>
  <c r="AX101" i="56"/>
  <c r="AW101" i="56"/>
  <c r="AV101" i="56"/>
  <c r="AU101" i="56"/>
  <c r="AT101" i="56"/>
  <c r="AS101" i="56"/>
  <c r="AR101" i="56"/>
  <c r="AQ101" i="56"/>
  <c r="AP101" i="56"/>
  <c r="AO101" i="56"/>
  <c r="AN101" i="56"/>
  <c r="AM101" i="56"/>
  <c r="AL101" i="56"/>
  <c r="AK101" i="56"/>
  <c r="AJ101" i="56"/>
  <c r="AI101" i="56"/>
  <c r="AH101" i="56"/>
  <c r="AG101" i="56"/>
  <c r="AF101" i="56"/>
  <c r="AE101" i="56"/>
  <c r="AD101" i="56"/>
  <c r="AC101" i="56"/>
  <c r="AB101" i="56"/>
  <c r="AA101" i="56"/>
  <c r="Z101" i="56"/>
  <c r="Y101" i="56"/>
  <c r="X101" i="56"/>
  <c r="W101" i="56"/>
  <c r="V101" i="56"/>
  <c r="U101" i="56"/>
  <c r="T101" i="56"/>
  <c r="S101" i="56"/>
  <c r="R101" i="56"/>
  <c r="Q101" i="56"/>
  <c r="P101" i="56"/>
  <c r="O101" i="56"/>
  <c r="N101" i="56"/>
  <c r="M101" i="56"/>
  <c r="L101" i="56"/>
  <c r="K101" i="56"/>
  <c r="J101" i="56"/>
  <c r="I101" i="56"/>
  <c r="H101" i="56"/>
  <c r="G101" i="56"/>
  <c r="F101" i="56"/>
  <c r="E101" i="56"/>
  <c r="D101" i="56"/>
  <c r="D100" i="56"/>
  <c r="E23" i="56"/>
  <c r="D23" i="56"/>
  <c r="C23" i="56"/>
  <c r="E22" i="56"/>
  <c r="D22" i="56"/>
  <c r="C22" i="56"/>
  <c r="E21" i="56"/>
  <c r="D21" i="56"/>
  <c r="C21" i="56"/>
  <c r="AY20" i="56"/>
  <c r="AX20" i="56"/>
  <c r="AW20" i="56"/>
  <c r="AV20" i="56"/>
  <c r="AU20" i="56"/>
  <c r="AT20" i="56"/>
  <c r="AS20" i="56"/>
  <c r="AR20" i="56"/>
  <c r="AQ20" i="56"/>
  <c r="AP20" i="56"/>
  <c r="AO20" i="56"/>
  <c r="AN20" i="56"/>
  <c r="AM20" i="56"/>
  <c r="AL20" i="56"/>
  <c r="AK20" i="56"/>
  <c r="AJ20" i="56"/>
  <c r="AI20" i="56"/>
  <c r="AH20" i="56"/>
  <c r="AG20" i="56"/>
  <c r="AF20" i="56"/>
  <c r="AE20" i="56"/>
  <c r="AD20" i="56"/>
  <c r="AC20" i="56"/>
  <c r="AB20" i="56"/>
  <c r="AA20" i="56"/>
  <c r="Z20" i="56"/>
  <c r="Y20" i="56"/>
  <c r="X20" i="56"/>
  <c r="W20" i="56"/>
  <c r="V20" i="56"/>
  <c r="U20" i="56"/>
  <c r="T20" i="56"/>
  <c r="S20" i="56"/>
  <c r="R20" i="56"/>
  <c r="Q20" i="56"/>
  <c r="P20" i="56"/>
  <c r="O20" i="56"/>
  <c r="N20" i="56"/>
  <c r="M20" i="56"/>
  <c r="L20" i="56"/>
  <c r="K20" i="56"/>
  <c r="J20" i="56"/>
  <c r="I20" i="56"/>
  <c r="H20" i="56"/>
  <c r="G20" i="56"/>
  <c r="F20" i="56"/>
  <c r="E20" i="56"/>
  <c r="D20" i="56"/>
  <c r="D19" i="56"/>
  <c r="D18" i="56"/>
  <c r="D17" i="56"/>
  <c r="D16" i="56"/>
  <c r="D15" i="56"/>
  <c r="D14" i="56"/>
  <c r="D11" i="56"/>
  <c r="D10" i="56"/>
  <c r="D8" i="56"/>
  <c r="D6" i="56"/>
  <c r="L3" i="56"/>
  <c r="J3" i="56"/>
  <c r="H3" i="56"/>
  <c r="F3" i="56"/>
  <c r="E3" i="56"/>
  <c r="L2" i="56"/>
  <c r="J2" i="56"/>
  <c r="H2" i="56"/>
  <c r="F2" i="56"/>
  <c r="E2" i="56"/>
  <c r="B2" i="56"/>
  <c r="D132" i="55"/>
  <c r="D131" i="55"/>
  <c r="C131" i="55"/>
  <c r="AY130" i="55"/>
  <c r="AX130" i="55"/>
  <c r="AW130" i="55"/>
  <c r="AV130" i="55"/>
  <c r="AU130" i="55"/>
  <c r="AT130" i="55"/>
  <c r="AS130" i="55"/>
  <c r="AR130" i="55"/>
  <c r="AQ130" i="55"/>
  <c r="AP130" i="55"/>
  <c r="AO130" i="55"/>
  <c r="AN130" i="55"/>
  <c r="AM130" i="55"/>
  <c r="AL130" i="55"/>
  <c r="AK130" i="55"/>
  <c r="AJ130" i="55"/>
  <c r="AI130" i="55"/>
  <c r="AH130" i="55"/>
  <c r="AG130" i="55"/>
  <c r="AF130" i="55"/>
  <c r="AE130" i="55"/>
  <c r="AD130" i="55"/>
  <c r="AC130" i="55"/>
  <c r="AB130" i="55"/>
  <c r="AA130" i="55"/>
  <c r="Z130" i="55"/>
  <c r="Y130" i="55"/>
  <c r="X130" i="55"/>
  <c r="W130" i="55"/>
  <c r="V130" i="55"/>
  <c r="U130" i="55"/>
  <c r="T130" i="55"/>
  <c r="S130" i="55"/>
  <c r="R130" i="55"/>
  <c r="Q130" i="55"/>
  <c r="P130" i="55"/>
  <c r="O130" i="55"/>
  <c r="N130" i="55"/>
  <c r="M130" i="55"/>
  <c r="L130" i="55"/>
  <c r="K130" i="55"/>
  <c r="J130" i="55"/>
  <c r="I130" i="55"/>
  <c r="H130" i="55"/>
  <c r="G130" i="55"/>
  <c r="F130" i="55"/>
  <c r="E130" i="55"/>
  <c r="D130" i="55"/>
  <c r="D129" i="55"/>
  <c r="AC117" i="55"/>
  <c r="AA117" i="55"/>
  <c r="Y117" i="55"/>
  <c r="E117" i="55"/>
  <c r="D117" i="55"/>
  <c r="C117" i="55"/>
  <c r="AC116" i="55"/>
  <c r="AA116" i="55"/>
  <c r="Y116" i="55"/>
  <c r="E116" i="55"/>
  <c r="C116" i="55"/>
  <c r="AY115" i="55"/>
  <c r="AX115" i="55"/>
  <c r="AW115" i="55"/>
  <c r="AV115" i="55"/>
  <c r="AU115" i="55"/>
  <c r="AT115" i="55"/>
  <c r="AS115" i="55"/>
  <c r="AR115" i="55"/>
  <c r="AQ115" i="55"/>
  <c r="AP115" i="55"/>
  <c r="AO115" i="55"/>
  <c r="AN115" i="55"/>
  <c r="AM115" i="55"/>
  <c r="AL115" i="55"/>
  <c r="AK115" i="55"/>
  <c r="AJ115" i="55"/>
  <c r="AI115" i="55"/>
  <c r="AH115" i="55"/>
  <c r="AG115" i="55"/>
  <c r="AF115" i="55"/>
  <c r="AE115" i="55"/>
  <c r="AD115" i="55"/>
  <c r="AC115" i="55"/>
  <c r="AB115" i="55"/>
  <c r="AA115" i="55"/>
  <c r="Z115" i="55"/>
  <c r="Y115" i="55"/>
  <c r="X115" i="55"/>
  <c r="W115" i="55"/>
  <c r="V115" i="55"/>
  <c r="U115" i="55"/>
  <c r="T115" i="55"/>
  <c r="S115" i="55"/>
  <c r="R115" i="55"/>
  <c r="Q115" i="55"/>
  <c r="P115" i="55"/>
  <c r="O115" i="55"/>
  <c r="N115" i="55"/>
  <c r="M115" i="55"/>
  <c r="L115" i="55"/>
  <c r="K115" i="55"/>
  <c r="J115" i="55"/>
  <c r="I115" i="55"/>
  <c r="H115" i="55"/>
  <c r="G115" i="55"/>
  <c r="F115" i="55"/>
  <c r="E115" i="55"/>
  <c r="D115" i="55"/>
  <c r="D114" i="55"/>
  <c r="E102" i="55"/>
  <c r="D102" i="55"/>
  <c r="C102" i="55"/>
  <c r="AY101" i="55"/>
  <c r="AX101" i="55"/>
  <c r="AW101" i="55"/>
  <c r="AV101" i="55"/>
  <c r="AU101" i="55"/>
  <c r="AT101" i="55"/>
  <c r="AS101" i="55"/>
  <c r="AR101" i="55"/>
  <c r="AQ101" i="55"/>
  <c r="AP101" i="55"/>
  <c r="AO101" i="55"/>
  <c r="AN101" i="55"/>
  <c r="AM101" i="55"/>
  <c r="AL101" i="55"/>
  <c r="AK101" i="55"/>
  <c r="AJ101" i="55"/>
  <c r="AI101" i="55"/>
  <c r="AH101" i="55"/>
  <c r="AG101" i="55"/>
  <c r="AF101" i="55"/>
  <c r="AE101" i="55"/>
  <c r="AD101" i="55"/>
  <c r="AC101" i="55"/>
  <c r="AB101" i="55"/>
  <c r="AA101" i="55"/>
  <c r="Z101" i="55"/>
  <c r="Y101" i="55"/>
  <c r="X101" i="55"/>
  <c r="W101" i="55"/>
  <c r="V101" i="55"/>
  <c r="U101" i="55"/>
  <c r="T101" i="55"/>
  <c r="S101" i="55"/>
  <c r="R101" i="55"/>
  <c r="Q101" i="55"/>
  <c r="P101" i="55"/>
  <c r="O101" i="55"/>
  <c r="N101" i="55"/>
  <c r="M101" i="55"/>
  <c r="L101" i="55"/>
  <c r="K101" i="55"/>
  <c r="J101" i="55"/>
  <c r="I101" i="55"/>
  <c r="H101" i="55"/>
  <c r="G101" i="55"/>
  <c r="F101" i="55"/>
  <c r="E101" i="55"/>
  <c r="D101" i="55"/>
  <c r="D100" i="55"/>
  <c r="E23" i="55"/>
  <c r="D23" i="55"/>
  <c r="C23" i="55"/>
  <c r="E22" i="55"/>
  <c r="D22" i="55"/>
  <c r="C22" i="55"/>
  <c r="E21" i="55"/>
  <c r="D21" i="55"/>
  <c r="C21" i="55"/>
  <c r="AY20" i="55"/>
  <c r="AX20" i="55"/>
  <c r="AW20" i="55"/>
  <c r="AV20" i="55"/>
  <c r="AU20" i="55"/>
  <c r="AT20" i="55"/>
  <c r="AS20" i="55"/>
  <c r="AR20" i="55"/>
  <c r="AQ20" i="55"/>
  <c r="AP20" i="55"/>
  <c r="AO20" i="55"/>
  <c r="AN20" i="55"/>
  <c r="AM20" i="55"/>
  <c r="AL20" i="55"/>
  <c r="AK20" i="55"/>
  <c r="AJ20" i="55"/>
  <c r="AI20" i="55"/>
  <c r="AH20" i="55"/>
  <c r="AG20" i="55"/>
  <c r="AF20" i="55"/>
  <c r="AE20" i="55"/>
  <c r="AD20" i="55"/>
  <c r="AC20" i="55"/>
  <c r="AB20" i="55"/>
  <c r="AA20" i="55"/>
  <c r="Z20" i="55"/>
  <c r="Y20" i="55"/>
  <c r="X20" i="55"/>
  <c r="W20" i="55"/>
  <c r="V20" i="55"/>
  <c r="U20" i="55"/>
  <c r="T20" i="55"/>
  <c r="S20" i="55"/>
  <c r="R20" i="55"/>
  <c r="Q20" i="55"/>
  <c r="P20" i="55"/>
  <c r="O20" i="55"/>
  <c r="N20" i="55"/>
  <c r="M20" i="55"/>
  <c r="L20" i="55"/>
  <c r="K20" i="55"/>
  <c r="J20" i="55"/>
  <c r="I20" i="55"/>
  <c r="H20" i="55"/>
  <c r="G20" i="55"/>
  <c r="F20" i="55"/>
  <c r="E20" i="55"/>
  <c r="D20" i="55"/>
  <c r="D19" i="55"/>
  <c r="D18" i="55"/>
  <c r="D17" i="55"/>
  <c r="D16" i="55"/>
  <c r="D15" i="55"/>
  <c r="D14" i="55"/>
  <c r="D11" i="55"/>
  <c r="D10" i="55"/>
  <c r="D8" i="55"/>
  <c r="D6" i="55"/>
  <c r="C14" i="9"/>
  <c r="L3" i="55"/>
  <c r="J3" i="55"/>
  <c r="H3" i="55"/>
  <c r="F3" i="55"/>
  <c r="E3" i="55"/>
  <c r="L2" i="55"/>
  <c r="J2" i="55"/>
  <c r="H2" i="55"/>
  <c r="F2" i="55"/>
  <c r="E2" i="55"/>
  <c r="B2" i="55"/>
  <c r="D322" i="43"/>
  <c r="M310" i="43"/>
  <c r="J310" i="43"/>
  <c r="H310" i="43"/>
  <c r="F310" i="43"/>
  <c r="E310" i="43"/>
  <c r="E309" i="43"/>
  <c r="E308" i="43"/>
  <c r="E307" i="43"/>
  <c r="M295" i="43"/>
  <c r="K295" i="43"/>
  <c r="I295" i="43"/>
  <c r="F295" i="43"/>
  <c r="E295" i="43"/>
  <c r="F293" i="43"/>
  <c r="F292" i="43"/>
  <c r="E291" i="43"/>
  <c r="F290" i="43"/>
  <c r="F289" i="43"/>
  <c r="F288" i="43"/>
  <c r="F287" i="43"/>
  <c r="E286" i="43"/>
  <c r="F285" i="43"/>
  <c r="F284" i="43"/>
  <c r="F283" i="43"/>
  <c r="E282" i="43"/>
  <c r="F281" i="43"/>
  <c r="F280" i="43"/>
  <c r="F279" i="43"/>
  <c r="F278" i="43"/>
  <c r="E277" i="43"/>
  <c r="E276" i="43"/>
  <c r="E275" i="43"/>
  <c r="E274" i="43"/>
  <c r="E273" i="43"/>
  <c r="E272" i="43"/>
  <c r="D270" i="43"/>
  <c r="C13" i="9"/>
  <c r="K258" i="43"/>
  <c r="J258" i="43"/>
  <c r="I258" i="43"/>
  <c r="E258" i="43"/>
  <c r="D258" i="43"/>
  <c r="E256" i="43"/>
  <c r="E255" i="43"/>
  <c r="E254" i="43"/>
  <c r="E253" i="43"/>
  <c r="E252" i="43"/>
  <c r="E251" i="43"/>
  <c r="E250" i="43"/>
  <c r="E249" i="43"/>
  <c r="D248" i="43"/>
  <c r="K233" i="43"/>
  <c r="J233" i="43"/>
  <c r="E233" i="43"/>
  <c r="D233" i="43"/>
  <c r="E231" i="43"/>
  <c r="E230" i="43"/>
  <c r="E229" i="43"/>
  <c r="E228" i="43"/>
  <c r="E227" i="43"/>
  <c r="E226" i="43"/>
  <c r="D224" i="43"/>
  <c r="D222" i="43"/>
  <c r="C12" i="9"/>
  <c r="E220" i="43"/>
  <c r="E219" i="43"/>
  <c r="E218" i="43"/>
  <c r="E217" i="43"/>
  <c r="E216" i="43"/>
  <c r="E215" i="43"/>
  <c r="E213" i="43"/>
  <c r="E212" i="43"/>
  <c r="D211" i="43"/>
  <c r="E207" i="43"/>
  <c r="E206" i="43"/>
  <c r="E205" i="43"/>
  <c r="E198" i="43"/>
  <c r="E196" i="43"/>
  <c r="E194" i="43"/>
  <c r="E193" i="43"/>
  <c r="E192" i="43"/>
  <c r="E191" i="43"/>
  <c r="E188" i="43"/>
  <c r="E186" i="43"/>
  <c r="E180" i="43"/>
  <c r="E178" i="43"/>
  <c r="E177" i="43"/>
  <c r="E176" i="43"/>
  <c r="E174" i="43"/>
  <c r="E172" i="43"/>
  <c r="E171" i="43"/>
  <c r="E170" i="43"/>
  <c r="D168" i="43"/>
  <c r="D166" i="43"/>
  <c r="C11" i="9"/>
  <c r="E164" i="43"/>
  <c r="E163" i="43"/>
  <c r="F161" i="43"/>
  <c r="N160" i="43"/>
  <c r="E159" i="43"/>
  <c r="E158" i="43"/>
  <c r="F156" i="43"/>
  <c r="F154" i="43"/>
  <c r="F152" i="43"/>
  <c r="F150" i="43"/>
  <c r="F149" i="43"/>
  <c r="E148" i="43"/>
  <c r="E147" i="43"/>
  <c r="F144" i="43"/>
  <c r="F142" i="43"/>
  <c r="F140" i="43"/>
  <c r="F138" i="43"/>
  <c r="F137" i="43"/>
  <c r="F136" i="43"/>
  <c r="E135" i="43"/>
  <c r="E134" i="43"/>
  <c r="E132" i="43"/>
  <c r="E131" i="43"/>
  <c r="E130" i="43"/>
  <c r="F128" i="43"/>
  <c r="E127" i="43"/>
  <c r="E126" i="43"/>
  <c r="E125" i="43"/>
  <c r="E124" i="43"/>
  <c r="E123" i="43"/>
  <c r="E122" i="43"/>
  <c r="F114" i="43"/>
  <c r="E114" i="43"/>
  <c r="E113" i="43"/>
  <c r="E112" i="43"/>
  <c r="E111" i="43"/>
  <c r="D109" i="43"/>
  <c r="G107" i="43"/>
  <c r="G106" i="43"/>
  <c r="G105" i="43"/>
  <c r="E104" i="43"/>
  <c r="G102" i="43"/>
  <c r="G101" i="43"/>
  <c r="G100" i="43"/>
  <c r="G99" i="43"/>
  <c r="E98" i="43"/>
  <c r="E97" i="43"/>
  <c r="G95" i="43"/>
  <c r="G94" i="43"/>
  <c r="G93" i="43"/>
  <c r="G92" i="43"/>
  <c r="G91" i="43"/>
  <c r="E90" i="43"/>
  <c r="D88" i="43"/>
  <c r="G86" i="43"/>
  <c r="G85" i="43"/>
  <c r="G84" i="43"/>
  <c r="G83" i="43"/>
  <c r="E82" i="43"/>
  <c r="G80" i="43"/>
  <c r="G79" i="43"/>
  <c r="G78" i="43"/>
  <c r="G77" i="43"/>
  <c r="E76" i="43"/>
  <c r="E74" i="43"/>
  <c r="D73" i="43"/>
  <c r="G71" i="43"/>
  <c r="G70" i="43"/>
  <c r="G69" i="43"/>
  <c r="G68" i="43"/>
  <c r="E67" i="43"/>
  <c r="G65" i="43"/>
  <c r="G64" i="43"/>
  <c r="G63" i="43"/>
  <c r="G62" i="43"/>
  <c r="G61" i="43"/>
  <c r="G60" i="43"/>
  <c r="G59" i="43"/>
  <c r="G58" i="43"/>
  <c r="G57" i="43"/>
  <c r="E56" i="43"/>
  <c r="E55" i="43"/>
  <c r="E53" i="43"/>
  <c r="E52" i="43"/>
  <c r="E51" i="43"/>
  <c r="F50" i="43"/>
  <c r="F49" i="43"/>
  <c r="E48" i="43"/>
  <c r="E47" i="43"/>
  <c r="E45" i="43"/>
  <c r="E44" i="43"/>
  <c r="F42" i="43"/>
  <c r="F41" i="43"/>
  <c r="F40" i="43"/>
  <c r="F38" i="43"/>
  <c r="F37" i="43"/>
  <c r="F36" i="43"/>
  <c r="F34" i="43"/>
  <c r="E33" i="43"/>
  <c r="E32" i="43"/>
  <c r="E31" i="43"/>
  <c r="E29" i="43"/>
  <c r="E27" i="43"/>
  <c r="E26" i="43"/>
  <c r="E25" i="43"/>
  <c r="E23" i="43"/>
  <c r="E22" i="43"/>
  <c r="E21" i="43"/>
  <c r="E20" i="43"/>
  <c r="E18" i="43"/>
  <c r="E16" i="43"/>
  <c r="E15" i="43"/>
  <c r="E13" i="43"/>
  <c r="E12" i="43"/>
  <c r="D10" i="43"/>
  <c r="D8" i="43"/>
  <c r="C10" i="9" s="1"/>
  <c r="D6" i="43"/>
  <c r="C9" i="9" s="1"/>
  <c r="M4" i="43"/>
  <c r="K4" i="43"/>
  <c r="I4" i="43"/>
  <c r="G4" i="43"/>
  <c r="E4" i="43"/>
  <c r="M3" i="43"/>
  <c r="K3" i="43"/>
  <c r="I3" i="43"/>
  <c r="G3" i="43"/>
  <c r="E3" i="43"/>
  <c r="M2" i="43"/>
  <c r="K2" i="43"/>
  <c r="I2" i="43"/>
  <c r="G2" i="43"/>
  <c r="E2" i="43"/>
  <c r="B2" i="43"/>
  <c r="B92" i="10"/>
  <c r="B78" i="10"/>
  <c r="B73" i="10"/>
  <c r="B70" i="10"/>
  <c r="D68" i="10"/>
  <c r="B68" i="10"/>
  <c r="D67" i="10"/>
  <c r="B67" i="10"/>
  <c r="B66" i="10"/>
  <c r="B65" i="10"/>
  <c r="D55" i="10"/>
  <c r="B53" i="10"/>
  <c r="B51" i="10"/>
  <c r="B48" i="10"/>
  <c r="B46" i="10"/>
  <c r="B45" i="10"/>
  <c r="B44" i="10"/>
  <c r="B43" i="10"/>
  <c r="D41" i="10"/>
  <c r="D40" i="10"/>
  <c r="D39" i="10"/>
  <c r="D38" i="10"/>
  <c r="D37" i="10"/>
  <c r="D36" i="10"/>
  <c r="D35" i="10"/>
  <c r="B35" i="10"/>
  <c r="D34" i="10"/>
  <c r="B34" i="10"/>
  <c r="B33" i="10"/>
  <c r="D31" i="10"/>
  <c r="D30" i="10"/>
  <c r="D29" i="10"/>
  <c r="D28" i="10"/>
  <c r="B27" i="10"/>
  <c r="B26" i="10"/>
  <c r="B25" i="10"/>
  <c r="B24" i="10"/>
  <c r="B23" i="10"/>
  <c r="B22" i="10"/>
  <c r="B21" i="10"/>
  <c r="B20" i="10"/>
  <c r="B18" i="10"/>
  <c r="B16" i="10"/>
  <c r="B15" i="10"/>
  <c r="B14" i="10"/>
  <c r="B13" i="10"/>
  <c r="B12" i="10"/>
  <c r="B11" i="10"/>
  <c r="B10" i="10"/>
  <c r="B9" i="10"/>
  <c r="B7" i="10"/>
  <c r="B5" i="10"/>
  <c r="C8" i="9" s="1"/>
  <c r="B3" i="10"/>
  <c r="B2" i="10"/>
  <c r="J1" i="10"/>
  <c r="H1" i="10"/>
  <c r="F1" i="10"/>
  <c r="D1" i="10"/>
  <c r="B1" i="10"/>
  <c r="G70" i="9"/>
  <c r="C70" i="9"/>
  <c r="C64" i="9"/>
  <c r="C62" i="9"/>
  <c r="C61" i="9"/>
  <c r="C60" i="9"/>
  <c r="C59" i="9"/>
  <c r="C57" i="9"/>
  <c r="C56" i="9"/>
  <c r="B7" i="9"/>
  <c r="B5" i="9"/>
  <c r="B3" i="9"/>
  <c r="B2" i="9"/>
  <c r="K1" i="9"/>
  <c r="I1" i="9"/>
  <c r="B1" i="9"/>
  <c r="C38" i="51"/>
  <c r="C39" i="51"/>
  <c r="C40" i="51"/>
  <c r="C41" i="51"/>
  <c r="C36" i="51"/>
  <c r="C37" i="51"/>
  <c r="M155" i="49"/>
  <c r="M164" i="50" s="1"/>
  <c r="L155" i="49"/>
  <c r="L164" i="50" s="1"/>
  <c r="K155" i="49"/>
  <c r="K164" i="50" s="1"/>
  <c r="J155" i="49"/>
  <c r="I155" i="49"/>
  <c r="I164" i="50" s="1"/>
  <c r="M99" i="49"/>
  <c r="M139" i="50" s="1"/>
  <c r="L99" i="49"/>
  <c r="L139" i="50" s="1"/>
  <c r="K99" i="49"/>
  <c r="K139" i="50" s="1"/>
  <c r="J99" i="49"/>
  <c r="J139" i="50" s="1"/>
  <c r="I99" i="49"/>
  <c r="I139" i="50" s="1"/>
  <c r="P42" i="37"/>
  <c r="I241" i="50"/>
  <c r="M55" i="41"/>
  <c r="M333" i="43"/>
  <c r="L333" i="43"/>
  <c r="L58" i="50" s="1"/>
  <c r="K333" i="43"/>
  <c r="K58" i="50" s="1"/>
  <c r="J333" i="43"/>
  <c r="J58" i="50" s="1"/>
  <c r="I333" i="43"/>
  <c r="I58" i="50" s="1"/>
  <c r="G335" i="43"/>
  <c r="E266" i="43" s="1"/>
  <c r="I1356" i="50"/>
  <c r="I214" i="34"/>
  <c r="J10" i="55"/>
  <c r="C31" i="10"/>
  <c r="W1802" i="37"/>
  <c r="V1802" i="37"/>
  <c r="U1802" i="37"/>
  <c r="T1802" i="37"/>
  <c r="S1802" i="37"/>
  <c r="W1794" i="37"/>
  <c r="V1794" i="37"/>
  <c r="U1794" i="37"/>
  <c r="T1794" i="37"/>
  <c r="S1794" i="37"/>
  <c r="W1622" i="37"/>
  <c r="V1622" i="37"/>
  <c r="U1622" i="37"/>
  <c r="T1622" i="37"/>
  <c r="S1622" i="37"/>
  <c r="W1614" i="37"/>
  <c r="V1614" i="37"/>
  <c r="U1614" i="37"/>
  <c r="T1614" i="37"/>
  <c r="S1614" i="37"/>
  <c r="W1442" i="37"/>
  <c r="V1442" i="37"/>
  <c r="U1442" i="37"/>
  <c r="T1442" i="37"/>
  <c r="S1442" i="37"/>
  <c r="W1434" i="37"/>
  <c r="V1434" i="37"/>
  <c r="U1434" i="37"/>
  <c r="T1434" i="37"/>
  <c r="S1434" i="37"/>
  <c r="W1262" i="37"/>
  <c r="V1262" i="37"/>
  <c r="U1262" i="37"/>
  <c r="T1262" i="37"/>
  <c r="S1262" i="37"/>
  <c r="W1254" i="37"/>
  <c r="V1254" i="37"/>
  <c r="U1254" i="37"/>
  <c r="T1254" i="37"/>
  <c r="S1254" i="37"/>
  <c r="W1082" i="37"/>
  <c r="V1082" i="37"/>
  <c r="U1082" i="37"/>
  <c r="T1082" i="37"/>
  <c r="S1082" i="37"/>
  <c r="W1074" i="37"/>
  <c r="V1074" i="37"/>
  <c r="U1074" i="37"/>
  <c r="T1074" i="37"/>
  <c r="S1074" i="37"/>
  <c r="W902" i="37"/>
  <c r="V902" i="37"/>
  <c r="U902" i="37"/>
  <c r="T902" i="37"/>
  <c r="S902" i="37"/>
  <c r="W894" i="37"/>
  <c r="V894" i="37"/>
  <c r="U894" i="37"/>
  <c r="T894" i="37"/>
  <c r="S894" i="37"/>
  <c r="W722" i="37"/>
  <c r="V722" i="37"/>
  <c r="U722" i="37"/>
  <c r="T722" i="37"/>
  <c r="S722" i="37"/>
  <c r="W714" i="37"/>
  <c r="V714" i="37"/>
  <c r="U714" i="37"/>
  <c r="T714" i="37"/>
  <c r="S714" i="37"/>
  <c r="W542" i="37"/>
  <c r="V542" i="37"/>
  <c r="U542" i="37"/>
  <c r="T542" i="37"/>
  <c r="S542" i="37"/>
  <c r="W534" i="37"/>
  <c r="V534" i="37"/>
  <c r="U534" i="37"/>
  <c r="T534" i="37"/>
  <c r="S534" i="37"/>
  <c r="W362" i="37"/>
  <c r="V362" i="37"/>
  <c r="U362" i="37"/>
  <c r="T362" i="37"/>
  <c r="S362" i="37"/>
  <c r="W354" i="37"/>
  <c r="V354" i="37"/>
  <c r="U354" i="37"/>
  <c r="T354" i="37"/>
  <c r="S354" i="37"/>
  <c r="W168" i="37"/>
  <c r="V168" i="37"/>
  <c r="U168" i="37"/>
  <c r="T168" i="37"/>
  <c r="S168" i="37"/>
  <c r="W160" i="37"/>
  <c r="V160" i="37"/>
  <c r="U160" i="37"/>
  <c r="T160" i="37"/>
  <c r="S160" i="37"/>
  <c r="AA1860" i="37"/>
  <c r="M1846" i="37"/>
  <c r="L1846" i="37"/>
  <c r="K1846" i="37"/>
  <c r="J1846" i="37"/>
  <c r="I1846" i="37"/>
  <c r="M1838" i="37"/>
  <c r="W1838" i="37" s="1"/>
  <c r="L1838" i="37"/>
  <c r="V1838" i="37"/>
  <c r="K1838" i="37"/>
  <c r="U1838" i="37" s="1"/>
  <c r="J1838" i="37"/>
  <c r="T1838" i="37" s="1"/>
  <c r="I1838" i="37"/>
  <c r="S1838" i="37" s="1"/>
  <c r="M1830" i="37"/>
  <c r="L1830" i="37"/>
  <c r="K1830" i="37"/>
  <c r="J1830" i="37"/>
  <c r="I1830" i="37"/>
  <c r="M1822" i="37"/>
  <c r="L1822" i="37"/>
  <c r="K1822" i="37"/>
  <c r="J1822" i="37"/>
  <c r="I1822" i="37"/>
  <c r="M1814" i="37"/>
  <c r="L1814" i="37"/>
  <c r="K1814" i="37"/>
  <c r="J1814" i="37"/>
  <c r="I1814" i="37"/>
  <c r="M1785" i="37"/>
  <c r="M1782" i="37"/>
  <c r="M1783" i="37" s="1"/>
  <c r="L1785" i="37"/>
  <c r="L1782" i="37" s="1"/>
  <c r="L1783" i="37" s="1"/>
  <c r="K1785" i="37"/>
  <c r="K1782" i="37"/>
  <c r="K1783" i="37" s="1"/>
  <c r="J1785" i="37"/>
  <c r="J1782" i="37" s="1"/>
  <c r="J1783" i="37" s="1"/>
  <c r="I1785" i="37"/>
  <c r="I1782" i="37"/>
  <c r="I1783" i="37" s="1"/>
  <c r="M1784" i="37"/>
  <c r="L1784" i="37"/>
  <c r="K1784" i="37"/>
  <c r="J1784" i="37"/>
  <c r="I1784" i="37"/>
  <c r="M1773" i="37"/>
  <c r="M1770" i="37"/>
  <c r="M1771" i="37" s="1"/>
  <c r="L1773" i="37"/>
  <c r="L1770" i="37" s="1"/>
  <c r="L1771" i="37" s="1"/>
  <c r="K1773" i="37"/>
  <c r="K1770" i="37" s="1"/>
  <c r="K1771" i="37" s="1"/>
  <c r="J1773" i="37"/>
  <c r="J1770" i="37" s="1"/>
  <c r="J1771" i="37" s="1"/>
  <c r="I1773" i="37"/>
  <c r="I1770" i="37"/>
  <c r="I1771" i="37" s="1"/>
  <c r="M1772" i="37"/>
  <c r="L1772" i="37"/>
  <c r="K1772" i="37"/>
  <c r="J1772" i="37"/>
  <c r="I1772" i="37"/>
  <c r="M1741" i="37"/>
  <c r="L1741" i="37"/>
  <c r="K1741" i="37"/>
  <c r="J1741" i="37"/>
  <c r="I1741" i="37"/>
  <c r="D1732" i="37"/>
  <c r="D1733" i="37" s="1"/>
  <c r="D1734" i="37" s="1"/>
  <c r="D1735" i="37" s="1"/>
  <c r="D1736" i="37" s="1"/>
  <c r="D1737" i="37" s="1"/>
  <c r="D1738" i="37" s="1"/>
  <c r="D1739" i="37" s="1"/>
  <c r="D1740" i="37" s="1"/>
  <c r="M1720" i="37"/>
  <c r="L1720" i="37"/>
  <c r="K1720" i="37"/>
  <c r="J1720" i="37"/>
  <c r="I1720" i="37"/>
  <c r="Q1715" i="37"/>
  <c r="N1713" i="37"/>
  <c r="M1713" i="37"/>
  <c r="L1713" i="37"/>
  <c r="K1713" i="37"/>
  <c r="J1713" i="37"/>
  <c r="I1713" i="37"/>
  <c r="M1712" i="37"/>
  <c r="L1712" i="37"/>
  <c r="K1712" i="37"/>
  <c r="J1712" i="37"/>
  <c r="I1712" i="37"/>
  <c r="P1711" i="37"/>
  <c r="Q1707" i="37"/>
  <c r="AA1680" i="37"/>
  <c r="AA1688" i="37"/>
  <c r="M1666" i="37"/>
  <c r="L1666" i="37"/>
  <c r="K1666" i="37"/>
  <c r="J1666" i="37"/>
  <c r="I1666" i="37"/>
  <c r="M1658" i="37"/>
  <c r="W1658" i="37"/>
  <c r="L1658" i="37"/>
  <c r="V1658" i="37" s="1"/>
  <c r="K1658" i="37"/>
  <c r="U1658" i="37"/>
  <c r="J1658" i="37"/>
  <c r="T1658" i="37"/>
  <c r="I1658" i="37"/>
  <c r="S1658" i="37"/>
  <c r="M1650" i="37"/>
  <c r="L1650" i="37"/>
  <c r="K1650" i="37"/>
  <c r="J1650" i="37"/>
  <c r="I1650" i="37"/>
  <c r="M1642" i="37"/>
  <c r="L1642" i="37"/>
  <c r="K1642" i="37"/>
  <c r="J1642" i="37"/>
  <c r="I1642" i="37"/>
  <c r="M1634" i="37"/>
  <c r="L1634" i="37"/>
  <c r="K1634" i="37"/>
  <c r="J1634" i="37"/>
  <c r="I1634" i="37"/>
  <c r="M1605" i="37"/>
  <c r="M1602" i="37"/>
  <c r="M1603" i="37" s="1"/>
  <c r="L1605" i="37"/>
  <c r="L1602" i="37"/>
  <c r="L1603" i="37" s="1"/>
  <c r="K1605" i="37"/>
  <c r="K1602" i="37"/>
  <c r="K1603" i="37"/>
  <c r="J1605" i="37"/>
  <c r="J1602" i="37" s="1"/>
  <c r="J1603" i="37" s="1"/>
  <c r="I1605" i="37"/>
  <c r="I1602" i="37" s="1"/>
  <c r="I1603" i="37" s="1"/>
  <c r="M1604" i="37"/>
  <c r="L1604" i="37"/>
  <c r="K1604" i="37"/>
  <c r="J1604" i="37"/>
  <c r="I1604" i="37"/>
  <c r="M1593" i="37"/>
  <c r="M1590" i="37" s="1"/>
  <c r="M1591" i="37" s="1"/>
  <c r="L1593" i="37"/>
  <c r="L1590" i="37"/>
  <c r="L1591" i="37"/>
  <c r="K1593" i="37"/>
  <c r="K1590" i="37" s="1"/>
  <c r="K1591" i="37" s="1"/>
  <c r="J1593" i="37"/>
  <c r="J1590" i="37"/>
  <c r="J1591" i="37"/>
  <c r="I1593" i="37"/>
  <c r="I1590" i="37"/>
  <c r="I1591" i="37" s="1"/>
  <c r="M1592" i="37"/>
  <c r="L1592" i="37"/>
  <c r="K1592" i="37"/>
  <c r="J1592" i="37"/>
  <c r="I1592" i="37"/>
  <c r="M1561" i="37"/>
  <c r="L1561" i="37"/>
  <c r="K1561" i="37"/>
  <c r="J1561" i="37"/>
  <c r="I1561" i="37"/>
  <c r="D1552" i="37"/>
  <c r="D1553" i="37"/>
  <c r="D1554" i="37"/>
  <c r="D1555" i="37"/>
  <c r="D1556" i="37"/>
  <c r="D1557" i="37" s="1"/>
  <c r="D1558" i="37" s="1"/>
  <c r="D1559" i="37" s="1"/>
  <c r="D1560" i="37" s="1"/>
  <c r="M1540" i="37"/>
  <c r="L1540" i="37"/>
  <c r="K1540" i="37"/>
  <c r="J1540" i="37"/>
  <c r="I1540" i="37"/>
  <c r="Q1535" i="37"/>
  <c r="N1533" i="37"/>
  <c r="M1533" i="37"/>
  <c r="L1533" i="37"/>
  <c r="K1533" i="37"/>
  <c r="J1533" i="37"/>
  <c r="I1533" i="37"/>
  <c r="M1532" i="37"/>
  <c r="L1532" i="37"/>
  <c r="K1532" i="37"/>
  <c r="J1532" i="37"/>
  <c r="I1532" i="37"/>
  <c r="P1531" i="37"/>
  <c r="Q1527" i="37"/>
  <c r="AA1500" i="37"/>
  <c r="M1486" i="37"/>
  <c r="L1486" i="37"/>
  <c r="K1486" i="37"/>
  <c r="J1486" i="37"/>
  <c r="I1486" i="37"/>
  <c r="M1478" i="37"/>
  <c r="W1478" i="37"/>
  <c r="L1478" i="37"/>
  <c r="V1478" i="37" s="1"/>
  <c r="K1478" i="37"/>
  <c r="U1478" i="37"/>
  <c r="J1478" i="37"/>
  <c r="T1478" i="37"/>
  <c r="I1478" i="37"/>
  <c r="S1478" i="37"/>
  <c r="M1470" i="37"/>
  <c r="L1470" i="37"/>
  <c r="K1470" i="37"/>
  <c r="J1470" i="37"/>
  <c r="I1470" i="37"/>
  <c r="M1462" i="37"/>
  <c r="L1462" i="37"/>
  <c r="K1462" i="37"/>
  <c r="J1462" i="37"/>
  <c r="I1462" i="37"/>
  <c r="M1454" i="37"/>
  <c r="L1454" i="37"/>
  <c r="K1454" i="37"/>
  <c r="J1454" i="37"/>
  <c r="I1454" i="37"/>
  <c r="M1425" i="37"/>
  <c r="M1422" i="37"/>
  <c r="M1423" i="37" s="1"/>
  <c r="L1425" i="37"/>
  <c r="L1422" i="37"/>
  <c r="L1423" i="37" s="1"/>
  <c r="K1425" i="37"/>
  <c r="K1422" i="37"/>
  <c r="K1423" i="37"/>
  <c r="J1425" i="37"/>
  <c r="J1422" i="37" s="1"/>
  <c r="J1423" i="37" s="1"/>
  <c r="I1425" i="37"/>
  <c r="I1422" i="37" s="1"/>
  <c r="I1423" i="37" s="1"/>
  <c r="M1424" i="37"/>
  <c r="L1424" i="37"/>
  <c r="K1424" i="37"/>
  <c r="J1424" i="37"/>
  <c r="I1424" i="37"/>
  <c r="M1413" i="37"/>
  <c r="M1410" i="37" s="1"/>
  <c r="M1411" i="37" s="1"/>
  <c r="L1413" i="37"/>
  <c r="L1410" i="37"/>
  <c r="L1411" i="37"/>
  <c r="K1413" i="37"/>
  <c r="K1410" i="37" s="1"/>
  <c r="K1411" i="37" s="1"/>
  <c r="J1413" i="37"/>
  <c r="J1410" i="37"/>
  <c r="J1411" i="37"/>
  <c r="I1413" i="37"/>
  <c r="I1410" i="37"/>
  <c r="I1411" i="37" s="1"/>
  <c r="M1412" i="37"/>
  <c r="L1412" i="37"/>
  <c r="K1412" i="37"/>
  <c r="J1412" i="37"/>
  <c r="I1412" i="37"/>
  <c r="M1381" i="37"/>
  <c r="L1381" i="37"/>
  <c r="K1381" i="37"/>
  <c r="J1381" i="37"/>
  <c r="I1381" i="37"/>
  <c r="D1372" i="37"/>
  <c r="D1373" i="37"/>
  <c r="D1374" i="37"/>
  <c r="D1375" i="37"/>
  <c r="D1376" i="37"/>
  <c r="D1377" i="37" s="1"/>
  <c r="D1378" i="37" s="1"/>
  <c r="D1379" i="37" s="1"/>
  <c r="D1380" i="37" s="1"/>
  <c r="M1360" i="37"/>
  <c r="L1360" i="37"/>
  <c r="K1360" i="37"/>
  <c r="J1360" i="37"/>
  <c r="I1360" i="37"/>
  <c r="Q1355" i="37"/>
  <c r="N1353" i="37"/>
  <c r="M1353" i="37"/>
  <c r="L1353" i="37"/>
  <c r="K1353" i="37"/>
  <c r="J1353" i="37"/>
  <c r="I1353" i="37"/>
  <c r="M1352" i="37"/>
  <c r="L1352" i="37"/>
  <c r="K1352" i="37"/>
  <c r="J1352" i="37"/>
  <c r="I1352" i="37"/>
  <c r="P1351" i="37"/>
  <c r="Q1347" i="37"/>
  <c r="AA1320" i="37"/>
  <c r="M1306" i="37"/>
  <c r="L1306" i="37"/>
  <c r="K1306" i="37"/>
  <c r="J1306" i="37"/>
  <c r="I1306" i="37"/>
  <c r="M1298" i="37"/>
  <c r="W1298" i="37"/>
  <c r="L1298" i="37"/>
  <c r="V1298" i="37" s="1"/>
  <c r="K1298" i="37"/>
  <c r="U1298" i="37"/>
  <c r="J1298" i="37"/>
  <c r="T1298" i="37"/>
  <c r="I1298" i="37"/>
  <c r="S1298" i="37"/>
  <c r="M1290" i="37"/>
  <c r="L1290" i="37"/>
  <c r="K1290" i="37"/>
  <c r="J1290" i="37"/>
  <c r="I1290" i="37"/>
  <c r="M1282" i="37"/>
  <c r="L1282" i="37"/>
  <c r="K1282" i="37"/>
  <c r="J1282" i="37"/>
  <c r="I1282" i="37"/>
  <c r="M1274" i="37"/>
  <c r="L1274" i="37"/>
  <c r="K1274" i="37"/>
  <c r="J1274" i="37"/>
  <c r="I1274" i="37"/>
  <c r="M1245" i="37"/>
  <c r="M1242" i="37"/>
  <c r="M1243" i="37" s="1"/>
  <c r="L1245" i="37"/>
  <c r="L1242" i="37"/>
  <c r="L1243" i="37" s="1"/>
  <c r="K1245" i="37"/>
  <c r="K1242" i="37"/>
  <c r="K1243" i="37"/>
  <c r="J1245" i="37"/>
  <c r="J1242" i="37" s="1"/>
  <c r="J1243" i="37" s="1"/>
  <c r="I1245" i="37"/>
  <c r="I1242" i="37" s="1"/>
  <c r="I1243" i="37" s="1"/>
  <c r="M1244" i="37"/>
  <c r="L1244" i="37"/>
  <c r="K1244" i="37"/>
  <c r="J1244" i="37"/>
  <c r="I1244" i="37"/>
  <c r="M1233" i="37"/>
  <c r="M1230" i="37" s="1"/>
  <c r="M1231" i="37" s="1"/>
  <c r="L1233" i="37"/>
  <c r="L1230" i="37"/>
  <c r="L1231" i="37"/>
  <c r="K1233" i="37"/>
  <c r="K1230" i="37" s="1"/>
  <c r="K1231" i="37" s="1"/>
  <c r="J1233" i="37"/>
  <c r="J1230" i="37"/>
  <c r="J1231" i="37"/>
  <c r="I1233" i="37"/>
  <c r="I1230" i="37"/>
  <c r="I1231" i="37" s="1"/>
  <c r="M1232" i="37"/>
  <c r="L1232" i="37"/>
  <c r="K1232" i="37"/>
  <c r="J1232" i="37"/>
  <c r="I1232" i="37"/>
  <c r="M1201" i="37"/>
  <c r="L1201" i="37"/>
  <c r="K1201" i="37"/>
  <c r="J1201" i="37"/>
  <c r="I1201" i="37"/>
  <c r="D1192" i="37"/>
  <c r="D1193" i="37"/>
  <c r="D1194" i="37"/>
  <c r="D1195" i="37"/>
  <c r="D1196" i="37"/>
  <c r="D1197" i="37" s="1"/>
  <c r="D1198" i="37" s="1"/>
  <c r="D1199" i="37" s="1"/>
  <c r="D1200" i="37" s="1"/>
  <c r="M1180" i="37"/>
  <c r="L1180" i="37"/>
  <c r="K1180" i="37"/>
  <c r="J1180" i="37"/>
  <c r="I1180" i="37"/>
  <c r="Q1175" i="37"/>
  <c r="N1173" i="37"/>
  <c r="M1173" i="37"/>
  <c r="L1173" i="37"/>
  <c r="K1173" i="37"/>
  <c r="J1173" i="37"/>
  <c r="I1173" i="37"/>
  <c r="M1172" i="37"/>
  <c r="L1172" i="37"/>
  <c r="K1172" i="37"/>
  <c r="I1172" i="37"/>
  <c r="P1171" i="37"/>
  <c r="Q1167" i="37"/>
  <c r="AA1140" i="37"/>
  <c r="M1126" i="37"/>
  <c r="L1126" i="37"/>
  <c r="K1126" i="37"/>
  <c r="J1126" i="37"/>
  <c r="I1126" i="37"/>
  <c r="M1118" i="37"/>
  <c r="W1118" i="37"/>
  <c r="L1118" i="37"/>
  <c r="V1118" i="37"/>
  <c r="K1118" i="37"/>
  <c r="U1118" i="37" s="1"/>
  <c r="J1118" i="37"/>
  <c r="T1118" i="37" s="1"/>
  <c r="I1118" i="37"/>
  <c r="S1118" i="37"/>
  <c r="M1110" i="37"/>
  <c r="L1110" i="37"/>
  <c r="K1110" i="37"/>
  <c r="J1110" i="37"/>
  <c r="I1110" i="37"/>
  <c r="M1102" i="37"/>
  <c r="L1102" i="37"/>
  <c r="K1102" i="37"/>
  <c r="J1102" i="37"/>
  <c r="I1102" i="37"/>
  <c r="M1094" i="37"/>
  <c r="L1094" i="37"/>
  <c r="K1094" i="37"/>
  <c r="J1094" i="37"/>
  <c r="I1094" i="37"/>
  <c r="M1065" i="37"/>
  <c r="M1062" i="37"/>
  <c r="M1063" i="37" s="1"/>
  <c r="L1065" i="37"/>
  <c r="L1062" i="37" s="1"/>
  <c r="L1063" i="37" s="1"/>
  <c r="K1065" i="37"/>
  <c r="K1062" i="37"/>
  <c r="K1063" i="37"/>
  <c r="J1065" i="37"/>
  <c r="J1062" i="37"/>
  <c r="J1063" i="37" s="1"/>
  <c r="I1065" i="37"/>
  <c r="I1062" i="37"/>
  <c r="I1063" i="37" s="1"/>
  <c r="M1064" i="37"/>
  <c r="L1064" i="37"/>
  <c r="K1064" i="37"/>
  <c r="J1064" i="37"/>
  <c r="I1064" i="37"/>
  <c r="M1053" i="37"/>
  <c r="M1050" i="37"/>
  <c r="M1051" i="37" s="1"/>
  <c r="L1053" i="37"/>
  <c r="L1050" i="37"/>
  <c r="L1051" i="37"/>
  <c r="K1053" i="37"/>
  <c r="K1050" i="37" s="1"/>
  <c r="K1051" i="37" s="1"/>
  <c r="J1053" i="37"/>
  <c r="J1050" i="37" s="1"/>
  <c r="J1051" i="37" s="1"/>
  <c r="I1053" i="37"/>
  <c r="I1050" i="37"/>
  <c r="I1051" i="37"/>
  <c r="M1052" i="37"/>
  <c r="L1052" i="37"/>
  <c r="K1052" i="37"/>
  <c r="J1052" i="37"/>
  <c r="I1052" i="37"/>
  <c r="M1021" i="37"/>
  <c r="L1021" i="37"/>
  <c r="K1021" i="37"/>
  <c r="J1021" i="37"/>
  <c r="I1021" i="37"/>
  <c r="D1012" i="37"/>
  <c r="D1013" i="37" s="1"/>
  <c r="D1014" i="37" s="1"/>
  <c r="D1015" i="37" s="1"/>
  <c r="D1016" i="37" s="1"/>
  <c r="D1017" i="37" s="1"/>
  <c r="D1018" i="37" s="1"/>
  <c r="D1019" i="37" s="1"/>
  <c r="D1020" i="37" s="1"/>
  <c r="M1000" i="37"/>
  <c r="L1000" i="37"/>
  <c r="K1000" i="37"/>
  <c r="J1000" i="37"/>
  <c r="I1000" i="37"/>
  <c r="Q995" i="37"/>
  <c r="N993" i="37"/>
  <c r="M993" i="37"/>
  <c r="L993" i="37"/>
  <c r="K993" i="37"/>
  <c r="J993" i="37"/>
  <c r="I993" i="37"/>
  <c r="M992" i="37"/>
  <c r="L992" i="37"/>
  <c r="K992" i="37"/>
  <c r="J992" i="37"/>
  <c r="I992" i="37"/>
  <c r="P991" i="37"/>
  <c r="Q987" i="37"/>
  <c r="AA960" i="37"/>
  <c r="M946" i="37"/>
  <c r="L946" i="37"/>
  <c r="K946" i="37"/>
  <c r="J946" i="37"/>
  <c r="I946" i="37"/>
  <c r="M938" i="37"/>
  <c r="W938" i="37"/>
  <c r="L938" i="37"/>
  <c r="V938" i="37"/>
  <c r="K938" i="37"/>
  <c r="U938" i="37" s="1"/>
  <c r="J938" i="37"/>
  <c r="T938" i="37" s="1"/>
  <c r="I938" i="37"/>
  <c r="S938" i="37"/>
  <c r="M930" i="37"/>
  <c r="L930" i="37"/>
  <c r="K930" i="37"/>
  <c r="J930" i="37"/>
  <c r="I930" i="37"/>
  <c r="M922" i="37"/>
  <c r="L922" i="37"/>
  <c r="K922" i="37"/>
  <c r="J922" i="37"/>
  <c r="I922" i="37"/>
  <c r="M914" i="37"/>
  <c r="L914" i="37"/>
  <c r="K914" i="37"/>
  <c r="J914" i="37"/>
  <c r="I914" i="37"/>
  <c r="M885" i="37"/>
  <c r="M882" i="37"/>
  <c r="M883" i="37"/>
  <c r="L885" i="37"/>
  <c r="L882" i="37" s="1"/>
  <c r="L883" i="37" s="1"/>
  <c r="K885" i="37"/>
  <c r="K882" i="37"/>
  <c r="K883" i="37"/>
  <c r="J885" i="37"/>
  <c r="J882" i="37" s="1"/>
  <c r="J883" i="37" s="1"/>
  <c r="I885" i="37"/>
  <c r="I882" i="37"/>
  <c r="I883" i="37" s="1"/>
  <c r="M884" i="37"/>
  <c r="L884" i="37"/>
  <c r="K884" i="37"/>
  <c r="J884" i="37"/>
  <c r="I884" i="37"/>
  <c r="M873" i="37"/>
  <c r="M870" i="37"/>
  <c r="M871" i="37" s="1"/>
  <c r="L873" i="37"/>
  <c r="L870" i="37"/>
  <c r="L871" i="37"/>
  <c r="K873" i="37"/>
  <c r="K870" i="37" s="1"/>
  <c r="K871" i="37" s="1"/>
  <c r="J873" i="37"/>
  <c r="J870" i="37" s="1"/>
  <c r="J871" i="37" s="1"/>
  <c r="I873" i="37"/>
  <c r="I870" i="37"/>
  <c r="I871" i="37"/>
  <c r="M872" i="37"/>
  <c r="L872" i="37"/>
  <c r="K872" i="37"/>
  <c r="J872" i="37"/>
  <c r="I872" i="37"/>
  <c r="M841" i="37"/>
  <c r="L841" i="37"/>
  <c r="K841" i="37"/>
  <c r="J841" i="37"/>
  <c r="I841" i="37"/>
  <c r="D832" i="37"/>
  <c r="D833" i="37" s="1"/>
  <c r="D834" i="37" s="1"/>
  <c r="D835" i="37" s="1"/>
  <c r="D836" i="37"/>
  <c r="D837" i="37" s="1"/>
  <c r="D838" i="37" s="1"/>
  <c r="D839" i="37" s="1"/>
  <c r="D840" i="37" s="1"/>
  <c r="M820" i="37"/>
  <c r="L820" i="37"/>
  <c r="K820" i="37"/>
  <c r="J820" i="37"/>
  <c r="I820" i="37"/>
  <c r="Q815" i="37"/>
  <c r="N813" i="37"/>
  <c r="M813" i="37"/>
  <c r="L813" i="37"/>
  <c r="K813" i="37"/>
  <c r="J813" i="37"/>
  <c r="I813" i="37"/>
  <c r="M812" i="37"/>
  <c r="L812" i="37"/>
  <c r="K812" i="37"/>
  <c r="J812" i="37"/>
  <c r="I812" i="37"/>
  <c r="P811" i="37"/>
  <c r="Q807" i="37"/>
  <c r="AA780" i="37"/>
  <c r="M766" i="37"/>
  <c r="L766" i="37"/>
  <c r="K766" i="37"/>
  <c r="J766" i="37"/>
  <c r="I766" i="37"/>
  <c r="M758" i="37"/>
  <c r="W758" i="37"/>
  <c r="L758" i="37"/>
  <c r="V758" i="37" s="1"/>
  <c r="K758" i="37"/>
  <c r="U758" i="37" s="1"/>
  <c r="J758" i="37"/>
  <c r="T758" i="37" s="1"/>
  <c r="I758" i="37"/>
  <c r="S758" i="37"/>
  <c r="M750" i="37"/>
  <c r="L750" i="37"/>
  <c r="K750" i="37"/>
  <c r="J750" i="37"/>
  <c r="I750" i="37"/>
  <c r="M742" i="37"/>
  <c r="L742" i="37"/>
  <c r="K742" i="37"/>
  <c r="J742" i="37"/>
  <c r="I742" i="37"/>
  <c r="M734" i="37"/>
  <c r="L734" i="37"/>
  <c r="K734" i="37"/>
  <c r="J734" i="37"/>
  <c r="I734" i="37"/>
  <c r="M705" i="37"/>
  <c r="M702" i="37"/>
  <c r="M703" i="37"/>
  <c r="L705" i="37"/>
  <c r="L702" i="37" s="1"/>
  <c r="L703" i="37" s="1"/>
  <c r="K705" i="37"/>
  <c r="K702" i="37"/>
  <c r="K703" i="37"/>
  <c r="J705" i="37"/>
  <c r="J702" i="37" s="1"/>
  <c r="J703" i="37" s="1"/>
  <c r="I705" i="37"/>
  <c r="I702" i="37"/>
  <c r="I703" i="37" s="1"/>
  <c r="M704" i="37"/>
  <c r="L704" i="37"/>
  <c r="K704" i="37"/>
  <c r="J704" i="37"/>
  <c r="I704" i="37"/>
  <c r="M693" i="37"/>
  <c r="M690" i="37"/>
  <c r="M691" i="37" s="1"/>
  <c r="L693" i="37"/>
  <c r="L690" i="37"/>
  <c r="L691" i="37"/>
  <c r="K693" i="37"/>
  <c r="K690" i="37" s="1"/>
  <c r="K691" i="37" s="1"/>
  <c r="J693" i="37"/>
  <c r="J690" i="37" s="1"/>
  <c r="J691" i="37" s="1"/>
  <c r="I693" i="37"/>
  <c r="I690" i="37"/>
  <c r="I691" i="37" s="1"/>
  <c r="M692" i="37"/>
  <c r="L692" i="37"/>
  <c r="K692" i="37"/>
  <c r="J692" i="37"/>
  <c r="I692" i="37"/>
  <c r="M661" i="37"/>
  <c r="L661" i="37"/>
  <c r="K661" i="37"/>
  <c r="J661" i="37"/>
  <c r="I661" i="37"/>
  <c r="D652" i="37"/>
  <c r="D653" i="37" s="1"/>
  <c r="D654" i="37" s="1"/>
  <c r="D655" i="37" s="1"/>
  <c r="D656" i="37"/>
  <c r="D657" i="37"/>
  <c r="D658" i="37" s="1"/>
  <c r="D659" i="37" s="1"/>
  <c r="D660" i="37" s="1"/>
  <c r="M640" i="37"/>
  <c r="L640" i="37"/>
  <c r="K640" i="37"/>
  <c r="J640" i="37"/>
  <c r="I640" i="37"/>
  <c r="Q635" i="37"/>
  <c r="N633" i="37"/>
  <c r="M633" i="37"/>
  <c r="L633" i="37"/>
  <c r="K633" i="37"/>
  <c r="J633" i="37"/>
  <c r="I633" i="37"/>
  <c r="M632" i="37"/>
  <c r="L632" i="37"/>
  <c r="K632" i="37"/>
  <c r="J632" i="37"/>
  <c r="I632" i="37"/>
  <c r="P631" i="37"/>
  <c r="Q627" i="37"/>
  <c r="C433" i="37"/>
  <c r="C613" i="37"/>
  <c r="C793" i="37" s="1"/>
  <c r="P793" i="37" s="1"/>
  <c r="AA600" i="37"/>
  <c r="M586" i="37"/>
  <c r="L586" i="37"/>
  <c r="K586" i="37"/>
  <c r="J586" i="37"/>
  <c r="I586" i="37"/>
  <c r="M578" i="37"/>
  <c r="W578" i="37" s="1"/>
  <c r="L578" i="37"/>
  <c r="V578" i="37" s="1"/>
  <c r="K578" i="37"/>
  <c r="U578" i="37"/>
  <c r="J578" i="37"/>
  <c r="T578" i="37" s="1"/>
  <c r="I578" i="37"/>
  <c r="S578" i="37" s="1"/>
  <c r="M570" i="37"/>
  <c r="L570" i="37"/>
  <c r="K570" i="37"/>
  <c r="J570" i="37"/>
  <c r="I570" i="37"/>
  <c r="M562" i="37"/>
  <c r="L562" i="37"/>
  <c r="K562" i="37"/>
  <c r="J562" i="37"/>
  <c r="I562" i="37"/>
  <c r="M554" i="37"/>
  <c r="L554" i="37"/>
  <c r="K554" i="37"/>
  <c r="J554" i="37"/>
  <c r="I554" i="37"/>
  <c r="M525" i="37"/>
  <c r="M522" i="37"/>
  <c r="M523" i="37" s="1"/>
  <c r="L525" i="37"/>
  <c r="L522" i="37"/>
  <c r="L523" i="37"/>
  <c r="K525" i="37"/>
  <c r="K522" i="37" s="1"/>
  <c r="K523" i="37" s="1"/>
  <c r="J525" i="37"/>
  <c r="J522" i="37" s="1"/>
  <c r="J523" i="37" s="1"/>
  <c r="I525" i="37"/>
  <c r="I522" i="37"/>
  <c r="I523" i="37" s="1"/>
  <c r="M524" i="37"/>
  <c r="L524" i="37"/>
  <c r="K524" i="37"/>
  <c r="J524" i="37"/>
  <c r="I524" i="37"/>
  <c r="M513" i="37"/>
  <c r="M510" i="37"/>
  <c r="M511" i="37" s="1"/>
  <c r="L513" i="37"/>
  <c r="L510" i="37" s="1"/>
  <c r="L511" i="37" s="1"/>
  <c r="K513" i="37"/>
  <c r="K510" i="37"/>
  <c r="K511" i="37"/>
  <c r="J513" i="37"/>
  <c r="J510" i="37" s="1"/>
  <c r="J511" i="37" s="1"/>
  <c r="I513" i="37"/>
  <c r="I510" i="37"/>
  <c r="I511" i="37" s="1"/>
  <c r="M512" i="37"/>
  <c r="L512" i="37"/>
  <c r="K512" i="37"/>
  <c r="J512" i="37"/>
  <c r="I512" i="37"/>
  <c r="M481" i="37"/>
  <c r="L481" i="37"/>
  <c r="K481" i="37"/>
  <c r="J481" i="37"/>
  <c r="I481" i="37"/>
  <c r="D472" i="37"/>
  <c r="D473" i="37"/>
  <c r="D474" i="37" s="1"/>
  <c r="D475" i="37" s="1"/>
  <c r="D476" i="37" s="1"/>
  <c r="D477" i="37" s="1"/>
  <c r="D478" i="37" s="1"/>
  <c r="D479" i="37" s="1"/>
  <c r="D480" i="37"/>
  <c r="M460" i="37"/>
  <c r="L460" i="37"/>
  <c r="K460" i="37"/>
  <c r="J460" i="37"/>
  <c r="I460" i="37"/>
  <c r="Q455" i="37"/>
  <c r="N453" i="37"/>
  <c r="M453" i="37"/>
  <c r="L453" i="37"/>
  <c r="K453" i="37"/>
  <c r="J453" i="37"/>
  <c r="I453" i="37"/>
  <c r="M452" i="37"/>
  <c r="L452" i="37"/>
  <c r="K452" i="37"/>
  <c r="J452" i="37"/>
  <c r="I452" i="37"/>
  <c r="P451" i="37"/>
  <c r="Q447" i="37"/>
  <c r="C529" i="50"/>
  <c r="AA420" i="37"/>
  <c r="AA425" i="37"/>
  <c r="M406" i="37"/>
  <c r="L406" i="37"/>
  <c r="K406" i="37"/>
  <c r="J406" i="37"/>
  <c r="I406" i="37"/>
  <c r="M398" i="37"/>
  <c r="W398" i="37" s="1"/>
  <c r="L398" i="37"/>
  <c r="V398" i="37"/>
  <c r="K398" i="37"/>
  <c r="U398" i="37"/>
  <c r="J398" i="37"/>
  <c r="T398" i="37" s="1"/>
  <c r="I398" i="37"/>
  <c r="S398" i="37" s="1"/>
  <c r="M390" i="37"/>
  <c r="L390" i="37"/>
  <c r="K390" i="37"/>
  <c r="J390" i="37"/>
  <c r="I390" i="37"/>
  <c r="M382" i="37"/>
  <c r="L382" i="37"/>
  <c r="K382" i="37"/>
  <c r="J382" i="37"/>
  <c r="I382" i="37"/>
  <c r="M374" i="37"/>
  <c r="L374" i="37"/>
  <c r="K374" i="37"/>
  <c r="J374" i="37"/>
  <c r="I374" i="37"/>
  <c r="M345" i="37"/>
  <c r="M342" i="37"/>
  <c r="M343" i="37"/>
  <c r="L345" i="37"/>
  <c r="L342" i="37" s="1"/>
  <c r="L343" i="37" s="1"/>
  <c r="K345" i="37"/>
  <c r="K342" i="37"/>
  <c r="K343" i="37" s="1"/>
  <c r="J345" i="37"/>
  <c r="J342" i="37"/>
  <c r="J343" i="37"/>
  <c r="I345" i="37"/>
  <c r="I342" i="37" s="1"/>
  <c r="I343" i="37" s="1"/>
  <c r="M344" i="37"/>
  <c r="L344" i="37"/>
  <c r="K344" i="37"/>
  <c r="J344" i="37"/>
  <c r="I344" i="37"/>
  <c r="M333" i="37"/>
  <c r="M330" i="37" s="1"/>
  <c r="M331" i="37" s="1"/>
  <c r="L333" i="37"/>
  <c r="L330" i="37" s="1"/>
  <c r="L331" i="37" s="1"/>
  <c r="K333" i="37"/>
  <c r="K330" i="37"/>
  <c r="K331" i="37" s="1"/>
  <c r="J333" i="37"/>
  <c r="J330" i="37" s="1"/>
  <c r="J331" i="37" s="1"/>
  <c r="I333" i="37"/>
  <c r="I330" i="37"/>
  <c r="I331" i="37"/>
  <c r="M332" i="37"/>
  <c r="L332" i="37"/>
  <c r="K332" i="37"/>
  <c r="J332" i="37"/>
  <c r="I332" i="37"/>
  <c r="M301" i="37"/>
  <c r="L301" i="37"/>
  <c r="K301" i="37"/>
  <c r="J301" i="37"/>
  <c r="I301" i="37"/>
  <c r="D292" i="37"/>
  <c r="D293" i="37" s="1"/>
  <c r="D294" i="37" s="1"/>
  <c r="D295" i="37" s="1"/>
  <c r="D296" i="37" s="1"/>
  <c r="D297" i="37" s="1"/>
  <c r="D298" i="37" s="1"/>
  <c r="D299" i="37" s="1"/>
  <c r="D300" i="37" s="1"/>
  <c r="M280" i="37"/>
  <c r="L280" i="37"/>
  <c r="K280" i="37"/>
  <c r="J280" i="37"/>
  <c r="I280" i="37"/>
  <c r="Q275" i="37"/>
  <c r="N273" i="37"/>
  <c r="M273" i="37"/>
  <c r="L273" i="37"/>
  <c r="K273" i="37"/>
  <c r="J273" i="37"/>
  <c r="I273" i="37"/>
  <c r="P271" i="37"/>
  <c r="Q267" i="37"/>
  <c r="P253" i="37"/>
  <c r="X152" i="43"/>
  <c r="X140" i="43"/>
  <c r="C1369" i="50"/>
  <c r="C1370" i="50" s="1"/>
  <c r="C1371" i="50" s="1"/>
  <c r="C1372" i="50" s="1"/>
  <c r="C1373" i="50" s="1"/>
  <c r="C1374" i="50" s="1"/>
  <c r="C1375" i="50" s="1"/>
  <c r="C1376" i="50" s="1"/>
  <c r="C1377" i="50" s="1"/>
  <c r="C1378" i="50" s="1"/>
  <c r="C1379" i="50" s="1"/>
  <c r="C1380" i="50" s="1"/>
  <c r="C1381" i="50" s="1"/>
  <c r="C1382" i="50" s="1"/>
  <c r="C1383" i="50" s="1"/>
  <c r="M1356" i="50"/>
  <c r="L1356" i="50"/>
  <c r="K1356" i="50"/>
  <c r="J1356" i="50"/>
  <c r="C1326" i="50"/>
  <c r="C1327" i="50"/>
  <c r="C1328" i="50"/>
  <c r="C1329" i="50" s="1"/>
  <c r="C1111" i="50"/>
  <c r="L1074" i="50"/>
  <c r="Q1071" i="50"/>
  <c r="Q510" i="42"/>
  <c r="S84" i="41"/>
  <c r="S90" i="41"/>
  <c r="S91" i="41" s="1"/>
  <c r="S92" i="41" s="1"/>
  <c r="S99" i="41" s="1"/>
  <c r="S100" i="41" s="1"/>
  <c r="S101" i="41" s="1"/>
  <c r="S107" i="41" s="1"/>
  <c r="S127" i="41" s="1"/>
  <c r="S129" i="41" s="1"/>
  <c r="S164" i="41" s="1"/>
  <c r="S165" i="41" s="1"/>
  <c r="S166" i="41" s="1"/>
  <c r="S167" i="41" s="1"/>
  <c r="S168" i="41" s="1"/>
  <c r="S188" i="41" s="1"/>
  <c r="S194" i="41" s="1"/>
  <c r="S195" i="41" s="1"/>
  <c r="S196" i="41" s="1"/>
  <c r="S197" i="41" s="1"/>
  <c r="S198" i="41" s="1"/>
  <c r="Q60" i="41"/>
  <c r="S275" i="41"/>
  <c r="S276" i="41" s="1"/>
  <c r="S277" i="41" s="1"/>
  <c r="S283" i="41" s="1"/>
  <c r="S284" i="41" s="1"/>
  <c r="S285" i="41" s="1"/>
  <c r="S317" i="41" s="1"/>
  <c r="S333" i="41" s="1"/>
  <c r="Q242" i="41"/>
  <c r="X375" i="47"/>
  <c r="X376" i="47"/>
  <c r="N376" i="47"/>
  <c r="N344" i="47"/>
  <c r="N350" i="47" s="1"/>
  <c r="N321" i="47"/>
  <c r="N288" i="47"/>
  <c r="N255" i="47"/>
  <c r="X210" i="47"/>
  <c r="X209" i="47"/>
  <c r="X208" i="47"/>
  <c r="N210" i="47"/>
  <c r="N209" i="47"/>
  <c r="N208" i="47"/>
  <c r="N197" i="47"/>
  <c r="N163" i="47"/>
  <c r="N129" i="47"/>
  <c r="N95" i="47"/>
  <c r="N44" i="37"/>
  <c r="M442" i="50"/>
  <c r="L442" i="50"/>
  <c r="K442" i="50"/>
  <c r="J442" i="50"/>
  <c r="M440" i="50"/>
  <c r="L440" i="50"/>
  <c r="K440" i="50"/>
  <c r="J440" i="50"/>
  <c r="M439" i="50"/>
  <c r="L439" i="50"/>
  <c r="K439" i="50"/>
  <c r="J439" i="50"/>
  <c r="M438" i="50"/>
  <c r="L438" i="50"/>
  <c r="K438" i="50"/>
  <c r="J438" i="50"/>
  <c r="M437" i="50"/>
  <c r="L437" i="50"/>
  <c r="K437" i="50"/>
  <c r="J437" i="50"/>
  <c r="I442" i="50"/>
  <c r="I440" i="50"/>
  <c r="I439" i="50"/>
  <c r="I438" i="50"/>
  <c r="I437" i="50"/>
  <c r="L434" i="50"/>
  <c r="M425" i="50"/>
  <c r="L425" i="50"/>
  <c r="K425" i="50"/>
  <c r="J425" i="50"/>
  <c r="I425" i="50"/>
  <c r="M411" i="50"/>
  <c r="L411" i="50"/>
  <c r="K411" i="50"/>
  <c r="J411" i="50"/>
  <c r="I411" i="50"/>
  <c r="M381" i="50"/>
  <c r="L381" i="50"/>
  <c r="K381" i="50"/>
  <c r="J381" i="50"/>
  <c r="I381" i="50"/>
  <c r="M380" i="50"/>
  <c r="L380" i="50"/>
  <c r="K380" i="50"/>
  <c r="J380" i="50"/>
  <c r="I380" i="50"/>
  <c r="M379" i="50"/>
  <c r="L379" i="50"/>
  <c r="K379" i="50"/>
  <c r="J379" i="50"/>
  <c r="M374" i="50"/>
  <c r="L374" i="50"/>
  <c r="K374" i="50"/>
  <c r="J374" i="50"/>
  <c r="I374" i="50"/>
  <c r="M373" i="50"/>
  <c r="L373" i="50"/>
  <c r="K373" i="50"/>
  <c r="J373" i="50"/>
  <c r="I373" i="50"/>
  <c r="M372" i="50"/>
  <c r="L372" i="50"/>
  <c r="K372" i="50"/>
  <c r="J372" i="50"/>
  <c r="E374" i="50"/>
  <c r="E373" i="50"/>
  <c r="E381" i="50"/>
  <c r="E380" i="50"/>
  <c r="E379" i="50"/>
  <c r="I379" i="50"/>
  <c r="I372" i="50"/>
  <c r="E372" i="50"/>
  <c r="D347" i="50"/>
  <c r="D361" i="50"/>
  <c r="D367" i="50"/>
  <c r="D370" i="50"/>
  <c r="D377" i="50"/>
  <c r="D384" i="50"/>
  <c r="D387" i="50"/>
  <c r="D401" i="50"/>
  <c r="D410" i="50"/>
  <c r="D413" i="50"/>
  <c r="D428" i="50"/>
  <c r="H430" i="50"/>
  <c r="E324" i="50"/>
  <c r="E323" i="50"/>
  <c r="E322" i="50"/>
  <c r="E321" i="50"/>
  <c r="E320" i="50"/>
  <c r="M241" i="50"/>
  <c r="L241" i="50"/>
  <c r="K241" i="50"/>
  <c r="J241" i="50"/>
  <c r="M247" i="50"/>
  <c r="L247" i="50"/>
  <c r="K247" i="50"/>
  <c r="J247" i="50"/>
  <c r="M246" i="50"/>
  <c r="L246" i="50"/>
  <c r="K246" i="50"/>
  <c r="J246" i="50"/>
  <c r="M245" i="50"/>
  <c r="L245" i="50"/>
  <c r="K245" i="50"/>
  <c r="J245" i="50"/>
  <c r="M254" i="50"/>
  <c r="L254" i="50"/>
  <c r="K254" i="50"/>
  <c r="J254" i="50"/>
  <c r="M253" i="50"/>
  <c r="L253" i="50"/>
  <c r="K253" i="50"/>
  <c r="J253" i="50"/>
  <c r="M252" i="50"/>
  <c r="L252" i="50"/>
  <c r="K252" i="50"/>
  <c r="J252" i="50"/>
  <c r="I252" i="50"/>
  <c r="I253" i="50"/>
  <c r="I254" i="50"/>
  <c r="M258" i="50"/>
  <c r="L258" i="50"/>
  <c r="K258" i="50"/>
  <c r="J258" i="50"/>
  <c r="M268" i="50"/>
  <c r="L268" i="50"/>
  <c r="K268" i="50"/>
  <c r="J268" i="50"/>
  <c r="M270" i="50"/>
  <c r="L270" i="50"/>
  <c r="K270" i="50"/>
  <c r="J270" i="50"/>
  <c r="M283" i="50"/>
  <c r="L283" i="50"/>
  <c r="K283" i="50"/>
  <c r="J283" i="50"/>
  <c r="M282" i="50"/>
  <c r="L282" i="50"/>
  <c r="K282" i="50"/>
  <c r="J282" i="50"/>
  <c r="M281" i="50"/>
  <c r="L281" i="50"/>
  <c r="K281" i="50"/>
  <c r="J281" i="50"/>
  <c r="M280" i="50"/>
  <c r="L280" i="50"/>
  <c r="K280" i="50"/>
  <c r="J280" i="50"/>
  <c r="M279" i="50"/>
  <c r="L279" i="50"/>
  <c r="K279" i="50"/>
  <c r="J279" i="50"/>
  <c r="M278" i="50"/>
  <c r="L278" i="50"/>
  <c r="K278" i="50"/>
  <c r="J278" i="50"/>
  <c r="M277" i="50"/>
  <c r="L277" i="50"/>
  <c r="K277" i="50"/>
  <c r="J277" i="50"/>
  <c r="M276" i="50"/>
  <c r="L276" i="50"/>
  <c r="K276" i="50"/>
  <c r="J276" i="50"/>
  <c r="M275" i="50"/>
  <c r="L275" i="50"/>
  <c r="K275" i="50"/>
  <c r="J275" i="50"/>
  <c r="M274" i="50"/>
  <c r="L274" i="50"/>
  <c r="K274" i="50"/>
  <c r="J274" i="50"/>
  <c r="M301" i="50"/>
  <c r="L301" i="50"/>
  <c r="K301" i="50"/>
  <c r="J301" i="50"/>
  <c r="M300" i="50"/>
  <c r="L300" i="50"/>
  <c r="K300" i="50"/>
  <c r="J300" i="50"/>
  <c r="M299" i="50"/>
  <c r="L299" i="50"/>
  <c r="K299" i="50"/>
  <c r="J299" i="50"/>
  <c r="M298" i="50"/>
  <c r="L298" i="50"/>
  <c r="K298" i="50"/>
  <c r="J298" i="50"/>
  <c r="M297" i="50"/>
  <c r="L297" i="50"/>
  <c r="K297" i="50"/>
  <c r="J297" i="50"/>
  <c r="M316" i="50"/>
  <c r="L316" i="50"/>
  <c r="K316" i="50"/>
  <c r="J316" i="50"/>
  <c r="M323" i="50"/>
  <c r="L323" i="50"/>
  <c r="K323" i="50"/>
  <c r="J323" i="50"/>
  <c r="M322" i="50"/>
  <c r="L322" i="50"/>
  <c r="K322" i="50"/>
  <c r="J322" i="50"/>
  <c r="M321" i="50"/>
  <c r="L321" i="50"/>
  <c r="K321" i="50"/>
  <c r="J321" i="50"/>
  <c r="M320" i="50"/>
  <c r="L320" i="50"/>
  <c r="K320" i="50"/>
  <c r="J320" i="50"/>
  <c r="E254" i="50"/>
  <c r="E253" i="50"/>
  <c r="E252" i="50"/>
  <c r="E247" i="50"/>
  <c r="E246" i="50"/>
  <c r="E245" i="50"/>
  <c r="E301" i="50"/>
  <c r="E300" i="50"/>
  <c r="E299" i="50"/>
  <c r="E298" i="50"/>
  <c r="E297" i="50"/>
  <c r="I323" i="50"/>
  <c r="I322" i="50"/>
  <c r="I321" i="50"/>
  <c r="I320" i="50"/>
  <c r="I316" i="50"/>
  <c r="I301" i="50"/>
  <c r="I300" i="50"/>
  <c r="I299" i="50"/>
  <c r="I298" i="50"/>
  <c r="I297" i="50"/>
  <c r="I283" i="50"/>
  <c r="I282" i="50"/>
  <c r="I281" i="50"/>
  <c r="I280" i="50"/>
  <c r="I279" i="50"/>
  <c r="I278" i="50"/>
  <c r="I277" i="50"/>
  <c r="I276" i="50"/>
  <c r="I275" i="50"/>
  <c r="I274" i="50"/>
  <c r="I270" i="50"/>
  <c r="I268" i="50"/>
  <c r="I258" i="50"/>
  <c r="I247" i="50"/>
  <c r="I246" i="50"/>
  <c r="I245" i="50"/>
  <c r="D239" i="50"/>
  <c r="D243" i="50"/>
  <c r="D250" i="50"/>
  <c r="D257" i="50"/>
  <c r="D260" i="50"/>
  <c r="D263" i="50"/>
  <c r="H264" i="50"/>
  <c r="D266" i="50"/>
  <c r="D272" i="50"/>
  <c r="H290" i="50"/>
  <c r="E293" i="50"/>
  <c r="H293" i="50"/>
  <c r="D295" i="50"/>
  <c r="D304" i="50"/>
  <c r="D312" i="50"/>
  <c r="H313" i="50"/>
  <c r="D315" i="50"/>
  <c r="D318" i="50"/>
  <c r="D327" i="50"/>
  <c r="H330" i="50"/>
  <c r="D332" i="50"/>
  <c r="D335" i="50"/>
  <c r="M192" i="50"/>
  <c r="L192" i="50"/>
  <c r="K192" i="50"/>
  <c r="J192" i="50"/>
  <c r="M191" i="50"/>
  <c r="L191" i="50"/>
  <c r="K191" i="50"/>
  <c r="J191" i="50"/>
  <c r="M190" i="50"/>
  <c r="L190" i="50"/>
  <c r="K190" i="50"/>
  <c r="J190" i="50"/>
  <c r="M189" i="50"/>
  <c r="L189" i="50"/>
  <c r="K189" i="50"/>
  <c r="J189" i="50"/>
  <c r="M204" i="50"/>
  <c r="L204" i="50"/>
  <c r="K204" i="50"/>
  <c r="J204" i="50"/>
  <c r="M203" i="50"/>
  <c r="L203" i="50"/>
  <c r="K203" i="50"/>
  <c r="J203" i="50"/>
  <c r="M202" i="50"/>
  <c r="L202" i="50"/>
  <c r="K202" i="50"/>
  <c r="J202" i="50"/>
  <c r="M201" i="50"/>
  <c r="L201" i="50"/>
  <c r="K201" i="50"/>
  <c r="J201" i="50"/>
  <c r="N208" i="50"/>
  <c r="K208" i="50"/>
  <c r="H203" i="50"/>
  <c r="I204" i="50"/>
  <c r="I203" i="50"/>
  <c r="I202" i="50"/>
  <c r="I201" i="50"/>
  <c r="H199" i="50"/>
  <c r="L198" i="50"/>
  <c r="N196" i="50"/>
  <c r="K196" i="50"/>
  <c r="H191" i="50"/>
  <c r="I192" i="50"/>
  <c r="I191" i="50"/>
  <c r="I190" i="50"/>
  <c r="I189" i="50"/>
  <c r="H187" i="50"/>
  <c r="L186" i="50"/>
  <c r="M163" i="50"/>
  <c r="L163" i="50"/>
  <c r="K163" i="50"/>
  <c r="J163" i="50"/>
  <c r="M162" i="50"/>
  <c r="L162" i="50"/>
  <c r="K162" i="50"/>
  <c r="J162" i="50"/>
  <c r="M168" i="50"/>
  <c r="L168" i="50"/>
  <c r="K168" i="50"/>
  <c r="J168" i="50"/>
  <c r="M167" i="50"/>
  <c r="L167" i="50"/>
  <c r="K167" i="50"/>
  <c r="J167" i="50"/>
  <c r="M175" i="50"/>
  <c r="L175" i="50"/>
  <c r="K175" i="50"/>
  <c r="J175" i="50"/>
  <c r="M174" i="50"/>
  <c r="L174" i="50"/>
  <c r="K174" i="50"/>
  <c r="J174" i="50"/>
  <c r="I175" i="50"/>
  <c r="I174" i="50"/>
  <c r="I168" i="50"/>
  <c r="I167" i="50"/>
  <c r="I163" i="50"/>
  <c r="I162" i="50"/>
  <c r="M150" i="50"/>
  <c r="L150" i="50"/>
  <c r="K150" i="50"/>
  <c r="J150" i="50"/>
  <c r="M149" i="50"/>
  <c r="L149" i="50"/>
  <c r="K149" i="50"/>
  <c r="J149" i="50"/>
  <c r="I150" i="50"/>
  <c r="I149" i="50"/>
  <c r="M138" i="50"/>
  <c r="L138" i="50"/>
  <c r="K138" i="50"/>
  <c r="J138" i="50"/>
  <c r="M137" i="50"/>
  <c r="L137" i="50"/>
  <c r="K137" i="50"/>
  <c r="J137" i="50"/>
  <c r="I138" i="50"/>
  <c r="I137" i="50"/>
  <c r="M143" i="50"/>
  <c r="L143" i="50"/>
  <c r="K143" i="50"/>
  <c r="J143" i="50"/>
  <c r="M142" i="50"/>
  <c r="L142" i="50"/>
  <c r="K142" i="50"/>
  <c r="J142" i="50"/>
  <c r="I143" i="50"/>
  <c r="I142" i="50"/>
  <c r="M134" i="50"/>
  <c r="M159" i="50" s="1"/>
  <c r="H147" i="50"/>
  <c r="H148" i="50"/>
  <c r="H149" i="50"/>
  <c r="H150" i="50"/>
  <c r="H172" i="50"/>
  <c r="H173" i="50"/>
  <c r="H174" i="50"/>
  <c r="H175" i="50"/>
  <c r="F25" i="50"/>
  <c r="F26" i="50"/>
  <c r="F27" i="50"/>
  <c r="F28" i="50"/>
  <c r="F29" i="50"/>
  <c r="F24" i="50"/>
  <c r="H15" i="50"/>
  <c r="H14" i="50"/>
  <c r="H13" i="50"/>
  <c r="M12" i="50"/>
  <c r="H21" i="50"/>
  <c r="H19" i="50"/>
  <c r="H18" i="50"/>
  <c r="H17" i="50"/>
  <c r="M17" i="50"/>
  <c r="M18" i="50"/>
  <c r="M19" i="50"/>
  <c r="M20" i="50"/>
  <c r="M21" i="50"/>
  <c r="I44" i="37"/>
  <c r="N258" i="34"/>
  <c r="N259" i="34"/>
  <c r="N260" i="34"/>
  <c r="N257" i="34"/>
  <c r="N256" i="34"/>
  <c r="N202" i="34"/>
  <c r="N203" i="34"/>
  <c r="N204" i="34"/>
  <c r="N205" i="34"/>
  <c r="N206" i="34"/>
  <c r="N207" i="34"/>
  <c r="N208" i="34"/>
  <c r="N209" i="34"/>
  <c r="N210" i="34"/>
  <c r="N211" i="34"/>
  <c r="N212" i="34"/>
  <c r="N213" i="34"/>
  <c r="N214" i="34"/>
  <c r="N215" i="34"/>
  <c r="N216" i="34"/>
  <c r="N217" i="34"/>
  <c r="N218" i="34"/>
  <c r="N219" i="34"/>
  <c r="N220" i="34"/>
  <c r="N221" i="34"/>
  <c r="N222" i="34"/>
  <c r="N223" i="34"/>
  <c r="N224" i="34"/>
  <c r="N225" i="34"/>
  <c r="N226" i="34"/>
  <c r="N227" i="34"/>
  <c r="N228" i="34"/>
  <c r="N229" i="34"/>
  <c r="N230" i="34"/>
  <c r="N231" i="34"/>
  <c r="N232" i="34"/>
  <c r="N233" i="34"/>
  <c r="N234" i="34"/>
  <c r="N235" i="34"/>
  <c r="N236" i="34"/>
  <c r="N237" i="34"/>
  <c r="N238" i="34"/>
  <c r="N239" i="34"/>
  <c r="N240" i="34"/>
  <c r="N241" i="34"/>
  <c r="N242" i="34"/>
  <c r="N243" i="34"/>
  <c r="N244" i="34"/>
  <c r="N245" i="34"/>
  <c r="N246" i="34"/>
  <c r="N247" i="34"/>
  <c r="N248" i="34"/>
  <c r="N249" i="34"/>
  <c r="N250" i="34"/>
  <c r="N251" i="34"/>
  <c r="N252" i="34"/>
  <c r="N201" i="34"/>
  <c r="M376" i="47"/>
  <c r="L376" i="47"/>
  <c r="K376" i="47"/>
  <c r="J376" i="47"/>
  <c r="I376" i="47"/>
  <c r="P22" i="49"/>
  <c r="BA118" i="58"/>
  <c r="BB132" i="59"/>
  <c r="BA132" i="59"/>
  <c r="BB127" i="59"/>
  <c r="BA127" i="59"/>
  <c r="BB126" i="59"/>
  <c r="BA126" i="59"/>
  <c r="BB125" i="59"/>
  <c r="BA125" i="59"/>
  <c r="BB124" i="59"/>
  <c r="BA124" i="59"/>
  <c r="BB123" i="59"/>
  <c r="BA123" i="59"/>
  <c r="BB122" i="59"/>
  <c r="BA122" i="59"/>
  <c r="BB121" i="59"/>
  <c r="BA121" i="59"/>
  <c r="BB120" i="59"/>
  <c r="BA120" i="59"/>
  <c r="BB119" i="59"/>
  <c r="BA119" i="59"/>
  <c r="BB118" i="59"/>
  <c r="BA118" i="59"/>
  <c r="BB112" i="59"/>
  <c r="BA112" i="59"/>
  <c r="BB111" i="59"/>
  <c r="BA111" i="59"/>
  <c r="BB110" i="59"/>
  <c r="BA110" i="59"/>
  <c r="BB109" i="59"/>
  <c r="BA109" i="59"/>
  <c r="BB108" i="59"/>
  <c r="BA108" i="59"/>
  <c r="BB107" i="59"/>
  <c r="BA107" i="59"/>
  <c r="BB106" i="59"/>
  <c r="BA106" i="59"/>
  <c r="BB105" i="59"/>
  <c r="BA105" i="59"/>
  <c r="BB104" i="59"/>
  <c r="BA104" i="59"/>
  <c r="BB103" i="59"/>
  <c r="BA103" i="59"/>
  <c r="BB98" i="59"/>
  <c r="BA98" i="59"/>
  <c r="BB97" i="59"/>
  <c r="BA97" i="59"/>
  <c r="BB96" i="59"/>
  <c r="BA96" i="59"/>
  <c r="BB95" i="59"/>
  <c r="BA95" i="59"/>
  <c r="BB94" i="59"/>
  <c r="BA94" i="59"/>
  <c r="BB93" i="59"/>
  <c r="BA93" i="59"/>
  <c r="BB92" i="59"/>
  <c r="BA92" i="59"/>
  <c r="BB91" i="59"/>
  <c r="BA91" i="59"/>
  <c r="BB90" i="59"/>
  <c r="BA90" i="59"/>
  <c r="BB89" i="59"/>
  <c r="BA89" i="59"/>
  <c r="BB88" i="59"/>
  <c r="BA88" i="59"/>
  <c r="BB87" i="59"/>
  <c r="BA87" i="59"/>
  <c r="BB86" i="59"/>
  <c r="BA86" i="59"/>
  <c r="BB85" i="59"/>
  <c r="BA85" i="59"/>
  <c r="BB84" i="59"/>
  <c r="BA84" i="59"/>
  <c r="BB83" i="59"/>
  <c r="BA83" i="59"/>
  <c r="BB82" i="59"/>
  <c r="BA82" i="59"/>
  <c r="BB81" i="59"/>
  <c r="BA81" i="59"/>
  <c r="BB80" i="59"/>
  <c r="BA80" i="59"/>
  <c r="BB79" i="59"/>
  <c r="BA79" i="59"/>
  <c r="BB78" i="59"/>
  <c r="BA78" i="59"/>
  <c r="BB77" i="59"/>
  <c r="BA77" i="59"/>
  <c r="BB76" i="59"/>
  <c r="BA76" i="59"/>
  <c r="BB75" i="59"/>
  <c r="BA75" i="59"/>
  <c r="BB74" i="59"/>
  <c r="BA74" i="59"/>
  <c r="BB73" i="59"/>
  <c r="BA73" i="59"/>
  <c r="BB72" i="59"/>
  <c r="BA72" i="59"/>
  <c r="BB71" i="59"/>
  <c r="BA71" i="59"/>
  <c r="BB70" i="59"/>
  <c r="BA70" i="59"/>
  <c r="BB69" i="59"/>
  <c r="BA69" i="59"/>
  <c r="BB68" i="59"/>
  <c r="BA68" i="59"/>
  <c r="BB67" i="59"/>
  <c r="BA67" i="59"/>
  <c r="BB66" i="59"/>
  <c r="BA66" i="59"/>
  <c r="BB65" i="59"/>
  <c r="BA65" i="59"/>
  <c r="BB64" i="59"/>
  <c r="BA64" i="59"/>
  <c r="BB63" i="59"/>
  <c r="BA63" i="59"/>
  <c r="BB62" i="59"/>
  <c r="BA62" i="59"/>
  <c r="BB61" i="59"/>
  <c r="BA61" i="59"/>
  <c r="BB60" i="59"/>
  <c r="BA60" i="59"/>
  <c r="BB59" i="59"/>
  <c r="BA59" i="59"/>
  <c r="BB58" i="59"/>
  <c r="BA58" i="59"/>
  <c r="BB57" i="59"/>
  <c r="BA57" i="59"/>
  <c r="BB56" i="59"/>
  <c r="BA56" i="59"/>
  <c r="BB55" i="59"/>
  <c r="BA55" i="59"/>
  <c r="BB54" i="59"/>
  <c r="BA54" i="59"/>
  <c r="BB53" i="59"/>
  <c r="BA53" i="59"/>
  <c r="BB52" i="59"/>
  <c r="BA52" i="59"/>
  <c r="BB51" i="59"/>
  <c r="BA51" i="59"/>
  <c r="BB50" i="59"/>
  <c r="BA50" i="59"/>
  <c r="BB49" i="59"/>
  <c r="BA49" i="59"/>
  <c r="BB48" i="59"/>
  <c r="BA48" i="59"/>
  <c r="BB47" i="59"/>
  <c r="BA47" i="59"/>
  <c r="BB46" i="59"/>
  <c r="BA46" i="59"/>
  <c r="BB45" i="59"/>
  <c r="BA45" i="59"/>
  <c r="BB44" i="59"/>
  <c r="BA44" i="59"/>
  <c r="BB43" i="59"/>
  <c r="BA43" i="59"/>
  <c r="BB42" i="59"/>
  <c r="BA42" i="59"/>
  <c r="BB41" i="59"/>
  <c r="BA41" i="59"/>
  <c r="BB40" i="59"/>
  <c r="BA40" i="59"/>
  <c r="BB39" i="59"/>
  <c r="BA39" i="59"/>
  <c r="BB38" i="59"/>
  <c r="BA38" i="59"/>
  <c r="BB37" i="59"/>
  <c r="BA37" i="59"/>
  <c r="BB36" i="59"/>
  <c r="BA36" i="59"/>
  <c r="BB35" i="59"/>
  <c r="BA35" i="59"/>
  <c r="BB34" i="59"/>
  <c r="BA34" i="59"/>
  <c r="BB33" i="59"/>
  <c r="BA33" i="59"/>
  <c r="BB32" i="59"/>
  <c r="BA32" i="59"/>
  <c r="BB31" i="59"/>
  <c r="BA31" i="59"/>
  <c r="BB28" i="59"/>
  <c r="BA28" i="59"/>
  <c r="BB27" i="59"/>
  <c r="BA27" i="59"/>
  <c r="BB12" i="59"/>
  <c r="J10" i="59"/>
  <c r="BB132" i="58"/>
  <c r="BA132" i="58"/>
  <c r="BB127" i="58"/>
  <c r="BA127" i="58"/>
  <c r="BB126" i="58"/>
  <c r="BA126" i="58"/>
  <c r="BB125" i="58"/>
  <c r="BA125" i="58"/>
  <c r="BB124" i="58"/>
  <c r="BA124" i="58"/>
  <c r="BB123" i="58"/>
  <c r="BA123" i="58"/>
  <c r="BB122" i="58"/>
  <c r="BA122" i="58"/>
  <c r="BB121" i="58"/>
  <c r="BA121" i="58"/>
  <c r="BB120" i="58"/>
  <c r="BA120" i="58"/>
  <c r="BB119" i="58"/>
  <c r="BA119" i="58"/>
  <c r="BB118" i="58"/>
  <c r="BB112" i="58"/>
  <c r="BA112" i="58"/>
  <c r="BB111" i="58"/>
  <c r="BA111" i="58"/>
  <c r="BB110" i="58"/>
  <c r="BA110" i="58"/>
  <c r="BB109" i="58"/>
  <c r="BA109" i="58"/>
  <c r="BB108" i="58"/>
  <c r="BA108" i="58"/>
  <c r="BB107" i="58"/>
  <c r="BA107" i="58"/>
  <c r="BB106" i="58"/>
  <c r="BA106" i="58"/>
  <c r="BB105" i="58"/>
  <c r="BA105" i="58"/>
  <c r="BB104" i="58"/>
  <c r="BA104" i="58"/>
  <c r="BB103" i="58"/>
  <c r="BA103" i="58"/>
  <c r="BB98" i="58"/>
  <c r="BA98" i="58"/>
  <c r="BB97" i="58"/>
  <c r="BA97" i="58"/>
  <c r="BB96" i="58"/>
  <c r="BA96" i="58"/>
  <c r="BB95" i="58"/>
  <c r="BA95" i="58"/>
  <c r="BB94" i="58"/>
  <c r="BA94" i="58"/>
  <c r="BB93" i="58"/>
  <c r="BA93" i="58"/>
  <c r="BB92" i="58"/>
  <c r="BA92" i="58"/>
  <c r="BB91" i="58"/>
  <c r="BA91" i="58"/>
  <c r="BB90" i="58"/>
  <c r="BA90" i="58"/>
  <c r="BB89" i="58"/>
  <c r="BA89" i="58"/>
  <c r="BB88" i="58"/>
  <c r="BA88" i="58"/>
  <c r="BB87" i="58"/>
  <c r="BA87" i="58"/>
  <c r="BB86" i="58"/>
  <c r="BA86" i="58"/>
  <c r="BB85" i="58"/>
  <c r="BA85" i="58"/>
  <c r="BB84" i="58"/>
  <c r="BA84" i="58"/>
  <c r="BB83" i="58"/>
  <c r="BA83" i="58"/>
  <c r="BB82" i="58"/>
  <c r="BA82" i="58"/>
  <c r="BB81" i="58"/>
  <c r="BA81" i="58"/>
  <c r="BB80" i="58"/>
  <c r="BA80" i="58"/>
  <c r="BB79" i="58"/>
  <c r="BA79" i="58"/>
  <c r="BB78" i="58"/>
  <c r="BA78" i="58"/>
  <c r="BB77" i="58"/>
  <c r="BA77" i="58"/>
  <c r="BB76" i="58"/>
  <c r="BA76" i="58"/>
  <c r="BB75" i="58"/>
  <c r="BA75" i="58"/>
  <c r="BB74" i="58"/>
  <c r="BA74" i="58"/>
  <c r="BB73" i="58"/>
  <c r="BA73" i="58"/>
  <c r="BB72" i="58"/>
  <c r="BA72" i="58"/>
  <c r="BB71" i="58"/>
  <c r="BA71" i="58"/>
  <c r="BB70" i="58"/>
  <c r="BA70" i="58"/>
  <c r="BB69" i="58"/>
  <c r="BA69" i="58"/>
  <c r="BB68" i="58"/>
  <c r="BA68" i="58"/>
  <c r="BB67" i="58"/>
  <c r="BA67" i="58"/>
  <c r="BB66" i="58"/>
  <c r="BA66" i="58"/>
  <c r="BB65" i="58"/>
  <c r="BA65" i="58"/>
  <c r="BB64" i="58"/>
  <c r="BA64" i="58"/>
  <c r="BB63" i="58"/>
  <c r="BA63" i="58"/>
  <c r="BB62" i="58"/>
  <c r="BA62" i="58"/>
  <c r="BB61" i="58"/>
  <c r="BA61" i="58"/>
  <c r="BB60" i="58"/>
  <c r="BA60" i="58"/>
  <c r="BB59" i="58"/>
  <c r="BA59" i="58"/>
  <c r="BB58" i="58"/>
  <c r="BA58" i="58"/>
  <c r="BB57" i="58"/>
  <c r="BA57" i="58"/>
  <c r="BB56" i="58"/>
  <c r="BA56" i="58"/>
  <c r="BB55" i="58"/>
  <c r="BA55" i="58"/>
  <c r="BB54" i="58"/>
  <c r="BA54" i="58"/>
  <c r="BB53" i="58"/>
  <c r="BA53" i="58"/>
  <c r="BB52" i="58"/>
  <c r="BA52" i="58"/>
  <c r="BB51" i="58"/>
  <c r="BA51" i="58"/>
  <c r="BB50" i="58"/>
  <c r="BA50" i="58"/>
  <c r="BB49" i="58"/>
  <c r="BA49" i="58"/>
  <c r="BB48" i="58"/>
  <c r="BA48" i="58"/>
  <c r="BB47" i="58"/>
  <c r="BA47" i="58"/>
  <c r="BB46" i="58"/>
  <c r="BA46" i="58"/>
  <c r="BB45" i="58"/>
  <c r="BA45" i="58"/>
  <c r="BB44" i="58"/>
  <c r="BA44" i="58"/>
  <c r="BB43" i="58"/>
  <c r="BA43" i="58"/>
  <c r="BB42" i="58"/>
  <c r="BA42" i="58"/>
  <c r="BB41" i="58"/>
  <c r="BA41" i="58"/>
  <c r="BB40" i="58"/>
  <c r="BA40" i="58"/>
  <c r="BB39" i="58"/>
  <c r="BA39" i="58"/>
  <c r="BB38" i="58"/>
  <c r="BA38" i="58"/>
  <c r="BB37" i="58"/>
  <c r="BA37" i="58"/>
  <c r="BB36" i="58"/>
  <c r="BA36" i="58"/>
  <c r="BB35" i="58"/>
  <c r="BA35" i="58"/>
  <c r="BB34" i="58"/>
  <c r="BA34" i="58"/>
  <c r="BB33" i="58"/>
  <c r="BA33" i="58"/>
  <c r="BB32" i="58"/>
  <c r="BA32" i="58"/>
  <c r="BB31" i="58"/>
  <c r="BA31" i="58"/>
  <c r="BB30" i="58"/>
  <c r="BA30" i="58"/>
  <c r="BB29" i="58"/>
  <c r="BA29" i="58"/>
  <c r="BB28" i="58"/>
  <c r="BA28" i="58"/>
  <c r="BB27" i="58"/>
  <c r="BA27" i="58"/>
  <c r="BB12" i="58"/>
  <c r="J10" i="58"/>
  <c r="BB132" i="57"/>
  <c r="BA132" i="57"/>
  <c r="BB127" i="57"/>
  <c r="BA127" i="57"/>
  <c r="BB126" i="57"/>
  <c r="BA126" i="57"/>
  <c r="BB125" i="57"/>
  <c r="BA125" i="57"/>
  <c r="BB124" i="57"/>
  <c r="BA124" i="57"/>
  <c r="BB123" i="57"/>
  <c r="BA123" i="57"/>
  <c r="BB122" i="57"/>
  <c r="BA122" i="57"/>
  <c r="BB121" i="57"/>
  <c r="BA121" i="57"/>
  <c r="BB120" i="57"/>
  <c r="BA120" i="57"/>
  <c r="BB119" i="57"/>
  <c r="BA119" i="57"/>
  <c r="BB118" i="57"/>
  <c r="BA118" i="57"/>
  <c r="BB112" i="57"/>
  <c r="BA112" i="57"/>
  <c r="BB111" i="57"/>
  <c r="BA111" i="57"/>
  <c r="BB110" i="57"/>
  <c r="BA110" i="57"/>
  <c r="BB109" i="57"/>
  <c r="BA109" i="57"/>
  <c r="BB108" i="57"/>
  <c r="BA108" i="57"/>
  <c r="BB107" i="57"/>
  <c r="BA107" i="57"/>
  <c r="BB106" i="57"/>
  <c r="BA106" i="57"/>
  <c r="BB105" i="57"/>
  <c r="BA105" i="57"/>
  <c r="BB104" i="57"/>
  <c r="BA104" i="57"/>
  <c r="BB103" i="57"/>
  <c r="BA103" i="57"/>
  <c r="BB98" i="57"/>
  <c r="BA98" i="57"/>
  <c r="BB97" i="57"/>
  <c r="BA97" i="57"/>
  <c r="BB96" i="57"/>
  <c r="BA96" i="57"/>
  <c r="BB95" i="57"/>
  <c r="BA95" i="57"/>
  <c r="BB94" i="57"/>
  <c r="BA94" i="57"/>
  <c r="BB93" i="57"/>
  <c r="BA93" i="57"/>
  <c r="BB92" i="57"/>
  <c r="BA92" i="57"/>
  <c r="BB91" i="57"/>
  <c r="BA91" i="57"/>
  <c r="BB90" i="57"/>
  <c r="BA90" i="57"/>
  <c r="BB89" i="57"/>
  <c r="BA89" i="57"/>
  <c r="BB88" i="57"/>
  <c r="BA88" i="57"/>
  <c r="BB87" i="57"/>
  <c r="BA87" i="57"/>
  <c r="BB86" i="57"/>
  <c r="BA86" i="57"/>
  <c r="BB85" i="57"/>
  <c r="BA85" i="57"/>
  <c r="BB84" i="57"/>
  <c r="BA84" i="57"/>
  <c r="BB83" i="57"/>
  <c r="BA83" i="57"/>
  <c r="BB82" i="57"/>
  <c r="BA82" i="57"/>
  <c r="BB81" i="57"/>
  <c r="BA81" i="57"/>
  <c r="BB80" i="57"/>
  <c r="BA80" i="57"/>
  <c r="BB79" i="57"/>
  <c r="BA79" i="57"/>
  <c r="BB78" i="57"/>
  <c r="BA78" i="57"/>
  <c r="BB77" i="57"/>
  <c r="BA77" i="57"/>
  <c r="BB76" i="57"/>
  <c r="BA76" i="57"/>
  <c r="BB75" i="57"/>
  <c r="BA75" i="57"/>
  <c r="BB74" i="57"/>
  <c r="BA74" i="57"/>
  <c r="BB73" i="57"/>
  <c r="BA73" i="57"/>
  <c r="BB72" i="57"/>
  <c r="BA72" i="57"/>
  <c r="BB71" i="57"/>
  <c r="BA71" i="57"/>
  <c r="BB70" i="57"/>
  <c r="BA70" i="57"/>
  <c r="BB69" i="57"/>
  <c r="BA69" i="57"/>
  <c r="BB68" i="57"/>
  <c r="BA68" i="57"/>
  <c r="BB67" i="57"/>
  <c r="BA67" i="57"/>
  <c r="BB66" i="57"/>
  <c r="BA66" i="57"/>
  <c r="BB65" i="57"/>
  <c r="BA65" i="57"/>
  <c r="BB64" i="57"/>
  <c r="BA64" i="57"/>
  <c r="BB63" i="57"/>
  <c r="BA63" i="57"/>
  <c r="BB62" i="57"/>
  <c r="BA62" i="57"/>
  <c r="BB61" i="57"/>
  <c r="BA61" i="57"/>
  <c r="BB60" i="57"/>
  <c r="BA60" i="57"/>
  <c r="BB59" i="57"/>
  <c r="BA59" i="57"/>
  <c r="BB58" i="57"/>
  <c r="BA58" i="57"/>
  <c r="BB57" i="57"/>
  <c r="BA57" i="57"/>
  <c r="BB56" i="57"/>
  <c r="BA56" i="57"/>
  <c r="BB55" i="57"/>
  <c r="BA55" i="57"/>
  <c r="BB54" i="57"/>
  <c r="BA54" i="57"/>
  <c r="BB53" i="57"/>
  <c r="BA53" i="57"/>
  <c r="BB52" i="57"/>
  <c r="BA52" i="57"/>
  <c r="BB51" i="57"/>
  <c r="BA51" i="57"/>
  <c r="BB50" i="57"/>
  <c r="BA50" i="57"/>
  <c r="BB49" i="57"/>
  <c r="BA49" i="57"/>
  <c r="BB48" i="57"/>
  <c r="BA48" i="57"/>
  <c r="BB47" i="57"/>
  <c r="BA47" i="57"/>
  <c r="BB46" i="57"/>
  <c r="BA46" i="57"/>
  <c r="BB45" i="57"/>
  <c r="BA45" i="57"/>
  <c r="BB44" i="57"/>
  <c r="BA44" i="57"/>
  <c r="BB43" i="57"/>
  <c r="BA43" i="57"/>
  <c r="BB42" i="57"/>
  <c r="BA42" i="57"/>
  <c r="BB41" i="57"/>
  <c r="BA41" i="57"/>
  <c r="BB40" i="57"/>
  <c r="BA40" i="57"/>
  <c r="BB39" i="57"/>
  <c r="BA39" i="57"/>
  <c r="BB38" i="57"/>
  <c r="BA38" i="57"/>
  <c r="BB37" i="57"/>
  <c r="BA37" i="57"/>
  <c r="BB36" i="57"/>
  <c r="BA36" i="57"/>
  <c r="BB35" i="57"/>
  <c r="BA35" i="57"/>
  <c r="BB34" i="57"/>
  <c r="BA34" i="57"/>
  <c r="BB33" i="57"/>
  <c r="BA33" i="57"/>
  <c r="BB32" i="57"/>
  <c r="BA32" i="57"/>
  <c r="BB31" i="57"/>
  <c r="BA31" i="57"/>
  <c r="BB30" i="57"/>
  <c r="BA30" i="57"/>
  <c r="BB29" i="57"/>
  <c r="BA29" i="57"/>
  <c r="BB28" i="57"/>
  <c r="BA28" i="57"/>
  <c r="BB27" i="57"/>
  <c r="BA27" i="57"/>
  <c r="BB12" i="57"/>
  <c r="J10" i="57"/>
  <c r="BB132" i="56"/>
  <c r="BA132" i="56"/>
  <c r="BB127" i="56"/>
  <c r="BA127" i="56"/>
  <c r="BB126" i="56"/>
  <c r="BA126" i="56"/>
  <c r="BB125" i="56"/>
  <c r="BA125" i="56"/>
  <c r="BB124" i="56"/>
  <c r="BA124" i="56"/>
  <c r="BB123" i="56"/>
  <c r="BA123" i="56"/>
  <c r="BB122" i="56"/>
  <c r="BA122" i="56"/>
  <c r="BB121" i="56"/>
  <c r="BA121" i="56"/>
  <c r="BB120" i="56"/>
  <c r="BA120" i="56"/>
  <c r="BB119" i="56"/>
  <c r="BA119" i="56"/>
  <c r="BB118" i="56"/>
  <c r="BA118" i="56"/>
  <c r="BB112" i="56"/>
  <c r="BA112" i="56"/>
  <c r="BB111" i="56"/>
  <c r="BA111" i="56"/>
  <c r="BB110" i="56"/>
  <c r="BA110" i="56"/>
  <c r="BB109" i="56"/>
  <c r="BA109" i="56"/>
  <c r="BB108" i="56"/>
  <c r="BA108" i="56"/>
  <c r="BB107" i="56"/>
  <c r="BA107" i="56"/>
  <c r="BB106" i="56"/>
  <c r="BA106" i="56"/>
  <c r="BB105" i="56"/>
  <c r="BA105" i="56"/>
  <c r="BB104" i="56"/>
  <c r="BA104" i="56"/>
  <c r="BB103" i="56"/>
  <c r="BA103" i="56"/>
  <c r="BB98" i="56"/>
  <c r="BA98" i="56"/>
  <c r="BB97" i="56"/>
  <c r="BA97" i="56"/>
  <c r="BB96" i="56"/>
  <c r="BA96" i="56"/>
  <c r="BB95" i="56"/>
  <c r="BA95" i="56"/>
  <c r="BB94" i="56"/>
  <c r="BA94" i="56"/>
  <c r="BB93" i="56"/>
  <c r="BA93" i="56"/>
  <c r="BB92" i="56"/>
  <c r="BA92" i="56"/>
  <c r="BB91" i="56"/>
  <c r="BA91" i="56"/>
  <c r="BB90" i="56"/>
  <c r="BA90" i="56"/>
  <c r="BB89" i="56"/>
  <c r="BA89" i="56"/>
  <c r="BB88" i="56"/>
  <c r="BA88" i="56"/>
  <c r="BB87" i="56"/>
  <c r="BA87" i="56"/>
  <c r="BB86" i="56"/>
  <c r="BA86" i="56"/>
  <c r="BB85" i="56"/>
  <c r="BA85" i="56"/>
  <c r="BB84" i="56"/>
  <c r="BA84" i="56"/>
  <c r="BB83" i="56"/>
  <c r="BA83" i="56"/>
  <c r="BB82" i="56"/>
  <c r="BA82" i="56"/>
  <c r="BB81" i="56"/>
  <c r="BA81" i="56"/>
  <c r="BB80" i="56"/>
  <c r="BA80" i="56"/>
  <c r="BB79" i="56"/>
  <c r="BA79" i="56"/>
  <c r="BB78" i="56"/>
  <c r="BA78" i="56"/>
  <c r="BB77" i="56"/>
  <c r="BA77" i="56"/>
  <c r="BB76" i="56"/>
  <c r="BA76" i="56"/>
  <c r="BB75" i="56"/>
  <c r="BA75" i="56"/>
  <c r="BB74" i="56"/>
  <c r="BA74" i="56"/>
  <c r="BB73" i="56"/>
  <c r="BA73" i="56"/>
  <c r="BB72" i="56"/>
  <c r="BA72" i="56"/>
  <c r="BB71" i="56"/>
  <c r="BA71" i="56"/>
  <c r="BB70" i="56"/>
  <c r="BA70" i="56"/>
  <c r="BB69" i="56"/>
  <c r="BA69" i="56"/>
  <c r="BB68" i="56"/>
  <c r="BA68" i="56"/>
  <c r="BB67" i="56"/>
  <c r="BA67" i="56"/>
  <c r="BB66" i="56"/>
  <c r="BA66" i="56"/>
  <c r="BB65" i="56"/>
  <c r="BA65" i="56"/>
  <c r="BB64" i="56"/>
  <c r="BA64" i="56"/>
  <c r="BB63" i="56"/>
  <c r="BA63" i="56"/>
  <c r="BB62" i="56"/>
  <c r="BA62" i="56"/>
  <c r="BB61" i="56"/>
  <c r="BA61" i="56"/>
  <c r="BB60" i="56"/>
  <c r="BA60" i="56"/>
  <c r="BB59" i="56"/>
  <c r="BA59" i="56"/>
  <c r="BB58" i="56"/>
  <c r="BA58" i="56"/>
  <c r="BB57" i="56"/>
  <c r="BA57" i="56"/>
  <c r="BB56" i="56"/>
  <c r="BA56" i="56"/>
  <c r="BB55" i="56"/>
  <c r="BA55" i="56"/>
  <c r="BB54" i="56"/>
  <c r="BA54" i="56"/>
  <c r="BB53" i="56"/>
  <c r="BA53" i="56"/>
  <c r="BB52" i="56"/>
  <c r="BA52" i="56"/>
  <c r="BB51" i="56"/>
  <c r="BA51" i="56"/>
  <c r="BB50" i="56"/>
  <c r="BA50" i="56"/>
  <c r="BB49" i="56"/>
  <c r="BA49" i="56"/>
  <c r="BB48" i="56"/>
  <c r="BA48" i="56"/>
  <c r="BB47" i="56"/>
  <c r="BA47" i="56"/>
  <c r="BB46" i="56"/>
  <c r="BA46" i="56"/>
  <c r="BB45" i="56"/>
  <c r="BA45" i="56"/>
  <c r="BB44" i="56"/>
  <c r="BA44" i="56"/>
  <c r="BB43" i="56"/>
  <c r="BA43" i="56"/>
  <c r="BB42" i="56"/>
  <c r="BA42" i="56"/>
  <c r="BB41" i="56"/>
  <c r="BA41" i="56"/>
  <c r="BB40" i="56"/>
  <c r="BA40" i="56"/>
  <c r="BB39" i="56"/>
  <c r="BA39" i="56"/>
  <c r="BB38" i="56"/>
  <c r="BA38" i="56"/>
  <c r="BB37" i="56"/>
  <c r="BA37" i="56"/>
  <c r="BB36" i="56"/>
  <c r="BA36" i="56"/>
  <c r="BB35" i="56"/>
  <c r="BA35" i="56"/>
  <c r="BB34" i="56"/>
  <c r="BA34" i="56"/>
  <c r="BB33" i="56"/>
  <c r="BA33" i="56"/>
  <c r="BB32" i="56"/>
  <c r="BA32" i="56"/>
  <c r="BB31" i="56"/>
  <c r="BA31" i="56"/>
  <c r="BB30" i="56"/>
  <c r="BA30" i="56"/>
  <c r="BB29" i="56"/>
  <c r="BA29" i="56"/>
  <c r="BB28" i="56"/>
  <c r="BA28" i="56"/>
  <c r="BB27" i="56"/>
  <c r="BA27" i="56"/>
  <c r="BB12" i="56"/>
  <c r="J10" i="56"/>
  <c r="M548" i="42"/>
  <c r="L548" i="42"/>
  <c r="K548" i="42"/>
  <c r="J548" i="42"/>
  <c r="I548" i="42"/>
  <c r="E547" i="42"/>
  <c r="E546" i="42"/>
  <c r="E545" i="42"/>
  <c r="E544" i="42"/>
  <c r="E543" i="42"/>
  <c r="E542" i="42"/>
  <c r="E541" i="42"/>
  <c r="E540" i="42"/>
  <c r="E539" i="42"/>
  <c r="D539" i="42"/>
  <c r="D540" i="42"/>
  <c r="D541" i="42" s="1"/>
  <c r="D542" i="42" s="1"/>
  <c r="D543" i="42" s="1"/>
  <c r="D544" i="42" s="1"/>
  <c r="D545" i="42" s="1"/>
  <c r="D546" i="42" s="1"/>
  <c r="D547" i="42" s="1"/>
  <c r="E538" i="42"/>
  <c r="D525" i="42"/>
  <c r="D526" i="42" s="1"/>
  <c r="D527" i="42" s="1"/>
  <c r="D528" i="42"/>
  <c r="D529" i="42" s="1"/>
  <c r="D530" i="42" s="1"/>
  <c r="D531" i="42" s="1"/>
  <c r="D532" i="42" s="1"/>
  <c r="D533" i="42" s="1"/>
  <c r="P509" i="42"/>
  <c r="M440" i="42"/>
  <c r="L440" i="42"/>
  <c r="K440" i="42"/>
  <c r="J440" i="42"/>
  <c r="I440" i="42"/>
  <c r="E439" i="42"/>
  <c r="E438" i="42"/>
  <c r="E437" i="42"/>
  <c r="E436" i="42"/>
  <c r="E435" i="42"/>
  <c r="E434" i="42"/>
  <c r="E433" i="42"/>
  <c r="E432" i="42"/>
  <c r="E431" i="42"/>
  <c r="D431" i="42"/>
  <c r="D432" i="42" s="1"/>
  <c r="D433" i="42" s="1"/>
  <c r="D434" i="42"/>
  <c r="D435" i="42" s="1"/>
  <c r="D436" i="42" s="1"/>
  <c r="D437" i="42" s="1"/>
  <c r="D438" i="42"/>
  <c r="D439" i="42" s="1"/>
  <c r="E430" i="42"/>
  <c r="D417" i="42"/>
  <c r="D418" i="42"/>
  <c r="D419" i="42"/>
  <c r="D420" i="42" s="1"/>
  <c r="D421" i="42" s="1"/>
  <c r="D422" i="42" s="1"/>
  <c r="D423" i="42" s="1"/>
  <c r="D424" i="42" s="1"/>
  <c r="D425" i="42" s="1"/>
  <c r="P398" i="42"/>
  <c r="Q399" i="42" s="1"/>
  <c r="E181" i="42"/>
  <c r="E180" i="42"/>
  <c r="E179" i="42"/>
  <c r="E178" i="42"/>
  <c r="E177" i="42"/>
  <c r="E176" i="42"/>
  <c r="E175" i="42"/>
  <c r="E174" i="42"/>
  <c r="E173" i="42"/>
  <c r="D173" i="42"/>
  <c r="D174" i="42" s="1"/>
  <c r="D175" i="42" s="1"/>
  <c r="D176" i="42"/>
  <c r="D177" i="42"/>
  <c r="D178" i="42" s="1"/>
  <c r="D179" i="42" s="1"/>
  <c r="D180" i="42" s="1"/>
  <c r="D181" i="42" s="1"/>
  <c r="E172" i="42"/>
  <c r="D159" i="42"/>
  <c r="D160" i="42"/>
  <c r="D161" i="42"/>
  <c r="D162" i="42"/>
  <c r="D163" i="42" s="1"/>
  <c r="D164" i="42" s="1"/>
  <c r="D165" i="42" s="1"/>
  <c r="D166" i="42" s="1"/>
  <c r="D167" i="42" s="1"/>
  <c r="P143" i="42"/>
  <c r="Q144" i="42"/>
  <c r="M392" i="41"/>
  <c r="L392" i="41"/>
  <c r="J392" i="41"/>
  <c r="S37" i="41"/>
  <c r="S36" i="41"/>
  <c r="K18" i="41"/>
  <c r="BA119" i="55"/>
  <c r="BA120" i="55"/>
  <c r="BA121" i="55"/>
  <c r="BA122" i="55"/>
  <c r="BA123" i="55"/>
  <c r="BA124" i="55"/>
  <c r="BA125" i="55"/>
  <c r="BA126" i="55"/>
  <c r="BA127" i="55"/>
  <c r="BA118" i="55"/>
  <c r="G357" i="43"/>
  <c r="H272" i="42"/>
  <c r="H271" i="42"/>
  <c r="H270" i="42"/>
  <c r="H269" i="42"/>
  <c r="H268" i="42"/>
  <c r="H267" i="42"/>
  <c r="H266" i="42"/>
  <c r="H265" i="42"/>
  <c r="H264" i="42"/>
  <c r="H263" i="42"/>
  <c r="E272" i="42"/>
  <c r="E271" i="42"/>
  <c r="E270" i="42"/>
  <c r="E269" i="42"/>
  <c r="E268" i="42"/>
  <c r="E267" i="42"/>
  <c r="E266" i="42"/>
  <c r="E265" i="42"/>
  <c r="E264" i="42"/>
  <c r="E263" i="42"/>
  <c r="E505" i="42"/>
  <c r="E504" i="42"/>
  <c r="E503" i="42"/>
  <c r="E502" i="42"/>
  <c r="E501" i="42"/>
  <c r="E500" i="42"/>
  <c r="E499" i="42"/>
  <c r="E498" i="42"/>
  <c r="E497" i="42"/>
  <c r="E496" i="42"/>
  <c r="E366" i="42"/>
  <c r="E365" i="42"/>
  <c r="E364" i="42"/>
  <c r="E363" i="42"/>
  <c r="E362" i="42"/>
  <c r="E361" i="42"/>
  <c r="E360" i="42"/>
  <c r="E359" i="42"/>
  <c r="E358" i="42"/>
  <c r="E357" i="42"/>
  <c r="M367" i="42"/>
  <c r="L367" i="42"/>
  <c r="K367" i="42"/>
  <c r="J367" i="42"/>
  <c r="I367" i="42"/>
  <c r="D358" i="42"/>
  <c r="D359" i="42"/>
  <c r="D360" i="42"/>
  <c r="D361" i="42" s="1"/>
  <c r="D362" i="42" s="1"/>
  <c r="D363" i="42" s="1"/>
  <c r="D364" i="42" s="1"/>
  <c r="D365" i="42" s="1"/>
  <c r="D366" i="42" s="1"/>
  <c r="M506" i="42"/>
  <c r="L506" i="42"/>
  <c r="K506" i="42"/>
  <c r="J506" i="42"/>
  <c r="I506" i="42"/>
  <c r="D497" i="42"/>
  <c r="D498" i="42"/>
  <c r="D499" i="42"/>
  <c r="D500" i="42" s="1"/>
  <c r="D501" i="42" s="1"/>
  <c r="D502" i="42" s="1"/>
  <c r="D503" i="42" s="1"/>
  <c r="D504" i="42" s="1"/>
  <c r="D505" i="42" s="1"/>
  <c r="P466" i="42"/>
  <c r="Q467" i="42"/>
  <c r="D483" i="42"/>
  <c r="D484" i="42" s="1"/>
  <c r="D485" i="42" s="1"/>
  <c r="D486" i="42" s="1"/>
  <c r="D487" i="42" s="1"/>
  <c r="D488" i="42" s="1"/>
  <c r="D489" i="42" s="1"/>
  <c r="D490" i="42" s="1"/>
  <c r="D491" i="42" s="1"/>
  <c r="D264" i="42"/>
  <c r="D265" i="42" s="1"/>
  <c r="D266" i="42" s="1"/>
  <c r="D267" i="42" s="1"/>
  <c r="D268" i="42" s="1"/>
  <c r="D269" i="42" s="1"/>
  <c r="D270" i="42" s="1"/>
  <c r="D271" i="42" s="1"/>
  <c r="D272" i="42"/>
  <c r="D250" i="42"/>
  <c r="D251" i="42" s="1"/>
  <c r="D252" i="42" s="1"/>
  <c r="D253" i="42" s="1"/>
  <c r="D254" i="42" s="1"/>
  <c r="D255" i="42" s="1"/>
  <c r="D256" i="42" s="1"/>
  <c r="D257" i="42" s="1"/>
  <c r="D258" i="42" s="1"/>
  <c r="P234" i="42"/>
  <c r="Q235" i="42"/>
  <c r="D344" i="42"/>
  <c r="D345" i="42" s="1"/>
  <c r="D346" i="42" s="1"/>
  <c r="D347" i="42" s="1"/>
  <c r="D348" i="42" s="1"/>
  <c r="D349" i="42" s="1"/>
  <c r="D350" i="42" s="1"/>
  <c r="D351" i="42" s="1"/>
  <c r="D352" i="42"/>
  <c r="X201" i="49"/>
  <c r="X205" i="49" s="1"/>
  <c r="X207" i="49" s="1"/>
  <c r="X210" i="49" s="1"/>
  <c r="X211" i="49" s="1"/>
  <c r="X216" i="49" s="1"/>
  <c r="X222" i="49" s="1"/>
  <c r="X229" i="49" s="1"/>
  <c r="X234" i="49" s="1"/>
  <c r="X257" i="49" s="1"/>
  <c r="X259" i="49" s="1"/>
  <c r="X261" i="49" s="1"/>
  <c r="X263" i="49" s="1"/>
  <c r="X264" i="49" s="1"/>
  <c r="X269" i="49" s="1"/>
  <c r="X274" i="49" s="1"/>
  <c r="X279" i="49" s="1"/>
  <c r="X283" i="49" s="1"/>
  <c r="S229" i="41"/>
  <c r="S228" i="41"/>
  <c r="S227" i="41"/>
  <c r="P325" i="42"/>
  <c r="Q326" i="42"/>
  <c r="P265" i="41"/>
  <c r="P264" i="41"/>
  <c r="W283" i="49"/>
  <c r="V283" i="49"/>
  <c r="U283" i="49"/>
  <c r="T283" i="49"/>
  <c r="S283" i="49"/>
  <c r="W234" i="49"/>
  <c r="V234" i="49"/>
  <c r="U234" i="49"/>
  <c r="T234" i="49"/>
  <c r="S234" i="49"/>
  <c r="P283" i="49"/>
  <c r="P234" i="49"/>
  <c r="M190" i="37"/>
  <c r="L190" i="37"/>
  <c r="K190" i="37"/>
  <c r="J190" i="37"/>
  <c r="I190" i="37"/>
  <c r="P13" i="37"/>
  <c r="Q142" i="49"/>
  <c r="E142" i="49" s="1"/>
  <c r="Q255" i="49"/>
  <c r="M161" i="49"/>
  <c r="L161" i="49"/>
  <c r="K161" i="49"/>
  <c r="K169" i="50"/>
  <c r="J161" i="49"/>
  <c r="J167" i="49" s="1"/>
  <c r="I161" i="49"/>
  <c r="K200" i="37"/>
  <c r="M200" i="37"/>
  <c r="L200" i="37"/>
  <c r="J200" i="37"/>
  <c r="I200" i="37"/>
  <c r="X88" i="49"/>
  <c r="X93" i="49" s="1"/>
  <c r="Q46" i="37"/>
  <c r="BB12" i="55"/>
  <c r="BB132" i="55"/>
  <c r="BB127" i="55"/>
  <c r="BB126" i="55"/>
  <c r="BB125" i="55"/>
  <c r="BB124" i="55"/>
  <c r="BB123" i="55"/>
  <c r="BB122" i="55"/>
  <c r="BB121" i="55"/>
  <c r="BB120" i="55"/>
  <c r="BB119" i="55"/>
  <c r="BB118" i="55"/>
  <c r="BB112" i="55"/>
  <c r="BB111" i="55"/>
  <c r="BB110" i="55"/>
  <c r="BB109" i="55"/>
  <c r="BB108" i="55"/>
  <c r="BB107" i="55"/>
  <c r="BB106" i="55"/>
  <c r="BB105" i="55"/>
  <c r="BB104" i="55"/>
  <c r="BB103" i="55"/>
  <c r="BB26" i="55"/>
  <c r="BB27" i="55"/>
  <c r="BB28" i="55"/>
  <c r="BB29" i="55"/>
  <c r="BB30" i="55"/>
  <c r="BB31" i="55"/>
  <c r="BB32" i="55"/>
  <c r="BB33" i="55"/>
  <c r="BB34" i="55"/>
  <c r="BB35" i="55"/>
  <c r="BB36" i="55"/>
  <c r="BB37" i="55"/>
  <c r="BB38" i="55"/>
  <c r="BB39" i="55"/>
  <c r="BB40" i="55"/>
  <c r="BB41" i="55"/>
  <c r="BB42" i="55"/>
  <c r="BB43" i="55"/>
  <c r="BB44" i="55"/>
  <c r="BB45" i="55"/>
  <c r="BB46" i="55"/>
  <c r="BB47" i="55"/>
  <c r="BB48" i="55"/>
  <c r="BB49" i="55"/>
  <c r="BB50" i="55"/>
  <c r="BB51" i="55"/>
  <c r="BB52" i="55"/>
  <c r="BB53" i="55"/>
  <c r="BB54" i="55"/>
  <c r="BB55" i="55"/>
  <c r="BB56" i="55"/>
  <c r="BB57" i="55"/>
  <c r="BB58" i="55"/>
  <c r="BB59" i="55"/>
  <c r="BB60" i="55"/>
  <c r="BB61" i="55"/>
  <c r="BB62" i="55"/>
  <c r="BB63" i="55"/>
  <c r="BB64" i="55"/>
  <c r="BB65" i="55"/>
  <c r="BB66" i="55"/>
  <c r="BB67" i="55"/>
  <c r="BB68" i="55"/>
  <c r="BB69" i="55"/>
  <c r="BB70" i="55"/>
  <c r="BB71" i="55"/>
  <c r="BB72" i="55"/>
  <c r="BB73" i="55"/>
  <c r="BB74" i="55"/>
  <c r="BB75" i="55"/>
  <c r="BB76" i="55"/>
  <c r="BB77" i="55"/>
  <c r="BB78" i="55"/>
  <c r="BB79" i="55"/>
  <c r="BB80" i="55"/>
  <c r="BB81" i="55"/>
  <c r="BB82" i="55"/>
  <c r="BB83" i="55"/>
  <c r="BB84" i="55"/>
  <c r="BB85" i="55"/>
  <c r="BB86" i="55"/>
  <c r="BB87" i="55"/>
  <c r="BB88" i="55"/>
  <c r="BB89" i="55"/>
  <c r="BB90" i="55"/>
  <c r="BB91" i="55"/>
  <c r="BB92" i="55"/>
  <c r="BB93" i="55"/>
  <c r="BB94" i="55"/>
  <c r="BB95" i="55"/>
  <c r="BB96" i="55"/>
  <c r="BB97" i="55"/>
  <c r="BB98" i="55"/>
  <c r="P24" i="49"/>
  <c r="T24" i="49" s="1"/>
  <c r="K24" i="49" s="1"/>
  <c r="K59" i="49" s="1"/>
  <c r="K72" i="50" s="1"/>
  <c r="P18" i="49"/>
  <c r="P17" i="49"/>
  <c r="P19" i="49"/>
  <c r="P20" i="49"/>
  <c r="V20" i="49" s="1"/>
  <c r="M20" i="49" s="1"/>
  <c r="M55" i="49" s="1"/>
  <c r="M68" i="50" s="1"/>
  <c r="M41" i="49"/>
  <c r="M43" i="49"/>
  <c r="L41" i="49"/>
  <c r="L43" i="49"/>
  <c r="K41" i="49"/>
  <c r="K43" i="49"/>
  <c r="J41" i="49"/>
  <c r="J43" i="49" s="1"/>
  <c r="I41" i="49"/>
  <c r="I43" i="49"/>
  <c r="BA132" i="55"/>
  <c r="BA112" i="55"/>
  <c r="BA111" i="55"/>
  <c r="BA110" i="55"/>
  <c r="BA109" i="55"/>
  <c r="BA108" i="55"/>
  <c r="BA107" i="55"/>
  <c r="BA106" i="55"/>
  <c r="BA105" i="55"/>
  <c r="BA104" i="55"/>
  <c r="BA103" i="55"/>
  <c r="BA26" i="55"/>
  <c r="BA27" i="55"/>
  <c r="BA28" i="55"/>
  <c r="BA29" i="55"/>
  <c r="BA30" i="55"/>
  <c r="BA31" i="55"/>
  <c r="BA32" i="55"/>
  <c r="BA33" i="55"/>
  <c r="BA34" i="55"/>
  <c r="BA35" i="55"/>
  <c r="BA36" i="55"/>
  <c r="BA37" i="55"/>
  <c r="BA38" i="55"/>
  <c r="BA39" i="55"/>
  <c r="BA40" i="55"/>
  <c r="BA41" i="55"/>
  <c r="BA42" i="55"/>
  <c r="BA43" i="55"/>
  <c r="BA44" i="55"/>
  <c r="BA45" i="55"/>
  <c r="BA46" i="55"/>
  <c r="BA47" i="55"/>
  <c r="BA48" i="55"/>
  <c r="BA49" i="55"/>
  <c r="BA50" i="55"/>
  <c r="BA51" i="55"/>
  <c r="BA52" i="55"/>
  <c r="BA53" i="55"/>
  <c r="BA54" i="55"/>
  <c r="BA55" i="55"/>
  <c r="BA56" i="55"/>
  <c r="BA57" i="55"/>
  <c r="BA58" i="55"/>
  <c r="BA59" i="55"/>
  <c r="BA60" i="55"/>
  <c r="BA61" i="55"/>
  <c r="BA62" i="55"/>
  <c r="BA63" i="55"/>
  <c r="BA64" i="55"/>
  <c r="BA65" i="55"/>
  <c r="BA66" i="55"/>
  <c r="BA67" i="55"/>
  <c r="BA68" i="55"/>
  <c r="BA69" i="55"/>
  <c r="BA70" i="55"/>
  <c r="BA71" i="55"/>
  <c r="BA72" i="55"/>
  <c r="BA73" i="55"/>
  <c r="BA74" i="55"/>
  <c r="BA75" i="55"/>
  <c r="BA76" i="55"/>
  <c r="BA77" i="55"/>
  <c r="BA78" i="55"/>
  <c r="BA79" i="55"/>
  <c r="BA80" i="55"/>
  <c r="BA81" i="55"/>
  <c r="BA82" i="55"/>
  <c r="BA83" i="55"/>
  <c r="BA84" i="55"/>
  <c r="BA85" i="55"/>
  <c r="BA86" i="55"/>
  <c r="BA87" i="55"/>
  <c r="BA88" i="55"/>
  <c r="BA89" i="55"/>
  <c r="BA90" i="55"/>
  <c r="BA91" i="55"/>
  <c r="BA92" i="55"/>
  <c r="BA93" i="55"/>
  <c r="BA94" i="55"/>
  <c r="BA95" i="55"/>
  <c r="BA96" i="55"/>
  <c r="BA97" i="55"/>
  <c r="BA98" i="55"/>
  <c r="M54" i="37"/>
  <c r="L54" i="37"/>
  <c r="K54" i="37"/>
  <c r="J54" i="37"/>
  <c r="I54" i="37"/>
  <c r="Q469" i="50"/>
  <c r="G62" i="9"/>
  <c r="G571" i="42"/>
  <c r="H162" i="34"/>
  <c r="I162" i="34"/>
  <c r="J162" i="34" s="1"/>
  <c r="K162" i="34" s="1"/>
  <c r="M49" i="50"/>
  <c r="M48" i="50"/>
  <c r="I48" i="50"/>
  <c r="AA239" i="37"/>
  <c r="P12" i="42"/>
  <c r="Q13" i="42" s="1"/>
  <c r="E359" i="50"/>
  <c r="M286" i="41"/>
  <c r="M382" i="50"/>
  <c r="L286" i="41"/>
  <c r="L382" i="50"/>
  <c r="K286" i="41"/>
  <c r="K382" i="50"/>
  <c r="J286" i="41"/>
  <c r="J382" i="50" s="1"/>
  <c r="I286" i="41"/>
  <c r="I382" i="50"/>
  <c r="M278" i="41"/>
  <c r="M375" i="50" s="1"/>
  <c r="L278" i="41"/>
  <c r="L375" i="50"/>
  <c r="K278" i="41"/>
  <c r="K375" i="50" s="1"/>
  <c r="J278" i="41"/>
  <c r="J375" i="50"/>
  <c r="I278" i="41"/>
  <c r="I375" i="50" s="1"/>
  <c r="M106" i="49"/>
  <c r="M115" i="49" s="1"/>
  <c r="L106" i="49"/>
  <c r="L144" i="50" s="1"/>
  <c r="K106" i="49"/>
  <c r="K144" i="50" s="1"/>
  <c r="S351" i="41"/>
  <c r="S352" i="41" s="1"/>
  <c r="M144" i="37"/>
  <c r="M141" i="37" s="1"/>
  <c r="M142" i="37" s="1"/>
  <c r="L144" i="37"/>
  <c r="L141" i="37"/>
  <c r="L142" i="37" s="1"/>
  <c r="K144" i="37"/>
  <c r="K141" i="37"/>
  <c r="K142" i="37"/>
  <c r="J144" i="37"/>
  <c r="J141" i="37" s="1"/>
  <c r="J142" i="37" s="1"/>
  <c r="I144" i="37"/>
  <c r="I141" i="37" s="1"/>
  <c r="I142" i="37" s="1"/>
  <c r="M143" i="37"/>
  <c r="L143" i="37"/>
  <c r="K143" i="37"/>
  <c r="J143" i="37"/>
  <c r="I143" i="37"/>
  <c r="J131" i="37"/>
  <c r="K131" i="37"/>
  <c r="L131" i="37"/>
  <c r="M131" i="37"/>
  <c r="J132" i="37"/>
  <c r="J129" i="37" s="1"/>
  <c r="J130" i="37" s="1"/>
  <c r="K132" i="37"/>
  <c r="K129" i="37" s="1"/>
  <c r="K130" i="37" s="1"/>
  <c r="L132" i="37"/>
  <c r="L129" i="37"/>
  <c r="L130" i="37"/>
  <c r="M132" i="37"/>
  <c r="M129" i="37" s="1"/>
  <c r="M130" i="37" s="1"/>
  <c r="I132" i="37"/>
  <c r="I129" i="37" s="1"/>
  <c r="I130" i="37" s="1"/>
  <c r="I181" i="37"/>
  <c r="I131" i="37"/>
  <c r="F258" i="34"/>
  <c r="D258" i="34"/>
  <c r="M218" i="37"/>
  <c r="L218" i="37"/>
  <c r="K218" i="37"/>
  <c r="J218" i="37"/>
  <c r="I218" i="37"/>
  <c r="M209" i="37"/>
  <c r="W209" i="37"/>
  <c r="L209" i="37"/>
  <c r="V209" i="37"/>
  <c r="K209" i="37"/>
  <c r="U209" i="37" s="1"/>
  <c r="J209" i="37"/>
  <c r="T209" i="37"/>
  <c r="I209" i="37"/>
  <c r="S209" i="37" s="1"/>
  <c r="B28" i="25"/>
  <c r="B27" i="25"/>
  <c r="B26" i="25"/>
  <c r="B25" i="25"/>
  <c r="B24" i="25"/>
  <c r="B23" i="25"/>
  <c r="B22" i="25"/>
  <c r="B21" i="25"/>
  <c r="B20" i="25"/>
  <c r="B19" i="25"/>
  <c r="C3" i="25"/>
  <c r="G57" i="9" s="1"/>
  <c r="B18" i="25"/>
  <c r="B17" i="25"/>
  <c r="B16" i="25"/>
  <c r="M1396" i="50"/>
  <c r="L1396" i="50"/>
  <c r="K1396" i="50"/>
  <c r="J1396" i="50"/>
  <c r="I1396" i="50"/>
  <c r="M390" i="47"/>
  <c r="L390" i="47"/>
  <c r="K390" i="47"/>
  <c r="J390" i="47"/>
  <c r="I390" i="47"/>
  <c r="M558" i="42"/>
  <c r="L558" i="42"/>
  <c r="K558" i="42"/>
  <c r="J558" i="42"/>
  <c r="I558" i="42"/>
  <c r="M1881" i="37"/>
  <c r="L1881" i="37"/>
  <c r="K1881" i="37"/>
  <c r="J1881" i="37"/>
  <c r="I1881" i="37"/>
  <c r="M379" i="41"/>
  <c r="L379" i="41"/>
  <c r="K379" i="41"/>
  <c r="J379" i="41"/>
  <c r="I379" i="41"/>
  <c r="M308" i="49"/>
  <c r="L308" i="49"/>
  <c r="K308" i="49"/>
  <c r="J308" i="49"/>
  <c r="I308" i="49"/>
  <c r="M329" i="43"/>
  <c r="L329" i="43"/>
  <c r="K329" i="43"/>
  <c r="J329" i="43"/>
  <c r="I329" i="43"/>
  <c r="J106" i="49"/>
  <c r="J144" i="50" s="1"/>
  <c r="I106" i="49"/>
  <c r="M156" i="43"/>
  <c r="M144" i="43"/>
  <c r="H288" i="49"/>
  <c r="H238" i="49"/>
  <c r="I243" i="49"/>
  <c r="B159" i="34"/>
  <c r="M145" i="41"/>
  <c r="L145" i="41"/>
  <c r="L284" i="50" s="1"/>
  <c r="K145" i="41"/>
  <c r="K410" i="41"/>
  <c r="J145" i="41"/>
  <c r="J284" i="50" s="1"/>
  <c r="I145" i="41"/>
  <c r="J1885" i="37"/>
  <c r="I562" i="42"/>
  <c r="I383" i="41"/>
  <c r="D260" i="43"/>
  <c r="D261" i="43"/>
  <c r="E340" i="43"/>
  <c r="E341" i="43" s="1"/>
  <c r="E342" i="43" s="1"/>
  <c r="E343" i="43" s="1"/>
  <c r="E344" i="43" s="1"/>
  <c r="J203" i="34"/>
  <c r="J207" i="34"/>
  <c r="F262" i="34"/>
  <c r="F261" i="34"/>
  <c r="F260" i="34"/>
  <c r="F259" i="34"/>
  <c r="F257" i="34"/>
  <c r="L102" i="41"/>
  <c r="L93" i="41"/>
  <c r="L248" i="50" s="1"/>
  <c r="L169" i="41"/>
  <c r="K102" i="41"/>
  <c r="K1539" i="37" s="1"/>
  <c r="K93" i="41"/>
  <c r="K248" i="50" s="1"/>
  <c r="K169" i="41"/>
  <c r="K417" i="41" s="1"/>
  <c r="I102" i="41"/>
  <c r="I93" i="41"/>
  <c r="I169" i="41"/>
  <c r="F256" i="34"/>
  <c r="A11" i="10"/>
  <c r="A13" i="10"/>
  <c r="A14" i="10" s="1"/>
  <c r="A16" i="10" s="1"/>
  <c r="A20" i="10" s="1"/>
  <c r="A23" i="10" s="1"/>
  <c r="A24" i="10" s="1"/>
  <c r="A25" i="10" s="1"/>
  <c r="A33" i="10" s="1"/>
  <c r="A43" i="10" s="1"/>
  <c r="A44" i="10" s="1"/>
  <c r="A45" i="10" s="1"/>
  <c r="A46" i="10" s="1"/>
  <c r="A48" i="10" s="1"/>
  <c r="C35" i="9"/>
  <c r="E319" i="50"/>
  <c r="E310" i="50"/>
  <c r="E296" i="50"/>
  <c r="E287" i="50"/>
  <c r="E286" i="50"/>
  <c r="E261" i="50"/>
  <c r="J196" i="50"/>
  <c r="E208" i="43"/>
  <c r="E52" i="50" s="1"/>
  <c r="P51" i="50" s="1"/>
  <c r="R305" i="43"/>
  <c r="I77" i="37"/>
  <c r="Q35" i="37"/>
  <c r="J102" i="41"/>
  <c r="J77" i="37"/>
  <c r="J93" i="41"/>
  <c r="J248" i="50"/>
  <c r="J169" i="41"/>
  <c r="J417" i="41"/>
  <c r="K77" i="37"/>
  <c r="L77" i="37"/>
  <c r="M102" i="41"/>
  <c r="M93" i="41"/>
  <c r="M248" i="50" s="1"/>
  <c r="M169" i="41"/>
  <c r="M417" i="41" s="1"/>
  <c r="M176" i="43"/>
  <c r="I49" i="50" s="1"/>
  <c r="P1894" i="37"/>
  <c r="M77" i="37"/>
  <c r="I361" i="41"/>
  <c r="I441" i="50" s="1"/>
  <c r="J361" i="41"/>
  <c r="J441" i="50" s="1"/>
  <c r="K361" i="41"/>
  <c r="K441" i="50" s="1"/>
  <c r="L361" i="41"/>
  <c r="L441" i="50" s="1"/>
  <c r="M361" i="41"/>
  <c r="M441" i="50" s="1"/>
  <c r="B33" i="34"/>
  <c r="H1398" i="37"/>
  <c r="B64" i="34"/>
  <c r="C63" i="34"/>
  <c r="J243" i="49"/>
  <c r="K243" i="49"/>
  <c r="L243" i="49"/>
  <c r="L193" i="50"/>
  <c r="M243" i="49"/>
  <c r="M250" i="49" s="1"/>
  <c r="M194" i="50" s="1"/>
  <c r="M193" i="50"/>
  <c r="K293" i="49"/>
  <c r="L293" i="49"/>
  <c r="M293" i="49"/>
  <c r="M205" i="50"/>
  <c r="E363" i="43"/>
  <c r="Q296" i="43"/>
  <c r="Q297" i="43"/>
  <c r="Q298" i="43"/>
  <c r="Q299" i="43"/>
  <c r="Q300" i="43"/>
  <c r="Q301" i="43"/>
  <c r="Q302" i="43"/>
  <c r="Q303" i="43"/>
  <c r="Q304" i="43"/>
  <c r="Q305" i="43"/>
  <c r="P118" i="43"/>
  <c r="P117" i="43"/>
  <c r="P376" i="47"/>
  <c r="P215" i="47"/>
  <c r="I95" i="47"/>
  <c r="J95" i="47"/>
  <c r="L95" i="47"/>
  <c r="J205" i="34"/>
  <c r="I208" i="47"/>
  <c r="J208" i="47"/>
  <c r="K208" i="47"/>
  <c r="L208" i="47"/>
  <c r="M208" i="47"/>
  <c r="I209" i="47"/>
  <c r="J209" i="47"/>
  <c r="K209" i="47"/>
  <c r="L209" i="47"/>
  <c r="V215" i="47" s="1"/>
  <c r="M209" i="47"/>
  <c r="I210" i="47"/>
  <c r="J210" i="47"/>
  <c r="K210" i="47"/>
  <c r="L210" i="47"/>
  <c r="M210" i="47"/>
  <c r="J252" i="34"/>
  <c r="I197" i="47"/>
  <c r="J221" i="34"/>
  <c r="B31" i="34"/>
  <c r="B35" i="34"/>
  <c r="D63" i="34"/>
  <c r="I205" i="34"/>
  <c r="I203" i="34"/>
  <c r="K95" i="47"/>
  <c r="M95" i="47"/>
  <c r="I221" i="34"/>
  <c r="I252" i="34"/>
  <c r="I207" i="34"/>
  <c r="J251" i="34"/>
  <c r="J250" i="34"/>
  <c r="J247" i="34"/>
  <c r="J246" i="34"/>
  <c r="J243" i="34"/>
  <c r="J242" i="34"/>
  <c r="J213" i="34"/>
  <c r="J212" i="34"/>
  <c r="J249" i="34"/>
  <c r="J248" i="34"/>
  <c r="J245" i="34"/>
  <c r="J244" i="34"/>
  <c r="J241" i="34"/>
  <c r="J240" i="34"/>
  <c r="J239" i="34"/>
  <c r="J238" i="34"/>
  <c r="J237" i="34"/>
  <c r="J236" i="34"/>
  <c r="J235" i="34"/>
  <c r="J234" i="34"/>
  <c r="J233" i="34"/>
  <c r="J232" i="34"/>
  <c r="J231" i="34"/>
  <c r="J230" i="34"/>
  <c r="J229" i="34"/>
  <c r="J228" i="34"/>
  <c r="J227" i="34"/>
  <c r="J226" i="34"/>
  <c r="J225" i="34"/>
  <c r="J224" i="34"/>
  <c r="J223" i="34"/>
  <c r="J222" i="34"/>
  <c r="J220" i="34"/>
  <c r="J219" i="34"/>
  <c r="J218" i="34"/>
  <c r="J217" i="34"/>
  <c r="J216" i="34"/>
  <c r="J215" i="34"/>
  <c r="J214" i="34"/>
  <c r="J211" i="34"/>
  <c r="J210" i="34"/>
  <c r="J209" i="34"/>
  <c r="J208" i="34"/>
  <c r="J206" i="34"/>
  <c r="J204" i="34"/>
  <c r="J202" i="34"/>
  <c r="J201" i="34"/>
  <c r="B39" i="34"/>
  <c r="S234" i="43"/>
  <c r="S235" i="43"/>
  <c r="S236" i="43"/>
  <c r="S237" i="43"/>
  <c r="S238" i="43"/>
  <c r="S239" i="43"/>
  <c r="S240" i="43"/>
  <c r="S241" i="43"/>
  <c r="S242" i="43"/>
  <c r="S243" i="43"/>
  <c r="G60" i="9"/>
  <c r="E63" i="42"/>
  <c r="D55" i="42"/>
  <c r="D56" i="42"/>
  <c r="D57" i="42"/>
  <c r="D58" i="42" s="1"/>
  <c r="D59" i="42" s="1"/>
  <c r="D60" i="42" s="1"/>
  <c r="D61" i="42" s="1"/>
  <c r="D62" i="42" s="1"/>
  <c r="D63" i="42" s="1"/>
  <c r="E62" i="42"/>
  <c r="E61" i="42"/>
  <c r="E60" i="42"/>
  <c r="E59" i="42"/>
  <c r="E58" i="42"/>
  <c r="E57" i="42"/>
  <c r="E56" i="42"/>
  <c r="E55" i="42"/>
  <c r="E54" i="42"/>
  <c r="D41" i="42"/>
  <c r="D42" i="42" s="1"/>
  <c r="D43" i="42" s="1"/>
  <c r="D44" i="42" s="1"/>
  <c r="D45" i="42" s="1"/>
  <c r="D46" i="42" s="1"/>
  <c r="D47" i="42" s="1"/>
  <c r="D48" i="42"/>
  <c r="D49" i="42" s="1"/>
  <c r="D68" i="37"/>
  <c r="D69" i="37"/>
  <c r="D70" i="37"/>
  <c r="D71" i="37"/>
  <c r="D72" i="37" s="1"/>
  <c r="D73" i="37" s="1"/>
  <c r="D74" i="37" s="1"/>
  <c r="D75" i="37" s="1"/>
  <c r="D76" i="37" s="1"/>
  <c r="R304" i="43"/>
  <c r="R303" i="43"/>
  <c r="R302" i="43"/>
  <c r="R301" i="43"/>
  <c r="R300" i="43"/>
  <c r="R299" i="43"/>
  <c r="R298" i="43"/>
  <c r="R297" i="43"/>
  <c r="G374" i="43"/>
  <c r="M255" i="47"/>
  <c r="L255" i="47"/>
  <c r="K255" i="47"/>
  <c r="J255" i="47"/>
  <c r="I255" i="47"/>
  <c r="M321" i="47"/>
  <c r="L321" i="47"/>
  <c r="K321" i="47"/>
  <c r="J321" i="47"/>
  <c r="I321" i="47"/>
  <c r="M288" i="47"/>
  <c r="L288" i="47"/>
  <c r="K288" i="47"/>
  <c r="J288" i="47"/>
  <c r="I288" i="47"/>
  <c r="K217" i="41"/>
  <c r="D201" i="34"/>
  <c r="C202" i="34"/>
  <c r="I202" i="34"/>
  <c r="I204" i="34"/>
  <c r="I206" i="34"/>
  <c r="I208" i="34"/>
  <c r="I209" i="34"/>
  <c r="I210" i="34"/>
  <c r="I211" i="34"/>
  <c r="I215" i="34"/>
  <c r="I216" i="34"/>
  <c r="I217" i="34"/>
  <c r="I218" i="34"/>
  <c r="I219" i="34"/>
  <c r="I220" i="34"/>
  <c r="I222" i="34"/>
  <c r="I223" i="34"/>
  <c r="I224" i="34"/>
  <c r="I225" i="34"/>
  <c r="I226" i="34"/>
  <c r="I230" i="34"/>
  <c r="I231" i="34"/>
  <c r="I232" i="34"/>
  <c r="I233" i="34"/>
  <c r="I234" i="34"/>
  <c r="I235" i="34"/>
  <c r="I236" i="34"/>
  <c r="I237" i="34"/>
  <c r="I238" i="34"/>
  <c r="I240" i="34"/>
  <c r="I241" i="34"/>
  <c r="I244" i="34"/>
  <c r="I245" i="34"/>
  <c r="I248" i="34"/>
  <c r="I249" i="34"/>
  <c r="D256" i="34"/>
  <c r="D257" i="34"/>
  <c r="D259" i="34"/>
  <c r="D260" i="34"/>
  <c r="D261" i="34"/>
  <c r="D262" i="34"/>
  <c r="I129" i="47"/>
  <c r="J129" i="47"/>
  <c r="K129" i="47"/>
  <c r="L129" i="47"/>
  <c r="M129" i="47"/>
  <c r="I163" i="47"/>
  <c r="J163" i="47"/>
  <c r="K163" i="47"/>
  <c r="L163" i="47"/>
  <c r="M163" i="47"/>
  <c r="J197" i="47"/>
  <c r="K197" i="47"/>
  <c r="L197" i="47"/>
  <c r="M197" i="47"/>
  <c r="I344" i="47"/>
  <c r="I350" i="47"/>
  <c r="J344" i="47"/>
  <c r="J350" i="47" s="1"/>
  <c r="K344" i="47"/>
  <c r="K350" i="47"/>
  <c r="L344" i="47"/>
  <c r="L350" i="47" s="1"/>
  <c r="M344" i="47"/>
  <c r="M350" i="47"/>
  <c r="E116" i="43"/>
  <c r="E117" i="43" s="1"/>
  <c r="E118" i="43" s="1"/>
  <c r="E119" i="43" s="1"/>
  <c r="D235" i="43"/>
  <c r="D236" i="43" s="1"/>
  <c r="D237" i="43" s="1"/>
  <c r="D238" i="43" s="1"/>
  <c r="D239" i="43" s="1"/>
  <c r="D240" i="43" s="1"/>
  <c r="D241" i="43" s="1"/>
  <c r="D242" i="43"/>
  <c r="D243" i="43" s="1"/>
  <c r="E297" i="43"/>
  <c r="E298" i="43"/>
  <c r="E299" i="43"/>
  <c r="E300" i="43"/>
  <c r="E301" i="43" s="1"/>
  <c r="E302" i="43" s="1"/>
  <c r="E303" i="43" s="1"/>
  <c r="E304" i="43"/>
  <c r="E305" i="43" s="1"/>
  <c r="E312" i="43"/>
  <c r="E313" i="43"/>
  <c r="E314" i="43"/>
  <c r="E315" i="43" s="1"/>
  <c r="E316" i="43" s="1"/>
  <c r="E317" i="43" s="1"/>
  <c r="E318" i="43" s="1"/>
  <c r="E319" i="43" s="1"/>
  <c r="E320" i="43" s="1"/>
  <c r="G56" i="9"/>
  <c r="I394" i="47"/>
  <c r="M383" i="41"/>
  <c r="I1400" i="50"/>
  <c r="I312" i="49"/>
  <c r="I1885" i="37"/>
  <c r="M312" i="49"/>
  <c r="K562" i="42"/>
  <c r="K394" i="47"/>
  <c r="K383" i="41"/>
  <c r="K312" i="49"/>
  <c r="J394" i="47"/>
  <c r="K1885" i="37"/>
  <c r="J1400" i="50"/>
  <c r="J383" i="41"/>
  <c r="K1400" i="50"/>
  <c r="J562" i="42"/>
  <c r="J312" i="49"/>
  <c r="L1400" i="50"/>
  <c r="L562" i="42"/>
  <c r="L1885" i="37"/>
  <c r="L394" i="47"/>
  <c r="L312" i="49"/>
  <c r="L383" i="41"/>
  <c r="M562" i="42"/>
  <c r="M1400" i="50"/>
  <c r="M58" i="50"/>
  <c r="M1885" i="37"/>
  <c r="M394" i="47"/>
  <c r="I293" i="49"/>
  <c r="J293" i="49"/>
  <c r="M44" i="37"/>
  <c r="K44" i="37"/>
  <c r="J44" i="37"/>
  <c r="L44" i="37"/>
  <c r="G569" i="42"/>
  <c r="G573" i="42" s="1"/>
  <c r="G567" i="42"/>
  <c r="G570" i="42"/>
  <c r="G566" i="42"/>
  <c r="G568" i="42"/>
  <c r="G572" i="42"/>
  <c r="K181" i="37"/>
  <c r="K392" i="41"/>
  <c r="L181" i="37"/>
  <c r="J181" i="37"/>
  <c r="M181" i="37"/>
  <c r="F249" i="34"/>
  <c r="F209" i="34"/>
  <c r="F225" i="34"/>
  <c r="F211" i="34"/>
  <c r="F203" i="34"/>
  <c r="N375" i="47"/>
  <c r="D12" i="59"/>
  <c r="D12" i="57"/>
  <c r="H524" i="50"/>
  <c r="K272" i="37"/>
  <c r="J272" i="37"/>
  <c r="I272" i="37"/>
  <c r="L272" i="37"/>
  <c r="M272" i="37"/>
  <c r="L43" i="37"/>
  <c r="M43" i="37"/>
  <c r="R296" i="43"/>
  <c r="H1680" i="37"/>
  <c r="H1320" i="37"/>
  <c r="H1685" i="37"/>
  <c r="H954" i="37"/>
  <c r="H941" i="50"/>
  <c r="H762" i="50"/>
  <c r="H960" i="37"/>
  <c r="H1065" i="50"/>
  <c r="H1061" i="50"/>
  <c r="H818" i="50"/>
  <c r="H584" i="50"/>
  <c r="H881" i="50"/>
  <c r="H705" i="50"/>
  <c r="H425" i="37"/>
  <c r="I459" i="37"/>
  <c r="P1538" i="37"/>
  <c r="AA789" i="37"/>
  <c r="AA1865" i="37"/>
  <c r="AA604" i="37"/>
  <c r="AA608" i="37"/>
  <c r="AA609" i="37"/>
  <c r="P433" i="37"/>
  <c r="C589" i="50"/>
  <c r="M325" i="42"/>
  <c r="M466" i="42"/>
  <c r="N473" i="42" s="1"/>
  <c r="D12" i="58"/>
  <c r="D12" i="56"/>
  <c r="M509" i="42"/>
  <c r="T509" i="42" s="1"/>
  <c r="T517" i="42" s="1"/>
  <c r="M12" i="42"/>
  <c r="H137" i="42"/>
  <c r="F204" i="34"/>
  <c r="M1071" i="50"/>
  <c r="M143" i="42"/>
  <c r="M234" i="42"/>
  <c r="C1330" i="50"/>
  <c r="C1331" i="50"/>
  <c r="C1332" i="50" s="1"/>
  <c r="C1333" i="50" s="1"/>
  <c r="C1334" i="50" s="1"/>
  <c r="C1335" i="50" s="1"/>
  <c r="C1336" i="50" s="1"/>
  <c r="C1337" i="50" s="1"/>
  <c r="C1338" i="50" s="1"/>
  <c r="C1339" i="50" s="1"/>
  <c r="M302" i="50"/>
  <c r="I1359" i="37"/>
  <c r="M398" i="42"/>
  <c r="W398" i="42" s="1"/>
  <c r="I324" i="50"/>
  <c r="I199" i="41"/>
  <c r="I209" i="41" s="1"/>
  <c r="I333" i="50" s="1"/>
  <c r="J199" i="41"/>
  <c r="J209" i="41" s="1"/>
  <c r="J333" i="50" s="1"/>
  <c r="J324" i="50"/>
  <c r="K324" i="50"/>
  <c r="K199" i="41"/>
  <c r="K325" i="50" s="1"/>
  <c r="L243" i="43"/>
  <c r="L235" i="43"/>
  <c r="L239" i="43"/>
  <c r="L238" i="43"/>
  <c r="L236" i="43"/>
  <c r="L240" i="43"/>
  <c r="L237" i="43"/>
  <c r="J393" i="41"/>
  <c r="I393" i="41"/>
  <c r="L242" i="43"/>
  <c r="M393" i="41"/>
  <c r="K393" i="41"/>
  <c r="L393" i="41"/>
  <c r="L324" i="50"/>
  <c r="L199" i="41"/>
  <c r="M199" i="41"/>
  <c r="M209" i="41" s="1"/>
  <c r="M333" i="50" s="1"/>
  <c r="M324" i="50"/>
  <c r="J1172" i="37"/>
  <c r="Q529" i="50"/>
  <c r="P613" i="37"/>
  <c r="AA1685" i="37"/>
  <c r="AA1681" i="37"/>
  <c r="H1038" i="37"/>
  <c r="H767" i="37"/>
  <c r="H848" i="50"/>
  <c r="H562" i="50"/>
  <c r="H852" i="37"/>
  <c r="C28" i="10"/>
  <c r="AA1869" i="37"/>
  <c r="AA1864" i="37"/>
  <c r="AA1868" i="37"/>
  <c r="AA1861" i="37"/>
  <c r="AA969" i="37"/>
  <c r="AA961" i="37"/>
  <c r="AA965" i="37"/>
  <c r="A230" i="34"/>
  <c r="F216" i="34"/>
  <c r="H998" i="50"/>
  <c r="F218" i="34"/>
  <c r="H702" i="50"/>
  <c r="H414" i="37"/>
  <c r="H642" i="50"/>
  <c r="H1141" i="37"/>
  <c r="H785" i="37"/>
  <c r="H761" i="50"/>
  <c r="H938" i="50"/>
  <c r="H765" i="50"/>
  <c r="H605" i="37"/>
  <c r="H964" i="37"/>
  <c r="H961" i="37"/>
  <c r="H1865" i="37"/>
  <c r="H1684" i="37"/>
  <c r="H522" i="50"/>
  <c r="F245" i="34"/>
  <c r="F241" i="34"/>
  <c r="F224" i="34"/>
  <c r="F210" i="34"/>
  <c r="H239" i="37"/>
  <c r="C43" i="9"/>
  <c r="F220" i="34"/>
  <c r="H581" i="50"/>
  <c r="H578" i="50"/>
  <c r="H944" i="50"/>
  <c r="H645" i="50"/>
  <c r="H1058" i="50"/>
  <c r="H942" i="50"/>
  <c r="H1001" i="50"/>
  <c r="H1144" i="37"/>
  <c r="H824" i="50"/>
  <c r="H1005" i="50"/>
  <c r="H1145" i="37"/>
  <c r="H1501" i="37"/>
  <c r="H1494" i="37"/>
  <c r="F240" i="34"/>
  <c r="H518" i="50"/>
  <c r="F214" i="34"/>
  <c r="F217" i="34"/>
  <c r="F215" i="34"/>
  <c r="H240" i="37"/>
  <c r="F248" i="34"/>
  <c r="H243" i="37"/>
  <c r="A228" i="34"/>
  <c r="F222" i="34"/>
  <c r="H420" i="37"/>
  <c r="H882" i="50"/>
  <c r="H758" i="50"/>
  <c r="H644" i="50"/>
  <c r="H764" i="50"/>
  <c r="H945" i="50"/>
  <c r="H1500" i="37"/>
  <c r="H825" i="50"/>
  <c r="H1062" i="50"/>
  <c r="H878" i="50"/>
  <c r="H1674" i="37"/>
  <c r="H1314" i="37"/>
  <c r="H1325" i="37"/>
  <c r="H1505" i="37"/>
  <c r="F202" i="34"/>
  <c r="H231" i="37"/>
  <c r="H521" i="50"/>
  <c r="F244" i="34"/>
  <c r="F246" i="34"/>
  <c r="F247" i="34"/>
  <c r="D234" i="42"/>
  <c r="P1889" i="37"/>
  <c r="D398" i="42"/>
  <c r="P1718" i="37"/>
  <c r="E60" i="41"/>
  <c r="P818" i="37"/>
  <c r="D143" i="42"/>
  <c r="H1348" i="37"/>
  <c r="H371" i="37"/>
  <c r="H309" i="42"/>
  <c r="H1139" i="37"/>
  <c r="H312" i="37"/>
  <c r="H1177" i="37"/>
  <c r="H567" i="37"/>
  <c r="E105" i="50"/>
  <c r="P105" i="50" s="1"/>
  <c r="H106" i="41"/>
  <c r="H1253" i="37"/>
  <c r="I3" i="47"/>
  <c r="H53" i="42"/>
  <c r="H123" i="42"/>
  <c r="H533" i="37"/>
  <c r="H495" i="42"/>
  <c r="H1228" i="50"/>
  <c r="M3" i="47"/>
  <c r="C38" i="9"/>
  <c r="P239" i="43"/>
  <c r="P235" i="43"/>
  <c r="P217" i="41"/>
  <c r="P229" i="41" s="1"/>
  <c r="P243" i="43"/>
  <c r="Q243" i="43"/>
  <c r="P240" i="43"/>
  <c r="R240" i="43" s="1"/>
  <c r="P238" i="43"/>
  <c r="K238" i="43"/>
  <c r="P265" i="43"/>
  <c r="Q265" i="43" s="1"/>
  <c r="J29" i="43"/>
  <c r="G61" i="9" s="1"/>
  <c r="A225" i="34"/>
  <c r="A226" i="34"/>
  <c r="D12" i="42"/>
  <c r="D69" i="42"/>
  <c r="D1071" i="50"/>
  <c r="P1358" i="37"/>
  <c r="P1178" i="37"/>
  <c r="P278" i="37"/>
  <c r="P998" i="37"/>
  <c r="P458" i="37"/>
  <c r="P52" i="37"/>
  <c r="A209" i="34"/>
  <c r="A201" i="34"/>
  <c r="P116" i="43"/>
  <c r="P119" i="43"/>
  <c r="P120" i="43"/>
  <c r="D1333" i="37"/>
  <c r="A212" i="34"/>
  <c r="A213" i="34"/>
  <c r="A214" i="34"/>
  <c r="H1635" i="37"/>
  <c r="H985" i="50"/>
  <c r="H1218" i="37"/>
  <c r="H407" i="37"/>
  <c r="H802" i="50"/>
  <c r="H1210" i="50"/>
  <c r="H220" i="42"/>
  <c r="H219" i="37"/>
  <c r="H1831" i="37"/>
  <c r="H749" i="50"/>
  <c r="H571" i="37"/>
  <c r="H903" i="37"/>
  <c r="H933" i="50"/>
  <c r="H462" i="42"/>
  <c r="H1240" i="50"/>
  <c r="K255" i="50"/>
  <c r="E405" i="50"/>
  <c r="R466" i="42"/>
  <c r="L1114" i="50"/>
  <c r="H1119" i="50" s="1"/>
  <c r="N1115" i="50" s="1"/>
  <c r="C973" i="37"/>
  <c r="C1153" i="37"/>
  <c r="D445" i="42"/>
  <c r="D278" i="42"/>
  <c r="H516" i="42"/>
  <c r="H1370" i="37"/>
  <c r="H222" i="42"/>
  <c r="H136" i="49"/>
  <c r="H1278" i="50"/>
  <c r="H122" i="49"/>
  <c r="H121" i="47"/>
  <c r="H204" i="41"/>
  <c r="H328" i="50"/>
  <c r="H637" i="37"/>
  <c r="H1206" i="50"/>
  <c r="H95" i="42"/>
  <c r="H247" i="41"/>
  <c r="H348" i="50" s="1"/>
  <c r="H1819" i="37"/>
  <c r="H307" i="47"/>
  <c r="H1483" i="37"/>
  <c r="H1503" i="37"/>
  <c r="H1797" i="37"/>
  <c r="H935" i="37"/>
  <c r="H1073" i="37"/>
  <c r="H731" i="37"/>
  <c r="H1279" i="37"/>
  <c r="H470" i="37"/>
  <c r="H893" i="37"/>
  <c r="H1068" i="37"/>
  <c r="H337" i="37"/>
  <c r="H604" i="50"/>
  <c r="H287" i="47"/>
  <c r="H356" i="42"/>
  <c r="H221" i="49"/>
  <c r="H23" i="42"/>
  <c r="H163" i="41"/>
  <c r="H296" i="50" s="1"/>
  <c r="H476" i="50"/>
  <c r="H210" i="42"/>
  <c r="H1613" i="37"/>
  <c r="H1617" i="37"/>
  <c r="H1475" i="37"/>
  <c r="H1036" i="37"/>
  <c r="H1216" i="37"/>
  <c r="H808" i="37"/>
  <c r="H716" i="50"/>
  <c r="H583" i="37"/>
  <c r="H1490" i="37"/>
  <c r="H1405" i="37"/>
  <c r="H817" i="37"/>
  <c r="H911" i="37"/>
  <c r="H205" i="42"/>
  <c r="H776" i="50"/>
  <c r="H97" i="49"/>
  <c r="J160" i="43"/>
  <c r="H207" i="47"/>
  <c r="H1286" i="50"/>
  <c r="H1843" i="37"/>
  <c r="H51" i="49"/>
  <c r="H64" i="50"/>
  <c r="H166" i="49"/>
  <c r="H171" i="50"/>
  <c r="H1118" i="50"/>
  <c r="H1698" i="37"/>
  <c r="H1499" i="37"/>
  <c r="H1835" i="37"/>
  <c r="H1158" i="37"/>
  <c r="H784" i="50"/>
  <c r="H1708" i="37"/>
  <c r="H419" i="37"/>
  <c r="H1550" i="37"/>
  <c r="H950" i="37"/>
  <c r="H262" i="42"/>
  <c r="H1086" i="50"/>
  <c r="H124" i="37"/>
  <c r="H159" i="37"/>
  <c r="H263" i="41"/>
  <c r="H362" i="50"/>
  <c r="H153" i="49"/>
  <c r="H1850" i="37"/>
  <c r="H1597" i="37"/>
  <c r="H919" i="37"/>
  <c r="H888" i="37"/>
  <c r="H448" i="37"/>
  <c r="H1016" i="50"/>
  <c r="H664" i="50"/>
  <c r="H964" i="50"/>
  <c r="H410" i="37"/>
  <c r="H1258" i="50"/>
  <c r="H1428" i="37"/>
  <c r="H1451" i="37"/>
  <c r="H1417" i="37"/>
  <c r="H897" i="37"/>
  <c r="H978" i="37"/>
  <c r="H676" i="37"/>
  <c r="H1212" i="37"/>
  <c r="H844" i="50"/>
  <c r="H721" i="37"/>
  <c r="H755" i="37"/>
  <c r="H277" i="37"/>
  <c r="H361" i="37"/>
  <c r="H1126" i="50"/>
  <c r="H449" i="42"/>
  <c r="H92" i="50"/>
  <c r="H238" i="37"/>
  <c r="H25" i="37"/>
  <c r="H188" i="47"/>
  <c r="H85" i="42"/>
  <c r="H896" i="50"/>
  <c r="H528" i="37"/>
  <c r="H959" i="37"/>
  <c r="H274" i="47"/>
  <c r="H429" i="42"/>
  <c r="H181" i="49"/>
  <c r="H320" i="47"/>
  <c r="H378" i="42"/>
  <c r="H134" i="41"/>
  <c r="H273" i="50"/>
  <c r="H384" i="42"/>
  <c r="H943" i="37"/>
  <c r="H1639" i="37"/>
  <c r="H1190" i="37"/>
  <c r="H901" i="37"/>
  <c r="H1123" i="37"/>
  <c r="H457" i="37"/>
  <c r="H496" i="37"/>
  <c r="H387" i="37"/>
  <c r="H131" i="42"/>
  <c r="H242" i="49"/>
  <c r="H226" i="41"/>
  <c r="H206" i="37"/>
  <c r="H1441" i="37"/>
  <c r="H1752" i="37"/>
  <c r="H1323" i="37"/>
  <c r="H575" i="37"/>
  <c r="H1225" i="37"/>
  <c r="H988" i="37"/>
  <c r="H348" i="37"/>
  <c r="H1863" i="37"/>
  <c r="H1679" i="37"/>
  <c r="H1459" i="37"/>
  <c r="H1608" i="37"/>
  <c r="H1115" i="37"/>
  <c r="H1859" i="37"/>
  <c r="H927" i="37"/>
  <c r="H379" i="37"/>
  <c r="H423" i="37"/>
  <c r="H505" i="37"/>
  <c r="H214" i="42"/>
  <c r="H241" i="42"/>
  <c r="H301" i="42"/>
  <c r="H150" i="37"/>
  <c r="H39" i="37"/>
  <c r="H233" i="49"/>
  <c r="H1077" i="37"/>
  <c r="H1392" i="37"/>
  <c r="H1528" i="37"/>
  <c r="H274" i="41"/>
  <c r="H371" i="50"/>
  <c r="H317" i="42"/>
  <c r="H136" i="37"/>
  <c r="H127" i="42"/>
  <c r="H119" i="42"/>
  <c r="H146" i="47"/>
  <c r="H112" i="50"/>
  <c r="H724" i="50"/>
  <c r="H956" i="50"/>
  <c r="H1537" i="37"/>
  <c r="H297" i="49"/>
  <c r="H454" i="42"/>
  <c r="H282" i="49"/>
  <c r="H187" i="37"/>
  <c r="H43" i="41"/>
  <c r="H212" i="50"/>
  <c r="H128" i="47"/>
  <c r="H438" i="37"/>
  <c r="H856" i="37"/>
  <c r="H1248" i="37"/>
  <c r="H149" i="49"/>
  <c r="H101" i="37"/>
  <c r="H290" i="37"/>
  <c r="H258" i="37"/>
  <c r="H228" i="49"/>
  <c r="H1811" i="37"/>
  <c r="H1801" i="37"/>
  <c r="H1057" i="37"/>
  <c r="H877" i="37"/>
  <c r="H830" i="37"/>
  <c r="H904" i="50"/>
  <c r="H1236" i="50"/>
  <c r="H656" i="50"/>
  <c r="H66" i="37"/>
  <c r="H308" i="41"/>
  <c r="H402" i="50" s="1"/>
  <c r="H87" i="49"/>
  <c r="H136" i="50"/>
  <c r="H178" i="37"/>
  <c r="H1683" i="37"/>
  <c r="H1295" i="37"/>
  <c r="H1045" i="37"/>
  <c r="H1257" i="37"/>
  <c r="H779" i="37"/>
  <c r="H628" i="37"/>
  <c r="H517" i="37"/>
  <c r="H1756" i="37"/>
  <c r="H1572" i="37"/>
  <c r="H1261" i="37"/>
  <c r="H1287" i="37"/>
  <c r="H783" i="37"/>
  <c r="H963" i="37"/>
  <c r="H590" i="37"/>
  <c r="H1357" i="37"/>
  <c r="H603" i="37"/>
  <c r="H105" i="42"/>
  <c r="H163" i="37"/>
  <c r="H196" i="42"/>
  <c r="H15" i="41"/>
  <c r="H171" i="49"/>
  <c r="H155" i="47"/>
  <c r="H353" i="37"/>
  <c r="H747" i="37"/>
  <c r="H1518" i="37"/>
  <c r="H371" i="47"/>
  <c r="H36" i="49"/>
  <c r="H65" i="49"/>
  <c r="H218" i="42"/>
  <c r="H197" i="37"/>
  <c r="H242" i="37"/>
  <c r="H339" i="47"/>
  <c r="H357" i="37"/>
  <c r="H1099" i="37"/>
  <c r="H1655" i="37"/>
  <c r="H349" i="47"/>
  <c r="H167" i="37"/>
  <c r="H94" i="47"/>
  <c r="H214" i="47"/>
  <c r="H158" i="49"/>
  <c r="H166" i="50"/>
  <c r="H135" i="42"/>
  <c r="H126" i="41"/>
  <c r="H551" i="37"/>
  <c r="H537" i="37"/>
  <c r="H1647" i="37"/>
  <c r="H350" i="41"/>
  <c r="H436" i="50" s="1"/>
  <c r="H113" i="49"/>
  <c r="H146" i="50" s="1"/>
  <c r="H1310" i="37"/>
  <c r="H1237" i="37"/>
  <c r="H798" i="37"/>
  <c r="H296" i="42"/>
  <c r="H1078" i="50"/>
  <c r="H305" i="42"/>
  <c r="H1788" i="37"/>
  <c r="H697" i="37"/>
  <c r="H395" i="37"/>
  <c r="H537" i="42"/>
  <c r="H1576" i="37"/>
  <c r="H1433" i="37"/>
  <c r="H541" i="37"/>
  <c r="H836" i="50"/>
  <c r="H313" i="47"/>
  <c r="H16" i="49"/>
  <c r="H112" i="47"/>
  <c r="H254" i="47"/>
  <c r="H1130" i="37"/>
  <c r="H280" i="47"/>
  <c r="H92" i="49"/>
  <c r="H141" i="50" s="1"/>
  <c r="H98" i="41"/>
  <c r="H251" i="50"/>
  <c r="B65" i="34"/>
  <c r="H283" i="49" s="1"/>
  <c r="H204" i="50" s="1"/>
  <c r="H1271" i="37"/>
  <c r="H162" i="47"/>
  <c r="H332" i="42"/>
  <c r="H292" i="49"/>
  <c r="H1158" i="50"/>
  <c r="H544" i="50"/>
  <c r="H1765" i="37"/>
  <c r="H214" i="41"/>
  <c r="H336" i="50"/>
  <c r="H405" i="42"/>
  <c r="H739" i="37"/>
  <c r="H1168" i="37"/>
  <c r="H1631" i="37"/>
  <c r="H599" i="37"/>
  <c r="H1621" i="37"/>
  <c r="H287" i="42"/>
  <c r="H224" i="37"/>
  <c r="H282" i="41"/>
  <c r="H378" i="50" s="1"/>
  <c r="H1143" i="37"/>
  <c r="H1032" i="37"/>
  <c r="H316" i="37"/>
  <c r="H1585" i="37"/>
  <c r="H1107" i="37"/>
  <c r="H559" i="37"/>
  <c r="H1081" i="37"/>
  <c r="H325" i="37"/>
  <c r="H83" i="41"/>
  <c r="H240" i="50" s="1"/>
  <c r="H484" i="50"/>
  <c r="H109" i="37"/>
  <c r="H1437" i="37"/>
  <c r="H33" i="41"/>
  <c r="H51" i="37"/>
  <c r="H268" i="37"/>
  <c r="H1091" i="37"/>
  <c r="H176" i="49"/>
  <c r="H152" i="50" s="1"/>
  <c r="H191" i="42"/>
  <c r="H282" i="42"/>
  <c r="H89" i="41"/>
  <c r="H244" i="50"/>
  <c r="H865" i="37"/>
  <c r="H1827" i="37"/>
  <c r="H278" i="49"/>
  <c r="H1166" i="50"/>
  <c r="H1396" i="37"/>
  <c r="H273" i="49"/>
  <c r="H1198" i="50"/>
  <c r="H997" i="37"/>
  <c r="H1319" i="37"/>
  <c r="D253" i="37"/>
  <c r="D529" i="50"/>
  <c r="D433" i="37"/>
  <c r="D973" i="37"/>
  <c r="D486" i="37"/>
  <c r="D793" i="37"/>
  <c r="D1746" i="37"/>
  <c r="D82" i="37"/>
  <c r="D1026" i="37"/>
  <c r="D1693" i="37"/>
  <c r="D666" i="37"/>
  <c r="D1153" i="37"/>
  <c r="D613" i="37"/>
  <c r="D13" i="37"/>
  <c r="D846" i="37"/>
  <c r="D306" i="37"/>
  <c r="E389" i="41"/>
  <c r="E229" i="41" s="1"/>
  <c r="E233" i="41" s="1"/>
  <c r="I234" i="42"/>
  <c r="E265" i="43"/>
  <c r="E109" i="50"/>
  <c r="E316" i="49"/>
  <c r="D469" i="50"/>
  <c r="H322" i="41"/>
  <c r="H414" i="50" s="1"/>
  <c r="D1206" i="37"/>
  <c r="H1663" i="37"/>
  <c r="V22" i="49"/>
  <c r="M22" i="49" s="1"/>
  <c r="M57" i="49" s="1"/>
  <c r="M70" i="50" s="1"/>
  <c r="V17" i="49"/>
  <c r="M17" i="49" s="1"/>
  <c r="M52" i="49" s="1"/>
  <c r="M65" i="50" s="1"/>
  <c r="D1566" i="37"/>
  <c r="H1266" i="50"/>
  <c r="H1303" i="37"/>
  <c r="H293" i="41"/>
  <c r="H388" i="50" s="1"/>
  <c r="H1717" i="37"/>
  <c r="H215" i="49"/>
  <c r="H215" i="37"/>
  <c r="H226" i="42"/>
  <c r="H536" i="50"/>
  <c r="H713" i="37"/>
  <c r="H1730" i="37"/>
  <c r="H763" i="37"/>
  <c r="H1467" i="37"/>
  <c r="H249" i="49"/>
  <c r="H618" i="37"/>
  <c r="H1670" i="37"/>
  <c r="H196" i="47"/>
  <c r="H473" i="42"/>
  <c r="H103" i="49"/>
  <c r="I509" i="42"/>
  <c r="E517" i="42"/>
  <c r="H596" i="50"/>
  <c r="H672" i="37"/>
  <c r="H268" i="49"/>
  <c r="H200" i="50" s="1"/>
  <c r="H650" i="37"/>
  <c r="H1338" i="37"/>
  <c r="J169" i="50"/>
  <c r="D1513" i="37"/>
  <c r="H180" i="47"/>
  <c r="H403" i="37"/>
  <c r="H145" i="49"/>
  <c r="H161" i="50" s="1"/>
  <c r="H685" i="37"/>
  <c r="H175" i="41"/>
  <c r="H306" i="50" s="1"/>
  <c r="H193" i="41"/>
  <c r="H319" i="50" s="1"/>
  <c r="H1010" i="37"/>
  <c r="H150" i="42"/>
  <c r="H717" i="37"/>
  <c r="H1024" i="50"/>
  <c r="H1793" i="37"/>
  <c r="H770" i="37"/>
  <c r="H1777" i="37"/>
  <c r="H313" i="42"/>
  <c r="H492" i="37"/>
  <c r="H708" i="37"/>
  <c r="H171" i="42"/>
  <c r="H130" i="49"/>
  <c r="K4" i="47"/>
  <c r="C41" i="9"/>
  <c r="H1779" i="37"/>
  <c r="P372" i="47"/>
  <c r="H1079" i="50"/>
  <c r="N1075" i="50" s="1"/>
  <c r="AA424" i="37"/>
  <c r="N313" i="47"/>
  <c r="B58" i="34"/>
  <c r="I278" i="42"/>
  <c r="I639" i="37"/>
  <c r="I1179" i="37"/>
  <c r="I1539" i="37"/>
  <c r="I999" i="37"/>
  <c r="X215" i="47"/>
  <c r="AA428" i="37"/>
  <c r="J302" i="50"/>
  <c r="L410" i="41"/>
  <c r="AA788" i="37"/>
  <c r="AA781" i="37"/>
  <c r="AA784" i="37"/>
  <c r="AA785" i="37"/>
  <c r="G4" i="47"/>
  <c r="C39" i="9"/>
  <c r="E615" i="37"/>
  <c r="E1335" i="37"/>
  <c r="E255" i="49"/>
  <c r="E328" i="42"/>
  <c r="E237" i="42"/>
  <c r="E435" i="37"/>
  <c r="E401" i="42"/>
  <c r="E512" i="42"/>
  <c r="E1155" i="37"/>
  <c r="E1515" i="37"/>
  <c r="E795" i="37"/>
  <c r="E146" i="42"/>
  <c r="E1695" i="37"/>
  <c r="E975" i="37"/>
  <c r="E255" i="37"/>
  <c r="E469" i="42"/>
  <c r="P234" i="43"/>
  <c r="K234" i="43" s="1"/>
  <c r="P241" i="43"/>
  <c r="I12" i="42"/>
  <c r="R136" i="42" s="1"/>
  <c r="E387" i="41"/>
  <c r="E341" i="50" s="1"/>
  <c r="E309" i="41"/>
  <c r="E403" i="50" s="1"/>
  <c r="P260" i="43"/>
  <c r="E259" i="43"/>
  <c r="K259" i="43"/>
  <c r="E103" i="50"/>
  <c r="P103" i="50" s="1"/>
  <c r="I1071" i="50"/>
  <c r="P261" i="43"/>
  <c r="P262" i="43"/>
  <c r="Q262" i="43"/>
  <c r="I248" i="50"/>
  <c r="K53" i="37"/>
  <c r="L1179" i="37"/>
  <c r="L819" i="37"/>
  <c r="H1047" i="37"/>
  <c r="H1407" i="37"/>
  <c r="H126" i="37"/>
  <c r="H1419" i="37"/>
  <c r="H138" i="37"/>
  <c r="H699" i="37"/>
  <c r="H1795" i="37"/>
  <c r="H989" i="50"/>
  <c r="H1053" i="50"/>
  <c r="H982" i="50"/>
  <c r="H811" i="50"/>
  <c r="H925" i="50"/>
  <c r="H565" i="50"/>
  <c r="H303" i="42"/>
  <c r="H1187" i="50"/>
  <c r="H1471" i="37"/>
  <c r="H867" i="50"/>
  <c r="H691" i="50"/>
  <c r="H1651" i="37"/>
  <c r="H622" i="50"/>
  <c r="H182" i="37"/>
  <c r="H216" i="42"/>
  <c r="H125" i="42"/>
  <c r="H97" i="42"/>
  <c r="H1172" i="50"/>
  <c r="H488" i="50"/>
  <c r="H1099" i="50"/>
  <c r="H1667" i="37"/>
  <c r="H947" i="37"/>
  <c r="H1643" i="37"/>
  <c r="H201" i="42"/>
  <c r="H210" i="37"/>
  <c r="H616" i="50"/>
  <c r="H923" i="37"/>
  <c r="H1111" i="37"/>
  <c r="H1615" i="37"/>
  <c r="H1139" i="50"/>
  <c r="H858" i="37"/>
  <c r="H968" i="50"/>
  <c r="H555" i="37"/>
  <c r="H1758" i="37"/>
  <c r="H796" i="50"/>
  <c r="H682" i="50"/>
  <c r="H383" i="37"/>
  <c r="H627" i="50"/>
  <c r="H111" i="37"/>
  <c r="H161" i="37"/>
  <c r="H1141" i="50"/>
  <c r="H1623" i="37"/>
  <c r="H1443" i="37"/>
  <c r="H871" i="50"/>
  <c r="H535" i="37"/>
  <c r="H751" i="37"/>
  <c r="H633" i="50"/>
  <c r="H668" i="50"/>
  <c r="H976" i="50"/>
  <c r="H567" i="50"/>
  <c r="H121" i="42"/>
  <c r="H1255" i="37"/>
  <c r="H745" i="50"/>
  <c r="H735" i="37"/>
  <c r="H631" i="50"/>
  <c r="H391" i="37"/>
  <c r="H129" i="42"/>
  <c r="H198" i="42"/>
  <c r="H212" i="42"/>
  <c r="H386" i="42"/>
  <c r="H191" i="37"/>
  <c r="H513" i="50"/>
  <c r="H1212" i="50"/>
  <c r="H1815" i="37"/>
  <c r="H307" i="42"/>
  <c r="H1435" i="37"/>
  <c r="H927" i="50"/>
  <c r="H548" i="50"/>
  <c r="H1183" i="50"/>
  <c r="H1145" i="50"/>
  <c r="H311" i="42"/>
  <c r="H1455" i="37"/>
  <c r="H1179" i="50"/>
  <c r="H1132" i="50"/>
  <c r="H375" i="37"/>
  <c r="H625" i="50"/>
  <c r="H862" i="50"/>
  <c r="H228" i="42"/>
  <c r="H1083" i="37"/>
  <c r="H728" i="50"/>
  <c r="H805" i="50"/>
  <c r="H608" i="50"/>
  <c r="H742" i="50"/>
  <c r="H747" i="50"/>
  <c r="H502" i="50"/>
  <c r="H224" i="42"/>
  <c r="H1147" i="50"/>
  <c r="H931" i="37"/>
  <c r="H1463" i="37"/>
  <c r="H788" i="50"/>
  <c r="H392" i="42"/>
  <c r="H693" i="50"/>
  <c r="H571" i="50"/>
  <c r="H496" i="50"/>
  <c r="H1143" i="50"/>
  <c r="H915" i="37"/>
  <c r="H687" i="50"/>
  <c r="H676" i="50"/>
  <c r="I238" i="49"/>
  <c r="H1134" i="50"/>
  <c r="H759" i="37"/>
  <c r="H991" i="50"/>
  <c r="H399" i="37"/>
  <c r="H169" i="37"/>
  <c r="H1094" i="50"/>
  <c r="H1291" i="37"/>
  <c r="H1036" i="50"/>
  <c r="H355" i="37"/>
  <c r="H133" i="42"/>
  <c r="H1174" i="50"/>
  <c r="H1847" i="37"/>
  <c r="H1578" i="37"/>
  <c r="H389" i="42"/>
  <c r="H869" i="50"/>
  <c r="H678" i="37"/>
  <c r="H587" i="37"/>
  <c r="H1803" i="37"/>
  <c r="H1075" i="37"/>
  <c r="H1095" i="37"/>
  <c r="H563" i="37"/>
  <c r="H1283" i="37"/>
  <c r="H569" i="50"/>
  <c r="H751" i="50"/>
  <c r="H132" i="49"/>
  <c r="H154" i="50" s="1"/>
  <c r="H1103" i="50"/>
  <c r="H1479" i="37"/>
  <c r="H939" i="37"/>
  <c r="H743" i="37"/>
  <c r="H543" i="37"/>
  <c r="H1127" i="37"/>
  <c r="H556" i="50"/>
  <c r="H363" i="37"/>
  <c r="H509" i="50"/>
  <c r="H1181" i="50"/>
  <c r="H865" i="50"/>
  <c r="H807" i="50"/>
  <c r="H1119" i="37"/>
  <c r="H1101" i="50"/>
  <c r="H689" i="50"/>
  <c r="H931" i="50"/>
  <c r="H100" i="42"/>
  <c r="H736" i="50"/>
  <c r="H1263" i="37"/>
  <c r="H993" i="50"/>
  <c r="H505" i="50"/>
  <c r="H908" i="50"/>
  <c r="H1051" i="50"/>
  <c r="H1045" i="50"/>
  <c r="H1659" i="37"/>
  <c r="H809" i="50"/>
  <c r="H459" i="42"/>
  <c r="H1107" i="50"/>
  <c r="I288" i="49"/>
  <c r="H511" i="50"/>
  <c r="H873" i="50"/>
  <c r="L298" i="49"/>
  <c r="L206" i="50"/>
  <c r="L205" i="50"/>
  <c r="H178" i="49"/>
  <c r="H179" i="50" s="1"/>
  <c r="H987" i="50"/>
  <c r="H916" i="50"/>
  <c r="H1275" i="37"/>
  <c r="H507" i="50"/>
  <c r="H573" i="50"/>
  <c r="H579" i="37"/>
  <c r="H856" i="50"/>
  <c r="H1823" i="37"/>
  <c r="H715" i="37"/>
  <c r="H1299" i="37"/>
  <c r="H629" i="50"/>
  <c r="I144" i="50"/>
  <c r="I114" i="49"/>
  <c r="K265" i="41"/>
  <c r="K364" i="50" s="1"/>
  <c r="L264" i="41"/>
  <c r="L363" i="50" s="1"/>
  <c r="J264" i="41"/>
  <c r="J363" i="50" s="1"/>
  <c r="I169" i="50"/>
  <c r="I168" i="49"/>
  <c r="S22" i="49"/>
  <c r="J22" i="49" s="1"/>
  <c r="J57" i="49" s="1"/>
  <c r="J70" i="50" s="1"/>
  <c r="I167" i="49"/>
  <c r="I284" i="50"/>
  <c r="I410" i="41"/>
  <c r="K167" i="49"/>
  <c r="K168" i="49"/>
  <c r="K173" i="50"/>
  <c r="W215" i="47"/>
  <c r="AA421" i="37"/>
  <c r="AA429" i="37"/>
  <c r="H1080" i="50"/>
  <c r="G1083" i="50" s="1"/>
  <c r="S109" i="50"/>
  <c r="E129" i="50"/>
  <c r="P109" i="50"/>
  <c r="P259" i="43"/>
  <c r="L234" i="43"/>
  <c r="L241" i="43"/>
  <c r="L1094" i="50"/>
  <c r="L1105" i="50"/>
  <c r="I1105" i="50"/>
  <c r="J1102" i="50"/>
  <c r="K1102" i="50"/>
  <c r="K1093" i="50"/>
  <c r="K1101" i="50"/>
  <c r="L1103" i="50"/>
  <c r="K1103" i="50"/>
  <c r="J1107" i="50"/>
  <c r="M1107" i="50"/>
  <c r="L1107" i="50"/>
  <c r="M1104" i="50"/>
  <c r="L1104" i="50"/>
  <c r="J1104" i="50"/>
  <c r="K1106" i="50"/>
  <c r="I1106" i="50"/>
  <c r="L1106" i="50"/>
  <c r="L1101" i="50"/>
  <c r="L1093" i="50"/>
  <c r="I1102" i="50"/>
  <c r="J1105" i="50"/>
  <c r="K1100" i="50"/>
  <c r="K1104" i="50"/>
  <c r="I1093" i="50"/>
  <c r="L1102" i="50"/>
  <c r="M1105" i="50"/>
  <c r="M1094" i="50"/>
  <c r="R325" i="42"/>
  <c r="I43" i="37"/>
  <c r="K43" i="37"/>
  <c r="J43" i="37"/>
  <c r="Z333" i="42"/>
  <c r="S325" i="42"/>
  <c r="S391" i="42" s="1"/>
  <c r="U325" i="42"/>
  <c r="T325" i="42"/>
  <c r="T391" i="42" s="1"/>
  <c r="Q234" i="43"/>
  <c r="Q259" i="43" s="1"/>
  <c r="R234" i="43"/>
  <c r="Q235" i="43"/>
  <c r="R235" i="43"/>
  <c r="K235" i="43"/>
  <c r="P973" i="37"/>
  <c r="AA1141" i="37"/>
  <c r="AA1144" i="37"/>
  <c r="AA1149" i="37"/>
  <c r="AA1145" i="37"/>
  <c r="AA1148" i="37"/>
  <c r="K3" i="47"/>
  <c r="C37" i="9"/>
  <c r="I4" i="47"/>
  <c r="C40" i="9"/>
  <c r="E392" i="41"/>
  <c r="E36" i="41"/>
  <c r="E46" i="41" s="1"/>
  <c r="E216" i="50"/>
  <c r="I325" i="42"/>
  <c r="R389" i="42"/>
  <c r="E312" i="41"/>
  <c r="P312" i="41" s="1"/>
  <c r="E106" i="50"/>
  <c r="P106" i="50" s="1"/>
  <c r="L169" i="50"/>
  <c r="L168" i="49"/>
  <c r="L173" i="50" s="1"/>
  <c r="L167" i="49"/>
  <c r="L172" i="50" s="1"/>
  <c r="AA968" i="37"/>
  <c r="AA964" i="37"/>
  <c r="H895" i="37"/>
  <c r="B63" i="34"/>
  <c r="H1839" i="37"/>
  <c r="H723" i="37"/>
  <c r="H315" i="42"/>
  <c r="H1049" i="50"/>
  <c r="H922" i="50"/>
  <c r="H456" i="42"/>
  <c r="H1028" i="50"/>
  <c r="H1185" i="50"/>
  <c r="I53" i="37"/>
  <c r="I819" i="37"/>
  <c r="AA601" i="37"/>
  <c r="AA605" i="37"/>
  <c r="P212" i="43"/>
  <c r="I309" i="49" s="1"/>
  <c r="P18" i="41"/>
  <c r="P36" i="41" s="1"/>
  <c r="H1042" i="50"/>
  <c r="H1242" i="50"/>
  <c r="H498" i="37"/>
  <c r="H318" i="37"/>
  <c r="H289" i="42"/>
  <c r="A229" i="34"/>
  <c r="A227" i="34"/>
  <c r="J298" i="49"/>
  <c r="J206" i="50"/>
  <c r="J205" i="50"/>
  <c r="E126" i="50"/>
  <c r="E234" i="50" s="1"/>
  <c r="P234" i="50" s="1"/>
  <c r="E343" i="50"/>
  <c r="R238" i="43"/>
  <c r="Q238" i="43"/>
  <c r="R243" i="43"/>
  <c r="K243" i="43"/>
  <c r="Q239" i="43"/>
  <c r="R239" i="43"/>
  <c r="K239" i="43"/>
  <c r="C203" i="34"/>
  <c r="D202" i="34"/>
  <c r="S215" i="47"/>
  <c r="I193" i="50"/>
  <c r="I250" i="49"/>
  <c r="I194" i="50" s="1"/>
  <c r="J325" i="50"/>
  <c r="U398" i="42"/>
  <c r="U461" i="42" s="1"/>
  <c r="V398" i="42"/>
  <c r="V450" i="42" s="1"/>
  <c r="R398" i="42"/>
  <c r="L459" i="37"/>
  <c r="L53" i="37"/>
  <c r="M1075" i="50"/>
  <c r="M1074" i="50"/>
  <c r="AA1325" i="37"/>
  <c r="AA1684" i="37"/>
  <c r="H292" i="42"/>
  <c r="H1487" i="37"/>
  <c r="AA1689" i="37"/>
  <c r="S239" i="34"/>
  <c r="K391" i="47"/>
  <c r="K313" i="47" s="1"/>
  <c r="Q244" i="34"/>
  <c r="S257" i="34"/>
  <c r="S252" i="34"/>
  <c r="J164" i="50"/>
  <c r="J168" i="49"/>
  <c r="B30" i="34"/>
  <c r="N1074" i="50"/>
  <c r="N1114" i="50"/>
  <c r="N1076" i="50"/>
  <c r="B29" i="34"/>
  <c r="L1123" i="50"/>
  <c r="B34" i="34"/>
  <c r="B28" i="34"/>
  <c r="B36" i="34"/>
  <c r="B38" i="34"/>
  <c r="H315" i="49" s="1"/>
  <c r="B26" i="34"/>
  <c r="H225" i="37" s="1"/>
  <c r="B60" i="34"/>
  <c r="H275" i="47" s="1"/>
  <c r="B66" i="34"/>
  <c r="B67" i="34"/>
  <c r="H255" i="47" s="1"/>
  <c r="B24" i="34"/>
  <c r="B32" i="34"/>
  <c r="C58" i="34"/>
  <c r="P517" i="42"/>
  <c r="E86" i="42"/>
  <c r="E106" i="42" s="1"/>
  <c r="P129" i="42"/>
  <c r="R125" i="42"/>
  <c r="R129" i="42"/>
  <c r="P137" i="42"/>
  <c r="R133" i="42"/>
  <c r="P124" i="42"/>
  <c r="P136" i="42"/>
  <c r="P99" i="42"/>
  <c r="E24" i="42"/>
  <c r="H24" i="42" s="1"/>
  <c r="P133" i="42"/>
  <c r="P97" i="42"/>
  <c r="P86" i="42"/>
  <c r="P1079" i="50"/>
  <c r="E1074" i="50"/>
  <c r="R259" i="43"/>
  <c r="H234" i="49"/>
  <c r="H192" i="50"/>
  <c r="K193" i="50"/>
  <c r="K250" i="49"/>
  <c r="K194" i="50"/>
  <c r="T398" i="42"/>
  <c r="T450" i="42" s="1"/>
  <c r="AA240" i="37"/>
  <c r="AA248" i="37"/>
  <c r="I302" i="50"/>
  <c r="I417" i="41"/>
  <c r="L250" i="49"/>
  <c r="L194" i="50" s="1"/>
  <c r="L841" i="50"/>
  <c r="J1123" i="50"/>
  <c r="L1163" i="50"/>
  <c r="J1163" i="50"/>
  <c r="L1283" i="50"/>
  <c r="H630" i="50"/>
  <c r="H679" i="50"/>
  <c r="H739" i="50"/>
  <c r="H1830" i="37"/>
  <c r="H1462" i="37"/>
  <c r="H932" i="50"/>
  <c r="H52" i="37"/>
  <c r="H131" i="37"/>
  <c r="H734" i="37"/>
  <c r="H1041" i="50"/>
  <c r="H310" i="42"/>
  <c r="H206" i="42"/>
  <c r="H564" i="50"/>
  <c r="H750" i="37"/>
  <c r="H1140" i="50"/>
  <c r="H313" i="41"/>
  <c r="H407" i="50" s="1"/>
  <c r="H859" i="50"/>
  <c r="H309" i="41"/>
  <c r="H403" i="50"/>
  <c r="H197" i="42"/>
  <c r="H1035" i="50"/>
  <c r="H1666" i="37"/>
  <c r="H233" i="50"/>
  <c r="H918" i="50"/>
  <c r="H718" i="37"/>
  <c r="H215" i="42"/>
  <c r="H230" i="42"/>
  <c r="H139" i="42"/>
  <c r="H16" i="41"/>
  <c r="H205" i="41"/>
  <c r="H329" i="50" s="1"/>
  <c r="H393" i="41"/>
  <c r="H1246" i="50"/>
  <c r="H138" i="49"/>
  <c r="H157" i="50" s="1"/>
  <c r="H750" i="50"/>
  <c r="H978" i="50"/>
  <c r="H1262" i="37"/>
  <c r="H286" i="41"/>
  <c r="H382" i="50" s="1"/>
  <c r="H458" i="42"/>
  <c r="H1091" i="50"/>
  <c r="H510" i="50"/>
  <c r="H314" i="41"/>
  <c r="H408" i="50"/>
  <c r="H291" i="42"/>
  <c r="H127" i="41"/>
  <c r="H268" i="50" s="1"/>
  <c r="H799" i="50"/>
  <c r="H1126" i="37"/>
  <c r="H615" i="50"/>
  <c r="H181" i="41"/>
  <c r="H310" i="50" s="1"/>
  <c r="H975" i="50"/>
  <c r="H231" i="50"/>
  <c r="H538" i="37"/>
  <c r="H1397" i="37"/>
  <c r="H1478" i="37"/>
  <c r="H198" i="41"/>
  <c r="H324" i="50" s="1"/>
  <c r="H195" i="41"/>
  <c r="H321" i="50"/>
  <c r="H410" i="41"/>
  <c r="H1178" i="50"/>
  <c r="H979" i="50"/>
  <c r="H628" i="50"/>
  <c r="H1127" i="50"/>
  <c r="H334" i="41"/>
  <c r="H426" i="50"/>
  <c r="H570" i="37"/>
  <c r="H321" i="42"/>
  <c r="H1254" i="37"/>
  <c r="H1577" i="37"/>
  <c r="H249" i="41"/>
  <c r="H350" i="50" s="1"/>
  <c r="H235" i="50"/>
  <c r="H136" i="41"/>
  <c r="H275" i="50" s="1"/>
  <c r="H1290" i="37"/>
  <c r="H288" i="42"/>
  <c r="H367" i="41"/>
  <c r="H154" i="49"/>
  <c r="H1531" i="37"/>
  <c r="H815" i="50"/>
  <c r="H636" i="50"/>
  <c r="H1171" i="37"/>
  <c r="H695" i="50"/>
  <c r="H591" i="37"/>
  <c r="H875" i="50"/>
  <c r="H755" i="50"/>
  <c r="H635" i="50"/>
  <c r="H411" i="37"/>
  <c r="H951" i="37"/>
  <c r="B42" i="34"/>
  <c r="H876" i="50"/>
  <c r="H364" i="41"/>
  <c r="H442" i="50"/>
  <c r="H851" i="50"/>
  <c r="H161" i="49"/>
  <c r="H169" i="50" s="1"/>
  <c r="H1242" i="37"/>
  <c r="H1713" i="37"/>
  <c r="H1063" i="37"/>
  <c r="H790" i="50"/>
  <c r="H809" i="37"/>
  <c r="H551" i="50"/>
  <c r="H141" i="37"/>
  <c r="H813" i="37"/>
  <c r="H1771" i="37"/>
  <c r="H1176" i="50"/>
  <c r="H791" i="50"/>
  <c r="H1709" i="37"/>
  <c r="H550" i="50"/>
  <c r="H633" i="37"/>
  <c r="H342" i="37"/>
  <c r="H989" i="37"/>
  <c r="H730" i="50"/>
  <c r="H490" i="50"/>
  <c r="H1243" i="37"/>
  <c r="H106" i="49"/>
  <c r="H144" i="50"/>
  <c r="H510" i="37"/>
  <c r="H160" i="49"/>
  <c r="H168" i="50" s="1"/>
  <c r="H104" i="49"/>
  <c r="H142" i="50"/>
  <c r="H1783" i="37"/>
  <c r="H552" i="50"/>
  <c r="H612" i="50"/>
  <c r="H871" i="37"/>
  <c r="H376" i="47"/>
  <c r="H1712" i="37"/>
  <c r="H912" i="50"/>
  <c r="H1169" i="37"/>
  <c r="H852" i="50"/>
  <c r="H1422" i="37"/>
  <c r="H1529" i="37"/>
  <c r="H1030" i="50"/>
  <c r="H293" i="49"/>
  <c r="H205" i="50" s="1"/>
  <c r="H131" i="49"/>
  <c r="H153" i="50"/>
  <c r="H1352" i="37"/>
  <c r="H42" i="49"/>
  <c r="H850" i="50"/>
  <c r="H43" i="37"/>
  <c r="H1353" i="37"/>
  <c r="H691" i="37"/>
  <c r="H298" i="49"/>
  <c r="H206" i="50"/>
  <c r="H1244" i="50"/>
  <c r="H250" i="49"/>
  <c r="H194" i="50"/>
  <c r="H1214" i="50"/>
  <c r="H343" i="37"/>
  <c r="H870" i="37"/>
  <c r="H971" i="50"/>
  <c r="H18" i="49"/>
  <c r="H40" i="37"/>
  <c r="H1591" i="37"/>
  <c r="H273" i="37"/>
  <c r="H812" i="37"/>
  <c r="B43" i="34"/>
  <c r="H1603" i="37"/>
  <c r="H17" i="49"/>
  <c r="H993" i="37"/>
  <c r="H159" i="49"/>
  <c r="H167" i="50" s="1"/>
  <c r="H331" i="37"/>
  <c r="H38" i="49"/>
  <c r="H1423" i="37"/>
  <c r="H44" i="37"/>
  <c r="H732" i="50"/>
  <c r="H1410" i="37"/>
  <c r="H792" i="50"/>
  <c r="H610" i="50"/>
  <c r="H970" i="50"/>
  <c r="H53" i="49"/>
  <c r="H66" i="50" s="1"/>
  <c r="H632" i="37"/>
  <c r="H972" i="50"/>
  <c r="H1050" i="37"/>
  <c r="H1172" i="37"/>
  <c r="H703" i="37"/>
  <c r="H272" i="37"/>
  <c r="H130" i="37"/>
  <c r="H702" i="37"/>
  <c r="H1230" i="37"/>
  <c r="H105" i="49"/>
  <c r="H143" i="50"/>
  <c r="H1602" i="37"/>
  <c r="H672" i="50"/>
  <c r="H375" i="47"/>
  <c r="H671" i="50"/>
  <c r="H523" i="37"/>
  <c r="H1349" i="37"/>
  <c r="H372" i="47"/>
  <c r="H129" i="37"/>
  <c r="H243" i="49"/>
  <c r="H193" i="50" s="1"/>
  <c r="H882" i="37"/>
  <c r="H1532" i="37"/>
  <c r="H330" i="37"/>
  <c r="H37" i="49"/>
  <c r="H22" i="49"/>
  <c r="H57" i="49"/>
  <c r="H70" i="50" s="1"/>
  <c r="H629" i="37"/>
  <c r="H992" i="37"/>
  <c r="H491" i="50"/>
  <c r="H611" i="50"/>
  <c r="H449" i="37"/>
  <c r="H1411" i="37"/>
  <c r="H1051" i="37"/>
  <c r="H511" i="37"/>
  <c r="H690" i="37"/>
  <c r="H453" i="37"/>
  <c r="H1096" i="50"/>
  <c r="H1590" i="37"/>
  <c r="H1062" i="37"/>
  <c r="H1173" i="37"/>
  <c r="H910" i="50"/>
  <c r="H52" i="49"/>
  <c r="H65" i="50" s="1"/>
  <c r="H1533" i="37"/>
  <c r="H452" i="37"/>
  <c r="H883" i="37"/>
  <c r="H522" i="37"/>
  <c r="H1136" i="50"/>
  <c r="H142" i="37"/>
  <c r="H269" i="37"/>
  <c r="H1770" i="37"/>
  <c r="H1782" i="37"/>
  <c r="H1032" i="50"/>
  <c r="H1031" i="50"/>
  <c r="H177" i="49"/>
  <c r="H178" i="50" s="1"/>
  <c r="H670" i="50"/>
  <c r="H492" i="50"/>
  <c r="H911" i="50"/>
  <c r="H1231" i="37"/>
  <c r="H731" i="50"/>
  <c r="K280" i="47"/>
  <c r="K162" i="47"/>
  <c r="P24" i="42"/>
  <c r="H95" i="47"/>
  <c r="H485" i="50"/>
  <c r="H1169" i="50"/>
  <c r="H529" i="37"/>
  <c r="H104" i="50"/>
  <c r="H95" i="50"/>
  <c r="H41" i="49"/>
  <c r="H55" i="49"/>
  <c r="H68" i="50" s="1"/>
  <c r="H1207" i="50"/>
  <c r="H109" i="50"/>
  <c r="H110" i="50"/>
  <c r="H349" i="37"/>
  <c r="H21" i="49"/>
  <c r="H99" i="50"/>
  <c r="H673" i="50"/>
  <c r="H97" i="50"/>
  <c r="H23" i="49"/>
  <c r="H100" i="50"/>
  <c r="H853" i="50"/>
  <c r="H43" i="49"/>
  <c r="H106" i="50"/>
  <c r="H66" i="49"/>
  <c r="H93" i="50"/>
  <c r="H1025" i="50"/>
  <c r="H493" i="50"/>
  <c r="H1287" i="50"/>
  <c r="H274" i="49"/>
  <c r="H202" i="50" s="1"/>
  <c r="H1033" i="50"/>
  <c r="H1069" i="37"/>
  <c r="H216" i="49"/>
  <c r="H189" i="50" s="1"/>
  <c r="H545" i="50"/>
  <c r="H39" i="49"/>
  <c r="H889" i="37"/>
  <c r="H1129" i="50"/>
  <c r="H1609" i="37"/>
  <c r="H19" i="49"/>
  <c r="H613" i="50"/>
  <c r="H709" i="37"/>
  <c r="H86" i="42"/>
  <c r="H1573" i="37"/>
  <c r="H192" i="42"/>
  <c r="H222" i="49"/>
  <c r="H190" i="50" s="1"/>
  <c r="H103" i="50"/>
  <c r="H1033" i="37"/>
  <c r="H853" i="37"/>
  <c r="H102" i="50"/>
  <c r="H1393" i="37"/>
  <c r="H56" i="49"/>
  <c r="H69" i="50"/>
  <c r="H1089" i="50"/>
  <c r="H379" i="42"/>
  <c r="H40" i="49"/>
  <c r="H725" i="50"/>
  <c r="H673" i="37"/>
  <c r="R17" i="49"/>
  <c r="I17" i="49" s="1"/>
  <c r="R22" i="49"/>
  <c r="I22" i="49" s="1"/>
  <c r="I57" i="49" s="1"/>
  <c r="I70" i="50" s="1"/>
  <c r="R19" i="49"/>
  <c r="I19" i="49" s="1"/>
  <c r="I54" i="49" s="1"/>
  <c r="I67" i="50" s="1"/>
  <c r="V18" i="49"/>
  <c r="M18" i="49" s="1"/>
  <c r="M53" i="49" s="1"/>
  <c r="M66" i="50" s="1"/>
  <c r="S18" i="49"/>
  <c r="J18" i="49" s="1"/>
  <c r="J53" i="49" s="1"/>
  <c r="J66" i="50" s="1"/>
  <c r="R18" i="49"/>
  <c r="I18" i="49" s="1"/>
  <c r="I53" i="49" s="1"/>
  <c r="I66" i="50" s="1"/>
  <c r="X98" i="49"/>
  <c r="X99" i="49"/>
  <c r="X104" i="49" s="1"/>
  <c r="X105" i="49" s="1"/>
  <c r="X123" i="49" s="1"/>
  <c r="X124" i="49" s="1"/>
  <c r="X146" i="49" s="1"/>
  <c r="X150" i="49" s="1"/>
  <c r="J172" i="50"/>
  <c r="E310" i="41"/>
  <c r="I143" i="42"/>
  <c r="I1111" i="50"/>
  <c r="E388" i="41"/>
  <c r="E104" i="50"/>
  <c r="E260" i="43"/>
  <c r="K260" i="43" s="1"/>
  <c r="R24" i="49"/>
  <c r="I24" i="49" s="1"/>
  <c r="I59" i="49" s="1"/>
  <c r="I16" i="41" s="1"/>
  <c r="A221" i="34"/>
  <c r="A219" i="34"/>
  <c r="A222" i="34"/>
  <c r="A220" i="34"/>
  <c r="A236" i="34"/>
  <c r="A231" i="34"/>
  <c r="A237" i="34"/>
  <c r="A232" i="34"/>
  <c r="A233" i="34"/>
  <c r="A234" i="34"/>
  <c r="A235" i="34"/>
  <c r="E37" i="41"/>
  <c r="E47" i="41" s="1"/>
  <c r="E217" i="50"/>
  <c r="E313" i="41"/>
  <c r="I398" i="42"/>
  <c r="E393" i="41"/>
  <c r="E107" i="50"/>
  <c r="S107" i="50"/>
  <c r="H308" i="47"/>
  <c r="C61" i="34"/>
  <c r="H343" i="47"/>
  <c r="H866" i="37"/>
  <c r="H1058" i="37"/>
  <c r="H208" i="47"/>
  <c r="H340" i="47"/>
  <c r="H342" i="47"/>
  <c r="B61" i="34"/>
  <c r="H929" i="37"/>
  <c r="H1778" i="37"/>
  <c r="H698" i="37"/>
  <c r="H288" i="47"/>
  <c r="H1766" i="37"/>
  <c r="H1418" i="37"/>
  <c r="H189" i="47"/>
  <c r="H326" i="37"/>
  <c r="H1586" i="37"/>
  <c r="J1083" i="50"/>
  <c r="L721" i="50"/>
  <c r="J721" i="50"/>
  <c r="L661" i="50"/>
  <c r="N1263" i="50"/>
  <c r="N601" i="50"/>
  <c r="L961" i="50"/>
  <c r="N961" i="50"/>
  <c r="N541" i="50"/>
  <c r="L541" i="50"/>
  <c r="N1021" i="50"/>
  <c r="J1203" i="50"/>
  <c r="N721" i="50"/>
  <c r="L901" i="50"/>
  <c r="N1083" i="50"/>
  <c r="N781" i="50"/>
  <c r="N1123" i="50"/>
  <c r="N901" i="50"/>
  <c r="J1263" i="50"/>
  <c r="L781" i="50"/>
  <c r="L481" i="50"/>
  <c r="L1233" i="50"/>
  <c r="N1233" i="50"/>
  <c r="L177" i="49"/>
  <c r="L182" i="49"/>
  <c r="L181" i="50" s="1"/>
  <c r="N1203" i="50"/>
  <c r="N661" i="50"/>
  <c r="J901" i="50"/>
  <c r="J1021" i="50"/>
  <c r="L1083" i="50"/>
  <c r="H190" i="47"/>
  <c r="H137" i="37"/>
  <c r="H506" i="37"/>
  <c r="H209" i="47"/>
  <c r="J841" i="50"/>
  <c r="N1283" i="50"/>
  <c r="L1263" i="50"/>
  <c r="J541" i="50"/>
  <c r="J481" i="50"/>
  <c r="L1021" i="50"/>
  <c r="H350" i="47"/>
  <c r="H197" i="47"/>
  <c r="H181" i="47"/>
  <c r="H338" i="37"/>
  <c r="S106" i="50"/>
  <c r="P47" i="41"/>
  <c r="P37" i="41"/>
  <c r="P46" i="41"/>
  <c r="M330" i="43"/>
  <c r="U240" i="43" s="1"/>
  <c r="I330" i="43"/>
  <c r="I218" i="43" s="1"/>
  <c r="C15" i="9" s="1"/>
  <c r="K1399" i="50"/>
  <c r="L330" i="43"/>
  <c r="L160" i="43" s="1"/>
  <c r="M1397" i="50"/>
  <c r="M1348" i="50" s="1"/>
  <c r="M1349" i="50" s="1"/>
  <c r="Q209" i="34"/>
  <c r="Q262" i="34"/>
  <c r="Q213" i="34"/>
  <c r="Q249" i="34"/>
  <c r="K382" i="41"/>
  <c r="I1884" i="37"/>
  <c r="J311" i="49"/>
  <c r="J380" i="41"/>
  <c r="J15" i="41" s="1"/>
  <c r="J1884" i="37"/>
  <c r="S210" i="34"/>
  <c r="L1882" i="37"/>
  <c r="L1392" i="37" s="1"/>
  <c r="V1392" i="37" s="1"/>
  <c r="Q246" i="34"/>
  <c r="I561" i="42"/>
  <c r="Q260" i="34"/>
  <c r="S221" i="34"/>
  <c r="Q250" i="34"/>
  <c r="S262" i="34"/>
  <c r="K177" i="49"/>
  <c r="K182" i="49"/>
  <c r="K183" i="49"/>
  <c r="K182" i="50"/>
  <c r="K1094" i="50"/>
  <c r="M1102" i="50"/>
  <c r="M1093" i="50"/>
  <c r="M1103" i="50"/>
  <c r="I1104" i="50"/>
  <c r="J1106" i="50"/>
  <c r="I1100" i="50"/>
  <c r="I1103" i="50"/>
  <c r="K1105" i="50"/>
  <c r="M1100" i="50"/>
  <c r="M1106" i="50"/>
  <c r="I1107" i="50"/>
  <c r="J1101" i="50"/>
  <c r="J1094" i="50"/>
  <c r="E364" i="43"/>
  <c r="E365" i="43"/>
  <c r="E366" i="43"/>
  <c r="K205" i="50"/>
  <c r="K298" i="49"/>
  <c r="K206" i="50" s="1"/>
  <c r="K172" i="50"/>
  <c r="Q240" i="43"/>
  <c r="K240" i="43"/>
  <c r="H1599" i="37"/>
  <c r="H1227" i="37"/>
  <c r="H1059" i="37"/>
  <c r="H687" i="37"/>
  <c r="H867" i="37"/>
  <c r="H507" i="37"/>
  <c r="B62" i="34"/>
  <c r="H1767" i="37"/>
  <c r="L1359" i="37"/>
  <c r="L1719" i="37"/>
  <c r="L255" i="50"/>
  <c r="L639" i="37"/>
  <c r="L1539" i="37"/>
  <c r="S20" i="49"/>
  <c r="J20" i="49" s="1"/>
  <c r="J55" i="49" s="1"/>
  <c r="J68" i="50" s="1"/>
  <c r="R20" i="49"/>
  <c r="I20" i="49" s="1"/>
  <c r="I55" i="49" s="1"/>
  <c r="I68" i="50" s="1"/>
  <c r="S24" i="49"/>
  <c r="J24" i="49" s="1"/>
  <c r="J59" i="49" s="1"/>
  <c r="J16" i="41" s="1"/>
  <c r="V24" i="49"/>
  <c r="M24" i="49" s="1"/>
  <c r="M59" i="49" s="1"/>
  <c r="M72" i="50" s="1"/>
  <c r="M3" i="42"/>
  <c r="H879" i="37"/>
  <c r="H327" i="37"/>
  <c r="H1587" i="37"/>
  <c r="L110" i="41"/>
  <c r="L176" i="41" s="1"/>
  <c r="H339" i="37"/>
  <c r="AC482" i="42"/>
  <c r="L999" i="37"/>
  <c r="I235" i="42"/>
  <c r="I1719" i="37"/>
  <c r="I279" i="37"/>
  <c r="I255" i="50"/>
  <c r="I110" i="41"/>
  <c r="I261" i="50" s="1"/>
  <c r="K639" i="37"/>
  <c r="K459" i="37"/>
  <c r="K1179" i="37"/>
  <c r="K819" i="37"/>
  <c r="K279" i="37"/>
  <c r="K999" i="37"/>
  <c r="K114" i="49"/>
  <c r="K147" i="50" s="1"/>
  <c r="H519" i="37"/>
  <c r="H1239" i="37"/>
  <c r="L279" i="37"/>
  <c r="U20" i="49"/>
  <c r="L20" i="49" s="1"/>
  <c r="L55" i="49" s="1"/>
  <c r="L68" i="50" s="1"/>
  <c r="U24" i="49"/>
  <c r="L24" i="49" s="1"/>
  <c r="L59" i="49" s="1"/>
  <c r="AA473" i="42"/>
  <c r="AA474" i="42" s="1"/>
  <c r="T215" i="47"/>
  <c r="M284" i="50"/>
  <c r="M410" i="41"/>
  <c r="J114" i="49"/>
  <c r="J147" i="50" s="1"/>
  <c r="L114" i="49"/>
  <c r="L178" i="49"/>
  <c r="L179" i="50" s="1"/>
  <c r="L178" i="50"/>
  <c r="I215" i="49"/>
  <c r="I130" i="49"/>
  <c r="I145" i="49"/>
  <c r="I161" i="50" s="1"/>
  <c r="I278" i="49"/>
  <c r="I149" i="49"/>
  <c r="H1461" i="37"/>
  <c r="H217" i="37"/>
  <c r="H1297" i="37"/>
  <c r="H1289" i="37"/>
  <c r="H1641" i="37"/>
  <c r="H937" i="37"/>
  <c r="H1829" i="37"/>
  <c r="H397" i="37"/>
  <c r="H389" i="37"/>
  <c r="H208" i="37"/>
  <c r="H1281" i="37"/>
  <c r="H1305" i="37"/>
  <c r="P107" i="50"/>
  <c r="E127" i="50"/>
  <c r="E235" i="50"/>
  <c r="P235" i="50" s="1"/>
  <c r="E406" i="42"/>
  <c r="H406" i="42"/>
  <c r="P455" i="42"/>
  <c r="R459" i="42"/>
  <c r="E450" i="42"/>
  <c r="P461" i="42"/>
  <c r="I445" i="42"/>
  <c r="P450" i="42"/>
  <c r="R461" i="42"/>
  <c r="R450" i="42"/>
  <c r="P458" i="42"/>
  <c r="P462" i="42"/>
  <c r="P456" i="42"/>
  <c r="R456" i="42"/>
  <c r="P459" i="42"/>
  <c r="C1340" i="50"/>
  <c r="P1120" i="50"/>
  <c r="R1111" i="50"/>
  <c r="P1123" i="50"/>
  <c r="P1140" i="50"/>
  <c r="P1138" i="50"/>
  <c r="P1136" i="50"/>
  <c r="P1134" i="50"/>
  <c r="P1141" i="50"/>
  <c r="K178" i="49"/>
  <c r="K179" i="50" s="1"/>
  <c r="K178" i="50"/>
  <c r="K181" i="50"/>
  <c r="M1016" i="50"/>
  <c r="M656" i="50"/>
  <c r="U234" i="43"/>
  <c r="U261" i="43"/>
  <c r="U264" i="43"/>
  <c r="M160" i="43"/>
  <c r="U262" i="43"/>
  <c r="U263" i="43"/>
  <c r="L183" i="49"/>
  <c r="L182" i="50" s="1"/>
  <c r="P313" i="41"/>
  <c r="E407" i="50"/>
  <c r="R260" i="43"/>
  <c r="P227" i="42"/>
  <c r="R219" i="42"/>
  <c r="R216" i="42"/>
  <c r="P228" i="42"/>
  <c r="P219" i="42"/>
  <c r="R227" i="42"/>
  <c r="P197" i="42"/>
  <c r="R215" i="42"/>
  <c r="P201" i="42"/>
  <c r="R223" i="42"/>
  <c r="E151" i="42"/>
  <c r="R224" i="42"/>
  <c r="P216" i="42"/>
  <c r="P192" i="42"/>
  <c r="P200" i="42"/>
  <c r="P224" i="42"/>
  <c r="P104" i="50"/>
  <c r="E124" i="50"/>
  <c r="E232" i="50"/>
  <c r="P232" i="50" s="1"/>
  <c r="S104" i="50"/>
  <c r="P310" i="41"/>
  <c r="E404" i="50"/>
  <c r="J282" i="41"/>
  <c r="J378" i="50" s="1"/>
  <c r="J83" i="41"/>
  <c r="J240" i="50"/>
  <c r="H1649" i="37"/>
  <c r="J308" i="41"/>
  <c r="J402" i="50" s="1"/>
  <c r="J106" i="41"/>
  <c r="N1116" i="50"/>
  <c r="H1120" i="50"/>
  <c r="G1123" i="50" s="1"/>
  <c r="E261" i="43"/>
  <c r="R261" i="43"/>
  <c r="K261" i="43"/>
  <c r="D262" i="43"/>
  <c r="P386" i="42"/>
  <c r="R386" i="42"/>
  <c r="K284" i="50"/>
  <c r="E379" i="42"/>
  <c r="P392" i="42"/>
  <c r="R391" i="42"/>
  <c r="R379" i="42"/>
  <c r="P96" i="42"/>
  <c r="S103" i="50"/>
  <c r="M406" i="42"/>
  <c r="M455" i="42" s="1"/>
  <c r="M456" i="42" s="1"/>
  <c r="I406" i="42"/>
  <c r="I455" i="42" s="1"/>
  <c r="I456" i="42" s="1"/>
  <c r="L406" i="42"/>
  <c r="L455" i="42" s="1"/>
  <c r="L456" i="42" s="1"/>
  <c r="K406" i="42"/>
  <c r="K455" i="42" s="1"/>
  <c r="K456" i="42" s="1"/>
  <c r="J406" i="42"/>
  <c r="J455" i="42" s="1"/>
  <c r="J456" i="42" s="1"/>
  <c r="J333" i="42"/>
  <c r="J385" i="42" s="1"/>
  <c r="J386" i="42" s="1"/>
  <c r="M333" i="42"/>
  <c r="M385" i="42" s="1"/>
  <c r="M386" i="42" s="1"/>
  <c r="I333" i="42"/>
  <c r="I385" i="42" s="1"/>
  <c r="I386" i="42" s="1"/>
  <c r="L333" i="42"/>
  <c r="L385" i="42" s="1"/>
  <c r="L386" i="42" s="1"/>
  <c r="K333" i="42"/>
  <c r="M298" i="49"/>
  <c r="M206" i="50" s="1"/>
  <c r="I13" i="42"/>
  <c r="M264" i="41"/>
  <c r="J322" i="41"/>
  <c r="J414" i="50" s="1"/>
  <c r="J293" i="41"/>
  <c r="J388" i="50" s="1"/>
  <c r="J193" i="41"/>
  <c r="J319" i="50" s="1"/>
  <c r="J134" i="41"/>
  <c r="J273" i="50" s="1"/>
  <c r="O257" i="34"/>
  <c r="R257" i="34" s="1"/>
  <c r="Q261" i="34"/>
  <c r="K380" i="41"/>
  <c r="K163" i="41"/>
  <c r="K296" i="50" s="1"/>
  <c r="Q224" i="34"/>
  <c r="M561" i="42"/>
  <c r="Q257" i="34"/>
  <c r="Q211" i="34"/>
  <c r="BB3" i="56"/>
  <c r="B4" i="56" s="1"/>
  <c r="N4" i="56"/>
  <c r="L391" i="47"/>
  <c r="L349" i="47"/>
  <c r="O260" i="34"/>
  <c r="R260" i="34" s="1"/>
  <c r="S201" i="34"/>
  <c r="I380" i="41"/>
  <c r="I226" i="41" s="1"/>
  <c r="Q240" i="34"/>
  <c r="M309" i="49"/>
  <c r="M221" i="49" s="1"/>
  <c r="BB3" i="58"/>
  <c r="B4" i="58" s="1"/>
  <c r="AL4" i="58" s="1"/>
  <c r="S251" i="34"/>
  <c r="M380" i="41"/>
  <c r="M263" i="41" s="1"/>
  <c r="M362" i="50" s="1"/>
  <c r="S222" i="34"/>
  <c r="Q214" i="34"/>
  <c r="R261" i="34"/>
  <c r="S237" i="34"/>
  <c r="J309" i="49"/>
  <c r="J242" i="49" s="1"/>
  <c r="O201" i="34"/>
  <c r="R201" i="34" s="1"/>
  <c r="P391" i="42"/>
  <c r="P385" i="42"/>
  <c r="I172" i="50"/>
  <c r="R86" i="42"/>
  <c r="R128" i="42"/>
  <c r="L265" i="41"/>
  <c r="L364" i="50"/>
  <c r="H1821" i="37"/>
  <c r="H373" i="37"/>
  <c r="H199" i="37"/>
  <c r="H913" i="37"/>
  <c r="H1101" i="37"/>
  <c r="H553" i="37"/>
  <c r="H1845" i="37"/>
  <c r="H1125" i="37"/>
  <c r="H765" i="37"/>
  <c r="H405" i="37"/>
  <c r="H381" i="37"/>
  <c r="I297" i="49"/>
  <c r="I158" i="49"/>
  <c r="I166" i="50" s="1"/>
  <c r="I171" i="49"/>
  <c r="I97" i="49"/>
  <c r="I16" i="49"/>
  <c r="R16" i="49" s="1"/>
  <c r="I249" i="49"/>
  <c r="I36" i="49"/>
  <c r="H686" i="37"/>
  <c r="T461" i="42"/>
  <c r="H163" i="47"/>
  <c r="H1406" i="37"/>
  <c r="H191" i="47"/>
  <c r="H321" i="47"/>
  <c r="T406" i="42"/>
  <c r="H234" i="50"/>
  <c r="H984" i="50"/>
  <c r="H1087" i="50"/>
  <c r="H872" i="50"/>
  <c r="H1306" i="37"/>
  <c r="H374" i="37"/>
  <c r="H1642" i="37"/>
  <c r="H561" i="50"/>
  <c r="H164" i="37"/>
  <c r="H214" i="50"/>
  <c r="H373" i="47"/>
  <c r="H418" i="41"/>
  <c r="H197" i="41"/>
  <c r="H323" i="50"/>
  <c r="H278" i="37"/>
  <c r="H387" i="41"/>
  <c r="H311" i="41"/>
  <c r="H405" i="50" s="1"/>
  <c r="H209" i="37"/>
  <c r="H1239" i="50"/>
  <c r="H758" i="37"/>
  <c r="H143" i="41"/>
  <c r="H282" i="50" s="1"/>
  <c r="H946" i="37"/>
  <c r="H1438" i="37"/>
  <c r="H1846" i="37"/>
  <c r="H227" i="50"/>
  <c r="H1486" i="37"/>
  <c r="H332" i="37"/>
  <c r="H690" i="50"/>
  <c r="H217" i="50"/>
  <c r="H250" i="41"/>
  <c r="H351" i="50"/>
  <c r="H341" i="50"/>
  <c r="H688" i="50"/>
  <c r="H1622" i="37"/>
  <c r="H358" i="37"/>
  <c r="H1412" i="37"/>
  <c r="H224" i="50"/>
  <c r="H390" i="37"/>
  <c r="H1133" i="50"/>
  <c r="H748" i="50"/>
  <c r="H388" i="41"/>
  <c r="H110" i="41"/>
  <c r="H261" i="50" s="1"/>
  <c r="H938" i="37"/>
  <c r="H342" i="50"/>
  <c r="H216" i="50"/>
  <c r="H137" i="41"/>
  <c r="H276" i="50"/>
  <c r="H618" i="50"/>
  <c r="H294" i="41"/>
  <c r="H389" i="50" s="1"/>
  <c r="H1658" i="37"/>
  <c r="H1890" i="37"/>
  <c r="H248" i="41"/>
  <c r="H349" i="50" s="1"/>
  <c r="H1093" i="50"/>
  <c r="H215" i="41"/>
  <c r="H337" i="50" s="1"/>
  <c r="H407" i="41"/>
  <c r="H264" i="41"/>
  <c r="H363" i="50" s="1"/>
  <c r="H1142" i="50"/>
  <c r="H562" i="37"/>
  <c r="H93" i="49"/>
  <c r="H138" i="50"/>
  <c r="H1530" i="37"/>
  <c r="H344" i="37"/>
  <c r="H1618" i="37"/>
  <c r="H752" i="50"/>
  <c r="H1614" i="37"/>
  <c r="H684" i="50"/>
  <c r="H922" i="37"/>
  <c r="H866" i="50"/>
  <c r="H106" i="42"/>
  <c r="H196" i="41"/>
  <c r="H322" i="50"/>
  <c r="H1052" i="50"/>
  <c r="H1211" i="50"/>
  <c r="H168" i="41"/>
  <c r="H301" i="50"/>
  <c r="H102" i="41"/>
  <c r="H255" i="50" s="1"/>
  <c r="L1203" i="50"/>
  <c r="J1233" i="50"/>
  <c r="S207" i="34"/>
  <c r="S209" i="34"/>
  <c r="L311" i="49"/>
  <c r="Q228" i="34"/>
  <c r="Q221" i="34"/>
  <c r="S234" i="34"/>
  <c r="I311" i="49"/>
  <c r="Q256" i="34"/>
  <c r="M393" i="47"/>
  <c r="W210" i="47" s="1"/>
  <c r="W209" i="47"/>
  <c r="Q222" i="34"/>
  <c r="S216" i="34"/>
  <c r="S205" i="34"/>
  <c r="S233" i="34"/>
  <c r="S224" i="34"/>
  <c r="S243" i="34"/>
  <c r="Q241" i="34"/>
  <c r="Q204" i="34"/>
  <c r="Q207" i="34"/>
  <c r="E406" i="50"/>
  <c r="M340" i="50"/>
  <c r="M57" i="50"/>
  <c r="M844" i="50"/>
  <c r="M664" i="50"/>
  <c r="M1354" i="50"/>
  <c r="M1324" i="50"/>
  <c r="M1118" i="50"/>
  <c r="M836" i="50"/>
  <c r="M1236" i="50"/>
  <c r="M1086" i="50"/>
  <c r="M484" i="50"/>
  <c r="M904" i="50"/>
  <c r="M1361" i="50"/>
  <c r="M1258" i="50"/>
  <c r="M776" i="50"/>
  <c r="M896" i="50"/>
  <c r="M1317" i="50"/>
  <c r="M724" i="50"/>
  <c r="M604" i="50"/>
  <c r="M1078" i="50"/>
  <c r="M1266" i="50"/>
  <c r="M716" i="50"/>
  <c r="M1166" i="50"/>
  <c r="M784" i="50"/>
  <c r="M1367" i="50"/>
  <c r="M1228" i="50"/>
  <c r="M1198" i="50"/>
  <c r="M1126" i="50"/>
  <c r="M544" i="50"/>
  <c r="M1278" i="50"/>
  <c r="T459" i="42"/>
  <c r="K89" i="41"/>
  <c r="K244" i="50" s="1"/>
  <c r="K322" i="41"/>
  <c r="K414" i="50"/>
  <c r="J176" i="49"/>
  <c r="J177" i="50" s="1"/>
  <c r="X4" i="56"/>
  <c r="L266" i="41"/>
  <c r="L365" i="50" s="1"/>
  <c r="J233" i="49"/>
  <c r="T233" i="49"/>
  <c r="J268" i="49"/>
  <c r="J200" i="50" s="1"/>
  <c r="J181" i="49"/>
  <c r="J97" i="49"/>
  <c r="J166" i="49"/>
  <c r="J171" i="50" s="1"/>
  <c r="J292" i="49"/>
  <c r="J51" i="49"/>
  <c r="J64" i="50" s="1"/>
  <c r="Z4" i="58"/>
  <c r="AN4" i="58"/>
  <c r="T4" i="56"/>
  <c r="Z4" i="56"/>
  <c r="AX4" i="56"/>
  <c r="H1110" i="37"/>
  <c r="H1232" i="37"/>
  <c r="H1619" i="37"/>
  <c r="H230" i="50"/>
  <c r="H675" i="50"/>
  <c r="H899" i="37"/>
  <c r="H398" i="37"/>
  <c r="H857" i="37"/>
  <c r="H1358" i="37"/>
  <c r="H1171" i="50"/>
  <c r="H461" i="42"/>
  <c r="H165" i="41"/>
  <c r="H298" i="50"/>
  <c r="H343" i="50"/>
  <c r="H199" i="41"/>
  <c r="H325" i="50"/>
  <c r="H129" i="41"/>
  <c r="H270" i="50" s="1"/>
  <c r="H93" i="41"/>
  <c r="H248" i="50" s="1"/>
  <c r="H99" i="42"/>
  <c r="H1604" i="37"/>
  <c r="H930" i="37"/>
  <c r="H1064" i="37"/>
  <c r="H554" i="37"/>
  <c r="H1094" i="37"/>
  <c r="H333" i="41"/>
  <c r="H425" i="50" s="1"/>
  <c r="H499" i="50"/>
  <c r="H266" i="41"/>
  <c r="H365" i="50"/>
  <c r="H1138" i="50"/>
  <c r="B41" i="34"/>
  <c r="H914" i="37"/>
  <c r="H310" i="41"/>
  <c r="H404" i="50" s="1"/>
  <c r="H413" i="41"/>
  <c r="H219" i="42"/>
  <c r="H1044" i="50"/>
  <c r="H388" i="42"/>
  <c r="H251" i="41"/>
  <c r="H352" i="50" s="1"/>
  <c r="H400" i="41"/>
  <c r="H1434" i="37"/>
  <c r="H296" i="41"/>
  <c r="H391" i="50" s="1"/>
  <c r="H325" i="41"/>
  <c r="H417" i="50"/>
  <c r="H148" i="41"/>
  <c r="H287" i="50" s="1"/>
  <c r="H160" i="37"/>
  <c r="H289" i="41"/>
  <c r="H385" i="50"/>
  <c r="H1173" i="50"/>
  <c r="H332" i="41"/>
  <c r="H424" i="50"/>
  <c r="H818" i="37"/>
  <c r="H924" i="50"/>
  <c r="H742" i="37"/>
  <c r="H787" i="50"/>
  <c r="H354" i="37"/>
  <c r="H539" i="37"/>
  <c r="H907" i="50"/>
  <c r="H524" i="37"/>
  <c r="H495" i="50"/>
  <c r="H59" i="49"/>
  <c r="H72" i="50"/>
  <c r="H92" i="41"/>
  <c r="H247" i="50"/>
  <c r="H136" i="42"/>
  <c r="H317" i="41"/>
  <c r="H411" i="50"/>
  <c r="H218" i="37"/>
  <c r="H872" i="37"/>
  <c r="H667" i="50"/>
  <c r="H1710" i="37"/>
  <c r="H919" i="50"/>
  <c r="H226" i="50"/>
  <c r="H1442" i="37"/>
  <c r="H692" i="37"/>
  <c r="H686" i="50"/>
  <c r="H744" i="50"/>
  <c r="H570" i="50"/>
  <c r="H1027" i="50"/>
  <c r="H326" i="41"/>
  <c r="H418" i="50" s="1"/>
  <c r="H306" i="42"/>
  <c r="H128" i="41"/>
  <c r="H269" i="50" s="1"/>
  <c r="H1439" i="37"/>
  <c r="H150" i="49"/>
  <c r="H163" i="50" s="1"/>
  <c r="H252" i="41"/>
  <c r="H353" i="50" s="1"/>
  <c r="H90" i="41"/>
  <c r="H245" i="50"/>
  <c r="H24" i="49"/>
  <c r="H1131" i="50"/>
  <c r="H140" i="41"/>
  <c r="H279" i="50" s="1"/>
  <c r="H1298" i="37"/>
  <c r="H624" i="50"/>
  <c r="H458" i="37"/>
  <c r="H1079" i="37"/>
  <c r="H222" i="50"/>
  <c r="H558" i="50"/>
  <c r="H324" i="41"/>
  <c r="H416" i="50" s="1"/>
  <c r="H1102" i="37"/>
  <c r="H218" i="50"/>
  <c r="H300" i="41"/>
  <c r="H395" i="50"/>
  <c r="H301" i="41"/>
  <c r="H396" i="50" s="1"/>
  <c r="H314" i="42"/>
  <c r="H318" i="42"/>
  <c r="H145" i="41"/>
  <c r="H284" i="50" s="1"/>
  <c r="H1100" i="50"/>
  <c r="H146" i="49"/>
  <c r="H162" i="50" s="1"/>
  <c r="H450" i="37"/>
  <c r="H298" i="41"/>
  <c r="H393" i="50" s="1"/>
  <c r="H504" i="50"/>
  <c r="H497" i="37"/>
  <c r="H578" i="37"/>
  <c r="H928" i="50"/>
  <c r="H1799" i="37"/>
  <c r="H182" i="49"/>
  <c r="H181" i="50"/>
  <c r="H1074" i="37"/>
  <c r="H861" i="50"/>
  <c r="H1082" i="37"/>
  <c r="H96" i="42"/>
  <c r="H99" i="49"/>
  <c r="H139" i="50" s="1"/>
  <c r="H323" i="41"/>
  <c r="H415" i="50"/>
  <c r="H297" i="41"/>
  <c r="H392" i="50"/>
  <c r="H506" i="50"/>
  <c r="H142" i="41"/>
  <c r="H281" i="50"/>
  <c r="H1052" i="37"/>
  <c r="H213" i="50"/>
  <c r="H44" i="49"/>
  <c r="H84" i="41"/>
  <c r="H241" i="50"/>
  <c r="H385" i="42"/>
  <c r="H283" i="41"/>
  <c r="H379" i="50"/>
  <c r="H188" i="41"/>
  <c r="H316" i="50" s="1"/>
  <c r="H164" i="41"/>
  <c r="H297" i="50" s="1"/>
  <c r="H1048" i="50"/>
  <c r="H894" i="37"/>
  <c r="H225" i="50"/>
  <c r="H930" i="50"/>
  <c r="H223" i="50"/>
  <c r="H120" i="42"/>
  <c r="H256" i="41"/>
  <c r="H357" i="50" s="1"/>
  <c r="H265" i="41"/>
  <c r="H364" i="50" s="1"/>
  <c r="H399" i="41"/>
  <c r="H303" i="41"/>
  <c r="H398" i="50" s="1"/>
  <c r="H209" i="41"/>
  <c r="H333" i="50"/>
  <c r="H1184" i="50"/>
  <c r="H738" i="50"/>
  <c r="H421" i="41"/>
  <c r="H1794" i="37"/>
  <c r="H704" i="37"/>
  <c r="H902" i="37"/>
  <c r="H990" i="50"/>
  <c r="H804" i="50"/>
  <c r="H542" i="37"/>
  <c r="H1282" i="37"/>
  <c r="H382" i="37"/>
  <c r="H135" i="41"/>
  <c r="H274" i="50" s="1"/>
  <c r="H228" i="50"/>
  <c r="H100" i="41"/>
  <c r="H253" i="50"/>
  <c r="H746" i="50"/>
  <c r="H91" i="41"/>
  <c r="H246" i="50" s="1"/>
  <c r="H1098" i="50"/>
  <c r="H1104" i="50"/>
  <c r="H1180" i="50"/>
  <c r="H1182" i="50"/>
  <c r="H275" i="41"/>
  <c r="H372" i="50" s="1"/>
  <c r="H392" i="41"/>
  <c r="H981" i="50"/>
  <c r="H722" i="37"/>
  <c r="H270" i="37"/>
  <c r="H735" i="50"/>
  <c r="H921" i="50"/>
  <c r="H1216" i="50"/>
  <c r="H329" i="41"/>
  <c r="H421" i="50"/>
  <c r="H165" i="37"/>
  <c r="H801" i="50"/>
  <c r="H998" i="37"/>
  <c r="H338" i="41"/>
  <c r="H429" i="50" s="1"/>
  <c r="H107" i="41"/>
  <c r="H258" i="50" s="1"/>
  <c r="H295" i="41"/>
  <c r="H390" i="50" s="1"/>
  <c r="H1454" i="37"/>
  <c r="H255" i="41"/>
  <c r="H356" i="50" s="1"/>
  <c r="H138" i="41"/>
  <c r="H277" i="50"/>
  <c r="H180" i="41"/>
  <c r="H309" i="50"/>
  <c r="H692" i="50"/>
  <c r="H1798" i="37"/>
  <c r="H232" i="50"/>
  <c r="H284" i="41"/>
  <c r="H380" i="50" s="1"/>
  <c r="H719" i="37"/>
  <c r="H258" i="41"/>
  <c r="H359" i="50"/>
  <c r="H1217" i="50"/>
  <c r="H1050" i="50"/>
  <c r="H508" i="50"/>
  <c r="P388" i="42"/>
  <c r="P379" i="42"/>
  <c r="P389" i="42"/>
  <c r="E333" i="42"/>
  <c r="I372" i="42"/>
  <c r="H147" i="47"/>
  <c r="H878" i="37"/>
  <c r="H1598" i="37"/>
  <c r="H113" i="47"/>
  <c r="H1226" i="37"/>
  <c r="J601" i="50"/>
  <c r="P1101" i="50"/>
  <c r="R1071" i="50"/>
  <c r="P1096" i="50"/>
  <c r="P1103" i="50"/>
  <c r="P1083" i="50"/>
  <c r="P1087" i="50"/>
  <c r="P1106" i="50"/>
  <c r="P1104" i="50"/>
  <c r="P1107" i="50"/>
  <c r="P1080" i="50"/>
  <c r="P1099" i="50"/>
  <c r="P1098" i="50"/>
  <c r="P1093" i="50"/>
  <c r="R241" i="43"/>
  <c r="Q241" i="43"/>
  <c r="K241" i="43"/>
  <c r="A211" i="34"/>
  <c r="A210" i="34"/>
  <c r="J661" i="50"/>
  <c r="J1283" i="50"/>
  <c r="N1163" i="50"/>
  <c r="A205" i="34"/>
  <c r="A206" i="34"/>
  <c r="A204" i="34"/>
  <c r="A218" i="34"/>
  <c r="A217" i="34"/>
  <c r="A216" i="34"/>
  <c r="M363" i="50"/>
  <c r="J6" i="58"/>
  <c r="AV4" i="58"/>
  <c r="AR4" i="58"/>
  <c r="L1319" i="37"/>
  <c r="L1863" i="37"/>
  <c r="L1451" i="37"/>
  <c r="L1045" i="37"/>
  <c r="V1049" i="37" s="1"/>
  <c r="L1433" i="37"/>
  <c r="V1433" i="37" s="1"/>
  <c r="L1765" i="37"/>
  <c r="V1769" i="37" s="1"/>
  <c r="L1405" i="37"/>
  <c r="V1409" i="37" s="1"/>
  <c r="L1310" i="37"/>
  <c r="V1310" i="37" s="1"/>
  <c r="L551" i="37"/>
  <c r="L1057" i="37"/>
  <c r="V1061" i="37"/>
  <c r="L1279" i="37"/>
  <c r="L1730" i="37"/>
  <c r="L492" i="37"/>
  <c r="V492" i="37"/>
  <c r="L1437" i="37"/>
  <c r="L1608" i="37"/>
  <c r="V1608" i="37" s="1"/>
  <c r="L935" i="37"/>
  <c r="V937" i="37" s="1"/>
  <c r="L747" i="37"/>
  <c r="V749" i="37" s="1"/>
  <c r="L242" i="37"/>
  <c r="L348" i="37"/>
  <c r="V348" i="37"/>
  <c r="L798" i="37"/>
  <c r="V799" i="37" s="1"/>
  <c r="L1143" i="37"/>
  <c r="L897" i="37"/>
  <c r="L517" i="37"/>
  <c r="V521" i="37"/>
  <c r="L927" i="37"/>
  <c r="V929" i="37"/>
  <c r="L770" i="37"/>
  <c r="V770" i="37" s="1"/>
  <c r="L618" i="37"/>
  <c r="V619" i="37" s="1"/>
  <c r="L1139" i="37"/>
  <c r="L1788" i="37"/>
  <c r="V1788" i="37" s="1"/>
  <c r="L312" i="37"/>
  <c r="V312" i="37" s="1"/>
  <c r="L1801" i="37"/>
  <c r="V1801" i="37" s="1"/>
  <c r="L1396" i="37"/>
  <c r="L1572" i="37"/>
  <c r="V1572" i="37" s="1"/>
  <c r="L224" i="37"/>
  <c r="V224" i="37"/>
  <c r="L739" i="37"/>
  <c r="L1859" i="37"/>
  <c r="L583" i="37"/>
  <c r="V586" i="37"/>
  <c r="L685" i="37"/>
  <c r="V689" i="37" s="1"/>
  <c r="L1216" i="37"/>
  <c r="L371" i="37"/>
  <c r="L1073" i="37"/>
  <c r="V1073" i="37" s="1"/>
  <c r="L1459" i="37"/>
  <c r="L541" i="37"/>
  <c r="V541" i="37" s="1"/>
  <c r="L395" i="37"/>
  <c r="V397" i="37" s="1"/>
  <c r="L470" i="37"/>
  <c r="L1613" i="37"/>
  <c r="V1613" i="37" s="1"/>
  <c r="L1158" i="37"/>
  <c r="V1159" i="37"/>
  <c r="L1257" i="37"/>
  <c r="L1115" i="37"/>
  <c r="V1117" i="37" s="1"/>
  <c r="L1287" i="37"/>
  <c r="V1289" i="37"/>
  <c r="L101" i="37"/>
  <c r="V101" i="37" s="1"/>
  <c r="L1370" i="37"/>
  <c r="L528" i="37"/>
  <c r="V528" i="37"/>
  <c r="L713" i="37"/>
  <c r="V713" i="37"/>
  <c r="L387" i="37"/>
  <c r="V389" i="37"/>
  <c r="L1081" i="37"/>
  <c r="V1081" i="37" s="1"/>
  <c r="L505" i="37"/>
  <c r="V509" i="37"/>
  <c r="L357" i="37"/>
  <c r="L1888" i="37"/>
  <c r="L901" i="37"/>
  <c r="V901" i="37"/>
  <c r="L1261" i="37"/>
  <c r="V1261" i="37" s="1"/>
  <c r="L888" i="37"/>
  <c r="V888" i="37"/>
  <c r="L1698" i="37"/>
  <c r="V1699" i="37"/>
  <c r="L496" i="37"/>
  <c r="L1077" i="37"/>
  <c r="L353" i="37"/>
  <c r="V353" i="37" s="1"/>
  <c r="L1777" i="37"/>
  <c r="V1781" i="37"/>
  <c r="L1490" i="37"/>
  <c r="V1490" i="37"/>
  <c r="L1225" i="37"/>
  <c r="V1229" i="37"/>
  <c r="L1647" i="37"/>
  <c r="V1649" i="37" s="1"/>
  <c r="L1793" i="37"/>
  <c r="V1793" i="37"/>
  <c r="L1797" i="37"/>
  <c r="L1827" i="37"/>
  <c r="V1829" i="37"/>
  <c r="L109" i="37"/>
  <c r="L379" i="37"/>
  <c r="L533" i="37"/>
  <c r="V533" i="37" s="1"/>
  <c r="L1107" i="37"/>
  <c r="V1109" i="37" s="1"/>
  <c r="L150" i="37"/>
  <c r="V150" i="37" s="1"/>
  <c r="L575" i="37"/>
  <c r="V577" i="37" s="1"/>
  <c r="L865" i="37"/>
  <c r="V869" i="37" s="1"/>
  <c r="L537" i="37"/>
  <c r="L1467" i="37"/>
  <c r="V1469" i="37" s="1"/>
  <c r="L1639" i="37"/>
  <c r="L1417" i="37"/>
  <c r="V1421" i="37" s="1"/>
  <c r="L1323" i="37"/>
  <c r="L1811" i="37"/>
  <c r="L676" i="37"/>
  <c r="L943" i="37"/>
  <c r="V946" i="37" s="1"/>
  <c r="L1835" i="37"/>
  <c r="V1837" i="37" s="1"/>
  <c r="L1099" i="37"/>
  <c r="L136" i="37"/>
  <c r="V140" i="37" s="1"/>
  <c r="L1483" i="37"/>
  <c r="V1486" i="37" s="1"/>
  <c r="L1843" i="37"/>
  <c r="V1846" i="37"/>
  <c r="L1621" i="37"/>
  <c r="V1621" i="37" s="1"/>
  <c r="L178" i="37"/>
  <c r="L1295" i="37"/>
  <c r="V1297" i="37"/>
  <c r="L978" i="37"/>
  <c r="V979" i="37" s="1"/>
  <c r="L1576" i="37"/>
  <c r="L1518" i="37"/>
  <c r="V1519" i="37" s="1"/>
  <c r="L403" i="37"/>
  <c r="V406" i="37" s="1"/>
  <c r="L567" i="37"/>
  <c r="V569" i="37" s="1"/>
  <c r="L419" i="37"/>
  <c r="L1597" i="37"/>
  <c r="V1601" i="37"/>
  <c r="L1253" i="37"/>
  <c r="V1253" i="37"/>
  <c r="L1271" i="37"/>
  <c r="L1503" i="37"/>
  <c r="L1068" i="37"/>
  <c r="V1068" i="37" s="1"/>
  <c r="L911" i="37"/>
  <c r="L423" i="37"/>
  <c r="L717" i="37"/>
  <c r="L1752" i="37"/>
  <c r="V1752" i="37" s="1"/>
  <c r="L559" i="37"/>
  <c r="L708" i="37"/>
  <c r="V708" i="37" s="1"/>
  <c r="L893" i="37"/>
  <c r="V893" i="37"/>
  <c r="L325" i="37"/>
  <c r="V329" i="37" s="1"/>
  <c r="L25" i="37"/>
  <c r="L1670" i="37"/>
  <c r="V1670" i="37" s="1"/>
  <c r="L1819" i="37"/>
  <c r="L361" i="37"/>
  <c r="V361" i="37" s="1"/>
  <c r="L672" i="37"/>
  <c r="V672" i="37"/>
  <c r="L1441" i="37"/>
  <c r="V1441" i="37" s="1"/>
  <c r="L1683" i="37"/>
  <c r="L856" i="37"/>
  <c r="L187" i="37"/>
  <c r="L783" i="37"/>
  <c r="L755" i="37"/>
  <c r="V757" i="37"/>
  <c r="L1850" i="37"/>
  <c r="V1850" i="37" s="1"/>
  <c r="L1123" i="37"/>
  <c r="V1126" i="37"/>
  <c r="L590" i="37"/>
  <c r="V590" i="37" s="1"/>
  <c r="L1663" i="37"/>
  <c r="V1666" i="37" s="1"/>
  <c r="L950" i="37"/>
  <c r="V950" i="37"/>
  <c r="L206" i="37"/>
  <c r="V208" i="37"/>
  <c r="L290" i="37"/>
  <c r="L1091" i="37"/>
  <c r="L238" i="37"/>
  <c r="L1499" i="37"/>
  <c r="L731" i="37"/>
  <c r="L779" i="37"/>
  <c r="L337" i="37"/>
  <c r="V341" i="37"/>
  <c r="L66" i="37"/>
  <c r="L1893" i="37"/>
  <c r="L1756" i="37"/>
  <c r="L830" i="37"/>
  <c r="L1303" i="37"/>
  <c r="V1306" i="37"/>
  <c r="L1212" i="37"/>
  <c r="V1212" i="37"/>
  <c r="L1237" i="37"/>
  <c r="V1241" i="37" s="1"/>
  <c r="L1190" i="37"/>
  <c r="L1655" i="37"/>
  <c r="V1657" i="37" s="1"/>
  <c r="L1032" i="37"/>
  <c r="V1032" i="37" s="1"/>
  <c r="L124" i="37"/>
  <c r="V128" i="37"/>
  <c r="L163" i="37"/>
  <c r="L316" i="37"/>
  <c r="L599" i="37"/>
  <c r="L1036" i="37"/>
  <c r="L1585" i="37"/>
  <c r="V1589" i="37" s="1"/>
  <c r="L1338" i="37"/>
  <c r="V1339" i="37"/>
  <c r="L258" i="37"/>
  <c r="V259" i="37" s="1"/>
  <c r="L877" i="37"/>
  <c r="V881" i="37" s="1"/>
  <c r="I263" i="41"/>
  <c r="I362" i="50" s="1"/>
  <c r="I126" i="41"/>
  <c r="I267" i="50" s="1"/>
  <c r="I247" i="41"/>
  <c r="I348" i="50" s="1"/>
  <c r="I322" i="41"/>
  <c r="I414" i="50" s="1"/>
  <c r="I308" i="41"/>
  <c r="I402" i="50" s="1"/>
  <c r="I89" i="41"/>
  <c r="I244" i="50" s="1"/>
  <c r="I98" i="41"/>
  <c r="I251" i="50" s="1"/>
  <c r="I83" i="41"/>
  <c r="I240" i="50" s="1"/>
  <c r="L339" i="47"/>
  <c r="L207" i="47"/>
  <c r="V207" i="47" s="1"/>
  <c r="V214" i="47" s="1"/>
  <c r="AL4" i="56"/>
  <c r="AH4" i="56"/>
  <c r="P4" i="56"/>
  <c r="D263" i="43"/>
  <c r="E262" i="43"/>
  <c r="L1130" i="37"/>
  <c r="V1130" i="37" s="1"/>
  <c r="L197" i="37"/>
  <c r="V199" i="37" s="1"/>
  <c r="L963" i="37"/>
  <c r="L1428" i="37"/>
  <c r="V1428" i="37"/>
  <c r="L1679" i="37"/>
  <c r="L1550" i="37"/>
  <c r="I233" i="49"/>
  <c r="S233" i="49"/>
  <c r="I122" i="49"/>
  <c r="I166" i="49"/>
  <c r="I171" i="50"/>
  <c r="I292" i="49"/>
  <c r="I136" i="49"/>
  <c r="I112" i="50"/>
  <c r="I273" i="49"/>
  <c r="I92" i="49"/>
  <c r="I141" i="50"/>
  <c r="I282" i="49"/>
  <c r="S282" i="49"/>
  <c r="I153" i="49"/>
  <c r="I181" i="49"/>
  <c r="I65" i="49"/>
  <c r="I92" i="50"/>
  <c r="I176" i="49"/>
  <c r="I177" i="50"/>
  <c r="I268" i="49"/>
  <c r="I200" i="50"/>
  <c r="H1109" i="37"/>
  <c r="H1837" i="37"/>
  <c r="H741" i="37"/>
  <c r="H1117" i="37"/>
  <c r="H733" i="37"/>
  <c r="H1665" i="37"/>
  <c r="H585" i="37"/>
  <c r="H1273" i="37"/>
  <c r="H189" i="37"/>
  <c r="H757" i="37"/>
  <c r="H921" i="37"/>
  <c r="H577" i="37"/>
  <c r="H1633" i="37"/>
  <c r="H945" i="37"/>
  <c r="H1485" i="37"/>
  <c r="H1657" i="37"/>
  <c r="H561" i="37"/>
  <c r="H1469" i="37"/>
  <c r="H749" i="37"/>
  <c r="P406" i="42"/>
  <c r="K339" i="47"/>
  <c r="K94" i="47"/>
  <c r="K274" i="47"/>
  <c r="K254" i="47"/>
  <c r="K349" i="47"/>
  <c r="K128" i="47"/>
  <c r="K287" i="47"/>
  <c r="K207" i="47"/>
  <c r="U207" i="47" s="1"/>
  <c r="U214" i="47"/>
  <c r="K155" i="47"/>
  <c r="K180" i="47"/>
  <c r="K196" i="47"/>
  <c r="K188" i="47"/>
  <c r="U374" i="47"/>
  <c r="K146" i="47"/>
  <c r="K307" i="47"/>
  <c r="K121" i="47"/>
  <c r="K112" i="47"/>
  <c r="L380" i="41"/>
  <c r="L226" i="41" s="1"/>
  <c r="I1399" i="50"/>
  <c r="Q229" i="34"/>
  <c r="Q218" i="34"/>
  <c r="S249" i="34"/>
  <c r="Q247" i="34"/>
  <c r="Q202" i="34"/>
  <c r="S260" i="34"/>
  <c r="Q216" i="34"/>
  <c r="M1884" i="37"/>
  <c r="L1397" i="50"/>
  <c r="S238" i="34"/>
  <c r="S202" i="34"/>
  <c r="K311" i="49"/>
  <c r="S244" i="34"/>
  <c r="O259" i="34"/>
  <c r="R259" i="34" s="1"/>
  <c r="J393" i="47"/>
  <c r="J561" i="42"/>
  <c r="K559" i="42"/>
  <c r="S204" i="34"/>
  <c r="S232" i="34"/>
  <c r="S206" i="34"/>
  <c r="Q238" i="34"/>
  <c r="Q237" i="34"/>
  <c r="S235" i="34"/>
  <c r="K393" i="47"/>
  <c r="S212" i="34"/>
  <c r="S211" i="34"/>
  <c r="S203" i="34"/>
  <c r="Q258" i="34"/>
  <c r="S213" i="34"/>
  <c r="Q234" i="34"/>
  <c r="S230" i="34"/>
  <c r="L1884" i="37"/>
  <c r="S227" i="34"/>
  <c r="S219" i="34"/>
  <c r="Q225" i="34"/>
  <c r="M1882" i="37"/>
  <c r="M1081" i="37"/>
  <c r="W1081" i="37" s="1"/>
  <c r="I559" i="42"/>
  <c r="S256" i="34"/>
  <c r="B52" i="34" s="1"/>
  <c r="S242" i="34"/>
  <c r="O258" i="34"/>
  <c r="R258" i="34" s="1"/>
  <c r="K1884" i="37"/>
  <c r="BB3" i="55"/>
  <c r="B4" i="55"/>
  <c r="AP4" i="55" s="1"/>
  <c r="S236" i="34"/>
  <c r="I1397" i="50"/>
  <c r="I896" i="50" s="1"/>
  <c r="S217" i="34"/>
  <c r="S250" i="34"/>
  <c r="J1399" i="50"/>
  <c r="I1882" i="37"/>
  <c r="S223" i="34"/>
  <c r="Q205" i="34"/>
  <c r="Q259" i="34"/>
  <c r="S248" i="34"/>
  <c r="S259" i="34"/>
  <c r="B54" i="34" s="1"/>
  <c r="S241" i="34"/>
  <c r="O202" i="34"/>
  <c r="R202" i="34"/>
  <c r="Q219" i="34"/>
  <c r="Q212" i="34"/>
  <c r="K1882" i="37"/>
  <c r="O256" i="34"/>
  <c r="R256" i="34" s="1"/>
  <c r="R262" i="34"/>
  <c r="S215" i="34"/>
  <c r="M391" i="47"/>
  <c r="M121" i="47" s="1"/>
  <c r="Q223" i="34"/>
  <c r="L393" i="47"/>
  <c r="Q245" i="34"/>
  <c r="K309" i="49"/>
  <c r="S208" i="34"/>
  <c r="S225" i="34"/>
  <c r="S245" i="34"/>
  <c r="Q208" i="34"/>
  <c r="J1397" i="50"/>
  <c r="J1126" i="50" s="1"/>
  <c r="S231" i="34"/>
  <c r="K330" i="43"/>
  <c r="Q210" i="34"/>
  <c r="S214" i="34"/>
  <c r="L1399" i="50"/>
  <c r="S246" i="34"/>
  <c r="Q242" i="34"/>
  <c r="K561" i="42"/>
  <c r="Q251" i="34"/>
  <c r="S247" i="34"/>
  <c r="Q248" i="34"/>
  <c r="Q252" i="34"/>
  <c r="S228" i="34"/>
  <c r="Q231" i="34"/>
  <c r="M382" i="41"/>
  <c r="I391" i="47"/>
  <c r="Q233" i="34"/>
  <c r="Q230" i="34"/>
  <c r="L382" i="41"/>
  <c r="Q227" i="34"/>
  <c r="Q243" i="34"/>
  <c r="Q217" i="34"/>
  <c r="S261" i="34"/>
  <c r="M311" i="49"/>
  <c r="Q235" i="34"/>
  <c r="S218" i="34"/>
  <c r="S226" i="34"/>
  <c r="S229" i="34"/>
  <c r="S220" i="34"/>
  <c r="BB3" i="57"/>
  <c r="B4" i="57" s="1"/>
  <c r="I393" i="47"/>
  <c r="Q220" i="34"/>
  <c r="S258" i="34"/>
  <c r="Q206" i="34"/>
  <c r="M1399" i="50"/>
  <c r="Q239" i="34"/>
  <c r="S240" i="34"/>
  <c r="Q236" i="34"/>
  <c r="Q203" i="34"/>
  <c r="Q226" i="34"/>
  <c r="Q201" i="34"/>
  <c r="I382" i="41"/>
  <c r="L561" i="42"/>
  <c r="Q232" i="34"/>
  <c r="J391" i="47"/>
  <c r="J112" i="47" s="1"/>
  <c r="D203" i="34"/>
  <c r="C204" i="34"/>
  <c r="I177" i="49"/>
  <c r="I178" i="50" s="1"/>
  <c r="P100" i="42"/>
  <c r="H177" i="50"/>
  <c r="I173" i="50"/>
  <c r="P120" i="42"/>
  <c r="J410" i="41"/>
  <c r="R311" i="42"/>
  <c r="R314" i="42"/>
  <c r="Q1111" i="50"/>
  <c r="D1111" i="50"/>
  <c r="C1151" i="50"/>
  <c r="M1111" i="50"/>
  <c r="J1140" i="50" s="1"/>
  <c r="AA249" i="37"/>
  <c r="AA243" i="37"/>
  <c r="AA244" i="37"/>
  <c r="K264" i="41"/>
  <c r="I264" i="41"/>
  <c r="R121" i="42"/>
  <c r="E123" i="50"/>
  <c r="E231" i="50" s="1"/>
  <c r="P231" i="50" s="1"/>
  <c r="M265" i="41"/>
  <c r="M364" i="50" s="1"/>
  <c r="P318" i="42"/>
  <c r="L302" i="50"/>
  <c r="L417" i="41"/>
  <c r="M114" i="49"/>
  <c r="M144" i="50"/>
  <c r="H1047" i="50"/>
  <c r="H929" i="50"/>
  <c r="H201" i="37"/>
  <c r="H319" i="42"/>
  <c r="H813" i="50"/>
  <c r="H1105" i="50"/>
  <c r="H685" i="50"/>
  <c r="H1307" i="37"/>
  <c r="H753" i="50"/>
  <c r="H1103" i="37"/>
  <c r="H1092" i="50"/>
  <c r="H36" i="41"/>
  <c r="H47" i="41"/>
  <c r="H37" i="41"/>
  <c r="H45" i="41"/>
  <c r="H38" i="41"/>
  <c r="H46" i="41"/>
  <c r="H35" i="41"/>
  <c r="H39" i="41"/>
  <c r="H49" i="41"/>
  <c r="H227" i="41"/>
  <c r="H44" i="41"/>
  <c r="H48" i="41"/>
  <c r="H34" i="41"/>
  <c r="P333" i="42"/>
  <c r="H333" i="42"/>
  <c r="M254" i="47"/>
  <c r="M313" i="47"/>
  <c r="M180" i="47"/>
  <c r="I1151" i="50"/>
  <c r="P1174" i="50" s="1"/>
  <c r="J31" i="47"/>
  <c r="I127" i="42"/>
  <c r="S127" i="42" s="1"/>
  <c r="I95" i="42"/>
  <c r="I135" i="42"/>
  <c r="S135" i="42" s="1"/>
  <c r="I405" i="42"/>
  <c r="S405" i="42"/>
  <c r="I210" i="42"/>
  <c r="S210" i="42" s="1"/>
  <c r="I296" i="42"/>
  <c r="I85" i="42"/>
  <c r="S85" i="42" s="1"/>
  <c r="I537" i="42"/>
  <c r="I454" i="42"/>
  <c r="S455" i="42" s="1"/>
  <c r="I123" i="42"/>
  <c r="S123" i="42" s="1"/>
  <c r="I384" i="42"/>
  <c r="S385" i="42" s="1"/>
  <c r="I218" i="42"/>
  <c r="S218" i="42" s="1"/>
  <c r="I150" i="42"/>
  <c r="S150" i="42" s="1"/>
  <c r="I378" i="42"/>
  <c r="S378" i="42" s="1"/>
  <c r="I222" i="42"/>
  <c r="S222" i="42" s="1"/>
  <c r="I313" i="42"/>
  <c r="S313" i="42" s="1"/>
  <c r="I516" i="42"/>
  <c r="S516" i="42"/>
  <c r="I241" i="42"/>
  <c r="S241" i="42" s="1"/>
  <c r="I171" i="42"/>
  <c r="I495" i="42"/>
  <c r="I226" i="42"/>
  <c r="S226" i="42" s="1"/>
  <c r="I119" i="42"/>
  <c r="S119" i="42" s="1"/>
  <c r="I23" i="42"/>
  <c r="S23" i="42" s="1"/>
  <c r="I196" i="42"/>
  <c r="I214" i="42"/>
  <c r="S214" i="42"/>
  <c r="I131" i="42"/>
  <c r="S131" i="42" s="1"/>
  <c r="I429" i="42"/>
  <c r="I332" i="42"/>
  <c r="S332" i="42" s="1"/>
  <c r="I309" i="42"/>
  <c r="S309" i="42" s="1"/>
  <c r="I262" i="42"/>
  <c r="I301" i="42"/>
  <c r="S301" i="42" s="1"/>
  <c r="I191" i="42"/>
  <c r="S191" i="42" s="1"/>
  <c r="I105" i="42"/>
  <c r="I317" i="42"/>
  <c r="S317" i="42" s="1"/>
  <c r="I53" i="42"/>
  <c r="I305" i="42"/>
  <c r="S305" i="42" s="1"/>
  <c r="I449" i="42"/>
  <c r="S449" i="42" s="1"/>
  <c r="I287" i="42"/>
  <c r="I205" i="42"/>
  <c r="K127" i="42"/>
  <c r="U127" i="42" s="1"/>
  <c r="K205" i="42"/>
  <c r="K313" i="42"/>
  <c r="U313" i="42" s="1"/>
  <c r="K85" i="42"/>
  <c r="U85" i="42" s="1"/>
  <c r="L263" i="41"/>
  <c r="L362" i="50" s="1"/>
  <c r="L282" i="41"/>
  <c r="L378" i="50" s="1"/>
  <c r="L398" i="41"/>
  <c r="L83" i="41"/>
  <c r="L240" i="50" s="1"/>
  <c r="L98" i="41"/>
  <c r="L251" i="50" s="1"/>
  <c r="R262" i="43"/>
  <c r="K262" i="43"/>
  <c r="K145" i="49"/>
  <c r="K161" i="50" s="1"/>
  <c r="K278" i="49"/>
  <c r="K16" i="49"/>
  <c r="T16" i="49" s="1"/>
  <c r="K136" i="49"/>
  <c r="K153" i="49"/>
  <c r="K51" i="49"/>
  <c r="K64" i="50" s="1"/>
  <c r="K65" i="49"/>
  <c r="K215" i="49"/>
  <c r="K149" i="49"/>
  <c r="K97" i="49"/>
  <c r="K113" i="49"/>
  <c r="K146" i="50" s="1"/>
  <c r="K112" i="50"/>
  <c r="K176" i="49"/>
  <c r="K152" i="50" s="1"/>
  <c r="K122" i="49"/>
  <c r="K158" i="49"/>
  <c r="K166" i="50" s="1"/>
  <c r="K92" i="49"/>
  <c r="K141" i="50" s="1"/>
  <c r="K166" i="49"/>
  <c r="K171" i="50" s="1"/>
  <c r="K249" i="49"/>
  <c r="K221" i="49"/>
  <c r="K233" i="49"/>
  <c r="U233" i="49" s="1"/>
  <c r="K268" i="49"/>
  <c r="K200" i="50" s="1"/>
  <c r="K36" i="49"/>
  <c r="K130" i="49"/>
  <c r="K273" i="49"/>
  <c r="K297" i="49"/>
  <c r="K181" i="49"/>
  <c r="K171" i="49"/>
  <c r="K103" i="49"/>
  <c r="K242" i="49"/>
  <c r="K92" i="50"/>
  <c r="K228" i="49"/>
  <c r="K87" i="49"/>
  <c r="K136" i="50" s="1"/>
  <c r="K282" i="49"/>
  <c r="U282" i="49" s="1"/>
  <c r="K292" i="49"/>
  <c r="T4" i="55"/>
  <c r="AL4" i="55"/>
  <c r="Z4" i="55"/>
  <c r="R4" i="55"/>
  <c r="X4" i="55"/>
  <c r="AR4" i="55"/>
  <c r="AH4" i="55"/>
  <c r="AJ4" i="55"/>
  <c r="AN4" i="55"/>
  <c r="AB4" i="55"/>
  <c r="J6" i="55"/>
  <c r="I363" i="50"/>
  <c r="I146" i="47"/>
  <c r="S374" i="47"/>
  <c r="I31" i="47"/>
  <c r="I280" i="47"/>
  <c r="I313" i="47"/>
  <c r="I339" i="47"/>
  <c r="I371" i="47"/>
  <c r="I349" i="47"/>
  <c r="I207" i="47"/>
  <c r="S207" i="47"/>
  <c r="S214" i="47" s="1"/>
  <c r="I112" i="47"/>
  <c r="I254" i="47"/>
  <c r="I196" i="47"/>
  <c r="I155" i="47"/>
  <c r="I239" i="47"/>
  <c r="I162" i="47"/>
  <c r="I128" i="47"/>
  <c r="I274" i="47"/>
  <c r="I287" i="47"/>
  <c r="I121" i="47"/>
  <c r="I307" i="47"/>
  <c r="I180" i="47"/>
  <c r="I320" i="47"/>
  <c r="I188" i="47"/>
  <c r="I94" i="47"/>
  <c r="V210" i="47"/>
  <c r="V209" i="47"/>
  <c r="V208" i="47"/>
  <c r="I505" i="37"/>
  <c r="S509" i="37" s="1"/>
  <c r="I1091" i="37"/>
  <c r="I1032" i="37"/>
  <c r="S1032" i="37" s="1"/>
  <c r="I763" i="37"/>
  <c r="S766" i="37" s="1"/>
  <c r="I1045" i="37"/>
  <c r="S1049" i="37" s="1"/>
  <c r="I697" i="37"/>
  <c r="S701" i="37" s="1"/>
  <c r="I395" i="37"/>
  <c r="S397" i="37" s="1"/>
  <c r="I379" i="37"/>
  <c r="I1608" i="37"/>
  <c r="S1608" i="37" s="1"/>
  <c r="I492" i="37"/>
  <c r="S492" i="37" s="1"/>
  <c r="I676" i="37"/>
  <c r="I541" i="37"/>
  <c r="S541" i="37" s="1"/>
  <c r="I1261" i="37"/>
  <c r="S1261" i="37" s="1"/>
  <c r="I1225" i="37"/>
  <c r="S1229" i="37" s="1"/>
  <c r="I1323" i="37"/>
  <c r="I852" i="37"/>
  <c r="S852" i="37" s="1"/>
  <c r="I337" i="37"/>
  <c r="S341" i="37" s="1"/>
  <c r="I1893" i="37"/>
  <c r="I1752" i="37"/>
  <c r="S1752" i="37" s="1"/>
  <c r="I403" i="37"/>
  <c r="S406" i="37"/>
  <c r="I1139" i="37"/>
  <c r="I1797" i="37"/>
  <c r="I1597" i="37"/>
  <c r="S1601" i="37" s="1"/>
  <c r="I1698" i="37"/>
  <c r="S1699" i="37" s="1"/>
  <c r="I1190" i="37"/>
  <c r="I1295" i="37"/>
  <c r="S1297" i="37"/>
  <c r="I1417" i="37"/>
  <c r="S1421" i="37" s="1"/>
  <c r="I1777" i="37"/>
  <c r="S1781" i="37" s="1"/>
  <c r="I1107" i="37"/>
  <c r="S1109" i="37" s="1"/>
  <c r="I897" i="37"/>
  <c r="I1073" i="37"/>
  <c r="S1073" i="37" s="1"/>
  <c r="I1475" i="37"/>
  <c r="S1477" i="37" s="1"/>
  <c r="I1237" i="37"/>
  <c r="S1241" i="37" s="1"/>
  <c r="I1338" i="37"/>
  <c r="S1339" i="37" s="1"/>
  <c r="I1850" i="37"/>
  <c r="S1850" i="37" s="1"/>
  <c r="I1670" i="37"/>
  <c r="S1670" i="37" s="1"/>
  <c r="I1730" i="37"/>
  <c r="I901" i="37"/>
  <c r="S901" i="37" s="1"/>
  <c r="I1617" i="37"/>
  <c r="I708" i="37"/>
  <c r="S708" i="37" s="1"/>
  <c r="I959" i="37"/>
  <c r="I1010" i="37"/>
  <c r="I865" i="37"/>
  <c r="S869" i="37" s="1"/>
  <c r="I1253" i="37"/>
  <c r="S1253" i="37"/>
  <c r="I943" i="37"/>
  <c r="S946" i="37" s="1"/>
  <c r="I1859" i="37"/>
  <c r="I935" i="37"/>
  <c r="S937" i="37" s="1"/>
  <c r="I1827" i="37"/>
  <c r="S1829" i="37" s="1"/>
  <c r="I583" i="37"/>
  <c r="S586" i="37" s="1"/>
  <c r="I159" i="37"/>
  <c r="S159" i="37"/>
  <c r="I423" i="37"/>
  <c r="I1843" i="37"/>
  <c r="S1846" i="37" s="1"/>
  <c r="I353" i="37"/>
  <c r="S353" i="37"/>
  <c r="I888" i="37"/>
  <c r="S888" i="37" s="1"/>
  <c r="I1801" i="37"/>
  <c r="S1801" i="37" s="1"/>
  <c r="I312" i="37"/>
  <c r="S312" i="37"/>
  <c r="I856" i="37"/>
  <c r="I1081" i="37"/>
  <c r="S1081" i="37" s="1"/>
  <c r="I590" i="37"/>
  <c r="S590" i="37" s="1"/>
  <c r="I1621" i="37"/>
  <c r="S1621" i="37" s="1"/>
  <c r="I1503" i="37"/>
  <c r="I747" i="37"/>
  <c r="S749" i="37"/>
  <c r="I575" i="37"/>
  <c r="S577" i="37" s="1"/>
  <c r="I798" i="37"/>
  <c r="S799" i="37" s="1"/>
  <c r="I1490" i="37"/>
  <c r="S1490" i="37"/>
  <c r="I1663" i="37"/>
  <c r="S1666" i="37" s="1"/>
  <c r="I25" i="37"/>
  <c r="S26" i="37" s="1"/>
  <c r="I150" i="37"/>
  <c r="S150" i="37" s="1"/>
  <c r="I1370" i="37"/>
  <c r="I877" i="37"/>
  <c r="S881" i="37" s="1"/>
  <c r="I290" i="37"/>
  <c r="I387" i="37"/>
  <c r="S389" i="37" s="1"/>
  <c r="I1057" i="37"/>
  <c r="S1061" i="37" s="1"/>
  <c r="I618" i="37"/>
  <c r="S619" i="37"/>
  <c r="I1793" i="37"/>
  <c r="S1793" i="37" s="1"/>
  <c r="I559" i="37"/>
  <c r="I101" i="37"/>
  <c r="S101" i="37" s="1"/>
  <c r="I1683" i="37"/>
  <c r="I1576" i="37"/>
  <c r="I533" i="37"/>
  <c r="S533" i="37" s="1"/>
  <c r="I1550" i="37"/>
  <c r="I685" i="37"/>
  <c r="S689" i="37" s="1"/>
  <c r="I603" i="37"/>
  <c r="I167" i="37"/>
  <c r="S167" i="37" s="1"/>
  <c r="I1811" i="37"/>
  <c r="I911" i="37"/>
  <c r="I357" i="37"/>
  <c r="I1216" i="37"/>
  <c r="I1115" i="37"/>
  <c r="S1117" i="37" s="1"/>
  <c r="I1077" i="37"/>
  <c r="I731" i="37"/>
  <c r="I963" i="37"/>
  <c r="I1248" i="37"/>
  <c r="S1248" i="37"/>
  <c r="I224" i="37"/>
  <c r="S224" i="37" s="1"/>
  <c r="I927" i="37"/>
  <c r="S929" i="37" s="1"/>
  <c r="I830" i="37"/>
  <c r="I1863" i="37"/>
  <c r="I599" i="37"/>
  <c r="I1888" i="37"/>
  <c r="I1396" i="37"/>
  <c r="I919" i="37"/>
  <c r="I258" i="37"/>
  <c r="S259" i="37" s="1"/>
  <c r="I371" i="37"/>
  <c r="I1143" i="37"/>
  <c r="I470" i="37"/>
  <c r="I410" i="37"/>
  <c r="S410" i="37" s="1"/>
  <c r="I1451" i="37"/>
  <c r="I770" i="37"/>
  <c r="S770" i="37" s="1"/>
  <c r="I1585" i="37"/>
  <c r="S1589" i="37" s="1"/>
  <c r="I978" i="37"/>
  <c r="S979" i="37"/>
  <c r="I66" i="37"/>
  <c r="I637" i="37" s="1"/>
  <c r="S637" i="37" s="1"/>
  <c r="I348" i="37"/>
  <c r="S348" i="37" s="1"/>
  <c r="I1756" i="37"/>
  <c r="I1287" i="37"/>
  <c r="S1289" i="37" s="1"/>
  <c r="I779" i="37"/>
  <c r="I1257" i="37"/>
  <c r="I755" i="37"/>
  <c r="S757" i="37" s="1"/>
  <c r="I419" i="37"/>
  <c r="I1459" i="37"/>
  <c r="I1613" i="37"/>
  <c r="S1613" i="37"/>
  <c r="I1392" i="37"/>
  <c r="S1392" i="37" s="1"/>
  <c r="I713" i="37"/>
  <c r="S713" i="37" s="1"/>
  <c r="I136" i="37"/>
  <c r="S140" i="37" s="1"/>
  <c r="I537" i="37"/>
  <c r="I783" i="37"/>
  <c r="I717" i="37"/>
  <c r="I1428" i="37"/>
  <c r="S1428" i="37" s="1"/>
  <c r="I1036" i="37"/>
  <c r="I206" i="37"/>
  <c r="S208" i="37" s="1"/>
  <c r="I1639" i="37"/>
  <c r="I1647" i="37"/>
  <c r="S1649" i="37" s="1"/>
  <c r="I517" i="37"/>
  <c r="S521" i="37" s="1"/>
  <c r="I496" i="37"/>
  <c r="I1835" i="37"/>
  <c r="S1837" i="37" s="1"/>
  <c r="I124" i="37"/>
  <c r="S128" i="37"/>
  <c r="I1099" i="37"/>
  <c r="I238" i="37"/>
  <c r="I1271" i="37"/>
  <c r="I721" i="37"/>
  <c r="S721" i="37"/>
  <c r="I163" i="37"/>
  <c r="I361" i="37"/>
  <c r="S361" i="37"/>
  <c r="I1572" i="37"/>
  <c r="S1572" i="37" s="1"/>
  <c r="I1279" i="37"/>
  <c r="I109" i="37"/>
  <c r="I1068" i="37"/>
  <c r="S1068" i="37" s="1"/>
  <c r="I1655" i="37"/>
  <c r="S1657" i="37" s="1"/>
  <c r="I1679" i="37"/>
  <c r="I650" i="37"/>
  <c r="I551" i="37"/>
  <c r="I1765" i="37"/>
  <c r="S1769" i="37" s="1"/>
  <c r="I1158" i="37"/>
  <c r="S1159" i="37" s="1"/>
  <c r="I1499" i="37"/>
  <c r="I1483" i="37"/>
  <c r="S1486" i="37"/>
  <c r="I438" i="37"/>
  <c r="S439" i="37" s="1"/>
  <c r="I187" i="37"/>
  <c r="I1631" i="37"/>
  <c r="I215" i="37"/>
  <c r="S218" i="37"/>
  <c r="I1319" i="37"/>
  <c r="I1310" i="37"/>
  <c r="S1310" i="37"/>
  <c r="I1819" i="37"/>
  <c r="I1518" i="37"/>
  <c r="S1519" i="37" s="1"/>
  <c r="I739" i="37"/>
  <c r="I242" i="37"/>
  <c r="I1788" i="37"/>
  <c r="S1788" i="37" s="1"/>
  <c r="I178" i="37"/>
  <c r="I1433" i="37"/>
  <c r="S1433" i="37" s="1"/>
  <c r="I1437" i="37"/>
  <c r="I1303" i="37"/>
  <c r="S1306" i="37" s="1"/>
  <c r="I1212" i="37"/>
  <c r="S1212" i="37"/>
  <c r="I672" i="37"/>
  <c r="S672" i="37" s="1"/>
  <c r="I1441" i="37"/>
  <c r="S1441" i="37" s="1"/>
  <c r="I1123" i="37"/>
  <c r="S1126" i="37"/>
  <c r="I950" i="37"/>
  <c r="S950" i="37" s="1"/>
  <c r="I1467" i="37"/>
  <c r="S1469" i="37" s="1"/>
  <c r="I1130" i="37"/>
  <c r="S1130" i="37" s="1"/>
  <c r="I325" i="37"/>
  <c r="S329" i="37" s="1"/>
  <c r="I1405" i="37"/>
  <c r="S1409" i="37"/>
  <c r="I893" i="37"/>
  <c r="S893" i="37" s="1"/>
  <c r="I316" i="37"/>
  <c r="I567" i="37"/>
  <c r="S569" i="37" s="1"/>
  <c r="I197" i="37"/>
  <c r="S199" i="37" s="1"/>
  <c r="I528" i="37"/>
  <c r="S528" i="37" s="1"/>
  <c r="I1126" i="50"/>
  <c r="I656" i="50"/>
  <c r="I1016" i="50"/>
  <c r="I664" i="50"/>
  <c r="I1118" i="50"/>
  <c r="I716" i="50"/>
  <c r="I484" i="50"/>
  <c r="I1024" i="50"/>
  <c r="I1317" i="50"/>
  <c r="I1319" i="50" s="1"/>
  <c r="I1258" i="50"/>
  <c r="M1765" i="37"/>
  <c r="W1769" i="37" s="1"/>
  <c r="M1850" i="37"/>
  <c r="W1850" i="37"/>
  <c r="M950" i="37"/>
  <c r="W950" i="37" s="1"/>
  <c r="M1655" i="37"/>
  <c r="W1657" i="37" s="1"/>
  <c r="M755" i="37"/>
  <c r="W757" i="37"/>
  <c r="M1613" i="37"/>
  <c r="W1613" i="37" s="1"/>
  <c r="M1212" i="37"/>
  <c r="W1212" i="37" s="1"/>
  <c r="M1428" i="37"/>
  <c r="W1428" i="37" s="1"/>
  <c r="M1597" i="37"/>
  <c r="W1601" i="37" s="1"/>
  <c r="M1010" i="37"/>
  <c r="M1261" i="37"/>
  <c r="W1261" i="37" s="1"/>
  <c r="M109" i="37"/>
  <c r="M1225" i="37"/>
  <c r="W1229" i="37" s="1"/>
  <c r="M852" i="37"/>
  <c r="W852" i="37" s="1"/>
  <c r="M403" i="37"/>
  <c r="W406" i="37"/>
  <c r="M1888" i="37"/>
  <c r="M438" i="37"/>
  <c r="W439" i="37" s="1"/>
  <c r="M312" i="37"/>
  <c r="W312" i="37" s="1"/>
  <c r="M1279" i="37"/>
  <c r="M163" i="37"/>
  <c r="M419" i="37"/>
  <c r="M1608" i="37"/>
  <c r="W1608" i="37" s="1"/>
  <c r="M1287" i="37"/>
  <c r="W1289" i="37" s="1"/>
  <c r="M1073" i="37"/>
  <c r="W1073" i="37"/>
  <c r="M1295" i="37"/>
  <c r="W1297" i="37" s="1"/>
  <c r="M1139" i="37"/>
  <c r="M1370" i="37"/>
  <c r="M618" i="37"/>
  <c r="W619" i="37" s="1"/>
  <c r="M650" i="37"/>
  <c r="M361" i="37"/>
  <c r="W361" i="37" s="1"/>
  <c r="M395" i="37"/>
  <c r="W397" i="37" s="1"/>
  <c r="M1091" i="37"/>
  <c r="M798" i="37"/>
  <c r="W799" i="37" s="1"/>
  <c r="M959" i="37"/>
  <c r="M206" i="37"/>
  <c r="W208" i="37" s="1"/>
  <c r="M1811" i="37"/>
  <c r="M1323" i="37"/>
  <c r="M101" i="37"/>
  <c r="W101" i="37" s="1"/>
  <c r="M575" i="37"/>
  <c r="W577" i="37" s="1"/>
  <c r="M603" i="37"/>
  <c r="M1863" i="37"/>
  <c r="M731" i="37"/>
  <c r="M830" i="37"/>
  <c r="M877" i="37"/>
  <c r="W881" i="37" s="1"/>
  <c r="M1032" i="37"/>
  <c r="W1032" i="37" s="1"/>
  <c r="M258" i="37"/>
  <c r="W259" i="37" s="1"/>
  <c r="M1631" i="37"/>
  <c r="M1730" i="37"/>
  <c r="M1130" i="37"/>
  <c r="W1130" i="37" s="1"/>
  <c r="M371" i="37"/>
  <c r="U209" i="47"/>
  <c r="U210" i="47"/>
  <c r="U208" i="47"/>
  <c r="L1158" i="50"/>
  <c r="L904" i="50"/>
  <c r="L1266" i="50"/>
  <c r="L596" i="50"/>
  <c r="L716" i="50"/>
  <c r="L1348" i="50"/>
  <c r="L1349" i="50"/>
  <c r="L724" i="50"/>
  <c r="L536" i="50"/>
  <c r="L776" i="50"/>
  <c r="L604" i="50"/>
  <c r="L57" i="50"/>
  <c r="L476" i="50"/>
  <c r="L1354" i="50"/>
  <c r="L1206" i="50"/>
  <c r="L1086" i="50"/>
  <c r="L836" i="50"/>
  <c r="L664" i="50"/>
  <c r="L1317" i="50"/>
  <c r="L1126" i="50"/>
  <c r="L844" i="50"/>
  <c r="L964" i="50"/>
  <c r="L1228" i="50"/>
  <c r="L784" i="50"/>
  <c r="L484" i="50"/>
  <c r="L1236" i="50"/>
  <c r="L1024" i="50"/>
  <c r="L1016" i="50"/>
  <c r="L1367" i="50"/>
  <c r="L544" i="50"/>
  <c r="L1258" i="50"/>
  <c r="L1118" i="50"/>
  <c r="L956" i="50"/>
  <c r="L1078" i="50"/>
  <c r="L1198" i="50"/>
  <c r="L340" i="50"/>
  <c r="L1361" i="50"/>
  <c r="L656" i="50"/>
  <c r="L896" i="50"/>
  <c r="L1324" i="50"/>
  <c r="L1278" i="50"/>
  <c r="L1286" i="50"/>
  <c r="L1166" i="50"/>
  <c r="E263" i="43"/>
  <c r="D264" i="43"/>
  <c r="L628" i="37"/>
  <c r="V630" i="37"/>
  <c r="L448" i="37"/>
  <c r="V450" i="37" s="1"/>
  <c r="L1177" i="37"/>
  <c r="V1177" i="37" s="1"/>
  <c r="L39" i="37"/>
  <c r="V41" i="37" s="1"/>
  <c r="L637" i="37"/>
  <c r="V637" i="37"/>
  <c r="L1357" i="37"/>
  <c r="V1357" i="37" s="1"/>
  <c r="L1717" i="37"/>
  <c r="V1717" i="37" s="1"/>
  <c r="L1528" i="37"/>
  <c r="V1530" i="37" s="1"/>
  <c r="L1708" i="37"/>
  <c r="V1710" i="37" s="1"/>
  <c r="L997" i="37"/>
  <c r="V997" i="37" s="1"/>
  <c r="L457" i="37"/>
  <c r="V457" i="37" s="1"/>
  <c r="L1348" i="37"/>
  <c r="V1350" i="37"/>
  <c r="L277" i="37"/>
  <c r="V277" i="37" s="1"/>
  <c r="L51" i="37"/>
  <c r="V51" i="37" s="1"/>
  <c r="L808" i="37"/>
  <c r="V810" i="37" s="1"/>
  <c r="L1168" i="37"/>
  <c r="V1170" i="37"/>
  <c r="L988" i="37"/>
  <c r="V990" i="37"/>
  <c r="L1537" i="37"/>
  <c r="V1537" i="37" s="1"/>
  <c r="L268" i="37"/>
  <c r="V270" i="37" s="1"/>
  <c r="L817" i="37"/>
  <c r="V817" i="37" s="1"/>
  <c r="V26" i="37"/>
  <c r="M266" i="41"/>
  <c r="M365" i="50" s="1"/>
  <c r="K363" i="50"/>
  <c r="K266" i="41"/>
  <c r="K365" i="50" s="1"/>
  <c r="I178" i="49"/>
  <c r="I179" i="50"/>
  <c r="S209" i="47"/>
  <c r="S208" i="47"/>
  <c r="S210" i="47"/>
  <c r="J1286" i="50"/>
  <c r="J476" i="50"/>
  <c r="J1228" i="50"/>
  <c r="J1354" i="50"/>
  <c r="J724" i="50"/>
  <c r="J956" i="50"/>
  <c r="J964" i="50"/>
  <c r="J1118" i="50"/>
  <c r="J57" i="50"/>
  <c r="J1158" i="50"/>
  <c r="J1236" i="50"/>
  <c r="J1016" i="50"/>
  <c r="J904" i="50"/>
  <c r="J1361" i="50"/>
  <c r="J1206" i="50"/>
  <c r="J604" i="50"/>
  <c r="J1317" i="50"/>
  <c r="J1318" i="50" s="1"/>
  <c r="J844" i="50"/>
  <c r="J340" i="50"/>
  <c r="J1024" i="50"/>
  <c r="J656" i="50"/>
  <c r="J716" i="50"/>
  <c r="J1324" i="50"/>
  <c r="J1078" i="50"/>
  <c r="J596" i="50"/>
  <c r="J1086" i="50"/>
  <c r="J484" i="50"/>
  <c r="J1258" i="50"/>
  <c r="J776" i="50"/>
  <c r="J1166" i="50"/>
  <c r="J1348" i="50"/>
  <c r="J1349" i="50"/>
  <c r="J784" i="50"/>
  <c r="J836" i="50"/>
  <c r="J896" i="50"/>
  <c r="J544" i="50"/>
  <c r="T210" i="47"/>
  <c r="T209" i="47"/>
  <c r="T208" i="47"/>
  <c r="P1187" i="50"/>
  <c r="R1151" i="50"/>
  <c r="P1167" i="50"/>
  <c r="E1154" i="50"/>
  <c r="P1173" i="50"/>
  <c r="I1528" i="37"/>
  <c r="S1530" i="37"/>
  <c r="I1168" i="37"/>
  <c r="S1170" i="37" s="1"/>
  <c r="I988" i="37"/>
  <c r="S990" i="37" s="1"/>
  <c r="I1357" i="37"/>
  <c r="S1357" i="37" s="1"/>
  <c r="I268" i="37"/>
  <c r="S270" i="37" s="1"/>
  <c r="I628" i="37"/>
  <c r="S630" i="37" s="1"/>
  <c r="I448" i="37"/>
  <c r="S450" i="37" s="1"/>
  <c r="R263" i="43"/>
  <c r="K263" i="43"/>
  <c r="L1319" i="50"/>
  <c r="L1318" i="50"/>
  <c r="M53" i="37"/>
  <c r="M1539" i="37"/>
  <c r="M1359" i="37"/>
  <c r="M459" i="37"/>
  <c r="M110" i="41"/>
  <c r="M261" i="50" s="1"/>
  <c r="M999" i="37"/>
  <c r="M819" i="37"/>
  <c r="M639" i="37"/>
  <c r="M1179" i="37"/>
  <c r="M279" i="37"/>
  <c r="M1719" i="37"/>
  <c r="M255" i="50"/>
  <c r="J459" i="37"/>
  <c r="J999" i="37"/>
  <c r="J1719" i="37"/>
  <c r="J1359" i="37"/>
  <c r="J639" i="37"/>
  <c r="J819" i="37"/>
  <c r="J279" i="37"/>
  <c r="J1539" i="37"/>
  <c r="J1179" i="37"/>
  <c r="J110" i="41"/>
  <c r="J261" i="50" s="1"/>
  <c r="J255" i="50"/>
  <c r="J53" i="37"/>
  <c r="I466" i="42"/>
  <c r="E315" i="49"/>
  <c r="R265" i="43"/>
  <c r="K265" i="43"/>
  <c r="H517" i="42"/>
  <c r="E108" i="50"/>
  <c r="I4" i="42"/>
  <c r="E264" i="43"/>
  <c r="I1318" i="50"/>
  <c r="I1537" i="37"/>
  <c r="S1537" i="37" s="1"/>
  <c r="I1348" i="37"/>
  <c r="S1350" i="37" s="1"/>
  <c r="I277" i="37"/>
  <c r="S277" i="37" s="1"/>
  <c r="I51" i="37"/>
  <c r="S51" i="37" s="1"/>
  <c r="M583" i="37"/>
  <c r="W586" i="37" s="1"/>
  <c r="M1576" i="37"/>
  <c r="M897" i="37"/>
  <c r="M865" i="37"/>
  <c r="W869" i="37"/>
  <c r="M1417" i="37"/>
  <c r="W1421" i="37" s="1"/>
  <c r="M1319" i="37"/>
  <c r="M856" i="37"/>
  <c r="M1068" i="37"/>
  <c r="W1068" i="37" s="1"/>
  <c r="M197" i="37"/>
  <c r="W199" i="37" s="1"/>
  <c r="M708" i="37"/>
  <c r="W708" i="37"/>
  <c r="M963" i="37"/>
  <c r="M1338" i="37"/>
  <c r="W1339" i="37" s="1"/>
  <c r="M888" i="37"/>
  <c r="W888" i="37"/>
  <c r="M599" i="37"/>
  <c r="M697" i="37"/>
  <c r="W701" i="37"/>
  <c r="M178" i="37"/>
  <c r="M423" i="37"/>
  <c r="I1166" i="50"/>
  <c r="I1228" i="50"/>
  <c r="I1286" i="50"/>
  <c r="L43" i="41"/>
  <c r="L212" i="50" s="1"/>
  <c r="J371" i="47"/>
  <c r="K599" i="37"/>
  <c r="K1863" i="37"/>
  <c r="K1428" i="37"/>
  <c r="U1428" i="37" s="1"/>
  <c r="J121" i="47"/>
  <c r="J349" i="47"/>
  <c r="K1893" i="37"/>
  <c r="K1216" i="37"/>
  <c r="K575" i="37"/>
  <c r="U577" i="37" s="1"/>
  <c r="L31" i="47"/>
  <c r="L320" i="47"/>
  <c r="L254" i="47"/>
  <c r="L180" i="47"/>
  <c r="L313" i="47"/>
  <c r="N320" i="47"/>
  <c r="L112" i="47"/>
  <c r="V374" i="47"/>
  <c r="L155" i="47"/>
  <c r="L94" i="47"/>
  <c r="L128" i="47"/>
  <c r="L162" i="47"/>
  <c r="L287" i="47"/>
  <c r="L121" i="47"/>
  <c r="L307" i="47"/>
  <c r="L280" i="47"/>
  <c r="L188" i="47"/>
  <c r="L239" i="47"/>
  <c r="L196" i="47"/>
  <c r="L274" i="47"/>
  <c r="L371" i="47"/>
  <c r="M1788" i="37"/>
  <c r="W1788" i="37" s="1"/>
  <c r="M567" i="37"/>
  <c r="W569" i="37" s="1"/>
  <c r="M505" i="37"/>
  <c r="W509" i="37" s="1"/>
  <c r="M1310" i="37"/>
  <c r="W1310" i="37"/>
  <c r="M1585" i="37"/>
  <c r="W1589" i="37" s="1"/>
  <c r="M763" i="37"/>
  <c r="W766" i="37" s="1"/>
  <c r="M1801" i="37"/>
  <c r="W1801" i="37" s="1"/>
  <c r="M1617" i="37"/>
  <c r="M717" i="37"/>
  <c r="M1483" i="37"/>
  <c r="W1486" i="37" s="1"/>
  <c r="M224" i="37"/>
  <c r="W224" i="37" s="1"/>
  <c r="M1123" i="37"/>
  <c r="W1126" i="37" s="1"/>
  <c r="M150" i="37"/>
  <c r="W150" i="37" s="1"/>
  <c r="M1698" i="37"/>
  <c r="W1699" i="37" s="1"/>
  <c r="I596" i="50"/>
  <c r="I604" i="50"/>
  <c r="I1158" i="50"/>
  <c r="I964" i="50"/>
  <c r="L106" i="41"/>
  <c r="L214" i="41"/>
  <c r="L336" i="50" s="1"/>
  <c r="J128" i="47"/>
  <c r="K537" i="37"/>
  <c r="K379" i="37"/>
  <c r="K1370" i="37"/>
  <c r="L1134" i="50"/>
  <c r="L146" i="47"/>
  <c r="P151" i="42"/>
  <c r="H151" i="42"/>
  <c r="M1257" i="37"/>
  <c r="M713" i="37"/>
  <c r="W713" i="37" s="1"/>
  <c r="M1405" i="37"/>
  <c r="W1409" i="37" s="1"/>
  <c r="M136" i="37"/>
  <c r="W140" i="37" s="1"/>
  <c r="M1158" i="37"/>
  <c r="W1159" i="37" s="1"/>
  <c r="M528" i="37"/>
  <c r="W528" i="37" s="1"/>
  <c r="M517" i="37"/>
  <c r="W521" i="37"/>
  <c r="M1467" i="37"/>
  <c r="W1469" i="37" s="1"/>
  <c r="M747" i="37"/>
  <c r="W749" i="37" s="1"/>
  <c r="M1843" i="37"/>
  <c r="W1846" i="37" s="1"/>
  <c r="M1679" i="37"/>
  <c r="M353" i="37"/>
  <c r="W353" i="37"/>
  <c r="M537" i="37"/>
  <c r="M1437" i="37"/>
  <c r="M893" i="37"/>
  <c r="W893" i="37" s="1"/>
  <c r="M1793" i="37"/>
  <c r="W1793" i="37" s="1"/>
  <c r="M187" i="37"/>
  <c r="M325" i="37"/>
  <c r="W329" i="37"/>
  <c r="M935" i="37"/>
  <c r="W937" i="37" s="1"/>
  <c r="I956" i="50"/>
  <c r="I904" i="50"/>
  <c r="I1278" i="50"/>
  <c r="I57" i="50"/>
  <c r="L175" i="41"/>
  <c r="L306" i="50" s="1"/>
  <c r="L33" i="41"/>
  <c r="J155" i="47"/>
  <c r="K1257" i="37"/>
  <c r="K830" i="37"/>
  <c r="K1819" i="37"/>
  <c r="K927" i="37"/>
  <c r="U929" i="37" s="1"/>
  <c r="E345" i="43"/>
  <c r="M149" i="49"/>
  <c r="M215" i="49"/>
  <c r="M136" i="49"/>
  <c r="M122" i="49"/>
  <c r="M36" i="49"/>
  <c r="M242" i="49"/>
  <c r="M158" i="49"/>
  <c r="M166" i="50" s="1"/>
  <c r="M130" i="49"/>
  <c r="M112" i="50"/>
  <c r="M297" i="49"/>
  <c r="M65" i="49"/>
  <c r="M153" i="49"/>
  <c r="M176" i="49"/>
  <c r="M273" i="49"/>
  <c r="M292" i="49"/>
  <c r="M113" i="49"/>
  <c r="M146" i="50" s="1"/>
  <c r="M97" i="49"/>
  <c r="M16" i="49"/>
  <c r="V16" i="49" s="1"/>
  <c r="M145" i="49"/>
  <c r="M161" i="50" s="1"/>
  <c r="M87" i="49"/>
  <c r="M136" i="50" s="1"/>
  <c r="M228" i="49"/>
  <c r="M181" i="49"/>
  <c r="M278" i="49"/>
  <c r="M92" i="50"/>
  <c r="M166" i="49"/>
  <c r="M171" i="50" s="1"/>
  <c r="M103" i="49"/>
  <c r="M282" i="49"/>
  <c r="W282" i="49" s="1"/>
  <c r="M92" i="49"/>
  <c r="M141" i="50" s="1"/>
  <c r="M249" i="49"/>
  <c r="M171" i="49"/>
  <c r="M911" i="37"/>
  <c r="M492" i="37"/>
  <c r="W492" i="37"/>
  <c r="M1216" i="37"/>
  <c r="M1663" i="37"/>
  <c r="W1666" i="37" s="1"/>
  <c r="M1572" i="37"/>
  <c r="W1572" i="37" s="1"/>
  <c r="M770" i="37"/>
  <c r="W770" i="37"/>
  <c r="M783" i="37"/>
  <c r="M919" i="37"/>
  <c r="M943" i="37"/>
  <c r="W946" i="37" s="1"/>
  <c r="M1777" i="37"/>
  <c r="W1781" i="37" s="1"/>
  <c r="M672" i="37"/>
  <c r="W672" i="37"/>
  <c r="M1237" i="37"/>
  <c r="W1241" i="37" s="1"/>
  <c r="M1819" i="37"/>
  <c r="I1086" i="50"/>
  <c r="I536" i="50"/>
  <c r="L322" i="41"/>
  <c r="L414" i="50" s="1"/>
  <c r="K1793" i="37"/>
  <c r="U1793" i="37"/>
  <c r="K1212" i="37"/>
  <c r="U1212" i="37" s="1"/>
  <c r="K1310" i="37"/>
  <c r="U1310" i="37" s="1"/>
  <c r="K783" i="37"/>
  <c r="J287" i="47"/>
  <c r="J207" i="47"/>
  <c r="T207" i="47" s="1"/>
  <c r="T214" i="47" s="1"/>
  <c r="J274" i="47"/>
  <c r="J188" i="47"/>
  <c r="J94" i="47"/>
  <c r="J254" i="47"/>
  <c r="J320" i="47"/>
  <c r="J313" i="47"/>
  <c r="J196" i="47"/>
  <c r="J239" i="47"/>
  <c r="T374" i="47"/>
  <c r="J162" i="47"/>
  <c r="J307" i="47"/>
  <c r="J146" i="47"/>
  <c r="J280" i="47"/>
  <c r="J339" i="47"/>
  <c r="K1483" i="37"/>
  <c r="U1486" i="37" s="1"/>
  <c r="K935" i="37"/>
  <c r="U937" i="37"/>
  <c r="K1253" i="37"/>
  <c r="U1253" i="37"/>
  <c r="K167" i="37"/>
  <c r="U167" i="37" s="1"/>
  <c r="K124" i="37"/>
  <c r="U128" i="37"/>
  <c r="K337" i="37"/>
  <c r="U341" i="37" s="1"/>
  <c r="K66" i="37"/>
  <c r="K1237" i="37"/>
  <c r="U1241" i="37" s="1"/>
  <c r="K1091" i="37"/>
  <c r="K136" i="37"/>
  <c r="U140" i="37"/>
  <c r="K395" i="37"/>
  <c r="U397" i="37" s="1"/>
  <c r="K950" i="37"/>
  <c r="U950" i="37" s="1"/>
  <c r="K1143" i="37"/>
  <c r="K109" i="37"/>
  <c r="K438" i="37"/>
  <c r="U439" i="37" s="1"/>
  <c r="K533" i="37"/>
  <c r="U533" i="37" s="1"/>
  <c r="K1077" i="37"/>
  <c r="K361" i="37"/>
  <c r="U361" i="37"/>
  <c r="K1338" i="37"/>
  <c r="U1339" i="37" s="1"/>
  <c r="K25" i="37"/>
  <c r="K1107" i="37"/>
  <c r="U1109" i="37" s="1"/>
  <c r="K312" i="37"/>
  <c r="U312" i="37" s="1"/>
  <c r="K1655" i="37"/>
  <c r="U1657" i="37" s="1"/>
  <c r="K1396" i="37"/>
  <c r="K911" i="37"/>
  <c r="K770" i="37"/>
  <c r="U770" i="37" s="1"/>
  <c r="K242" i="37"/>
  <c r="K496" i="37"/>
  <c r="K559" i="37"/>
  <c r="K1323" i="37"/>
  <c r="K1475" i="37"/>
  <c r="U1477" i="37"/>
  <c r="K348" i="37"/>
  <c r="U348" i="37" s="1"/>
  <c r="K1621" i="37"/>
  <c r="U1621" i="37" s="1"/>
  <c r="K159" i="37"/>
  <c r="U159" i="37" s="1"/>
  <c r="K1752" i="37"/>
  <c r="U1752" i="37" s="1"/>
  <c r="K1295" i="37"/>
  <c r="U1297" i="37" s="1"/>
  <c r="K1663" i="37"/>
  <c r="U1666" i="37" s="1"/>
  <c r="K1261" i="37"/>
  <c r="U1261" i="37" s="1"/>
  <c r="K215" i="37"/>
  <c r="U218" i="37"/>
  <c r="K1057" i="37"/>
  <c r="U1061" i="37" s="1"/>
  <c r="K316" i="37"/>
  <c r="K1608" i="37"/>
  <c r="U1608" i="37"/>
  <c r="K423" i="37"/>
  <c r="K1392" i="37"/>
  <c r="U1392" i="37" s="1"/>
  <c r="K676" i="37"/>
  <c r="K387" i="37"/>
  <c r="U389" i="37" s="1"/>
  <c r="K1405" i="37"/>
  <c r="U1409" i="37"/>
  <c r="K1503" i="37"/>
  <c r="K1518" i="37"/>
  <c r="U1519" i="37" s="1"/>
  <c r="K1585" i="37"/>
  <c r="U1589" i="37" s="1"/>
  <c r="K685" i="37"/>
  <c r="U689" i="37" s="1"/>
  <c r="K1115" i="37"/>
  <c r="U1117" i="37" s="1"/>
  <c r="K1190" i="37"/>
  <c r="K865" i="37"/>
  <c r="U869" i="37"/>
  <c r="K603" i="37"/>
  <c r="K739" i="37"/>
  <c r="K505" i="37"/>
  <c r="U509" i="37" s="1"/>
  <c r="K517" i="37"/>
  <c r="U521" i="37" s="1"/>
  <c r="K755" i="37"/>
  <c r="U757" i="37"/>
  <c r="K919" i="37"/>
  <c r="K708" i="37"/>
  <c r="U708" i="37" s="1"/>
  <c r="K325" i="37"/>
  <c r="U329" i="37" s="1"/>
  <c r="K901" i="37"/>
  <c r="U901" i="37"/>
  <c r="K1698" i="37"/>
  <c r="U1699" i="37" s="1"/>
  <c r="K1490" i="37"/>
  <c r="U1490" i="37" s="1"/>
  <c r="K1597" i="37"/>
  <c r="U1601" i="37" s="1"/>
  <c r="K419" i="37"/>
  <c r="K747" i="37"/>
  <c r="U749" i="37" s="1"/>
  <c r="K410" i="37"/>
  <c r="U410" i="37" s="1"/>
  <c r="K371" i="37"/>
  <c r="K877" i="37"/>
  <c r="U881" i="37" s="1"/>
  <c r="K1679" i="37"/>
  <c r="K224" i="37"/>
  <c r="U224" i="37" s="1"/>
  <c r="K717" i="37"/>
  <c r="K856" i="37"/>
  <c r="K541" i="37"/>
  <c r="U541" i="37" s="1"/>
  <c r="K528" i="37"/>
  <c r="U528" i="37" s="1"/>
  <c r="K893" i="37"/>
  <c r="U893" i="37" s="1"/>
  <c r="K1827" i="37"/>
  <c r="U1829" i="37" s="1"/>
  <c r="K1572" i="37"/>
  <c r="U1572" i="37"/>
  <c r="K590" i="37"/>
  <c r="U590" i="37" s="1"/>
  <c r="I1236" i="50"/>
  <c r="I836" i="50"/>
  <c r="I1361" i="50"/>
  <c r="I1367" i="50"/>
  <c r="I1348" i="50"/>
  <c r="I1349" i="50" s="1"/>
  <c r="I844" i="50"/>
  <c r="I1354" i="50"/>
  <c r="I1198" i="50"/>
  <c r="I544" i="50"/>
  <c r="I340" i="50"/>
  <c r="I776" i="50"/>
  <c r="I1078" i="50"/>
  <c r="I1324" i="50"/>
  <c r="I724" i="50"/>
  <c r="I1266" i="50"/>
  <c r="M379" i="37"/>
  <c r="M1099" i="37"/>
  <c r="M1036" i="37"/>
  <c r="M1752" i="37"/>
  <c r="W1752" i="37"/>
  <c r="M1621" i="37"/>
  <c r="W1621" i="37" s="1"/>
  <c r="M1490" i="37"/>
  <c r="W1490" i="37"/>
  <c r="M1045" i="37"/>
  <c r="W1049" i="37" s="1"/>
  <c r="M1503" i="37"/>
  <c r="M1475" i="37"/>
  <c r="W1477" i="37"/>
  <c r="M1859" i="37"/>
  <c r="M1451" i="37"/>
  <c r="M559" i="37"/>
  <c r="M541" i="37"/>
  <c r="W541" i="37" s="1"/>
  <c r="M721" i="37"/>
  <c r="W721" i="37" s="1"/>
  <c r="M1518" i="37"/>
  <c r="W1519" i="37" s="1"/>
  <c r="M676" i="37"/>
  <c r="M1303" i="37"/>
  <c r="W1306" i="37" s="1"/>
  <c r="M739" i="37"/>
  <c r="M1115" i="37"/>
  <c r="W1117" i="37" s="1"/>
  <c r="M1639" i="37"/>
  <c r="M25" i="37"/>
  <c r="M1683" i="37"/>
  <c r="M1459" i="37"/>
  <c r="M685" i="37"/>
  <c r="W689" i="37" s="1"/>
  <c r="M533" i="37"/>
  <c r="W533" i="37" s="1"/>
  <c r="M1835" i="37"/>
  <c r="W1837" i="37" s="1"/>
  <c r="M357" i="37"/>
  <c r="M1396" i="37"/>
  <c r="M1143" i="37"/>
  <c r="M238" i="37"/>
  <c r="M337" i="37"/>
  <c r="W341" i="37" s="1"/>
  <c r="M1433" i="37"/>
  <c r="W1433" i="37" s="1"/>
  <c r="M1499" i="37"/>
  <c r="M159" i="37"/>
  <c r="W159" i="37" s="1"/>
  <c r="M410" i="37"/>
  <c r="W410" i="37" s="1"/>
  <c r="M242" i="37"/>
  <c r="M496" i="37"/>
  <c r="M927" i="37"/>
  <c r="W929" i="37" s="1"/>
  <c r="M1756" i="37"/>
  <c r="M1271" i="37"/>
  <c r="M1670" i="37"/>
  <c r="W1670" i="37"/>
  <c r="M124" i="37"/>
  <c r="W128" i="37" s="1"/>
  <c r="M66" i="37"/>
  <c r="M1708" i="37" s="1"/>
  <c r="W1710" i="37" s="1"/>
  <c r="M470" i="37"/>
  <c r="M1550" i="37"/>
  <c r="M590" i="37"/>
  <c r="W590" i="37" s="1"/>
  <c r="M978" i="37"/>
  <c r="W979" i="37" s="1"/>
  <c r="M387" i="37"/>
  <c r="W389" i="37" s="1"/>
  <c r="M1248" i="37"/>
  <c r="W1248" i="37"/>
  <c r="M901" i="37"/>
  <c r="W901" i="37" s="1"/>
  <c r="M1827" i="37"/>
  <c r="W1829" i="37" s="1"/>
  <c r="L308" i="41"/>
  <c r="L402" i="50" s="1"/>
  <c r="L134" i="41"/>
  <c r="L273" i="50" s="1"/>
  <c r="L274" i="41"/>
  <c r="L371" i="50"/>
  <c r="L293" i="41"/>
  <c r="L388" i="50" s="1"/>
  <c r="L163" i="41"/>
  <c r="L296" i="50" s="1"/>
  <c r="L15" i="41"/>
  <c r="L193" i="41"/>
  <c r="L319" i="50" s="1"/>
  <c r="L89" i="41"/>
  <c r="L244" i="50" s="1"/>
  <c r="L350" i="41"/>
  <c r="L436" i="50" s="1"/>
  <c r="L247" i="41"/>
  <c r="L348" i="50" s="1"/>
  <c r="M1797" i="37"/>
  <c r="M1107" i="37"/>
  <c r="W1109" i="37" s="1"/>
  <c r="M1190" i="37"/>
  <c r="M1253" i="37"/>
  <c r="W1253" i="37" s="1"/>
  <c r="M1077" i="37"/>
  <c r="M167" i="37"/>
  <c r="W167" i="37" s="1"/>
  <c r="M290" i="37"/>
  <c r="M1893" i="37"/>
  <c r="M348" i="37"/>
  <c r="W348" i="37" s="1"/>
  <c r="M1057" i="37"/>
  <c r="W1061" i="37" s="1"/>
  <c r="M316" i="37"/>
  <c r="M779" i="37"/>
  <c r="M1392" i="37"/>
  <c r="W1392" i="37"/>
  <c r="M1647" i="37"/>
  <c r="W1649" i="37" s="1"/>
  <c r="M551" i="37"/>
  <c r="M215" i="37"/>
  <c r="W218" i="37"/>
  <c r="M1441" i="37"/>
  <c r="W1441" i="37" s="1"/>
  <c r="I476" i="50"/>
  <c r="I784" i="50"/>
  <c r="I1206" i="50"/>
  <c r="L126" i="41"/>
  <c r="L267" i="50" s="1"/>
  <c r="L204" i="41"/>
  <c r="L328" i="50" s="1"/>
  <c r="J180" i="47"/>
  <c r="P1182" i="50"/>
  <c r="P1178" i="50"/>
  <c r="P1176" i="50"/>
  <c r="P1180" i="50"/>
  <c r="K1617" i="37"/>
  <c r="K1073" i="37"/>
  <c r="U1073" i="37" s="1"/>
  <c r="K1683" i="37"/>
  <c r="K1279" i="37"/>
  <c r="K650" i="37"/>
  <c r="K1670" i="37"/>
  <c r="U1670" i="37" s="1"/>
  <c r="K697" i="37"/>
  <c r="U701" i="37"/>
  <c r="K1499" i="37"/>
  <c r="K1303" i="37"/>
  <c r="U1306" i="37" s="1"/>
  <c r="K1788" i="37"/>
  <c r="U1788" i="37" s="1"/>
  <c r="P289" i="42"/>
  <c r="P303" i="42"/>
  <c r="E242" i="42"/>
  <c r="P310" i="42"/>
  <c r="P292" i="42"/>
  <c r="R318" i="42"/>
  <c r="P306" i="42"/>
  <c r="P302" i="42"/>
  <c r="P315" i="42"/>
  <c r="R307" i="42"/>
  <c r="P307" i="42"/>
  <c r="R302" i="42"/>
  <c r="P297" i="42"/>
  <c r="P319" i="42"/>
  <c r="R319" i="42"/>
  <c r="P314" i="42"/>
  <c r="R315" i="42"/>
  <c r="E283" i="42"/>
  <c r="E297" i="42"/>
  <c r="R303" i="42"/>
  <c r="P283" i="42"/>
  <c r="P311" i="42"/>
  <c r="R283" i="42"/>
  <c r="P288" i="42"/>
  <c r="P291" i="42"/>
  <c r="R306" i="42"/>
  <c r="R310" i="42"/>
  <c r="A245" i="34"/>
  <c r="A248" i="34"/>
  <c r="A242" i="34"/>
  <c r="A244" i="34"/>
  <c r="A243" i="34"/>
  <c r="A246" i="34"/>
  <c r="A249" i="34"/>
  <c r="A247" i="34"/>
  <c r="I152" i="50"/>
  <c r="K222" i="42"/>
  <c r="U222" i="42" s="1"/>
  <c r="K537" i="42"/>
  <c r="K196" i="42"/>
  <c r="K226" i="42"/>
  <c r="U226" i="42" s="1"/>
  <c r="AX4" i="55"/>
  <c r="AT4" i="55"/>
  <c r="V4" i="55"/>
  <c r="AF4" i="55"/>
  <c r="N4" i="55"/>
  <c r="M162" i="47"/>
  <c r="M196" i="47"/>
  <c r="M128" i="47"/>
  <c r="M31" i="47"/>
  <c r="M155" i="47"/>
  <c r="M207" i="47"/>
  <c r="W207" i="47"/>
  <c r="W214" i="47" s="1"/>
  <c r="M320" i="47"/>
  <c r="M94" i="47"/>
  <c r="M339" i="47"/>
  <c r="K332" i="42"/>
  <c r="U332" i="42" s="1"/>
  <c r="K218" i="42"/>
  <c r="U218" i="42" s="1"/>
  <c r="K95" i="42"/>
  <c r="K123" i="42"/>
  <c r="U123" i="42" s="1"/>
  <c r="K171" i="42"/>
  <c r="K317" i="42"/>
  <c r="U317" i="42" s="1"/>
  <c r="K495" i="42"/>
  <c r="K119" i="42"/>
  <c r="U119" i="42" s="1"/>
  <c r="K150" i="42"/>
  <c r="U150" i="42" s="1"/>
  <c r="K262" i="42"/>
  <c r="M239" i="47"/>
  <c r="M371" i="47"/>
  <c r="K454" i="42"/>
  <c r="U455" i="42"/>
  <c r="K296" i="42"/>
  <c r="K301" i="42"/>
  <c r="U301" i="42" s="1"/>
  <c r="K214" i="42"/>
  <c r="U214" i="42" s="1"/>
  <c r="M287" i="47"/>
  <c r="M146" i="47"/>
  <c r="E228" i="41"/>
  <c r="E232" i="41"/>
  <c r="E342" i="50"/>
  <c r="AJ4" i="58"/>
  <c r="X4" i="58"/>
  <c r="AP4" i="58"/>
  <c r="P4" i="58"/>
  <c r="AT4" i="58"/>
  <c r="V4" i="58"/>
  <c r="T4" i="58"/>
  <c r="AD4" i="58"/>
  <c r="R4" i="58"/>
  <c r="AF4" i="58"/>
  <c r="AH4" i="58"/>
  <c r="AB4" i="58"/>
  <c r="J152" i="50"/>
  <c r="J215" i="49"/>
  <c r="J282" i="49"/>
  <c r="T282" i="49"/>
  <c r="J87" i="49"/>
  <c r="J136" i="50" s="1"/>
  <c r="J16" i="49"/>
  <c r="S16" i="49"/>
  <c r="K175" i="41"/>
  <c r="K306" i="50" s="1"/>
  <c r="K293" i="41"/>
  <c r="K388" i="50" s="1"/>
  <c r="J6" i="56"/>
  <c r="P1144" i="50"/>
  <c r="P1142" i="50"/>
  <c r="P1143" i="50"/>
  <c r="P1147" i="50"/>
  <c r="P1139" i="50"/>
  <c r="P1145" i="50"/>
  <c r="E1114" i="50"/>
  <c r="P1122" i="50"/>
  <c r="P1133" i="50"/>
  <c r="T17" i="49"/>
  <c r="K17" i="49" s="1"/>
  <c r="K52" i="49" s="1"/>
  <c r="T22" i="49"/>
  <c r="K22" i="49" s="1"/>
  <c r="K57" i="49" s="1"/>
  <c r="K70" i="50" s="1"/>
  <c r="T19" i="49"/>
  <c r="K19" i="49" s="1"/>
  <c r="K54" i="49" s="1"/>
  <c r="K67" i="50" s="1"/>
  <c r="T20" i="49"/>
  <c r="K20" i="49" s="1"/>
  <c r="K55" i="49" s="1"/>
  <c r="K68" i="50" s="1"/>
  <c r="T18" i="49"/>
  <c r="K18" i="49" s="1"/>
  <c r="K53" i="49" s="1"/>
  <c r="K66" i="50" s="1"/>
  <c r="U17" i="49"/>
  <c r="L17" i="49" s="1"/>
  <c r="L52" i="49" s="1"/>
  <c r="L65" i="50" s="1"/>
  <c r="U22" i="49"/>
  <c r="L22" i="49" s="1"/>
  <c r="L57" i="49" s="1"/>
  <c r="L70" i="50" s="1"/>
  <c r="U19" i="49"/>
  <c r="L19" i="49" s="1"/>
  <c r="L54" i="49" s="1"/>
  <c r="L67" i="50" s="1"/>
  <c r="U18" i="49"/>
  <c r="L18" i="49" s="1"/>
  <c r="L53" i="49" s="1"/>
  <c r="L66" i="50" s="1"/>
  <c r="W208" i="47"/>
  <c r="R208" i="47" s="1"/>
  <c r="AF4" i="56"/>
  <c r="AJ4" i="56"/>
  <c r="K204" i="41"/>
  <c r="K328" i="50" s="1"/>
  <c r="K33" i="41"/>
  <c r="K350" i="41"/>
  <c r="K436" i="50" s="1"/>
  <c r="K263" i="41"/>
  <c r="K362" i="50"/>
  <c r="K15" i="41"/>
  <c r="K308" i="41"/>
  <c r="K402" i="50" s="1"/>
  <c r="I187" i="42"/>
  <c r="E192" i="42"/>
  <c r="E206" i="42" s="1"/>
  <c r="P212" i="42"/>
  <c r="P198" i="42"/>
  <c r="R192" i="42"/>
  <c r="R212" i="42"/>
  <c r="P206" i="42"/>
  <c r="R211" i="42"/>
  <c r="R220" i="42"/>
  <c r="P220" i="42"/>
  <c r="P211" i="42"/>
  <c r="J177" i="49"/>
  <c r="J182" i="49"/>
  <c r="J173" i="50"/>
  <c r="I147" i="50"/>
  <c r="K274" i="41"/>
  <c r="K371" i="50" s="1"/>
  <c r="K247" i="41"/>
  <c r="K348" i="50"/>
  <c r="M398" i="41"/>
  <c r="M175" i="41"/>
  <c r="M306" i="50" s="1"/>
  <c r="M247" i="41"/>
  <c r="M348" i="50" s="1"/>
  <c r="M322" i="41"/>
  <c r="M414" i="50" s="1"/>
  <c r="M89" i="41"/>
  <c r="M244" i="50" s="1"/>
  <c r="M15" i="41"/>
  <c r="I193" i="41"/>
  <c r="I319" i="50"/>
  <c r="I106" i="41"/>
  <c r="I33" i="41"/>
  <c r="I175" i="41"/>
  <c r="I306" i="50"/>
  <c r="I398" i="41"/>
  <c r="AV4" i="56"/>
  <c r="J36" i="49"/>
  <c r="J158" i="49"/>
  <c r="J166" i="50" s="1"/>
  <c r="J273" i="49"/>
  <c r="J65" i="49"/>
  <c r="K398" i="41"/>
  <c r="K193" i="41"/>
  <c r="K319" i="50" s="1"/>
  <c r="I293" i="41"/>
  <c r="I388" i="50" s="1"/>
  <c r="K126" i="41"/>
  <c r="K267" i="50" s="1"/>
  <c r="P223" i="42"/>
  <c r="R228" i="42"/>
  <c r="P215" i="42"/>
  <c r="P1131" i="50"/>
  <c r="P1127" i="50"/>
  <c r="I182" i="49"/>
  <c r="J153" i="49"/>
  <c r="J136" i="49"/>
  <c r="J112" i="50"/>
  <c r="J103" i="49"/>
  <c r="J221" i="49"/>
  <c r="H1093" i="37"/>
  <c r="H1477" i="37"/>
  <c r="H1813" i="37"/>
  <c r="L1617" i="37"/>
  <c r="H569" i="37"/>
  <c r="H1453" i="37"/>
  <c r="H180" i="37"/>
  <c r="L1010" i="37"/>
  <c r="L1475" i="37"/>
  <c r="V1477" i="37" s="1"/>
  <c r="L1248" i="37"/>
  <c r="V1248" i="37" s="1"/>
  <c r="L919" i="37"/>
  <c r="L697" i="37"/>
  <c r="V701" i="37" s="1"/>
  <c r="L721" i="37"/>
  <c r="V721" i="37" s="1"/>
  <c r="K320" i="47"/>
  <c r="H128" i="42"/>
  <c r="H200" i="37"/>
  <c r="H253" i="41"/>
  <c r="H354" i="50" s="1"/>
  <c r="H1784" i="37"/>
  <c r="H1167" i="50"/>
  <c r="H741" i="50"/>
  <c r="H868" i="50"/>
  <c r="H304" i="41"/>
  <c r="H399" i="50"/>
  <c r="H277" i="41"/>
  <c r="H374" i="50" s="1"/>
  <c r="H190" i="37"/>
  <c r="H870" i="50"/>
  <c r="H183" i="49"/>
  <c r="H182" i="50"/>
  <c r="H586" i="37"/>
  <c r="H328" i="41"/>
  <c r="H420" i="50" s="1"/>
  <c r="H141" i="41"/>
  <c r="H280" i="50"/>
  <c r="H677" i="37"/>
  <c r="H847" i="50"/>
  <c r="H1350" i="37"/>
  <c r="H181" i="37"/>
  <c r="H312" i="41"/>
  <c r="H406" i="50" s="1"/>
  <c r="H278" i="41"/>
  <c r="H375" i="50"/>
  <c r="H555" i="50"/>
  <c r="H359" i="37"/>
  <c r="H302" i="42"/>
  <c r="H810" i="50"/>
  <c r="H143" i="37"/>
  <c r="H88" i="49"/>
  <c r="H137" i="50"/>
  <c r="H166" i="41"/>
  <c r="H299" i="50" s="1"/>
  <c r="H990" i="37"/>
  <c r="H101" i="41"/>
  <c r="H254" i="50" s="1"/>
  <c r="H498" i="50"/>
  <c r="H297" i="42"/>
  <c r="H99" i="41"/>
  <c r="H252" i="50" s="1"/>
  <c r="H810" i="37"/>
  <c r="H1650" i="37"/>
  <c r="H176" i="41"/>
  <c r="H307" i="50"/>
  <c r="H132" i="42"/>
  <c r="H391" i="42"/>
  <c r="H276" i="41"/>
  <c r="H373" i="50" s="1"/>
  <c r="H1274" i="37"/>
  <c r="H621" i="50"/>
  <c r="H406" i="41"/>
  <c r="H327" i="41"/>
  <c r="H419" i="50"/>
  <c r="H221" i="50"/>
  <c r="S398" i="42"/>
  <c r="S461" i="42" s="1"/>
  <c r="N405" i="42"/>
  <c r="I399" i="42"/>
  <c r="Z406" i="42"/>
  <c r="H926" i="50"/>
  <c r="H1170" i="37"/>
  <c r="H1258" i="37"/>
  <c r="H167" i="41"/>
  <c r="H300" i="50" s="1"/>
  <c r="H1814" i="37"/>
  <c r="H223" i="42"/>
  <c r="H501" i="50"/>
  <c r="H389" i="41"/>
  <c r="H455" i="42"/>
  <c r="H285" i="41"/>
  <c r="H381" i="50"/>
  <c r="H420" i="41"/>
  <c r="H487" i="50"/>
  <c r="H155" i="49"/>
  <c r="H164" i="50"/>
  <c r="H630" i="37"/>
  <c r="H915" i="50"/>
  <c r="H1146" i="50"/>
  <c r="H257" i="41"/>
  <c r="H358" i="50" s="1"/>
  <c r="H1037" i="37"/>
  <c r="H1538" i="37"/>
  <c r="H512" i="50"/>
  <c r="H1895" i="37"/>
  <c r="H806" i="50"/>
  <c r="H559" i="50"/>
  <c r="H1634" i="37"/>
  <c r="H211" i="42"/>
  <c r="H766" i="37"/>
  <c r="H299" i="41"/>
  <c r="H394" i="50"/>
  <c r="H855" i="50"/>
  <c r="H139" i="41"/>
  <c r="H278" i="50" s="1"/>
  <c r="H572" i="50"/>
  <c r="H302" i="41"/>
  <c r="H397" i="50" s="1"/>
  <c r="H331" i="41"/>
  <c r="H423" i="50"/>
  <c r="H986" i="50"/>
  <c r="H1078" i="37"/>
  <c r="R137" i="42"/>
  <c r="R120" i="42"/>
  <c r="R132" i="42"/>
  <c r="P128" i="42"/>
  <c r="P125" i="42"/>
  <c r="I310" i="41" s="1"/>
  <c r="I404" i="50" s="1"/>
  <c r="P121" i="42"/>
  <c r="R124" i="42"/>
  <c r="I69" i="42"/>
  <c r="P132" i="42"/>
  <c r="P106" i="42"/>
  <c r="H404" i="41"/>
  <c r="H330" i="41"/>
  <c r="H422" i="50"/>
  <c r="H607" i="50"/>
  <c r="H1106" i="50"/>
  <c r="H967" i="50"/>
  <c r="H884" i="37"/>
  <c r="H638" i="37"/>
  <c r="H1470" i="37"/>
  <c r="H1772" i="37"/>
  <c r="H41" i="37"/>
  <c r="H1592" i="37"/>
  <c r="H808" i="50"/>
  <c r="H988" i="50"/>
  <c r="H1209" i="50"/>
  <c r="H144" i="41"/>
  <c r="H283" i="50" s="1"/>
  <c r="H124" i="42"/>
  <c r="H1838" i="37"/>
  <c r="H406" i="37"/>
  <c r="H414" i="41"/>
  <c r="H795" i="50"/>
  <c r="H681" i="50"/>
  <c r="H812" i="50"/>
  <c r="H269" i="41"/>
  <c r="H368" i="50"/>
  <c r="H1074" i="50"/>
  <c r="S1074" i="50" s="1"/>
  <c r="P1092" i="50"/>
  <c r="P1094" i="50"/>
  <c r="P1091" i="50"/>
  <c r="P1105" i="50"/>
  <c r="P1100" i="50"/>
  <c r="P1153" i="37"/>
  <c r="C1333" i="37"/>
  <c r="P1333" i="37" s="1"/>
  <c r="L559" i="42"/>
  <c r="J559" i="42"/>
  <c r="J85" i="42" s="1"/>
  <c r="T85" i="42" s="1"/>
  <c r="BB3" i="59"/>
  <c r="B4" i="59" s="1"/>
  <c r="AT4" i="59" s="1"/>
  <c r="I326" i="42"/>
  <c r="V325" i="42"/>
  <c r="V333" i="42" s="1"/>
  <c r="N332" i="42"/>
  <c r="W325" i="42"/>
  <c r="W333" i="42" s="1"/>
  <c r="K1359" i="37"/>
  <c r="K110" i="41"/>
  <c r="K1719" i="37"/>
  <c r="U215" i="47"/>
  <c r="I144" i="42"/>
  <c r="I265" i="41"/>
  <c r="I364" i="50" s="1"/>
  <c r="J265" i="41"/>
  <c r="J266" i="41" s="1"/>
  <c r="J365" i="50" s="1"/>
  <c r="Q589" i="50"/>
  <c r="D589" i="50"/>
  <c r="C649" i="50"/>
  <c r="C709" i="50" s="1"/>
  <c r="C769" i="50" s="1"/>
  <c r="D769" i="50" s="1"/>
  <c r="E125" i="50"/>
  <c r="E233" i="50"/>
  <c r="S105" i="50"/>
  <c r="D7" i="34"/>
  <c r="P263" i="43"/>
  <c r="Q263" i="43" s="1"/>
  <c r="P264" i="43"/>
  <c r="Q264" i="43" s="1"/>
  <c r="P237" i="43"/>
  <c r="Q237" i="43" s="1"/>
  <c r="P236" i="43"/>
  <c r="P242" i="43"/>
  <c r="K242" i="43" s="1"/>
  <c r="D466" i="42"/>
  <c r="D187" i="42"/>
  <c r="D325" i="42"/>
  <c r="D509" i="42"/>
  <c r="D372" i="42"/>
  <c r="M4" i="47"/>
  <c r="C42" i="9"/>
  <c r="F252" i="34"/>
  <c r="F208" i="34"/>
  <c r="H1681" i="37"/>
  <c r="H884" i="50"/>
  <c r="H600" i="37"/>
  <c r="F212" i="34"/>
  <c r="H821" i="50"/>
  <c r="H594" i="37"/>
  <c r="H1854" i="37"/>
  <c r="F205" i="34"/>
  <c r="H582" i="50"/>
  <c r="H1321" i="37"/>
  <c r="H1140" i="37"/>
  <c r="F250" i="34"/>
  <c r="H704" i="50"/>
  <c r="H780" i="37"/>
  <c r="H1860" i="37"/>
  <c r="F234" i="34"/>
  <c r="F213" i="34"/>
  <c r="H1861" i="37"/>
  <c r="H698" i="50"/>
  <c r="H424" i="37"/>
  <c r="F226" i="34"/>
  <c r="H885" i="50"/>
  <c r="H1134" i="37"/>
  <c r="H1324" i="37"/>
  <c r="F207" i="34"/>
  <c r="H641" i="50"/>
  <c r="H822" i="50"/>
  <c r="H965" i="37"/>
  <c r="H244" i="37"/>
  <c r="H421" i="37"/>
  <c r="H701" i="50"/>
  <c r="H1504" i="37"/>
  <c r="F206" i="34"/>
  <c r="F242" i="34"/>
  <c r="F219" i="34"/>
  <c r="H601" i="37"/>
  <c r="H784" i="37"/>
  <c r="H585" i="50"/>
  <c r="H781" i="37"/>
  <c r="H1004" i="50"/>
  <c r="H1002" i="50"/>
  <c r="F221" i="34"/>
  <c r="F238" i="34"/>
  <c r="H638" i="50"/>
  <c r="H604" i="37"/>
  <c r="H1864" i="37"/>
  <c r="F251" i="34"/>
  <c r="F239" i="34"/>
  <c r="H774" i="37"/>
  <c r="H1064" i="50"/>
  <c r="H525" i="50"/>
  <c r="F223" i="34"/>
  <c r="V466" i="42"/>
  <c r="V482" i="42" s="1"/>
  <c r="U26" i="37"/>
  <c r="R242" i="43"/>
  <c r="Q242" i="43"/>
  <c r="K116" i="41"/>
  <c r="K264" i="50" s="1"/>
  <c r="E346" i="43"/>
  <c r="P233" i="50"/>
  <c r="K1708" i="37"/>
  <c r="U1710" i="37" s="1"/>
  <c r="K988" i="37"/>
  <c r="U990" i="37" s="1"/>
  <c r="K1717" i="37"/>
  <c r="U1717" i="37" s="1"/>
  <c r="K1168" i="37"/>
  <c r="U1170" i="37" s="1"/>
  <c r="K1177" i="37"/>
  <c r="U1177" i="37" s="1"/>
  <c r="K268" i="37"/>
  <c r="U270" i="37" s="1"/>
  <c r="K997" i="37"/>
  <c r="U997" i="37" s="1"/>
  <c r="K51" i="37"/>
  <c r="U51" i="37" s="1"/>
  <c r="K637" i="37"/>
  <c r="U637" i="37" s="1"/>
  <c r="K277" i="37"/>
  <c r="U277" i="37" s="1"/>
  <c r="K628" i="37"/>
  <c r="U630" i="37"/>
  <c r="K1357" i="37"/>
  <c r="U1357" i="37" s="1"/>
  <c r="K1348" i="37"/>
  <c r="U1350" i="37"/>
  <c r="K457" i="37"/>
  <c r="U457" i="37" s="1"/>
  <c r="K808" i="37"/>
  <c r="U810" i="37"/>
  <c r="K1537" i="37"/>
  <c r="U1537" i="37" s="1"/>
  <c r="K448" i="37"/>
  <c r="U450" i="37" s="1"/>
  <c r="K1528" i="37"/>
  <c r="U1530" i="37" s="1"/>
  <c r="K817" i="37"/>
  <c r="U817" i="37" s="1"/>
  <c r="K39" i="37"/>
  <c r="U41" i="37"/>
  <c r="R482" i="42"/>
  <c r="E474" i="42"/>
  <c r="R237" i="43"/>
  <c r="K237" i="43"/>
  <c r="D649" i="50"/>
  <c r="M152" i="50"/>
  <c r="M177" i="50"/>
  <c r="W26" i="37"/>
  <c r="R264" i="43"/>
  <c r="K264" i="43"/>
  <c r="M817" i="37"/>
  <c r="W817" i="37" s="1"/>
  <c r="M268" i="37"/>
  <c r="W270" i="37" s="1"/>
  <c r="M1528" i="37"/>
  <c r="W1530" i="37" s="1"/>
  <c r="M277" i="37"/>
  <c r="W277" i="37" s="1"/>
  <c r="M39" i="37"/>
  <c r="W41" i="37" s="1"/>
  <c r="M1348" i="37"/>
  <c r="W1350" i="37" s="1"/>
  <c r="M808" i="37"/>
  <c r="W810" i="37" s="1"/>
  <c r="M637" i="37"/>
  <c r="W637" i="37" s="1"/>
  <c r="M1168" i="37"/>
  <c r="W1170" i="37"/>
  <c r="M457" i="37"/>
  <c r="W457" i="37" s="1"/>
  <c r="C1513" i="37"/>
  <c r="P1513" i="37" s="1"/>
  <c r="P4" i="59"/>
  <c r="AN4" i="59"/>
  <c r="N4" i="59"/>
  <c r="AL4" i="59"/>
  <c r="R4" i="59"/>
  <c r="P242" i="42"/>
  <c r="M311" i="41" s="1"/>
  <c r="M405" i="50" s="1"/>
  <c r="H242" i="42"/>
  <c r="S108" i="50"/>
  <c r="P108" i="50"/>
  <c r="E128" i="50"/>
  <c r="J116" i="41"/>
  <c r="J128" i="41" s="1"/>
  <c r="S1071" i="50"/>
  <c r="R236" i="43"/>
  <c r="Q236" i="43"/>
  <c r="K236" i="43"/>
  <c r="J181" i="50"/>
  <c r="J183" i="49"/>
  <c r="J182" i="50"/>
  <c r="J516" i="42"/>
  <c r="T516" i="42" s="1"/>
  <c r="J317" i="42"/>
  <c r="T317" i="42" s="1"/>
  <c r="J150" i="42"/>
  <c r="T150" i="42" s="1"/>
  <c r="J495" i="42"/>
  <c r="J222" i="42"/>
  <c r="T222" i="42" s="1"/>
  <c r="J226" i="42"/>
  <c r="T226" i="42" s="1"/>
  <c r="J454" i="42"/>
  <c r="T455" i="42" s="1"/>
  <c r="I181" i="50"/>
  <c r="I183" i="49"/>
  <c r="I182" i="50" s="1"/>
  <c r="J178" i="50"/>
  <c r="J178" i="49"/>
  <c r="J179" i="50" s="1"/>
  <c r="C1693" i="37"/>
  <c r="L311" i="41"/>
  <c r="L405" i="50" s="1"/>
  <c r="L313" i="41"/>
  <c r="L407" i="50" s="1"/>
  <c r="Q709" i="50"/>
  <c r="D709" i="50"/>
  <c r="L312" i="41"/>
  <c r="L406" i="50" s="1"/>
  <c r="J312" i="41"/>
  <c r="J406" i="50" s="1"/>
  <c r="P474" i="42"/>
  <c r="H474" i="42"/>
  <c r="Q769" i="50"/>
  <c r="C829" i="50"/>
  <c r="Q829" i="50" s="1"/>
  <c r="J311" i="41"/>
  <c r="J405" i="50" s="1"/>
  <c r="J313" i="41"/>
  <c r="J407" i="50" s="1"/>
  <c r="K312" i="41"/>
  <c r="K406" i="50" s="1"/>
  <c r="I312" i="41"/>
  <c r="I406" i="50" s="1"/>
  <c r="J310" i="41"/>
  <c r="J404" i="50" s="1"/>
  <c r="L310" i="41"/>
  <c r="L404" i="50" s="1"/>
  <c r="K310" i="41"/>
  <c r="K404" i="50" s="1"/>
  <c r="K313" i="41"/>
  <c r="K407" i="50" s="1"/>
  <c r="P1693" i="37"/>
  <c r="D829" i="50"/>
  <c r="M307" i="47"/>
  <c r="M112" i="47"/>
  <c r="M349" i="47"/>
  <c r="M83" i="41"/>
  <c r="M240" i="50" s="1"/>
  <c r="M308" i="41"/>
  <c r="M402" i="50" s="1"/>
  <c r="M126" i="41"/>
  <c r="M267" i="50" s="1"/>
  <c r="M274" i="41"/>
  <c r="M371" i="50" s="1"/>
  <c r="M226" i="41"/>
  <c r="M106" i="41"/>
  <c r="M214" i="41"/>
  <c r="M336" i="50" s="1"/>
  <c r="M163" i="41"/>
  <c r="M296" i="50" s="1"/>
  <c r="M350" i="41"/>
  <c r="M436" i="50"/>
  <c r="M282" i="41"/>
  <c r="M378" i="50" s="1"/>
  <c r="M204" i="41"/>
  <c r="M328" i="50" s="1"/>
  <c r="M33" i="41"/>
  <c r="M274" i="47"/>
  <c r="J171" i="49"/>
  <c r="J113" i="49"/>
  <c r="J146" i="50" s="1"/>
  <c r="J145" i="49"/>
  <c r="J161" i="50"/>
  <c r="J278" i="49"/>
  <c r="J92" i="49"/>
  <c r="J141" i="50"/>
  <c r="J149" i="49"/>
  <c r="J92" i="50"/>
  <c r="M280" i="47"/>
  <c r="M43" i="41"/>
  <c r="M212" i="50" s="1"/>
  <c r="W374" i="47"/>
  <c r="E367" i="43"/>
  <c r="E368" i="43" s="1"/>
  <c r="M98" i="41"/>
  <c r="M251" i="50"/>
  <c r="M134" i="41"/>
  <c r="M273" i="50"/>
  <c r="K226" i="41"/>
  <c r="K214" i="41"/>
  <c r="K336" i="50"/>
  <c r="K134" i="41"/>
  <c r="K273" i="50" s="1"/>
  <c r="K282" i="41"/>
  <c r="K378" i="50" s="1"/>
  <c r="K43" i="41"/>
  <c r="K212" i="50" s="1"/>
  <c r="K83" i="41"/>
  <c r="K240" i="50" s="1"/>
  <c r="J98" i="41"/>
  <c r="J251" i="50" s="1"/>
  <c r="J43" i="41"/>
  <c r="J212" i="50" s="1"/>
  <c r="U235" i="43"/>
  <c r="U239" i="43"/>
  <c r="U243" i="43"/>
  <c r="M1286" i="50"/>
  <c r="J214" i="41"/>
  <c r="J336" i="50"/>
  <c r="L218" i="43"/>
  <c r="C18" i="9" s="1"/>
  <c r="I204" i="41"/>
  <c r="I328" i="50" s="1"/>
  <c r="J126" i="41"/>
  <c r="J267" i="50" s="1"/>
  <c r="J175" i="41"/>
  <c r="J306" i="50"/>
  <c r="J350" i="41"/>
  <c r="J436" i="50"/>
  <c r="U236" i="43"/>
  <c r="U237" i="43"/>
  <c r="M1024" i="50"/>
  <c r="L763" i="37"/>
  <c r="V766" i="37"/>
  <c r="J263" i="41"/>
  <c r="J362" i="50"/>
  <c r="K239" i="47"/>
  <c r="J33" i="41"/>
  <c r="J247" i="41"/>
  <c r="J348" i="50" s="1"/>
  <c r="J89" i="41"/>
  <c r="J244" i="50"/>
  <c r="U259" i="43"/>
  <c r="U238" i="43"/>
  <c r="M218" i="43"/>
  <c r="C19" i="9" s="1"/>
  <c r="M964" i="50"/>
  <c r="L852" i="37"/>
  <c r="V852" i="37" s="1"/>
  <c r="L603" i="37"/>
  <c r="J398" i="41"/>
  <c r="K31" i="47"/>
  <c r="J274" i="41"/>
  <c r="J371" i="50" s="1"/>
  <c r="U260" i="43"/>
  <c r="M1206" i="50"/>
  <c r="M476" i="50"/>
  <c r="M596" i="50"/>
  <c r="L159" i="37"/>
  <c r="V159" i="37" s="1"/>
  <c r="L167" i="37"/>
  <c r="V167" i="37"/>
  <c r="L650" i="37"/>
  <c r="R209" i="47"/>
  <c r="J130" i="49"/>
  <c r="J297" i="49"/>
  <c r="I350" i="41"/>
  <c r="I436" i="50" s="1"/>
  <c r="L438" i="37"/>
  <c r="V439" i="37" s="1"/>
  <c r="L215" i="37"/>
  <c r="V218" i="37" s="1"/>
  <c r="M1158" i="50"/>
  <c r="K371" i="47"/>
  <c r="I274" i="41"/>
  <c r="I371" i="50"/>
  <c r="E369" i="43"/>
  <c r="L537" i="42"/>
  <c r="L171" i="42"/>
  <c r="L123" i="42"/>
  <c r="V123" i="42" s="1"/>
  <c r="L301" i="42"/>
  <c r="V301" i="42" s="1"/>
  <c r="L23" i="42"/>
  <c r="V23" i="42" s="1"/>
  <c r="L226" i="42"/>
  <c r="V226" i="42"/>
  <c r="L296" i="42"/>
  <c r="L495" i="42"/>
  <c r="L196" i="42"/>
  <c r="L119" i="42"/>
  <c r="V119" i="42" s="1"/>
  <c r="L309" i="42"/>
  <c r="V309" i="42" s="1"/>
  <c r="L405" i="42"/>
  <c r="V405" i="42" s="1"/>
  <c r="L317" i="42"/>
  <c r="V317" i="42"/>
  <c r="L287" i="42"/>
  <c r="L205" i="42"/>
  <c r="L241" i="42"/>
  <c r="V241" i="42" s="1"/>
  <c r="L135" i="42"/>
  <c r="V135" i="42" s="1"/>
  <c r="L378" i="42"/>
  <c r="V378" i="42" s="1"/>
  <c r="L356" i="42"/>
  <c r="L222" i="42"/>
  <c r="V222" i="42" s="1"/>
  <c r="L449" i="42"/>
  <c r="V449" i="42"/>
  <c r="L53" i="42"/>
  <c r="L105" i="42"/>
  <c r="E347" i="43"/>
  <c r="L282" i="42"/>
  <c r="V282" i="42"/>
  <c r="L516" i="42"/>
  <c r="V516" i="42"/>
  <c r="L95" i="42"/>
  <c r="L191" i="42"/>
  <c r="V191" i="42" s="1"/>
  <c r="L131" i="42"/>
  <c r="V131" i="42" s="1"/>
  <c r="L473" i="42"/>
  <c r="V481" i="42" s="1"/>
  <c r="L214" i="42"/>
  <c r="V214" i="42" s="1"/>
  <c r="L85" i="42"/>
  <c r="V85" i="42"/>
  <c r="L305" i="42"/>
  <c r="V305" i="42" s="1"/>
  <c r="L454" i="42"/>
  <c r="V455" i="42" s="1"/>
  <c r="L218" i="42"/>
  <c r="V218" i="42"/>
  <c r="L332" i="42"/>
  <c r="V332" i="42" s="1"/>
  <c r="I266" i="41"/>
  <c r="I365" i="50" s="1"/>
  <c r="K1010" i="37"/>
  <c r="K713" i="37"/>
  <c r="U713" i="37" s="1"/>
  <c r="K1631" i="37"/>
  <c r="K1068" i="37"/>
  <c r="U1068" i="37" s="1"/>
  <c r="K163" i="37"/>
  <c r="K731" i="37"/>
  <c r="K353" i="37"/>
  <c r="U353" i="37" s="1"/>
  <c r="K1099" i="37"/>
  <c r="K1437" i="37"/>
  <c r="K1843" i="37"/>
  <c r="U1846" i="37"/>
  <c r="K98" i="41"/>
  <c r="K251" i="50" s="1"/>
  <c r="K106" i="41"/>
  <c r="U389" i="42"/>
  <c r="U391" i="42"/>
  <c r="U379" i="42"/>
  <c r="U333" i="42"/>
  <c r="I134" i="41"/>
  <c r="I273" i="50" s="1"/>
  <c r="I163" i="41"/>
  <c r="I296" i="50"/>
  <c r="I43" i="41"/>
  <c r="I212" i="50"/>
  <c r="I87" i="49"/>
  <c r="I136" i="50" s="1"/>
  <c r="I51" i="49"/>
  <c r="I64" i="50" s="1"/>
  <c r="I228" i="49"/>
  <c r="I103" i="49"/>
  <c r="I113" i="49"/>
  <c r="I146" i="50" s="1"/>
  <c r="I221" i="49"/>
  <c r="I242" i="49"/>
  <c r="M956" i="50"/>
  <c r="E227" i="41"/>
  <c r="E231" i="41" s="1"/>
  <c r="E370" i="43"/>
  <c r="E348" i="43"/>
  <c r="V473" i="42"/>
  <c r="E371" i="43"/>
  <c r="H12" i="50"/>
  <c r="E349" i="43"/>
  <c r="L150" i="42"/>
  <c r="V150" i="42"/>
  <c r="M1537" i="37"/>
  <c r="W1537" i="37" s="1"/>
  <c r="M988" i="37"/>
  <c r="W990" i="37"/>
  <c r="M51" i="37"/>
  <c r="W51" i="37" s="1"/>
  <c r="M1357" i="37"/>
  <c r="W1357" i="37" s="1"/>
  <c r="M1177" i="37"/>
  <c r="W1177" i="37" s="1"/>
  <c r="L429" i="42"/>
  <c r="J364" i="50"/>
  <c r="L210" i="42"/>
  <c r="V210" i="42" s="1"/>
  <c r="K290" i="37"/>
  <c r="K1777" i="37"/>
  <c r="U1781" i="37" s="1"/>
  <c r="K1045" i="37"/>
  <c r="U1049" i="37" s="1"/>
  <c r="K403" i="37"/>
  <c r="U406" i="37" s="1"/>
  <c r="K1797" i="37"/>
  <c r="K1756" i="37"/>
  <c r="K1859" i="37"/>
  <c r="K1647" i="37"/>
  <c r="U1649" i="37" s="1"/>
  <c r="K1613" i="37"/>
  <c r="U1613" i="37" s="1"/>
  <c r="K1888" i="37"/>
  <c r="K1639" i="37"/>
  <c r="K1287" i="37"/>
  <c r="U1289" i="37" s="1"/>
  <c r="K1158" i="37"/>
  <c r="U1159" i="37"/>
  <c r="K1550" i="37"/>
  <c r="K492" i="37"/>
  <c r="U492" i="37" s="1"/>
  <c r="K1123" i="37"/>
  <c r="U1126" i="37" s="1"/>
  <c r="K1576" i="37"/>
  <c r="K178" i="37"/>
  <c r="K959" i="37"/>
  <c r="K1451" i="37"/>
  <c r="K1081" i="37"/>
  <c r="U1081" i="37" s="1"/>
  <c r="K206" i="37"/>
  <c r="U208" i="37"/>
  <c r="K551" i="37"/>
  <c r="K1801" i="37"/>
  <c r="U1801" i="37" s="1"/>
  <c r="K567" i="37"/>
  <c r="U569" i="37" s="1"/>
  <c r="K1441" i="37"/>
  <c r="U1441" i="37" s="1"/>
  <c r="K1417" i="37"/>
  <c r="U1421" i="37"/>
  <c r="K1248" i="37"/>
  <c r="U1248" i="37" s="1"/>
  <c r="K1765" i="37"/>
  <c r="U1769" i="37" s="1"/>
  <c r="K1835" i="37"/>
  <c r="U1837" i="37" s="1"/>
  <c r="K258" i="37"/>
  <c r="U259" i="37" s="1"/>
  <c r="K150" i="37"/>
  <c r="U150" i="37" s="1"/>
  <c r="K963" i="37"/>
  <c r="K943" i="37"/>
  <c r="U946" i="37" s="1"/>
  <c r="K1319" i="37"/>
  <c r="K470" i="37"/>
  <c r="K672" i="37"/>
  <c r="U672" i="37" s="1"/>
  <c r="K721" i="37"/>
  <c r="U721" i="37" s="1"/>
  <c r="K187" i="37"/>
  <c r="K888" i="37"/>
  <c r="U888" i="37" s="1"/>
  <c r="K1467" i="37"/>
  <c r="U1469" i="37" s="1"/>
  <c r="K1130" i="37"/>
  <c r="U1130" i="37" s="1"/>
  <c r="K1433" i="37"/>
  <c r="U1433" i="37" s="1"/>
  <c r="K1850" i="37"/>
  <c r="U1850" i="37" s="1"/>
  <c r="K763" i="37"/>
  <c r="U766" i="37" s="1"/>
  <c r="K798" i="37"/>
  <c r="U799" i="37" s="1"/>
  <c r="K1811" i="37"/>
  <c r="K978" i="37"/>
  <c r="U979" i="37" s="1"/>
  <c r="K852" i="37"/>
  <c r="U852" i="37"/>
  <c r="K583" i="37"/>
  <c r="U586" i="37" s="1"/>
  <c r="K618" i="37"/>
  <c r="U619" i="37" s="1"/>
  <c r="K1036" i="37"/>
  <c r="K101" i="37"/>
  <c r="U101" i="37" s="1"/>
  <c r="K897" i="37"/>
  <c r="K357" i="37"/>
  <c r="K1730" i="37"/>
  <c r="K197" i="37"/>
  <c r="U199" i="37" s="1"/>
  <c r="K1271" i="37"/>
  <c r="K1459" i="37"/>
  <c r="K1032" i="37"/>
  <c r="U1032" i="37" s="1"/>
  <c r="K1139" i="37"/>
  <c r="K779" i="37"/>
  <c r="K1225" i="37"/>
  <c r="U1229" i="37" s="1"/>
  <c r="K238" i="37"/>
  <c r="L262" i="42"/>
  <c r="M997" i="37"/>
  <c r="W997" i="37" s="1"/>
  <c r="M628" i="37"/>
  <c r="W630" i="37"/>
  <c r="M1717" i="37"/>
  <c r="W1717" i="37" s="1"/>
  <c r="M448" i="37"/>
  <c r="W450" i="37" s="1"/>
  <c r="M51" i="49"/>
  <c r="M64" i="50"/>
  <c r="M193" i="41"/>
  <c r="M319" i="50" s="1"/>
  <c r="I282" i="41"/>
  <c r="I378" i="50" s="1"/>
  <c r="M268" i="49"/>
  <c r="M200" i="50" s="1"/>
  <c r="M293" i="41"/>
  <c r="M388" i="50"/>
  <c r="I214" i="41"/>
  <c r="I336" i="50"/>
  <c r="M233" i="49"/>
  <c r="W233" i="49" s="1"/>
  <c r="F362" i="43"/>
  <c r="G362" i="43" s="1"/>
  <c r="H362" i="43" s="1"/>
  <c r="E33" i="50" s="1"/>
  <c r="E350" i="43"/>
  <c r="H350" i="43"/>
  <c r="I350" i="43" s="1"/>
  <c r="E351" i="43"/>
  <c r="E352" i="43"/>
  <c r="E353" i="43"/>
  <c r="E354" i="43" s="1"/>
  <c r="M54" i="50" l="1"/>
  <c r="H231" i="41"/>
  <c r="H229" i="41"/>
  <c r="H232" i="41"/>
  <c r="H233" i="41"/>
  <c r="H228" i="41"/>
  <c r="S364" i="41"/>
  <c r="S358" i="41"/>
  <c r="S355" i="41"/>
  <c r="J176" i="41"/>
  <c r="J307" i="50" s="1"/>
  <c r="I116" i="41"/>
  <c r="I400" i="41" s="1"/>
  <c r="K176" i="41"/>
  <c r="K307" i="50" s="1"/>
  <c r="K302" i="50"/>
  <c r="L205" i="41"/>
  <c r="L329" i="50" s="1"/>
  <c r="L307" i="50"/>
  <c r="M116" i="41"/>
  <c r="M264" i="50" s="1"/>
  <c r="M176" i="41"/>
  <c r="M307" i="50" s="1"/>
  <c r="L261" i="50"/>
  <c r="M148" i="50"/>
  <c r="M137" i="49"/>
  <c r="M138" i="49" s="1"/>
  <c r="M157" i="50" s="1"/>
  <c r="M131" i="49"/>
  <c r="M153" i="50" s="1"/>
  <c r="I325" i="50"/>
  <c r="M325" i="50"/>
  <c r="M205" i="41"/>
  <c r="M206" i="41" s="1"/>
  <c r="M330" i="50" s="1"/>
  <c r="K205" i="41"/>
  <c r="K209" i="41"/>
  <c r="K333" i="50" s="1"/>
  <c r="J269" i="50"/>
  <c r="J404" i="41"/>
  <c r="J403" i="41" s="1"/>
  <c r="J406" i="41" s="1"/>
  <c r="J205" i="41"/>
  <c r="J400" i="41"/>
  <c r="M128" i="41"/>
  <c r="J399" i="41"/>
  <c r="I176" i="41"/>
  <c r="K128" i="41"/>
  <c r="J264" i="50"/>
  <c r="M132" i="49"/>
  <c r="M154" i="50" s="1"/>
  <c r="L115" i="49"/>
  <c r="L148" i="50" s="1"/>
  <c r="I115" i="49"/>
  <c r="J115" i="49"/>
  <c r="J148" i="50" s="1"/>
  <c r="K115" i="49"/>
  <c r="K137" i="49" s="1"/>
  <c r="M156" i="50"/>
  <c r="M147" i="50"/>
  <c r="L147" i="50"/>
  <c r="K16" i="41"/>
  <c r="Q333" i="42"/>
  <c r="K385" i="42"/>
  <c r="K386" i="42" s="1"/>
  <c r="K21" i="49"/>
  <c r="K23" i="49" s="1"/>
  <c r="L72" i="50"/>
  <c r="L16" i="41"/>
  <c r="L21" i="49"/>
  <c r="L23" i="49" s="1"/>
  <c r="L56" i="49"/>
  <c r="L69" i="50" s="1"/>
  <c r="J45" i="41"/>
  <c r="J213" i="50" s="1"/>
  <c r="J47" i="41"/>
  <c r="J217" i="50" s="1"/>
  <c r="J39" i="41"/>
  <c r="J44" i="41"/>
  <c r="J215" i="50" s="1"/>
  <c r="J46" i="41"/>
  <c r="J216" i="50" s="1"/>
  <c r="J48" i="41"/>
  <c r="J214" i="50" s="1"/>
  <c r="J72" i="50"/>
  <c r="M16" i="41"/>
  <c r="I47" i="41"/>
  <c r="I217" i="50" s="1"/>
  <c r="I48" i="41"/>
  <c r="I214" i="50" s="1"/>
  <c r="I39" i="41"/>
  <c r="I44" i="41"/>
  <c r="I215" i="50" s="1"/>
  <c r="I45" i="41"/>
  <c r="I213" i="50" s="1"/>
  <c r="I46" i="41"/>
  <c r="I216" i="50" s="1"/>
  <c r="I52" i="49"/>
  <c r="I21" i="49"/>
  <c r="I23" i="49" s="1"/>
  <c r="I72" i="50"/>
  <c r="X154" i="49"/>
  <c r="X155" i="49"/>
  <c r="X159" i="49" s="1"/>
  <c r="X160" i="49" s="1"/>
  <c r="X172" i="49" s="1"/>
  <c r="X173" i="49" s="1"/>
  <c r="U450" i="42"/>
  <c r="H349" i="43"/>
  <c r="I349" i="43" s="1"/>
  <c r="H352" i="43"/>
  <c r="I352" i="43" s="1"/>
  <c r="T333" i="42"/>
  <c r="U406" i="42"/>
  <c r="T389" i="42"/>
  <c r="U459" i="42"/>
  <c r="H348" i="43"/>
  <c r="E102" i="50"/>
  <c r="P102" i="50" s="1"/>
  <c r="E144" i="41"/>
  <c r="E283" i="50" s="1"/>
  <c r="Q260" i="43"/>
  <c r="H347" i="43"/>
  <c r="Q261" i="43"/>
  <c r="H351" i="43"/>
  <c r="I351" i="43" s="1"/>
  <c r="E244" i="43"/>
  <c r="F364" i="43"/>
  <c r="K364" i="43" s="1"/>
  <c r="L35" i="50" s="1"/>
  <c r="J362" i="43"/>
  <c r="I33" i="50" s="1"/>
  <c r="F366" i="43"/>
  <c r="J366" i="43" s="1"/>
  <c r="I37" i="50" s="1"/>
  <c r="F365" i="43"/>
  <c r="J365" i="43" s="1"/>
  <c r="I36" i="50" s="1"/>
  <c r="F368" i="43"/>
  <c r="H368" i="43" s="1"/>
  <c r="E39" i="50" s="1"/>
  <c r="K362" i="43"/>
  <c r="L33" i="50" s="1"/>
  <c r="G364" i="43"/>
  <c r="H364" i="43" s="1"/>
  <c r="E35" i="50" s="1"/>
  <c r="F370" i="43"/>
  <c r="F367" i="43"/>
  <c r="F369" i="43"/>
  <c r="G369" i="43" s="1"/>
  <c r="F363" i="43"/>
  <c r="F371" i="43"/>
  <c r="V461" i="42"/>
  <c r="R509" i="42"/>
  <c r="V389" i="42"/>
  <c r="Z517" i="42"/>
  <c r="V509" i="42"/>
  <c r="V517" i="42" s="1"/>
  <c r="J343" i="43"/>
  <c r="M353" i="43"/>
  <c r="K349" i="43"/>
  <c r="L352" i="43"/>
  <c r="M1142" i="50"/>
  <c r="U509" i="42"/>
  <c r="U517" i="42" s="1"/>
  <c r="V406" i="42"/>
  <c r="S509" i="42"/>
  <c r="S517" i="42" s="1"/>
  <c r="M1146" i="50"/>
  <c r="L1141" i="50"/>
  <c r="L1133" i="50"/>
  <c r="M1133" i="50"/>
  <c r="I1144" i="50"/>
  <c r="W379" i="42"/>
  <c r="K1133" i="50"/>
  <c r="W389" i="42"/>
  <c r="I510" i="42"/>
  <c r="L1144" i="50"/>
  <c r="V459" i="42"/>
  <c r="L350" i="43"/>
  <c r="S217" i="41"/>
  <c r="K351" i="43"/>
  <c r="N516" i="42"/>
  <c r="I1134" i="50"/>
  <c r="K1142" i="50"/>
  <c r="I1140" i="50"/>
  <c r="K1134" i="50"/>
  <c r="L1146" i="50"/>
  <c r="J1145" i="50"/>
  <c r="Q406" i="42"/>
  <c r="I1146" i="50"/>
  <c r="I1141" i="50"/>
  <c r="W406" i="42"/>
  <c r="W450" i="42"/>
  <c r="E257" i="41"/>
  <c r="P257" i="41" s="1"/>
  <c r="J1141" i="50"/>
  <c r="M343" i="43"/>
  <c r="V474" i="42"/>
  <c r="J352" i="43"/>
  <c r="M347" i="43"/>
  <c r="K352" i="43"/>
  <c r="M349" i="43"/>
  <c r="L348" i="43"/>
  <c r="V391" i="42"/>
  <c r="L342" i="43"/>
  <c r="J1144" i="50"/>
  <c r="L1143" i="50"/>
  <c r="L1145" i="50"/>
  <c r="I1147" i="50"/>
  <c r="J1146" i="50"/>
  <c r="K1143" i="50"/>
  <c r="J1142" i="50"/>
  <c r="M1114" i="50"/>
  <c r="M1145" i="50"/>
  <c r="AA405" i="42"/>
  <c r="AA406" i="42" s="1"/>
  <c r="W461" i="42"/>
  <c r="U466" i="42"/>
  <c r="F353" i="43"/>
  <c r="M352" i="43"/>
  <c r="F351" i="43"/>
  <c r="J347" i="43"/>
  <c r="J344" i="43"/>
  <c r="M342" i="43"/>
  <c r="M1147" i="50"/>
  <c r="K1144" i="50"/>
  <c r="I1145" i="50"/>
  <c r="K1141" i="50"/>
  <c r="L1140" i="50"/>
  <c r="M1134" i="50"/>
  <c r="S333" i="42"/>
  <c r="AA516" i="42"/>
  <c r="AA517" i="42" s="1"/>
  <c r="T379" i="42"/>
  <c r="G3" i="42"/>
  <c r="F350" i="43"/>
  <c r="F347" i="43"/>
  <c r="V379" i="42"/>
  <c r="M340" i="43"/>
  <c r="S389" i="42"/>
  <c r="K4" i="42"/>
  <c r="I3" i="42"/>
  <c r="AA332" i="42"/>
  <c r="AA333" i="42" s="1"/>
  <c r="AC524" i="42"/>
  <c r="L349" i="43"/>
  <c r="M346" i="43"/>
  <c r="L341" i="43"/>
  <c r="M341" i="43"/>
  <c r="J351" i="43"/>
  <c r="M350" i="43"/>
  <c r="F349" i="43"/>
  <c r="K347" i="43"/>
  <c r="F346" i="43"/>
  <c r="K344" i="43"/>
  <c r="I1142" i="50"/>
  <c r="L1142" i="50"/>
  <c r="M1144" i="50"/>
  <c r="L1147" i="50"/>
  <c r="J1143" i="50"/>
  <c r="M1141" i="50"/>
  <c r="K3" i="42"/>
  <c r="G4" i="42"/>
  <c r="AC466" i="42"/>
  <c r="AC474" i="42"/>
  <c r="M351" i="43"/>
  <c r="I5" i="37"/>
  <c r="M1143" i="50"/>
  <c r="AC12" i="42"/>
  <c r="AC517" i="42"/>
  <c r="AC143" i="42"/>
  <c r="J350" i="43"/>
  <c r="L340" i="43"/>
  <c r="F352" i="43"/>
  <c r="L351" i="43"/>
  <c r="K350" i="43"/>
  <c r="J349" i="43"/>
  <c r="J348" i="43"/>
  <c r="L347" i="43"/>
  <c r="W391" i="42"/>
  <c r="F339" i="43"/>
  <c r="S450" i="42"/>
  <c r="M1116" i="50"/>
  <c r="M1123" i="50" s="1"/>
  <c r="T1111" i="50" s="1"/>
  <c r="T1122" i="50" s="1"/>
  <c r="J1134" i="50"/>
  <c r="K1146" i="50"/>
  <c r="I1133" i="50"/>
  <c r="J1133" i="50"/>
  <c r="K1147" i="50"/>
  <c r="S379" i="42"/>
  <c r="AC234" i="42"/>
  <c r="AC325" i="42"/>
  <c r="AC398" i="42"/>
  <c r="AD4" i="57"/>
  <c r="Z4" i="57"/>
  <c r="AB4" i="57"/>
  <c r="R4" i="57"/>
  <c r="J6" i="57"/>
  <c r="AR4" i="57"/>
  <c r="AN4" i="57"/>
  <c r="AH4" i="57"/>
  <c r="AJ4" i="57"/>
  <c r="X4" i="57"/>
  <c r="AL4" i="57"/>
  <c r="T4" i="57"/>
  <c r="AT4" i="57"/>
  <c r="AV4" i="57"/>
  <c r="AF4" i="57"/>
  <c r="J309" i="42"/>
  <c r="T309" i="42" s="1"/>
  <c r="J53" i="42"/>
  <c r="J296" i="42"/>
  <c r="J205" i="42"/>
  <c r="J23" i="42"/>
  <c r="T23" i="42" s="1"/>
  <c r="J405" i="42"/>
  <c r="T405" i="42" s="1"/>
  <c r="AD4" i="59"/>
  <c r="J1319" i="50"/>
  <c r="M536" i="50"/>
  <c r="O203" i="34"/>
  <c r="R203" i="34" s="1"/>
  <c r="J330" i="43"/>
  <c r="J218" i="43" s="1"/>
  <c r="C16" i="9" s="1"/>
  <c r="J473" i="42"/>
  <c r="J105" i="42"/>
  <c r="J196" i="42"/>
  <c r="J241" i="42"/>
  <c r="T241" i="42" s="1"/>
  <c r="J301" i="42"/>
  <c r="T301" i="42" s="1"/>
  <c r="J378" i="42"/>
  <c r="T378" i="42" s="1"/>
  <c r="J356" i="42"/>
  <c r="Z4" i="59"/>
  <c r="J135" i="42"/>
  <c r="T135" i="42" s="1"/>
  <c r="J332" i="42"/>
  <c r="T332" i="42" s="1"/>
  <c r="J384" i="42"/>
  <c r="T385" i="42" s="1"/>
  <c r="J537" i="42"/>
  <c r="V4" i="59"/>
  <c r="J122" i="49"/>
  <c r="L410" i="37"/>
  <c r="V410" i="37" s="1"/>
  <c r="L959" i="37"/>
  <c r="Q215" i="34"/>
  <c r="J131" i="42"/>
  <c r="T131" i="42" s="1"/>
  <c r="J123" i="42"/>
  <c r="T123" i="42" s="1"/>
  <c r="J119" i="42"/>
  <c r="T119" i="42" s="1"/>
  <c r="J218" i="42"/>
  <c r="T218" i="42" s="1"/>
  <c r="J95" i="42"/>
  <c r="J171" i="42"/>
  <c r="L1631" i="37"/>
  <c r="J191" i="42"/>
  <c r="T191" i="42" s="1"/>
  <c r="J449" i="42"/>
  <c r="T449" i="42" s="1"/>
  <c r="J282" i="42"/>
  <c r="T282" i="42" s="1"/>
  <c r="N4" i="58"/>
  <c r="J249" i="49"/>
  <c r="J382" i="41"/>
  <c r="J305" i="42"/>
  <c r="T305" i="42" s="1"/>
  <c r="J210" i="42"/>
  <c r="T210" i="42" s="1"/>
  <c r="J127" i="42"/>
  <c r="T127" i="42" s="1"/>
  <c r="J287" i="42"/>
  <c r="J429" i="42"/>
  <c r="AH4" i="59"/>
  <c r="AF4" i="59"/>
  <c r="W459" i="42"/>
  <c r="J313" i="42"/>
  <c r="T313" i="42" s="1"/>
  <c r="J262" i="42"/>
  <c r="J214" i="42"/>
  <c r="T214" i="42" s="1"/>
  <c r="T4" i="59"/>
  <c r="AX4" i="59"/>
  <c r="S459" i="42"/>
  <c r="U265" i="43"/>
  <c r="M220" i="43"/>
  <c r="K220" i="43"/>
  <c r="L1362" i="50"/>
  <c r="I1362" i="50"/>
  <c r="L212" i="43"/>
  <c r="E182" i="43"/>
  <c r="I220" i="43"/>
  <c r="L220" i="43"/>
  <c r="D246" i="43"/>
  <c r="E201" i="43"/>
  <c r="M1362" i="50"/>
  <c r="J220" i="43"/>
  <c r="J1362" i="50"/>
  <c r="K354" i="43"/>
  <c r="M354" i="43"/>
  <c r="L354" i="43"/>
  <c r="J354" i="43"/>
  <c r="F354" i="43"/>
  <c r="H354" i="43"/>
  <c r="I354" i="43" s="1"/>
  <c r="H353" i="43"/>
  <c r="I353" i="43" s="1"/>
  <c r="G365" i="43"/>
  <c r="K353" i="43"/>
  <c r="L353" i="43"/>
  <c r="J353" i="43"/>
  <c r="K368" i="43"/>
  <c r="L39" i="50" s="1"/>
  <c r="E122" i="50"/>
  <c r="E230" i="50" s="1"/>
  <c r="I347" i="43"/>
  <c r="M348" i="43"/>
  <c r="F348" i="43"/>
  <c r="I348" i="43"/>
  <c r="K348" i="43"/>
  <c r="I1693" i="37"/>
  <c r="Y1698" i="37" s="1"/>
  <c r="H1699" i="37"/>
  <c r="H1700" i="37" s="1"/>
  <c r="H1701" i="37" s="1"/>
  <c r="G5" i="37"/>
  <c r="H1519" i="37"/>
  <c r="H1520" i="37" s="1"/>
  <c r="H1521" i="37" s="1"/>
  <c r="C889" i="50"/>
  <c r="K218" i="43"/>
  <c r="C17" i="9" s="1"/>
  <c r="K160" i="43"/>
  <c r="K342" i="43"/>
  <c r="F343" i="43"/>
  <c r="L313" i="42"/>
  <c r="V313" i="42" s="1"/>
  <c r="L127" i="42"/>
  <c r="V127" i="42" s="1"/>
  <c r="L384" i="42"/>
  <c r="V385" i="42" s="1"/>
  <c r="K339" i="43"/>
  <c r="M339" i="43"/>
  <c r="H340" i="43"/>
  <c r="M344" i="43"/>
  <c r="L346" i="43"/>
  <c r="M345" i="43"/>
  <c r="J341" i="43"/>
  <c r="K340" i="43"/>
  <c r="K341" i="43"/>
  <c r="F341" i="43"/>
  <c r="F344" i="43"/>
  <c r="K346" i="43"/>
  <c r="K345" i="43"/>
  <c r="L345" i="43"/>
  <c r="J340" i="43"/>
  <c r="F340" i="43"/>
  <c r="F342" i="43"/>
  <c r="H344" i="43"/>
  <c r="I769" i="50" s="1"/>
  <c r="H345" i="43"/>
  <c r="J346" i="43"/>
  <c r="L339" i="43"/>
  <c r="H346" i="43"/>
  <c r="H343" i="43"/>
  <c r="H341" i="43"/>
  <c r="H339" i="43"/>
  <c r="L343" i="43"/>
  <c r="H342" i="43"/>
  <c r="F345" i="43"/>
  <c r="J345" i="43"/>
  <c r="K343" i="43"/>
  <c r="J339" i="43"/>
  <c r="J342" i="43"/>
  <c r="L344" i="43"/>
  <c r="K56" i="49"/>
  <c r="K65" i="50"/>
  <c r="Q649" i="50"/>
  <c r="M310" i="41"/>
  <c r="M404" i="50" s="1"/>
  <c r="AJ4" i="59"/>
  <c r="K399" i="41"/>
  <c r="K400" i="41"/>
  <c r="K261" i="50"/>
  <c r="AV4" i="59"/>
  <c r="J6" i="59"/>
  <c r="AP4" i="59"/>
  <c r="AR4" i="59"/>
  <c r="I313" i="41"/>
  <c r="I407" i="50" s="1"/>
  <c r="X4" i="59"/>
  <c r="AB4" i="59"/>
  <c r="M313" i="41"/>
  <c r="M407" i="50" s="1"/>
  <c r="M312" i="41"/>
  <c r="M406" i="50" s="1"/>
  <c r="I311" i="41"/>
  <c r="I405" i="50" s="1"/>
  <c r="K311" i="41"/>
  <c r="K405" i="50" s="1"/>
  <c r="S406" i="42"/>
  <c r="L1154" i="50"/>
  <c r="H1159" i="50" s="1"/>
  <c r="M1151" i="50"/>
  <c r="C1191" i="50"/>
  <c r="D1151" i="50"/>
  <c r="Q1151" i="50"/>
  <c r="I997" i="37"/>
  <c r="S997" i="37" s="1"/>
  <c r="I1177" i="37"/>
  <c r="S1177" i="37" s="1"/>
  <c r="I817" i="37"/>
  <c r="S817" i="37" s="1"/>
  <c r="I1717" i="37"/>
  <c r="S1717" i="37" s="1"/>
  <c r="I808" i="37"/>
  <c r="S810" i="37" s="1"/>
  <c r="I1708" i="37"/>
  <c r="S1710" i="37" s="1"/>
  <c r="I457" i="37"/>
  <c r="S457" i="37" s="1"/>
  <c r="I39" i="37"/>
  <c r="S41" i="37" s="1"/>
  <c r="O204" i="34"/>
  <c r="R204" i="34" s="1"/>
  <c r="C205" i="34"/>
  <c r="D204" i="34"/>
  <c r="R210" i="47"/>
  <c r="K305" i="42"/>
  <c r="U305" i="42" s="1"/>
  <c r="K405" i="42"/>
  <c r="U405" i="42" s="1"/>
  <c r="K282" i="42"/>
  <c r="U282" i="42" s="1"/>
  <c r="K23" i="42"/>
  <c r="U23" i="42" s="1"/>
  <c r="K287" i="42"/>
  <c r="K473" i="42"/>
  <c r="K378" i="42"/>
  <c r="U378" i="42" s="1"/>
  <c r="K210" i="42"/>
  <c r="U210" i="42" s="1"/>
  <c r="K131" i="42"/>
  <c r="U131" i="42" s="1"/>
  <c r="K384" i="42"/>
  <c r="U385" i="42" s="1"/>
  <c r="K309" i="42"/>
  <c r="U309" i="42" s="1"/>
  <c r="K516" i="42"/>
  <c r="U516" i="42" s="1"/>
  <c r="K105" i="42"/>
  <c r="K135" i="42"/>
  <c r="U135" i="42" s="1"/>
  <c r="K429" i="42"/>
  <c r="K449" i="42"/>
  <c r="U449" i="42" s="1"/>
  <c r="K191" i="42"/>
  <c r="U191" i="42" s="1"/>
  <c r="K356" i="42"/>
  <c r="K53" i="42"/>
  <c r="K241" i="42"/>
  <c r="U241" i="42" s="1"/>
  <c r="P1183" i="50"/>
  <c r="P1172" i="50"/>
  <c r="H1154" i="50"/>
  <c r="P1160" i="50"/>
  <c r="P1181" i="50"/>
  <c r="P1159" i="50"/>
  <c r="P1162" i="50"/>
  <c r="P1179" i="50"/>
  <c r="P1171" i="50"/>
  <c r="P1163" i="50"/>
  <c r="P1185" i="50"/>
  <c r="P1184" i="50"/>
  <c r="P1186" i="50"/>
  <c r="V4" i="57"/>
  <c r="AP4" i="57"/>
  <c r="P4" i="57"/>
  <c r="I356" i="42"/>
  <c r="I282" i="42"/>
  <c r="S282" i="42" s="1"/>
  <c r="I473" i="42"/>
  <c r="M1318" i="50"/>
  <c r="M1319" i="50"/>
  <c r="AN4" i="56"/>
  <c r="AR4" i="56"/>
  <c r="AD4" i="56"/>
  <c r="V4" i="56"/>
  <c r="AB4" i="56"/>
  <c r="R4" i="56"/>
  <c r="AT4" i="56"/>
  <c r="AP4" i="56"/>
  <c r="K177" i="50"/>
  <c r="J1266" i="50"/>
  <c r="J536" i="50"/>
  <c r="J664" i="50"/>
  <c r="J1278" i="50"/>
  <c r="J1198" i="50"/>
  <c r="J1367" i="50"/>
  <c r="AD4" i="55"/>
  <c r="AV4" i="55"/>
  <c r="AX4" i="57"/>
  <c r="M1140" i="50"/>
  <c r="K1140" i="50"/>
  <c r="M188" i="47"/>
  <c r="P4" i="55"/>
  <c r="N4" i="57"/>
  <c r="I1143" i="50"/>
  <c r="J1147" i="50"/>
  <c r="K1145" i="50"/>
  <c r="M1115" i="50"/>
  <c r="AX4" i="58"/>
  <c r="H1711" i="37"/>
  <c r="H361" i="41"/>
  <c r="H441" i="50" s="1"/>
  <c r="H771" i="37"/>
  <c r="I15" i="41"/>
  <c r="J228" i="49"/>
  <c r="H1671" i="37"/>
  <c r="H1851" i="37"/>
  <c r="H1351" i="37"/>
  <c r="H515" i="50"/>
  <c r="H631" i="37"/>
  <c r="H516" i="50"/>
  <c r="H271" i="37"/>
  <c r="H935" i="50"/>
  <c r="H696" i="50"/>
  <c r="H1131" i="37"/>
  <c r="H811" i="37"/>
  <c r="H995" i="50"/>
  <c r="H936" i="50"/>
  <c r="H1056" i="50"/>
  <c r="H756" i="50"/>
  <c r="H358" i="41"/>
  <c r="H440" i="50" s="1"/>
  <c r="H1055" i="50"/>
  <c r="H352" i="41"/>
  <c r="H438" i="50" s="1"/>
  <c r="H351" i="41"/>
  <c r="H437" i="50" s="1"/>
  <c r="H575" i="50"/>
  <c r="H996" i="50"/>
  <c r="H98" i="49"/>
  <c r="H355" i="41"/>
  <c r="H439" i="50" s="1"/>
  <c r="H42" i="37"/>
  <c r="H576" i="50"/>
  <c r="H1311" i="37"/>
  <c r="H991" i="37"/>
  <c r="H816" i="50"/>
  <c r="H451" i="37"/>
  <c r="H1491" i="37"/>
  <c r="P232" i="41"/>
  <c r="P233" i="41"/>
  <c r="P231" i="41"/>
  <c r="P228" i="41"/>
  <c r="P227" i="41"/>
  <c r="L325" i="50"/>
  <c r="L209" i="41"/>
  <c r="M169" i="50"/>
  <c r="M167" i="49"/>
  <c r="M168" i="49"/>
  <c r="M173" i="50" s="1"/>
  <c r="P1119" i="50"/>
  <c r="P1132" i="50"/>
  <c r="H1114" i="50"/>
  <c r="P1146" i="50"/>
  <c r="P1102" i="50"/>
  <c r="P1082" i="50"/>
  <c r="L116" i="41"/>
  <c r="L399" i="41" s="1"/>
  <c r="W509" i="42"/>
  <c r="W517" i="42" s="1"/>
  <c r="R517" i="42" s="1"/>
  <c r="AC509" i="42"/>
  <c r="J204" i="41"/>
  <c r="J328" i="50" s="1"/>
  <c r="J163" i="41"/>
  <c r="J296" i="50" s="1"/>
  <c r="J226" i="41"/>
  <c r="U241" i="43"/>
  <c r="U242" i="43"/>
  <c r="H1822" i="37"/>
  <c r="H547" i="50"/>
  <c r="H417" i="41"/>
  <c r="H317" i="37"/>
  <c r="H727" i="50"/>
  <c r="H110" i="37"/>
  <c r="H568" i="50"/>
  <c r="H403" i="41"/>
  <c r="H1241" i="50"/>
  <c r="H566" i="50"/>
  <c r="H215" i="50"/>
  <c r="H137" i="49"/>
  <c r="H156" i="50" s="1"/>
  <c r="H1259" i="37"/>
  <c r="H1186" i="50"/>
  <c r="H714" i="37"/>
  <c r="H1217" i="37"/>
  <c r="H1046" i="37"/>
  <c r="H129" i="47"/>
  <c r="H125" i="37"/>
  <c r="H341" i="47"/>
  <c r="H1249" i="37"/>
  <c r="H107" i="50"/>
  <c r="H845" i="50"/>
  <c r="H283" i="42"/>
  <c r="H1753" i="37"/>
  <c r="H1429" i="37"/>
  <c r="H905" i="50"/>
  <c r="H105" i="50"/>
  <c r="H798" i="50"/>
  <c r="H1244" i="37"/>
  <c r="H858" i="50"/>
  <c r="H1424" i="37"/>
  <c r="H1718" i="37"/>
  <c r="H374" i="47"/>
  <c r="H168" i="37"/>
  <c r="H1757" i="37"/>
  <c r="H512" i="37"/>
  <c r="H200" i="42"/>
  <c r="H227" i="42"/>
  <c r="H229" i="50"/>
  <c r="H411" i="41"/>
  <c r="H1046" i="50"/>
  <c r="J781" i="50"/>
  <c r="J961" i="50"/>
  <c r="N841" i="50"/>
  <c r="L601" i="50"/>
  <c r="N481" i="50"/>
  <c r="P309" i="41"/>
  <c r="J193" i="50"/>
  <c r="J250" i="49"/>
  <c r="J194" i="50" s="1"/>
  <c r="AA1321" i="37"/>
  <c r="AA1328" i="37"/>
  <c r="AA1329" i="37"/>
  <c r="AA1324" i="37"/>
  <c r="AA1509" i="37"/>
  <c r="AA1504" i="37"/>
  <c r="AA1505" i="37"/>
  <c r="AA1501" i="37"/>
  <c r="AA1508" i="37"/>
  <c r="S19" i="49"/>
  <c r="J19" i="49" s="1"/>
  <c r="J54" i="49" s="1"/>
  <c r="J67" i="50" s="1"/>
  <c r="S17" i="49"/>
  <c r="J17" i="49" s="1"/>
  <c r="H20" i="49"/>
  <c r="H102" i="37"/>
  <c r="H94" i="50"/>
  <c r="H96" i="50"/>
  <c r="J161" i="43"/>
  <c r="H54" i="49"/>
  <c r="H67" i="50" s="1"/>
  <c r="H151" i="37"/>
  <c r="H605" i="50"/>
  <c r="H313" i="37"/>
  <c r="H58" i="49"/>
  <c r="H71" i="50" s="1"/>
  <c r="H1267" i="50"/>
  <c r="H344" i="47"/>
  <c r="H518" i="37"/>
  <c r="H210" i="47"/>
  <c r="H98" i="50"/>
  <c r="H913" i="50"/>
  <c r="H665" i="50"/>
  <c r="H965" i="50"/>
  <c r="H785" i="50"/>
  <c r="H493" i="37"/>
  <c r="H1789" i="37"/>
  <c r="H793" i="50"/>
  <c r="H864" i="50"/>
  <c r="H1247" i="50"/>
  <c r="H254" i="41"/>
  <c r="H355" i="50" s="1"/>
  <c r="H1178" i="37"/>
  <c r="H992" i="50"/>
  <c r="H678" i="50"/>
  <c r="H898" i="37"/>
  <c r="H632" i="50"/>
  <c r="H1144" i="50"/>
  <c r="H194" i="41"/>
  <c r="H320" i="50" s="1"/>
  <c r="H619" i="50"/>
  <c r="H362" i="37"/>
  <c r="H169" i="41"/>
  <c r="H302" i="50" s="1"/>
  <c r="I215" i="47"/>
  <c r="H450" i="42"/>
  <c r="H108" i="50"/>
  <c r="H553" i="50"/>
  <c r="H733" i="50"/>
  <c r="H973" i="50"/>
  <c r="H1213" i="37"/>
  <c r="H101" i="50"/>
  <c r="H316" i="49"/>
  <c r="H1237" i="50"/>
  <c r="H269" i="49"/>
  <c r="H201" i="50" s="1"/>
  <c r="H1802" i="37"/>
  <c r="H1038" i="50"/>
  <c r="H626" i="50"/>
  <c r="H1102" i="50"/>
  <c r="H534" i="37"/>
  <c r="H1118" i="37"/>
  <c r="H1039" i="50"/>
  <c r="H1238" i="37"/>
  <c r="I205" i="50"/>
  <c r="I298" i="49"/>
  <c r="I206" i="50" s="1"/>
  <c r="L309" i="49"/>
  <c r="Z474" i="42"/>
  <c r="I467" i="42"/>
  <c r="J1882" i="37"/>
  <c r="A251" i="34"/>
  <c r="A250" i="34"/>
  <c r="M559" i="42"/>
  <c r="T466" i="42"/>
  <c r="K1397" i="50"/>
  <c r="V19" i="49"/>
  <c r="M19" i="49" s="1"/>
  <c r="M1076" i="50"/>
  <c r="M1083" i="50" s="1"/>
  <c r="T1071" i="50" s="1"/>
  <c r="T1082" i="50" s="1"/>
  <c r="I1101" i="50"/>
  <c r="K1107" i="50"/>
  <c r="J1100" i="50"/>
  <c r="M1101" i="50"/>
  <c r="S466" i="42"/>
  <c r="W466" i="42"/>
  <c r="J1103" i="50"/>
  <c r="I1094" i="50"/>
  <c r="L1100" i="50"/>
  <c r="J1093" i="50"/>
  <c r="M44" i="41" l="1"/>
  <c r="M215" i="50" s="1"/>
  <c r="L1099" i="50"/>
  <c r="L1139" i="50"/>
  <c r="K1139" i="50"/>
  <c r="K1099" i="50"/>
  <c r="K39" i="41"/>
  <c r="K49" i="41" s="1"/>
  <c r="I1099" i="50"/>
  <c r="I1139" i="50"/>
  <c r="L206" i="41"/>
  <c r="L330" i="50" s="1"/>
  <c r="M399" i="41"/>
  <c r="J407" i="41"/>
  <c r="M400" i="41"/>
  <c r="I128" i="41"/>
  <c r="I264" i="50"/>
  <c r="I399" i="41"/>
  <c r="M329" i="50"/>
  <c r="K156" i="50"/>
  <c r="K46" i="41"/>
  <c r="K216" i="50" s="1"/>
  <c r="M1087" i="50"/>
  <c r="M1176" i="50"/>
  <c r="M1167" i="50"/>
  <c r="L1087" i="50"/>
  <c r="L58" i="49"/>
  <c r="L71" i="50" s="1"/>
  <c r="K1167" i="50"/>
  <c r="K1087" i="50"/>
  <c r="J1087" i="50"/>
  <c r="J1167" i="50"/>
  <c r="I1167" i="50"/>
  <c r="J364" i="43"/>
  <c r="I35" i="50" s="1"/>
  <c r="K329" i="50"/>
  <c r="K206" i="41"/>
  <c r="K330" i="50" s="1"/>
  <c r="M269" i="50"/>
  <c r="M404" i="41"/>
  <c r="L264" i="50"/>
  <c r="L128" i="41"/>
  <c r="I205" i="41"/>
  <c r="I307" i="50"/>
  <c r="L400" i="41"/>
  <c r="K269" i="50"/>
  <c r="K404" i="41"/>
  <c r="K403" i="41" s="1"/>
  <c r="K406" i="41" s="1"/>
  <c r="J206" i="41"/>
  <c r="J330" i="50" s="1"/>
  <c r="J329" i="50"/>
  <c r="K131" i="49"/>
  <c r="J137" i="49"/>
  <c r="J131" i="49"/>
  <c r="L131" i="49"/>
  <c r="L137" i="49"/>
  <c r="K148" i="50"/>
  <c r="I148" i="50"/>
  <c r="I131" i="49"/>
  <c r="I137" i="49"/>
  <c r="K138" i="49"/>
  <c r="K157" i="50" s="1"/>
  <c r="I49" i="41"/>
  <c r="I218" i="50" s="1"/>
  <c r="J49" i="41"/>
  <c r="J218" i="50" s="1"/>
  <c r="M46" i="41"/>
  <c r="M216" i="50" s="1"/>
  <c r="M45" i="41"/>
  <c r="M213" i="50" s="1"/>
  <c r="K48" i="41"/>
  <c r="K214" i="50" s="1"/>
  <c r="K45" i="41"/>
  <c r="K213" i="50" s="1"/>
  <c r="K44" i="41"/>
  <c r="K215" i="50" s="1"/>
  <c r="K47" i="41"/>
  <c r="K217" i="50" s="1"/>
  <c r="R333" i="42"/>
  <c r="L44" i="41"/>
  <c r="L215" i="50" s="1"/>
  <c r="L39" i="41"/>
  <c r="L48" i="41"/>
  <c r="L214" i="50" s="1"/>
  <c r="L46" i="41"/>
  <c r="L216" i="50" s="1"/>
  <c r="L45" i="41"/>
  <c r="L213" i="50" s="1"/>
  <c r="L47" i="41"/>
  <c r="L217" i="50" s="1"/>
  <c r="M39" i="41"/>
  <c r="M48" i="41"/>
  <c r="M214" i="50" s="1"/>
  <c r="M47" i="41"/>
  <c r="M217" i="50" s="1"/>
  <c r="I56" i="49"/>
  <c r="I65" i="50"/>
  <c r="S144" i="41"/>
  <c r="S34" i="41"/>
  <c r="S102" i="50"/>
  <c r="R406" i="42"/>
  <c r="E101" i="50"/>
  <c r="I1513" i="37"/>
  <c r="E143" i="41"/>
  <c r="K366" i="43"/>
  <c r="L37" i="50" s="1"/>
  <c r="G366" i="43"/>
  <c r="H366" i="43" s="1"/>
  <c r="E37" i="50" s="1"/>
  <c r="J369" i="43"/>
  <c r="I40" i="50" s="1"/>
  <c r="H369" i="43"/>
  <c r="E40" i="50" s="1"/>
  <c r="G368" i="43"/>
  <c r="K365" i="43"/>
  <c r="L36" i="50" s="1"/>
  <c r="H365" i="43"/>
  <c r="E36" i="50" s="1"/>
  <c r="J368" i="43"/>
  <c r="I39" i="50" s="1"/>
  <c r="G371" i="43"/>
  <c r="J371" i="43"/>
  <c r="I42" i="50" s="1"/>
  <c r="K371" i="43"/>
  <c r="L42" i="50" s="1"/>
  <c r="H371" i="43"/>
  <c r="E42" i="50" s="1"/>
  <c r="K369" i="43"/>
  <c r="L40" i="50" s="1"/>
  <c r="G363" i="43"/>
  <c r="H363" i="43" s="1"/>
  <c r="E34" i="50" s="1"/>
  <c r="K363" i="43"/>
  <c r="L34" i="50" s="1"/>
  <c r="J363" i="43"/>
  <c r="I34" i="50" s="1"/>
  <c r="G367" i="43"/>
  <c r="K367" i="43"/>
  <c r="L38" i="50" s="1"/>
  <c r="J367" i="43"/>
  <c r="I38" i="50" s="1"/>
  <c r="H367" i="43"/>
  <c r="E38" i="50" s="1"/>
  <c r="K370" i="43"/>
  <c r="L41" i="50" s="1"/>
  <c r="J370" i="43"/>
  <c r="I41" i="50" s="1"/>
  <c r="G370" i="43"/>
  <c r="H370" i="43"/>
  <c r="E41" i="50" s="1"/>
  <c r="J1114" i="50"/>
  <c r="K1114" i="50" s="1"/>
  <c r="Z242" i="42"/>
  <c r="R234" i="42"/>
  <c r="E358" i="50"/>
  <c r="E303" i="41"/>
  <c r="L300" i="47"/>
  <c r="E323" i="47" s="1"/>
  <c r="I1114" i="50"/>
  <c r="Z151" i="42"/>
  <c r="R143" i="42"/>
  <c r="L106" i="47"/>
  <c r="P129" i="47" s="1"/>
  <c r="J1074" i="50"/>
  <c r="K1074" i="50" s="1"/>
  <c r="Y1717" i="37"/>
  <c r="Y1718" i="37" s="1"/>
  <c r="Y1701" i="37"/>
  <c r="L140" i="47"/>
  <c r="L332" i="47"/>
  <c r="AA1709" i="37"/>
  <c r="AA1710" i="37" s="1"/>
  <c r="AA1711" i="37" s="1"/>
  <c r="AA1712" i="37" s="1"/>
  <c r="AA1713" i="37" s="1"/>
  <c r="I1074" i="50"/>
  <c r="R12" i="42"/>
  <c r="L365" i="47"/>
  <c r="Z24" i="42"/>
  <c r="L227" i="47"/>
  <c r="L17" i="47"/>
  <c r="L267" i="47"/>
  <c r="L174" i="47"/>
  <c r="U482" i="42"/>
  <c r="U474" i="42"/>
  <c r="T481" i="42"/>
  <c r="T473" i="42"/>
  <c r="G379" i="43"/>
  <c r="D268" i="43"/>
  <c r="G380" i="43"/>
  <c r="G378" i="43"/>
  <c r="J312" i="37"/>
  <c r="T312" i="37" s="1"/>
  <c r="J1850" i="37"/>
  <c r="T1850" i="37" s="1"/>
  <c r="J1793" i="37"/>
  <c r="T1793" i="37" s="1"/>
  <c r="J1608" i="37"/>
  <c r="T1608" i="37" s="1"/>
  <c r="J1081" i="37"/>
  <c r="T1081" i="37" s="1"/>
  <c r="J1077" i="37"/>
  <c r="J1752" i="37"/>
  <c r="T1752" i="37" s="1"/>
  <c r="J238" i="37"/>
  <c r="J357" i="37"/>
  <c r="J1261" i="37"/>
  <c r="T1261" i="37" s="1"/>
  <c r="J395" i="37"/>
  <c r="T397" i="37" s="1"/>
  <c r="J505" i="37"/>
  <c r="T509" i="37" s="1"/>
  <c r="J1597" i="37"/>
  <c r="T1601" i="37" s="1"/>
  <c r="J1130" i="37"/>
  <c r="T1130" i="37" s="1"/>
  <c r="J470" i="37"/>
  <c r="J963" i="37"/>
  <c r="J1158" i="37"/>
  <c r="T1159" i="37" s="1"/>
  <c r="J423" i="37"/>
  <c r="J1655" i="37"/>
  <c r="T1657" i="37" s="1"/>
  <c r="J583" i="37"/>
  <c r="T586" i="37" s="1"/>
  <c r="J1503" i="37"/>
  <c r="J1621" i="37"/>
  <c r="T1621" i="37" s="1"/>
  <c r="J1115" i="37"/>
  <c r="T1117" i="37" s="1"/>
  <c r="J575" i="37"/>
  <c r="T577" i="37" s="1"/>
  <c r="J1068" i="37"/>
  <c r="T1068" i="37" s="1"/>
  <c r="J541" i="37"/>
  <c r="T541" i="37" s="1"/>
  <c r="J178" i="37"/>
  <c r="J1287" i="37"/>
  <c r="T1289" i="37" s="1"/>
  <c r="J492" i="37"/>
  <c r="T492" i="37" s="1"/>
  <c r="J559" i="37"/>
  <c r="J1893" i="37"/>
  <c r="J1091" i="37"/>
  <c r="J897" i="37"/>
  <c r="J798" i="37"/>
  <c r="T799" i="37" s="1"/>
  <c r="J1045" i="37"/>
  <c r="T1049" i="37" s="1"/>
  <c r="J1490" i="37"/>
  <c r="T1490" i="37" s="1"/>
  <c r="J1647" i="37"/>
  <c r="T1649" i="37" s="1"/>
  <c r="J943" i="37"/>
  <c r="T946" i="37" s="1"/>
  <c r="J1811" i="37"/>
  <c r="J25" i="37"/>
  <c r="J403" i="37"/>
  <c r="T406" i="37" s="1"/>
  <c r="J713" i="37"/>
  <c r="T713" i="37" s="1"/>
  <c r="J1467" i="37"/>
  <c r="T1469" i="37" s="1"/>
  <c r="J528" i="37"/>
  <c r="T528" i="37" s="1"/>
  <c r="J1099" i="37"/>
  <c r="J911" i="37"/>
  <c r="J1683" i="37"/>
  <c r="J1437" i="37"/>
  <c r="J1613" i="37"/>
  <c r="T1613" i="37" s="1"/>
  <c r="J755" i="37"/>
  <c r="T757" i="37" s="1"/>
  <c r="J150" i="37"/>
  <c r="T150" i="37" s="1"/>
  <c r="J1190" i="37"/>
  <c r="J1797" i="37"/>
  <c r="J1073" i="37"/>
  <c r="T1073" i="37" s="1"/>
  <c r="J348" i="37"/>
  <c r="T348" i="37" s="1"/>
  <c r="J1843" i="37"/>
  <c r="T1846" i="37" s="1"/>
  <c r="J1295" i="37"/>
  <c r="T1297" i="37" s="1"/>
  <c r="J731" i="37"/>
  <c r="J1663" i="37"/>
  <c r="T1666" i="37" s="1"/>
  <c r="J101" i="37"/>
  <c r="T101" i="37" s="1"/>
  <c r="J1788" i="37"/>
  <c r="T1788" i="37" s="1"/>
  <c r="J685" i="37"/>
  <c r="T689" i="37" s="1"/>
  <c r="J316" i="37"/>
  <c r="J1777" i="37"/>
  <c r="T1781" i="37" s="1"/>
  <c r="J537" i="37"/>
  <c r="J919" i="37"/>
  <c r="J258" i="37"/>
  <c r="T259" i="37" s="1"/>
  <c r="J109" i="37"/>
  <c r="J888" i="37"/>
  <c r="T888" i="37" s="1"/>
  <c r="J697" i="37"/>
  <c r="T701" i="37" s="1"/>
  <c r="J496" i="37"/>
  <c r="J717" i="37"/>
  <c r="J215" i="37"/>
  <c r="T218" i="37" s="1"/>
  <c r="J1237" i="37"/>
  <c r="T1241" i="37" s="1"/>
  <c r="J187" i="37"/>
  <c r="J206" i="37"/>
  <c r="T208" i="37" s="1"/>
  <c r="J1338" i="37"/>
  <c r="T1339" i="37" s="1"/>
  <c r="J1698" i="37"/>
  <c r="T1699" i="37" s="1"/>
  <c r="J672" i="37"/>
  <c r="T672" i="37" s="1"/>
  <c r="J1730" i="37"/>
  <c r="J1319" i="37"/>
  <c r="J1405" i="37"/>
  <c r="T1409" i="37" s="1"/>
  <c r="J124" i="37"/>
  <c r="T128" i="37" s="1"/>
  <c r="J197" i="37"/>
  <c r="T199" i="37" s="1"/>
  <c r="J1585" i="37"/>
  <c r="T1589" i="37" s="1"/>
  <c r="J1765" i="37"/>
  <c r="T1769" i="37" s="1"/>
  <c r="J387" i="37"/>
  <c r="T389" i="37" s="1"/>
  <c r="J438" i="37"/>
  <c r="T439" i="37" s="1"/>
  <c r="J1617" i="37"/>
  <c r="J533" i="37"/>
  <c r="T533" i="37" s="1"/>
  <c r="J763" i="37"/>
  <c r="T766" i="37" s="1"/>
  <c r="J1212" i="37"/>
  <c r="T1212" i="37" s="1"/>
  <c r="J1451" i="37"/>
  <c r="J1257" i="37"/>
  <c r="J1010" i="37"/>
  <c r="J242" i="37"/>
  <c r="J1827" i="37"/>
  <c r="T1829" i="37" s="1"/>
  <c r="J779" i="37"/>
  <c r="J379" i="37"/>
  <c r="J290" i="37"/>
  <c r="J676" i="37"/>
  <c r="J877" i="37"/>
  <c r="T881" i="37" s="1"/>
  <c r="J1835" i="37"/>
  <c r="T1837" i="37" s="1"/>
  <c r="J1279" i="37"/>
  <c r="J1253" i="37"/>
  <c r="T1253" i="37" s="1"/>
  <c r="J1310" i="37"/>
  <c r="T1310" i="37" s="1"/>
  <c r="J1036" i="37"/>
  <c r="J1859" i="37"/>
  <c r="J739" i="37"/>
  <c r="J1057" i="37"/>
  <c r="T1061" i="37" s="1"/>
  <c r="J1483" i="37"/>
  <c r="T1486" i="37" s="1"/>
  <c r="J1888" i="37"/>
  <c r="J337" i="37"/>
  <c r="T341" i="37" s="1"/>
  <c r="J1323" i="37"/>
  <c r="J978" i="37"/>
  <c r="T979" i="37" s="1"/>
  <c r="J1123" i="37"/>
  <c r="T1126" i="37" s="1"/>
  <c r="J747" i="37"/>
  <c r="T749" i="37" s="1"/>
  <c r="J618" i="37"/>
  <c r="T619" i="37" s="1"/>
  <c r="J721" i="37"/>
  <c r="T721" i="37" s="1"/>
  <c r="J852" i="37"/>
  <c r="T852" i="37" s="1"/>
  <c r="J599" i="37"/>
  <c r="J1303" i="37"/>
  <c r="T1306" i="37" s="1"/>
  <c r="J1550" i="37"/>
  <c r="J783" i="37"/>
  <c r="J1370" i="37"/>
  <c r="J136" i="37"/>
  <c r="T140" i="37" s="1"/>
  <c r="J959" i="37"/>
  <c r="J893" i="37"/>
  <c r="T893" i="37" s="1"/>
  <c r="J325" i="37"/>
  <c r="T329" i="37" s="1"/>
  <c r="J1459" i="37"/>
  <c r="J224" i="37"/>
  <c r="T224" i="37" s="1"/>
  <c r="J1392" i="37"/>
  <c r="T1392" i="37" s="1"/>
  <c r="J1639" i="37"/>
  <c r="J950" i="37"/>
  <c r="T950" i="37" s="1"/>
  <c r="J1499" i="37"/>
  <c r="J1475" i="37"/>
  <c r="T1477" i="37" s="1"/>
  <c r="J1396" i="37"/>
  <c r="J361" i="37"/>
  <c r="T361" i="37" s="1"/>
  <c r="J935" i="37"/>
  <c r="T937" i="37" s="1"/>
  <c r="J1441" i="37"/>
  <c r="T1441" i="37" s="1"/>
  <c r="J590" i="37"/>
  <c r="T590" i="37" s="1"/>
  <c r="J66" i="37"/>
  <c r="J419" i="37"/>
  <c r="J1139" i="37"/>
  <c r="J1679" i="37"/>
  <c r="J1572" i="37"/>
  <c r="T1572" i="37" s="1"/>
  <c r="J1819" i="37"/>
  <c r="J1271" i="37"/>
  <c r="J1631" i="37"/>
  <c r="J551" i="37"/>
  <c r="J1248" i="37"/>
  <c r="T1248" i="37" s="1"/>
  <c r="J353" i="37"/>
  <c r="T353" i="37" s="1"/>
  <c r="J1107" i="37"/>
  <c r="T1109" i="37" s="1"/>
  <c r="J1428" i="37"/>
  <c r="T1428" i="37" s="1"/>
  <c r="J603" i="37"/>
  <c r="J830" i="37"/>
  <c r="J1863" i="37"/>
  <c r="J517" i="37"/>
  <c r="T521" i="37" s="1"/>
  <c r="J1576" i="37"/>
  <c r="J708" i="37"/>
  <c r="T708" i="37" s="1"/>
  <c r="J927" i="37"/>
  <c r="T929" i="37" s="1"/>
  <c r="J163" i="37"/>
  <c r="J1143" i="37"/>
  <c r="J410" i="37"/>
  <c r="T410" i="37" s="1"/>
  <c r="J159" i="37"/>
  <c r="T159" i="37" s="1"/>
  <c r="J567" i="37"/>
  <c r="T569" i="37" s="1"/>
  <c r="J1518" i="37"/>
  <c r="T1519" i="37" s="1"/>
  <c r="J1801" i="37"/>
  <c r="T1801" i="37" s="1"/>
  <c r="J856" i="37"/>
  <c r="J371" i="37"/>
  <c r="J901" i="37"/>
  <c r="T901" i="37" s="1"/>
  <c r="J650" i="37"/>
  <c r="J1225" i="37"/>
  <c r="T1229" i="37" s="1"/>
  <c r="J1756" i="37"/>
  <c r="J1216" i="37"/>
  <c r="J770" i="37"/>
  <c r="T770" i="37" s="1"/>
  <c r="J1670" i="37"/>
  <c r="T1670" i="37" s="1"/>
  <c r="J167" i="37"/>
  <c r="T167" i="37" s="1"/>
  <c r="J865" i="37"/>
  <c r="T869" i="37" s="1"/>
  <c r="J1032" i="37"/>
  <c r="T1032" i="37" s="1"/>
  <c r="J1417" i="37"/>
  <c r="T1421" i="37" s="1"/>
  <c r="J1433" i="37"/>
  <c r="T1433" i="37" s="1"/>
  <c r="S1111" i="50"/>
  <c r="S1114" i="50"/>
  <c r="I309" i="41"/>
  <c r="L309" i="41"/>
  <c r="K309" i="41"/>
  <c r="J309" i="41"/>
  <c r="M309" i="41"/>
  <c r="I433" i="37"/>
  <c r="H439" i="37"/>
  <c r="H440" i="37" s="1"/>
  <c r="H441" i="37" s="1"/>
  <c r="I341" i="43"/>
  <c r="E95" i="50"/>
  <c r="I589" i="50"/>
  <c r="E137" i="41"/>
  <c r="S137" i="41" s="1"/>
  <c r="K3" i="37"/>
  <c r="W482" i="42"/>
  <c r="W474" i="42"/>
  <c r="K1266" i="50"/>
  <c r="K1086" i="50"/>
  <c r="K1166" i="50"/>
  <c r="K664" i="50"/>
  <c r="K964" i="50"/>
  <c r="K1158" i="50"/>
  <c r="K57" i="50"/>
  <c r="K1206" i="50"/>
  <c r="K956" i="50"/>
  <c r="K836" i="50"/>
  <c r="K604" i="50"/>
  <c r="K1258" i="50"/>
  <c r="K896" i="50"/>
  <c r="K1278" i="50"/>
  <c r="K536" i="50"/>
  <c r="K1126" i="50"/>
  <c r="K1348" i="50"/>
  <c r="K1349" i="50" s="1"/>
  <c r="K1362" i="50" s="1"/>
  <c r="K656" i="50"/>
  <c r="K1198" i="50"/>
  <c r="K1118" i="50"/>
  <c r="K476" i="50"/>
  <c r="K844" i="50"/>
  <c r="K1367" i="50"/>
  <c r="K716" i="50"/>
  <c r="K340" i="50"/>
  <c r="K1286" i="50"/>
  <c r="K724" i="50"/>
  <c r="K1228" i="50"/>
  <c r="K1354" i="50"/>
  <c r="K596" i="50"/>
  <c r="K904" i="50"/>
  <c r="K544" i="50"/>
  <c r="K484" i="50"/>
  <c r="K1324" i="50"/>
  <c r="K776" i="50"/>
  <c r="K784" i="50"/>
  <c r="K1361" i="50"/>
  <c r="K1016" i="50"/>
  <c r="K1317" i="50"/>
  <c r="K1078" i="50"/>
  <c r="K1236" i="50"/>
  <c r="K1024" i="50"/>
  <c r="L36" i="49"/>
  <c r="L103" i="49"/>
  <c r="L136" i="49"/>
  <c r="L145" i="49"/>
  <c r="L161" i="50" s="1"/>
  <c r="L92" i="50"/>
  <c r="L171" i="49"/>
  <c r="L249" i="49"/>
  <c r="L181" i="49"/>
  <c r="L158" i="49"/>
  <c r="L166" i="50" s="1"/>
  <c r="L242" i="49"/>
  <c r="L166" i="49"/>
  <c r="L171" i="50" s="1"/>
  <c r="L228" i="49"/>
  <c r="L292" i="49"/>
  <c r="L176" i="49"/>
  <c r="L113" i="49"/>
  <c r="L146" i="50" s="1"/>
  <c r="L130" i="49"/>
  <c r="L92" i="49"/>
  <c r="L141" i="50" s="1"/>
  <c r="L65" i="49"/>
  <c r="L112" i="50"/>
  <c r="L97" i="49"/>
  <c r="L149" i="49"/>
  <c r="L233" i="49"/>
  <c r="V233" i="49" s="1"/>
  <c r="L282" i="49"/>
  <c r="V282" i="49" s="1"/>
  <c r="L273" i="49"/>
  <c r="L122" i="49"/>
  <c r="L51" i="49"/>
  <c r="L64" i="50" s="1"/>
  <c r="L278" i="49"/>
  <c r="L221" i="49"/>
  <c r="L153" i="49"/>
  <c r="L268" i="49"/>
  <c r="L200" i="50" s="1"/>
  <c r="L215" i="49"/>
  <c r="L87" i="49"/>
  <c r="L136" i="50" s="1"/>
  <c r="L297" i="49"/>
  <c r="L16" i="49"/>
  <c r="U16" i="49" s="1"/>
  <c r="I1333" i="37"/>
  <c r="M4" i="37"/>
  <c r="I346" i="43"/>
  <c r="E142" i="41"/>
  <c r="S142" i="41" s="1"/>
  <c r="E100" i="50"/>
  <c r="H1339" i="37"/>
  <c r="H1340" i="37" s="1"/>
  <c r="H1341" i="37" s="1"/>
  <c r="J52" i="49"/>
  <c r="J21" i="49"/>
  <c r="J23" i="49" s="1"/>
  <c r="M177" i="49"/>
  <c r="M172" i="50"/>
  <c r="M182" i="49"/>
  <c r="M1191" i="50"/>
  <c r="L1194" i="50"/>
  <c r="H1199" i="50" s="1"/>
  <c r="Q1191" i="50"/>
  <c r="C1221" i="50"/>
  <c r="I1191" i="50"/>
  <c r="D1191" i="50"/>
  <c r="R1711" i="37"/>
  <c r="P1830" i="37"/>
  <c r="E1699" i="37"/>
  <c r="P1861" i="37"/>
  <c r="I1710" i="37"/>
  <c r="R1795" i="37"/>
  <c r="R1851" i="37"/>
  <c r="J1710" i="37"/>
  <c r="P1798" i="37"/>
  <c r="W1693" i="37"/>
  <c r="P1795" i="37"/>
  <c r="P1815" i="37"/>
  <c r="T1693" i="37"/>
  <c r="P1822" i="37"/>
  <c r="P1802" i="37"/>
  <c r="R1693" i="37"/>
  <c r="R1802" i="37"/>
  <c r="P1865" i="37"/>
  <c r="L1701" i="37"/>
  <c r="Q1703" i="37"/>
  <c r="AA1700" i="37" s="1"/>
  <c r="Y1700" i="37" s="1"/>
  <c r="H1703" i="37"/>
  <c r="K1701" i="37"/>
  <c r="S1703" i="37"/>
  <c r="I1701" i="37"/>
  <c r="R1753" i="37"/>
  <c r="R1803" i="37"/>
  <c r="AA1693" i="37"/>
  <c r="J1700" i="37"/>
  <c r="P1838" i="37"/>
  <c r="AA1854" i="37"/>
  <c r="I1700" i="37"/>
  <c r="R1838" i="37"/>
  <c r="L1710" i="37"/>
  <c r="R1789" i="37"/>
  <c r="J1715" i="37"/>
  <c r="M1701" i="37"/>
  <c r="P1713" i="37"/>
  <c r="P1782" i="37"/>
  <c r="P1831" i="37"/>
  <c r="K1710" i="37"/>
  <c r="X1807" i="37"/>
  <c r="J1701" i="37"/>
  <c r="U1693" i="37"/>
  <c r="P1758" i="37"/>
  <c r="R1839" i="37"/>
  <c r="P1846" i="37"/>
  <c r="L1700" i="37"/>
  <c r="V1693" i="37"/>
  <c r="P1789" i="37"/>
  <c r="P1701" i="37"/>
  <c r="R1782" i="37"/>
  <c r="P1823" i="37"/>
  <c r="K1700" i="37"/>
  <c r="P1700" i="37"/>
  <c r="P1847" i="37"/>
  <c r="P1814" i="37"/>
  <c r="P1839" i="37"/>
  <c r="S1693" i="37"/>
  <c r="P1860" i="37"/>
  <c r="X1857" i="37"/>
  <c r="P1851" i="37"/>
  <c r="E1753" i="37"/>
  <c r="P1864" i="37"/>
  <c r="E1854" i="37"/>
  <c r="P1799" i="37"/>
  <c r="R1770" i="37"/>
  <c r="P1803" i="37"/>
  <c r="M1710" i="37"/>
  <c r="P1794" i="37"/>
  <c r="P1757" i="37"/>
  <c r="AA1809" i="37"/>
  <c r="AA1812" i="37" s="1"/>
  <c r="AA1813" i="37" s="1"/>
  <c r="X1761" i="37"/>
  <c r="AA1718" i="37"/>
  <c r="AA1731" i="37" s="1"/>
  <c r="AA1732" i="37" s="1"/>
  <c r="AA1733" i="37" s="1"/>
  <c r="AA1734" i="37" s="1"/>
  <c r="AA1735" i="37" s="1"/>
  <c r="AA1736" i="37" s="1"/>
  <c r="AA1737" i="37" s="1"/>
  <c r="AA1738" i="37" s="1"/>
  <c r="AA1739" i="37" s="1"/>
  <c r="AA1740" i="37" s="1"/>
  <c r="AA1741" i="37" s="1"/>
  <c r="R1847" i="37"/>
  <c r="J1707" i="37"/>
  <c r="P1854" i="37"/>
  <c r="AA1763" i="37"/>
  <c r="P1753" i="37"/>
  <c r="R1794" i="37"/>
  <c r="M1700" i="37"/>
  <c r="I1746" i="37"/>
  <c r="Q1711" i="37"/>
  <c r="N1701" i="37"/>
  <c r="P1719" i="37"/>
  <c r="N1700" i="37"/>
  <c r="Y1699" i="37" s="1"/>
  <c r="P1770" i="37"/>
  <c r="N1698" i="37"/>
  <c r="N1708" i="37" s="1"/>
  <c r="M54" i="49"/>
  <c r="M21" i="49"/>
  <c r="M23" i="49" s="1"/>
  <c r="S482" i="42"/>
  <c r="S474" i="42"/>
  <c r="M1173" i="50"/>
  <c r="K1173" i="50"/>
  <c r="L1185" i="50"/>
  <c r="I1181" i="50"/>
  <c r="I1187" i="50"/>
  <c r="I1186" i="50"/>
  <c r="K1179" i="50"/>
  <c r="J1183" i="50"/>
  <c r="K1184" i="50"/>
  <c r="J1187" i="50"/>
  <c r="K1180" i="50"/>
  <c r="L1183" i="50"/>
  <c r="J1182" i="50"/>
  <c r="M1181" i="50"/>
  <c r="I1180" i="50"/>
  <c r="I1179" i="50"/>
  <c r="L1182" i="50"/>
  <c r="M1184" i="50"/>
  <c r="M1182" i="50"/>
  <c r="M1187" i="50"/>
  <c r="J1184" i="50"/>
  <c r="J1174" i="50"/>
  <c r="K1185" i="50"/>
  <c r="L1173" i="50"/>
  <c r="L1180" i="50"/>
  <c r="J1181" i="50"/>
  <c r="I1183" i="50"/>
  <c r="K1181" i="50"/>
  <c r="K1186" i="50"/>
  <c r="K1174" i="50"/>
  <c r="J1186" i="50"/>
  <c r="L1187" i="50"/>
  <c r="M1174" i="50"/>
  <c r="K1183" i="50"/>
  <c r="M1155" i="50"/>
  <c r="L1179" i="50"/>
  <c r="I1154" i="50"/>
  <c r="L1181" i="50"/>
  <c r="J1180" i="50"/>
  <c r="I1182" i="50"/>
  <c r="I1173" i="50"/>
  <c r="L1167" i="50"/>
  <c r="M1185" i="50"/>
  <c r="I1174" i="50"/>
  <c r="K1182" i="50"/>
  <c r="M1154" i="50"/>
  <c r="L1184" i="50"/>
  <c r="J1185" i="50"/>
  <c r="L1186" i="50"/>
  <c r="M1156" i="50"/>
  <c r="M1163" i="50" s="1"/>
  <c r="T1151" i="50" s="1"/>
  <c r="T1162" i="50" s="1"/>
  <c r="K1187" i="50"/>
  <c r="J1173" i="50"/>
  <c r="M1183" i="50"/>
  <c r="M1186" i="50"/>
  <c r="J1154" i="50"/>
  <c r="K1154" i="50" s="1"/>
  <c r="L1174" i="50"/>
  <c r="I1185" i="50"/>
  <c r="I1184" i="50"/>
  <c r="M1180" i="50"/>
  <c r="P230" i="50"/>
  <c r="L230" i="50"/>
  <c r="I230" i="50"/>
  <c r="M230" i="50"/>
  <c r="K230" i="50"/>
  <c r="J230" i="50"/>
  <c r="H799" i="37"/>
  <c r="H800" i="37" s="1"/>
  <c r="H801" i="37" s="1"/>
  <c r="I343" i="43"/>
  <c r="E97" i="50"/>
  <c r="E139" i="41"/>
  <c r="S139" i="41" s="1"/>
  <c r="G4" i="37"/>
  <c r="I793" i="37"/>
  <c r="T482" i="42"/>
  <c r="T474" i="42"/>
  <c r="M309" i="42"/>
  <c r="W309" i="42" s="1"/>
  <c r="M516" i="42"/>
  <c r="W516" i="42" s="1"/>
  <c r="M222" i="42"/>
  <c r="W222" i="42" s="1"/>
  <c r="M150" i="42"/>
  <c r="W150" i="42" s="1"/>
  <c r="M384" i="42"/>
  <c r="W385" i="42" s="1"/>
  <c r="M537" i="42"/>
  <c r="M131" i="42"/>
  <c r="W131" i="42" s="1"/>
  <c r="M287" i="42"/>
  <c r="M473" i="42"/>
  <c r="M23" i="42"/>
  <c r="W23" i="42" s="1"/>
  <c r="M210" i="42"/>
  <c r="W210" i="42" s="1"/>
  <c r="M226" i="42"/>
  <c r="W226" i="42" s="1"/>
  <c r="M317" i="42"/>
  <c r="W317" i="42" s="1"/>
  <c r="M135" i="42"/>
  <c r="W135" i="42" s="1"/>
  <c r="M429" i="42"/>
  <c r="M305" i="42"/>
  <c r="W305" i="42" s="1"/>
  <c r="M95" i="42"/>
  <c r="M378" i="42"/>
  <c r="W378" i="42" s="1"/>
  <c r="M356" i="42"/>
  <c r="M119" i="42"/>
  <c r="W119" i="42" s="1"/>
  <c r="M171" i="42"/>
  <c r="M105" i="42"/>
  <c r="M449" i="42"/>
  <c r="W449" i="42" s="1"/>
  <c r="M214" i="42"/>
  <c r="W214" i="42" s="1"/>
  <c r="M53" i="42"/>
  <c r="M262" i="42"/>
  <c r="M301" i="42"/>
  <c r="W301" i="42" s="1"/>
  <c r="M196" i="42"/>
  <c r="M127" i="42"/>
  <c r="W127" i="42" s="1"/>
  <c r="M495" i="42"/>
  <c r="M85" i="42"/>
  <c r="W85" i="42" s="1"/>
  <c r="M296" i="42"/>
  <c r="M241" i="42"/>
  <c r="W241" i="42" s="1"/>
  <c r="M282" i="42"/>
  <c r="W282" i="42" s="1"/>
  <c r="M313" i="42"/>
  <c r="W313" i="42" s="1"/>
  <c r="M332" i="42"/>
  <c r="W332" i="42" s="1"/>
  <c r="M405" i="42"/>
  <c r="W405" i="42" s="1"/>
  <c r="M218" i="42"/>
  <c r="W218" i="42" s="1"/>
  <c r="M191" i="42"/>
  <c r="W191" i="42" s="1"/>
  <c r="M123" i="42"/>
  <c r="W123" i="42" s="1"/>
  <c r="M205" i="42"/>
  <c r="M454" i="42"/>
  <c r="W455" i="42" s="1"/>
  <c r="L333" i="50"/>
  <c r="S473" i="42"/>
  <c r="S481" i="42"/>
  <c r="S1154" i="50"/>
  <c r="S1151" i="50"/>
  <c r="N1156" i="50"/>
  <c r="N1154" i="50"/>
  <c r="N1155" i="50"/>
  <c r="H1160" i="50"/>
  <c r="G1163" i="50" s="1"/>
  <c r="K69" i="50"/>
  <c r="K58" i="49"/>
  <c r="I613" i="37"/>
  <c r="M3" i="37"/>
  <c r="E96" i="50"/>
  <c r="I649" i="50"/>
  <c r="I342" i="43"/>
  <c r="E138" i="41"/>
  <c r="S138" i="41" s="1"/>
  <c r="H619" i="37"/>
  <c r="H620" i="37" s="1"/>
  <c r="H621" i="37" s="1"/>
  <c r="H1159" i="37"/>
  <c r="H1160" i="37" s="1"/>
  <c r="H1161" i="37" s="1"/>
  <c r="I829" i="50"/>
  <c r="K4" i="37"/>
  <c r="E99" i="50"/>
  <c r="E141" i="41"/>
  <c r="S141" i="41" s="1"/>
  <c r="I345" i="43"/>
  <c r="I1153" i="37"/>
  <c r="E136" i="41"/>
  <c r="S136" i="41" s="1"/>
  <c r="I340" i="43"/>
  <c r="I529" i="50"/>
  <c r="H259" i="37"/>
  <c r="H260" i="37" s="1"/>
  <c r="H261" i="37" s="1"/>
  <c r="I3" i="37"/>
  <c r="I253" i="37"/>
  <c r="E94" i="50"/>
  <c r="J132" i="49"/>
  <c r="J154" i="50" s="1"/>
  <c r="U473" i="42"/>
  <c r="U481" i="42"/>
  <c r="O205" i="34"/>
  <c r="R205" i="34" s="1"/>
  <c r="C206" i="34"/>
  <c r="D205" i="34"/>
  <c r="I709" i="50"/>
  <c r="H979" i="37"/>
  <c r="H980" i="37" s="1"/>
  <c r="H981" i="37" s="1"/>
  <c r="E140" i="41"/>
  <c r="S140" i="41" s="1"/>
  <c r="I4" i="37"/>
  <c r="I973" i="37"/>
  <c r="E98" i="50"/>
  <c r="I344" i="43"/>
  <c r="I889" i="50"/>
  <c r="C949" i="50"/>
  <c r="D889" i="50"/>
  <c r="Q889" i="50"/>
  <c r="L801" i="50"/>
  <c r="K798" i="50"/>
  <c r="L811" i="50"/>
  <c r="K824" i="50"/>
  <c r="M793" i="50"/>
  <c r="M816" i="50"/>
  <c r="I806" i="50"/>
  <c r="P780" i="50"/>
  <c r="K807" i="50"/>
  <c r="M815" i="50"/>
  <c r="M772" i="50"/>
  <c r="K788" i="50"/>
  <c r="K810" i="50"/>
  <c r="L805" i="50"/>
  <c r="J821" i="50"/>
  <c r="P796" i="50"/>
  <c r="L793" i="50"/>
  <c r="J806" i="50"/>
  <c r="P809" i="50"/>
  <c r="P822" i="50"/>
  <c r="J810" i="50"/>
  <c r="L787" i="50"/>
  <c r="J811" i="50"/>
  <c r="M788" i="50"/>
  <c r="P787" i="50"/>
  <c r="K815" i="50"/>
  <c r="I791" i="50"/>
  <c r="M774" i="50"/>
  <c r="K806" i="50"/>
  <c r="M812" i="50"/>
  <c r="J818" i="50"/>
  <c r="E822" i="50"/>
  <c r="K802" i="50"/>
  <c r="P801" i="50"/>
  <c r="I818" i="50"/>
  <c r="P798" i="50"/>
  <c r="P778" i="50"/>
  <c r="J815" i="50"/>
  <c r="P816" i="50"/>
  <c r="K822" i="50"/>
  <c r="L799" i="50"/>
  <c r="M804" i="50"/>
  <c r="K809" i="50"/>
  <c r="K811" i="50"/>
  <c r="K781" i="50"/>
  <c r="S780" i="50" s="1"/>
  <c r="P781" i="50"/>
  <c r="M787" i="50"/>
  <c r="I790" i="50"/>
  <c r="K793" i="50"/>
  <c r="J824" i="50"/>
  <c r="K774" i="50"/>
  <c r="L796" i="50"/>
  <c r="I781" i="50"/>
  <c r="R780" i="50" s="1"/>
  <c r="M821" i="50"/>
  <c r="K818" i="50"/>
  <c r="J787" i="50"/>
  <c r="P806" i="50"/>
  <c r="J813" i="50"/>
  <c r="L807" i="50"/>
  <c r="I796" i="50"/>
  <c r="I821" i="50"/>
  <c r="P793" i="50"/>
  <c r="L818" i="50"/>
  <c r="L815" i="50"/>
  <c r="K804" i="50"/>
  <c r="P818" i="50"/>
  <c r="K799" i="50"/>
  <c r="P799" i="50"/>
  <c r="L813" i="50"/>
  <c r="P808" i="50"/>
  <c r="J790" i="50"/>
  <c r="P795" i="50"/>
  <c r="I798" i="50"/>
  <c r="K813" i="50"/>
  <c r="P807" i="50"/>
  <c r="M799" i="50"/>
  <c r="P802" i="50"/>
  <c r="P792" i="50"/>
  <c r="I777" i="50"/>
  <c r="M811" i="50"/>
  <c r="M802" i="50"/>
  <c r="J798" i="50"/>
  <c r="I808" i="50"/>
  <c r="P811" i="50"/>
  <c r="G774" i="50"/>
  <c r="L824" i="50"/>
  <c r="K777" i="50"/>
  <c r="I811" i="50"/>
  <c r="M792" i="50"/>
  <c r="P821" i="50"/>
  <c r="I824" i="50"/>
  <c r="K812" i="50"/>
  <c r="J804" i="50"/>
  <c r="K825" i="50"/>
  <c r="P812" i="50"/>
  <c r="K816" i="50"/>
  <c r="J809" i="50"/>
  <c r="J788" i="50"/>
  <c r="M824" i="50"/>
  <c r="K772" i="50"/>
  <c r="M807" i="50"/>
  <c r="E821" i="50"/>
  <c r="P825" i="50"/>
  <c r="M778" i="50"/>
  <c r="M791" i="50"/>
  <c r="I787" i="50"/>
  <c r="P791" i="50"/>
  <c r="L812" i="50"/>
  <c r="P824" i="50"/>
  <c r="M818" i="50"/>
  <c r="M801" i="50"/>
  <c r="P815" i="50"/>
  <c r="L809" i="50"/>
  <c r="I801" i="50"/>
  <c r="I813" i="50"/>
  <c r="M795" i="50"/>
  <c r="F781" i="50"/>
  <c r="L825" i="50"/>
  <c r="L816" i="50"/>
  <c r="J812" i="50"/>
  <c r="L810" i="50"/>
  <c r="L802" i="50"/>
  <c r="K805" i="50"/>
  <c r="K787" i="50"/>
  <c r="K795" i="50"/>
  <c r="J792" i="50"/>
  <c r="I822" i="50"/>
  <c r="I809" i="50"/>
  <c r="L791" i="50"/>
  <c r="I804" i="50"/>
  <c r="M822" i="50"/>
  <c r="I805" i="50"/>
  <c r="M773" i="50"/>
  <c r="M798" i="50"/>
  <c r="J799" i="50"/>
  <c r="M790" i="50"/>
  <c r="I810" i="50"/>
  <c r="M813" i="50"/>
  <c r="I788" i="50"/>
  <c r="L777" i="50"/>
  <c r="I802" i="50"/>
  <c r="I812" i="50"/>
  <c r="K808" i="50"/>
  <c r="L778" i="50"/>
  <c r="P804" i="50"/>
  <c r="L788" i="50"/>
  <c r="P810" i="50"/>
  <c r="J772" i="50"/>
  <c r="L806" i="50"/>
  <c r="J816" i="50"/>
  <c r="I825" i="50"/>
  <c r="L795" i="50"/>
  <c r="M825" i="50"/>
  <c r="M809" i="50"/>
  <c r="L804" i="50"/>
  <c r="M777" i="50"/>
  <c r="J822" i="50"/>
  <c r="K796" i="50"/>
  <c r="J774" i="50"/>
  <c r="J802" i="50"/>
  <c r="E825" i="50"/>
  <c r="R769" i="50"/>
  <c r="D1330" i="50" s="1"/>
  <c r="K791" i="50"/>
  <c r="P805" i="50"/>
  <c r="H774" i="50"/>
  <c r="L808" i="50"/>
  <c r="J791" i="50"/>
  <c r="K801" i="50"/>
  <c r="M805" i="50"/>
  <c r="I816" i="50"/>
  <c r="J808" i="50"/>
  <c r="M796" i="50"/>
  <c r="L792" i="50"/>
  <c r="J825" i="50"/>
  <c r="L822" i="50"/>
  <c r="J807" i="50"/>
  <c r="I815" i="50"/>
  <c r="E824" i="50"/>
  <c r="I778" i="50"/>
  <c r="I799" i="50"/>
  <c r="I795" i="50"/>
  <c r="J796" i="50"/>
  <c r="M810" i="50"/>
  <c r="P813" i="50"/>
  <c r="L798" i="50"/>
  <c r="I793" i="50"/>
  <c r="K792" i="50"/>
  <c r="M781" i="50"/>
  <c r="T769" i="50" s="1"/>
  <c r="T780" i="50" s="1"/>
  <c r="J805" i="50"/>
  <c r="K790" i="50"/>
  <c r="M806" i="50"/>
  <c r="K821" i="50"/>
  <c r="L821" i="50"/>
  <c r="P777" i="50"/>
  <c r="P788" i="50"/>
  <c r="L790" i="50"/>
  <c r="P790" i="50"/>
  <c r="J801" i="50"/>
  <c r="J777" i="50"/>
  <c r="K778" i="50"/>
  <c r="E772" i="50"/>
  <c r="J795" i="50"/>
  <c r="J778" i="50"/>
  <c r="I807" i="50"/>
  <c r="J793" i="50"/>
  <c r="I792" i="50"/>
  <c r="M808" i="50"/>
  <c r="E135" i="41"/>
  <c r="S135" i="41" s="1"/>
  <c r="I13" i="37"/>
  <c r="H26" i="37"/>
  <c r="H27" i="37" s="1"/>
  <c r="H28" i="37" s="1"/>
  <c r="I339" i="43"/>
  <c r="E93" i="50"/>
  <c r="G3" i="37"/>
  <c r="I469" i="50"/>
  <c r="J357" i="43"/>
  <c r="M1179" i="50" l="1"/>
  <c r="M1139" i="50"/>
  <c r="M1172" i="50"/>
  <c r="M1099" i="50"/>
  <c r="L161" i="43"/>
  <c r="L66" i="49"/>
  <c r="K218" i="50"/>
  <c r="J1179" i="50"/>
  <c r="J1099" i="50"/>
  <c r="J1139" i="50"/>
  <c r="I269" i="50"/>
  <c r="I404" i="41"/>
  <c r="J1176" i="50"/>
  <c r="J153" i="50"/>
  <c r="J156" i="50"/>
  <c r="K132" i="49"/>
  <c r="L153" i="50"/>
  <c r="L156" i="50"/>
  <c r="K1172" i="50"/>
  <c r="I329" i="50"/>
  <c r="I206" i="41"/>
  <c r="I330" i="50" s="1"/>
  <c r="L404" i="41"/>
  <c r="L269" i="50"/>
  <c r="M403" i="41"/>
  <c r="M406" i="41" s="1"/>
  <c r="K407" i="41"/>
  <c r="K153" i="50"/>
  <c r="J138" i="49"/>
  <c r="J157" i="50" s="1"/>
  <c r="L138" i="49"/>
  <c r="L157" i="50" s="1"/>
  <c r="L132" i="49"/>
  <c r="I156" i="50"/>
  <c r="I138" i="49"/>
  <c r="I157" i="50" s="1"/>
  <c r="I153" i="50"/>
  <c r="I132" i="49"/>
  <c r="L49" i="41"/>
  <c r="L218" i="50" s="1"/>
  <c r="M49" i="41"/>
  <c r="M218" i="50" s="1"/>
  <c r="I69" i="50"/>
  <c r="I58" i="49"/>
  <c r="E282" i="50"/>
  <c r="S143" i="41"/>
  <c r="E256" i="41"/>
  <c r="N1518" i="37"/>
  <c r="P1642" i="37"/>
  <c r="P1614" i="37"/>
  <c r="X1677" i="37"/>
  <c r="P1623" i="37"/>
  <c r="P1685" i="37"/>
  <c r="H1523" i="37"/>
  <c r="R1615" i="37"/>
  <c r="J1521" i="37"/>
  <c r="P1635" i="37"/>
  <c r="S1513" i="37"/>
  <c r="P1615" i="37"/>
  <c r="P1521" i="37"/>
  <c r="M1521" i="37"/>
  <c r="K1521" i="37"/>
  <c r="P1578" i="37"/>
  <c r="T1513" i="37"/>
  <c r="I1520" i="37"/>
  <c r="V1513" i="37"/>
  <c r="U1513" i="37"/>
  <c r="X1581" i="37"/>
  <c r="R1671" i="37"/>
  <c r="P1658" i="37"/>
  <c r="P1539" i="37"/>
  <c r="K1530" i="37"/>
  <c r="AA1583" i="37"/>
  <c r="P1666" i="37"/>
  <c r="P1602" i="37"/>
  <c r="M1520" i="37"/>
  <c r="P1520" i="37"/>
  <c r="R1659" i="37"/>
  <c r="I1521" i="37"/>
  <c r="M1530" i="37"/>
  <c r="P1619" i="37"/>
  <c r="X1627" i="37"/>
  <c r="I1530" i="37"/>
  <c r="J1530" i="37"/>
  <c r="K1520" i="37"/>
  <c r="P1618" i="37"/>
  <c r="AA1513" i="37"/>
  <c r="N1521" i="37"/>
  <c r="J1527" i="37"/>
  <c r="P1667" i="37"/>
  <c r="R1667" i="37"/>
  <c r="AA1529" i="37"/>
  <c r="AA1674" i="37"/>
  <c r="E1573" i="37"/>
  <c r="P1674" i="37"/>
  <c r="W1513" i="37"/>
  <c r="P1659" i="37"/>
  <c r="P1643" i="37"/>
  <c r="R1573" i="37"/>
  <c r="P1681" i="37"/>
  <c r="P1573" i="37"/>
  <c r="S1523" i="37"/>
  <c r="P1590" i="37"/>
  <c r="E1674" i="37"/>
  <c r="Q1531" i="37"/>
  <c r="P1671" i="37"/>
  <c r="R1614" i="37"/>
  <c r="L1521" i="37"/>
  <c r="R1590" i="37"/>
  <c r="R1623" i="37"/>
  <c r="P1609" i="37"/>
  <c r="J1535" i="37"/>
  <c r="P1533" i="37"/>
  <c r="Y1518" i="37"/>
  <c r="E1519" i="37"/>
  <c r="P1622" i="37"/>
  <c r="P1634" i="37"/>
  <c r="N1520" i="37"/>
  <c r="Y1519" i="37" s="1"/>
  <c r="Q1523" i="37"/>
  <c r="AA1520" i="37" s="1"/>
  <c r="P1684" i="37"/>
  <c r="P1651" i="37"/>
  <c r="R1531" i="37"/>
  <c r="R1609" i="37"/>
  <c r="AA1538" i="37"/>
  <c r="AA1551" i="37" s="1"/>
  <c r="AA1552" i="37" s="1"/>
  <c r="AA1553" i="37" s="1"/>
  <c r="AA1554" i="37" s="1"/>
  <c r="AA1555" i="37" s="1"/>
  <c r="AA1556" i="37" s="1"/>
  <c r="AA1557" i="37" s="1"/>
  <c r="AA1558" i="37" s="1"/>
  <c r="AA1559" i="37" s="1"/>
  <c r="AA1560" i="37" s="1"/>
  <c r="AA1561" i="37" s="1"/>
  <c r="L1530" i="37"/>
  <c r="AA1629" i="37"/>
  <c r="AA1632" i="37" s="1"/>
  <c r="AA1633" i="37" s="1"/>
  <c r="R1658" i="37"/>
  <c r="P1650" i="37"/>
  <c r="R1602" i="37"/>
  <c r="J1520" i="37"/>
  <c r="L1520" i="37"/>
  <c r="R1622" i="37"/>
  <c r="P1577" i="37"/>
  <c r="I1566" i="37"/>
  <c r="P1680" i="37"/>
  <c r="R1513" i="37"/>
  <c r="S101" i="50"/>
  <c r="E121" i="50"/>
  <c r="E229" i="50" s="1"/>
  <c r="P101" i="50"/>
  <c r="N307" i="47"/>
  <c r="W234" i="42"/>
  <c r="S234" i="42"/>
  <c r="T234" i="42"/>
  <c r="U234" i="42"/>
  <c r="V234" i="42"/>
  <c r="N241" i="42"/>
  <c r="AA241" i="42"/>
  <c r="AA242" i="42" s="1"/>
  <c r="E108" i="47"/>
  <c r="E131" i="47"/>
  <c r="T112" i="47"/>
  <c r="P321" i="47"/>
  <c r="T307" i="47"/>
  <c r="P303" i="41"/>
  <c r="E398" i="50"/>
  <c r="E332" i="41"/>
  <c r="V112" i="47"/>
  <c r="V113" i="47" s="1"/>
  <c r="V121" i="47" s="1"/>
  <c r="V122" i="47" s="1"/>
  <c r="V123" i="47" s="1"/>
  <c r="V128" i="47" s="1"/>
  <c r="V129" i="47" s="1"/>
  <c r="V307" i="47"/>
  <c r="V308" i="47" s="1"/>
  <c r="V313" i="47" s="1"/>
  <c r="V314" i="47" s="1"/>
  <c r="V320" i="47" s="1"/>
  <c r="V321" i="47" s="1"/>
  <c r="V143" i="42"/>
  <c r="U143" i="42"/>
  <c r="T143" i="42"/>
  <c r="S143" i="42"/>
  <c r="W143" i="42"/>
  <c r="N112" i="47"/>
  <c r="N121" i="47" s="1"/>
  <c r="N128" i="47" s="1"/>
  <c r="E302" i="47"/>
  <c r="N150" i="42"/>
  <c r="AA150" i="42"/>
  <c r="AA151" i="42" s="1"/>
  <c r="Y438" i="37"/>
  <c r="AA449" i="37"/>
  <c r="AA450" i="37" s="1"/>
  <c r="AA451" i="37" s="1"/>
  <c r="AA452" i="37" s="1"/>
  <c r="AA453" i="37" s="1"/>
  <c r="AA1169" i="37"/>
  <c r="AA1170" i="37" s="1"/>
  <c r="AA1171" i="37" s="1"/>
  <c r="AA1172" i="37" s="1"/>
  <c r="AA1173" i="37" s="1"/>
  <c r="Y1158" i="37"/>
  <c r="T180" i="47"/>
  <c r="P197" i="47"/>
  <c r="E176" i="47"/>
  <c r="E217" i="47"/>
  <c r="N180" i="47"/>
  <c r="N188" i="47" s="1"/>
  <c r="N196" i="47" s="1"/>
  <c r="N207" i="47" s="1"/>
  <c r="X207" i="47" s="1"/>
  <c r="X214" i="47" s="1"/>
  <c r="V180" i="47"/>
  <c r="V181" i="47" s="1"/>
  <c r="V188" i="47" s="1"/>
  <c r="V189" i="47" s="1"/>
  <c r="V190" i="47" s="1"/>
  <c r="V191" i="47" s="1"/>
  <c r="V196" i="47" s="1"/>
  <c r="V197" i="47" s="1"/>
  <c r="T274" i="47"/>
  <c r="E290" i="47"/>
  <c r="N274" i="47"/>
  <c r="N280" i="47" s="1"/>
  <c r="N287" i="47" s="1"/>
  <c r="E269" i="47"/>
  <c r="P288" i="47"/>
  <c r="V274" i="47"/>
  <c r="V275" i="47" s="1"/>
  <c r="V280" i="47" s="1"/>
  <c r="V281" i="47" s="1"/>
  <c r="V287" i="47" s="1"/>
  <c r="V288" i="47" s="1"/>
  <c r="AA1699" i="37"/>
  <c r="AA269" i="37"/>
  <c r="AA270" i="37" s="1"/>
  <c r="AA271" i="37" s="1"/>
  <c r="AA272" i="37" s="1"/>
  <c r="AA273" i="37" s="1"/>
  <c r="Y258" i="37"/>
  <c r="E19" i="47"/>
  <c r="N31" i="47"/>
  <c r="N94" i="47" s="1"/>
  <c r="P95" i="47"/>
  <c r="E97" i="47"/>
  <c r="T31" i="47"/>
  <c r="V31" i="47"/>
  <c r="V32" i="47" s="1"/>
  <c r="V33" i="47" s="1"/>
  <c r="V34" i="47" s="1"/>
  <c r="V35" i="47" s="1"/>
  <c r="V36" i="47" s="1"/>
  <c r="V37" i="47" s="1"/>
  <c r="V38" i="47" s="1"/>
  <c r="V39" i="47" s="1"/>
  <c r="V40" i="47" s="1"/>
  <c r="V41" i="47" s="1"/>
  <c r="V42" i="47" s="1"/>
  <c r="V43" i="47" s="1"/>
  <c r="V44" i="47" s="1"/>
  <c r="V45" i="47" s="1"/>
  <c r="V46" i="47" s="1"/>
  <c r="V47" i="47" s="1"/>
  <c r="V48" i="47" s="1"/>
  <c r="V49" i="47" s="1"/>
  <c r="V50" i="47" s="1"/>
  <c r="V51" i="47" s="1"/>
  <c r="V52" i="47" s="1"/>
  <c r="V53" i="47" s="1"/>
  <c r="V54" i="47" s="1"/>
  <c r="V55" i="47" s="1"/>
  <c r="V56" i="47" s="1"/>
  <c r="V57" i="47" s="1"/>
  <c r="V58" i="47" s="1"/>
  <c r="V59" i="47" s="1"/>
  <c r="V60" i="47" s="1"/>
  <c r="V61" i="47" s="1"/>
  <c r="V62" i="47" s="1"/>
  <c r="V63" i="47" s="1"/>
  <c r="V64" i="47" s="1"/>
  <c r="V65" i="47" s="1"/>
  <c r="V66" i="47" s="1"/>
  <c r="V67" i="47" s="1"/>
  <c r="V68" i="47" s="1"/>
  <c r="V69" i="47" s="1"/>
  <c r="V70" i="47" s="1"/>
  <c r="V71" i="47" s="1"/>
  <c r="V72" i="47" s="1"/>
  <c r="V73" i="47" s="1"/>
  <c r="V74" i="47" s="1"/>
  <c r="V75" i="47" s="1"/>
  <c r="V76" i="47" s="1"/>
  <c r="V77" i="47" s="1"/>
  <c r="V78" i="47" s="1"/>
  <c r="V79" i="47" s="1"/>
  <c r="V80" i="47" s="1"/>
  <c r="V81" i="47" s="1"/>
  <c r="V82" i="47" s="1"/>
  <c r="V83" i="47" s="1"/>
  <c r="V84" i="47" s="1"/>
  <c r="V85" i="47" s="1"/>
  <c r="V86" i="47" s="1"/>
  <c r="V87" i="47" s="1"/>
  <c r="V94" i="47" s="1"/>
  <c r="V95" i="47" s="1"/>
  <c r="P350" i="47"/>
  <c r="T339" i="47"/>
  <c r="E352" i="47"/>
  <c r="N339" i="47"/>
  <c r="N349" i="47" s="1"/>
  <c r="E334" i="47"/>
  <c r="V339" i="47"/>
  <c r="V340" i="47" s="1"/>
  <c r="V341" i="47" s="1"/>
  <c r="V342" i="47" s="1"/>
  <c r="V343" i="47" s="1"/>
  <c r="V344" i="47" s="1"/>
  <c r="V349" i="47" s="1"/>
  <c r="V350" i="47" s="1"/>
  <c r="AA1349" i="37"/>
  <c r="AA1350" i="37" s="1"/>
  <c r="AA1351" i="37" s="1"/>
  <c r="AA1352" i="37" s="1"/>
  <c r="AA1353" i="37" s="1"/>
  <c r="Y1338" i="37"/>
  <c r="E229" i="47"/>
  <c r="P255" i="47"/>
  <c r="E257" i="47"/>
  <c r="N239" i="47"/>
  <c r="N254" i="47" s="1"/>
  <c r="T239" i="47"/>
  <c r="V239" i="47"/>
  <c r="V240" i="47" s="1"/>
  <c r="V241" i="47" s="1"/>
  <c r="V242" i="47" s="1"/>
  <c r="V243" i="47" s="1"/>
  <c r="V244" i="47" s="1"/>
  <c r="V245" i="47" s="1"/>
  <c r="V246" i="47" s="1"/>
  <c r="V247" i="47" s="1"/>
  <c r="V254" i="47" s="1"/>
  <c r="V255" i="47" s="1"/>
  <c r="T146" i="47"/>
  <c r="E142" i="47"/>
  <c r="E165" i="47"/>
  <c r="V146" i="47"/>
  <c r="V147" i="47" s="1"/>
  <c r="V155" i="47" s="1"/>
  <c r="V156" i="47" s="1"/>
  <c r="V157" i="47" s="1"/>
  <c r="V162" i="47" s="1"/>
  <c r="V163" i="47" s="1"/>
  <c r="N146" i="47"/>
  <c r="N155" i="47" s="1"/>
  <c r="N162" i="47" s="1"/>
  <c r="P163" i="47"/>
  <c r="AA40" i="37"/>
  <c r="AA41" i="37" s="1"/>
  <c r="AA42" i="37" s="1"/>
  <c r="AA43" i="37" s="1"/>
  <c r="AA44" i="37" s="1"/>
  <c r="N23" i="42"/>
  <c r="AA23" i="42"/>
  <c r="AA24" i="42" s="1"/>
  <c r="Y978" i="37"/>
  <c r="AA989" i="37"/>
  <c r="AA990" i="37" s="1"/>
  <c r="AA991" i="37" s="1"/>
  <c r="AA992" i="37" s="1"/>
  <c r="AA993" i="37" s="1"/>
  <c r="AA629" i="37"/>
  <c r="AA630" i="37" s="1"/>
  <c r="AA631" i="37" s="1"/>
  <c r="AA632" i="37" s="1"/>
  <c r="AA633" i="37" s="1"/>
  <c r="Y618" i="37"/>
  <c r="AA809" i="37"/>
  <c r="AA810" i="37" s="1"/>
  <c r="AA811" i="37" s="1"/>
  <c r="AA812" i="37" s="1"/>
  <c r="AA813" i="37" s="1"/>
  <c r="Y798" i="37"/>
  <c r="K373" i="47"/>
  <c r="K375" i="47" s="1"/>
  <c r="E367" i="47"/>
  <c r="L373" i="47"/>
  <c r="L375" i="47" s="1"/>
  <c r="M373" i="47"/>
  <c r="M375" i="47" s="1"/>
  <c r="I373" i="47"/>
  <c r="I375" i="47" s="1"/>
  <c r="T371" i="47"/>
  <c r="N371" i="47"/>
  <c r="X374" i="47" s="1"/>
  <c r="E378" i="47"/>
  <c r="J373" i="47"/>
  <c r="J375" i="47" s="1"/>
  <c r="V371" i="47"/>
  <c r="Y1708" i="37"/>
  <c r="Y1709" i="37" s="1"/>
  <c r="Y1710" i="37" s="1"/>
  <c r="Y1711" i="37" s="1"/>
  <c r="Y1712" i="37" s="1"/>
  <c r="Y1713" i="37" s="1"/>
  <c r="U12" i="42"/>
  <c r="T12" i="42"/>
  <c r="W12" i="42"/>
  <c r="S12" i="42"/>
  <c r="V12" i="42"/>
  <c r="G381" i="43"/>
  <c r="D1373" i="50"/>
  <c r="M403" i="50"/>
  <c r="M314" i="41"/>
  <c r="M408" i="50" s="1"/>
  <c r="E274" i="50"/>
  <c r="E248" i="41"/>
  <c r="P1871" i="37"/>
  <c r="P1691" i="37" s="1"/>
  <c r="E279" i="50"/>
  <c r="E253" i="41"/>
  <c r="E275" i="50"/>
  <c r="E249" i="41"/>
  <c r="H777" i="50"/>
  <c r="H772" i="50"/>
  <c r="D949" i="50"/>
  <c r="Q949" i="50"/>
  <c r="C1009" i="50"/>
  <c r="I949" i="50"/>
  <c r="P733" i="50"/>
  <c r="L717" i="50"/>
  <c r="K750" i="50"/>
  <c r="K765" i="50"/>
  <c r="R709" i="50"/>
  <c r="D1329" i="50" s="1"/>
  <c r="I736" i="50"/>
  <c r="J718" i="50"/>
  <c r="J739" i="50"/>
  <c r="J753" i="50"/>
  <c r="P721" i="50"/>
  <c r="P735" i="50"/>
  <c r="L745" i="50"/>
  <c r="J765" i="50"/>
  <c r="J742" i="50"/>
  <c r="K730" i="50"/>
  <c r="M742" i="50"/>
  <c r="I758" i="50"/>
  <c r="M744" i="50"/>
  <c r="J756" i="50"/>
  <c r="K764" i="50"/>
  <c r="M714" i="50"/>
  <c r="M721" i="50" s="1"/>
  <c r="T709" i="50" s="1"/>
  <c r="T720" i="50" s="1"/>
  <c r="J736" i="50"/>
  <c r="M746" i="50"/>
  <c r="M749" i="50"/>
  <c r="M727" i="50"/>
  <c r="L748" i="50"/>
  <c r="P744" i="50"/>
  <c r="M733" i="50"/>
  <c r="L735" i="50"/>
  <c r="I738" i="50"/>
  <c r="M730" i="50"/>
  <c r="J735" i="50"/>
  <c r="I731" i="50"/>
  <c r="P756" i="50"/>
  <c r="M732" i="50"/>
  <c r="L738" i="50"/>
  <c r="P755" i="50"/>
  <c r="J730" i="50"/>
  <c r="J717" i="50"/>
  <c r="L733" i="50"/>
  <c r="E761" i="50"/>
  <c r="L746" i="50"/>
  <c r="I733" i="50"/>
  <c r="M713" i="50"/>
  <c r="M712" i="50"/>
  <c r="M739" i="50"/>
  <c r="J747" i="50"/>
  <c r="P732" i="50"/>
  <c r="L751" i="50"/>
  <c r="K741" i="50"/>
  <c r="L747" i="50"/>
  <c r="I751" i="50"/>
  <c r="I744" i="50"/>
  <c r="L755" i="50"/>
  <c r="I728" i="50"/>
  <c r="P758" i="50"/>
  <c r="K735" i="50"/>
  <c r="M747" i="50"/>
  <c r="K762" i="50"/>
  <c r="L750" i="50"/>
  <c r="K749" i="50"/>
  <c r="I761" i="50"/>
  <c r="J728" i="50"/>
  <c r="I756" i="50"/>
  <c r="L727" i="50"/>
  <c r="K746" i="50"/>
  <c r="J762" i="50"/>
  <c r="L718" i="50"/>
  <c r="P730" i="50"/>
  <c r="K742" i="50"/>
  <c r="J738" i="50"/>
  <c r="J727" i="50"/>
  <c r="M764" i="50"/>
  <c r="F721" i="50"/>
  <c r="J755" i="50"/>
  <c r="K739" i="50"/>
  <c r="K732" i="50"/>
  <c r="G714" i="50"/>
  <c r="E765" i="50"/>
  <c r="J744" i="50"/>
  <c r="J746" i="50"/>
  <c r="E712" i="50"/>
  <c r="M728" i="50"/>
  <c r="I753" i="50"/>
  <c r="I730" i="50"/>
  <c r="L762" i="50"/>
  <c r="K752" i="50"/>
  <c r="J748" i="50"/>
  <c r="L753" i="50"/>
  <c r="M735" i="50"/>
  <c r="I742" i="50"/>
  <c r="I732" i="50"/>
  <c r="J758" i="50"/>
  <c r="K714" i="50"/>
  <c r="I735" i="50"/>
  <c r="P727" i="50"/>
  <c r="J745" i="50"/>
  <c r="K744" i="50"/>
  <c r="M765" i="50"/>
  <c r="I750" i="50"/>
  <c r="I739" i="50"/>
  <c r="P748" i="50"/>
  <c r="I717" i="50"/>
  <c r="P746" i="50"/>
  <c r="I727" i="50"/>
  <c r="I765" i="50"/>
  <c r="J733" i="50"/>
  <c r="P738" i="50"/>
  <c r="P728" i="50"/>
  <c r="J714" i="50"/>
  <c r="I718" i="50"/>
  <c r="L761" i="50"/>
  <c r="P749" i="50"/>
  <c r="E764" i="50"/>
  <c r="P720" i="50"/>
  <c r="P736" i="50"/>
  <c r="K727" i="50"/>
  <c r="K745" i="50"/>
  <c r="J750" i="50"/>
  <c r="L752" i="50"/>
  <c r="L756" i="50"/>
  <c r="K758" i="50"/>
  <c r="I752" i="50"/>
  <c r="I745" i="50"/>
  <c r="K712" i="50"/>
  <c r="M738" i="50"/>
  <c r="I762" i="50"/>
  <c r="H714" i="50"/>
  <c r="P745" i="50"/>
  <c r="P750" i="50"/>
  <c r="J732" i="50"/>
  <c r="J749" i="50"/>
  <c r="M750" i="50"/>
  <c r="K717" i="50"/>
  <c r="K748" i="50"/>
  <c r="I721" i="50"/>
  <c r="R720" i="50" s="1"/>
  <c r="P752" i="50"/>
  <c r="M762" i="50"/>
  <c r="M736" i="50"/>
  <c r="M718" i="50"/>
  <c r="L739" i="50"/>
  <c r="L744" i="50"/>
  <c r="K756" i="50"/>
  <c r="K738" i="50"/>
  <c r="J764" i="50"/>
  <c r="I741" i="50"/>
  <c r="P718" i="50"/>
  <c r="P765" i="50"/>
  <c r="I749" i="50"/>
  <c r="P717" i="50"/>
  <c r="J741" i="50"/>
  <c r="E762" i="50"/>
  <c r="P742" i="50"/>
  <c r="L765" i="50"/>
  <c r="K761" i="50"/>
  <c r="P739" i="50"/>
  <c r="L730" i="50"/>
  <c r="P731" i="50"/>
  <c r="I747" i="50"/>
  <c r="K736" i="50"/>
  <c r="L742" i="50"/>
  <c r="L758" i="50"/>
  <c r="M741" i="50"/>
  <c r="L728" i="50"/>
  <c r="M752" i="50"/>
  <c r="I746" i="50"/>
  <c r="K755" i="50"/>
  <c r="L764" i="50"/>
  <c r="J752" i="50"/>
  <c r="K751" i="50"/>
  <c r="K747" i="50"/>
  <c r="L736" i="50"/>
  <c r="L732" i="50"/>
  <c r="K718" i="50"/>
  <c r="L749" i="50"/>
  <c r="M731" i="50"/>
  <c r="K753" i="50"/>
  <c r="J761" i="50"/>
  <c r="P761" i="50"/>
  <c r="P751" i="50"/>
  <c r="P753" i="50"/>
  <c r="M753" i="50"/>
  <c r="J731" i="50"/>
  <c r="M748" i="50"/>
  <c r="M751" i="50"/>
  <c r="L741" i="50"/>
  <c r="P764" i="50"/>
  <c r="M761" i="50"/>
  <c r="M758" i="50"/>
  <c r="K728" i="50"/>
  <c r="K731" i="50"/>
  <c r="K733" i="50"/>
  <c r="M756" i="50"/>
  <c r="J712" i="50"/>
  <c r="L731" i="50"/>
  <c r="J751" i="50"/>
  <c r="I755" i="50"/>
  <c r="P747" i="50"/>
  <c r="M755" i="50"/>
  <c r="M717" i="50"/>
  <c r="P762" i="50"/>
  <c r="I748" i="50"/>
  <c r="P741" i="50"/>
  <c r="M745" i="50"/>
  <c r="K721" i="50"/>
  <c r="S720" i="50" s="1"/>
  <c r="I764" i="50"/>
  <c r="E114" i="50"/>
  <c r="E222" i="50" s="1"/>
  <c r="P94" i="50"/>
  <c r="S94" i="50"/>
  <c r="L152" i="50"/>
  <c r="L177" i="50"/>
  <c r="N438" i="37"/>
  <c r="N448" i="37" s="1"/>
  <c r="J447" i="37"/>
  <c r="X547" i="37"/>
  <c r="J455" i="37"/>
  <c r="P440" i="37"/>
  <c r="P563" i="37"/>
  <c r="R579" i="37"/>
  <c r="P591" i="37"/>
  <c r="P587" i="37"/>
  <c r="P498" i="37"/>
  <c r="S433" i="37"/>
  <c r="AA503" i="37"/>
  <c r="R493" i="37"/>
  <c r="P510" i="37"/>
  <c r="U433" i="37"/>
  <c r="AA433" i="37"/>
  <c r="N440" i="37"/>
  <c r="Y439" i="37" s="1"/>
  <c r="M440" i="37"/>
  <c r="AA458" i="37"/>
  <c r="AA471" i="37" s="1"/>
  <c r="AA472" i="37" s="1"/>
  <c r="AA473" i="37" s="1"/>
  <c r="AA474" i="37" s="1"/>
  <c r="AA475" i="37" s="1"/>
  <c r="AA476" i="37" s="1"/>
  <c r="AA477" i="37" s="1"/>
  <c r="AA478" i="37" s="1"/>
  <c r="AA479" i="37" s="1"/>
  <c r="AA480" i="37" s="1"/>
  <c r="AA481" i="37" s="1"/>
  <c r="P594" i="37"/>
  <c r="R543" i="37"/>
  <c r="P542" i="37"/>
  <c r="P497" i="37"/>
  <c r="L450" i="37"/>
  <c r="P586" i="37"/>
  <c r="P600" i="37"/>
  <c r="P493" i="37"/>
  <c r="P535" i="37"/>
  <c r="R529" i="37"/>
  <c r="R510" i="37"/>
  <c r="W433" i="37"/>
  <c r="P579" i="37"/>
  <c r="J441" i="37"/>
  <c r="P562" i="37"/>
  <c r="K441" i="37"/>
  <c r="P459" i="37"/>
  <c r="AA594" i="37"/>
  <c r="R535" i="37"/>
  <c r="J450" i="37"/>
  <c r="L441" i="37"/>
  <c r="N441" i="37"/>
  <c r="P555" i="37"/>
  <c r="E493" i="37"/>
  <c r="P570" i="37"/>
  <c r="P453" i="37"/>
  <c r="R534" i="37"/>
  <c r="P538" i="37"/>
  <c r="P539" i="37"/>
  <c r="I486" i="37"/>
  <c r="V433" i="37"/>
  <c r="P605" i="37"/>
  <c r="R451" i="37"/>
  <c r="P554" i="37"/>
  <c r="E594" i="37"/>
  <c r="I440" i="37"/>
  <c r="K440" i="37"/>
  <c r="X501" i="37"/>
  <c r="P601" i="37"/>
  <c r="AA549" i="37"/>
  <c r="AA552" i="37" s="1"/>
  <c r="AA553" i="37" s="1"/>
  <c r="P441" i="37"/>
  <c r="P571" i="37"/>
  <c r="P534" i="37"/>
  <c r="P604" i="37"/>
  <c r="H443" i="37"/>
  <c r="M441" i="37"/>
  <c r="R587" i="37"/>
  <c r="R433" i="37"/>
  <c r="S443" i="37"/>
  <c r="T433" i="37"/>
  <c r="P522" i="37"/>
  <c r="R522" i="37"/>
  <c r="X597" i="37"/>
  <c r="R542" i="37"/>
  <c r="P578" i="37"/>
  <c r="J440" i="37"/>
  <c r="L440" i="37"/>
  <c r="P529" i="37"/>
  <c r="K450" i="37"/>
  <c r="R578" i="37"/>
  <c r="P543" i="37"/>
  <c r="I450" i="37"/>
  <c r="Q451" i="37"/>
  <c r="Q443" i="37"/>
  <c r="AA440" i="37" s="1"/>
  <c r="Y440" i="37" s="1"/>
  <c r="R591" i="37"/>
  <c r="I441" i="37"/>
  <c r="E439" i="37"/>
  <c r="M450" i="37"/>
  <c r="T26" i="37"/>
  <c r="AA414" i="37"/>
  <c r="P391" i="37"/>
  <c r="P261" i="37"/>
  <c r="P407" i="37"/>
  <c r="AA253" i="37"/>
  <c r="R313" i="37"/>
  <c r="P349" i="37"/>
  <c r="M270" i="37"/>
  <c r="P358" i="37"/>
  <c r="P421" i="37"/>
  <c r="P411" i="37"/>
  <c r="AA323" i="37"/>
  <c r="P330" i="37"/>
  <c r="P398" i="37"/>
  <c r="J267" i="37"/>
  <c r="P425" i="37"/>
  <c r="P355" i="37"/>
  <c r="X367" i="37"/>
  <c r="P260" i="37"/>
  <c r="P363" i="37"/>
  <c r="P374" i="37"/>
  <c r="W253" i="37"/>
  <c r="P424" i="37"/>
  <c r="P342" i="37"/>
  <c r="P318" i="37"/>
  <c r="R399" i="37"/>
  <c r="R342" i="37"/>
  <c r="AA278" i="37"/>
  <c r="AA291" i="37" s="1"/>
  <c r="AA292" i="37" s="1"/>
  <c r="AA293" i="37" s="1"/>
  <c r="AA294" i="37" s="1"/>
  <c r="AA295" i="37" s="1"/>
  <c r="AA296" i="37" s="1"/>
  <c r="AA297" i="37" s="1"/>
  <c r="AA298" i="37" s="1"/>
  <c r="AA299" i="37" s="1"/>
  <c r="AA300" i="37" s="1"/>
  <c r="AA301" i="37" s="1"/>
  <c r="U253" i="37"/>
  <c r="P406" i="37"/>
  <c r="P313" i="37"/>
  <c r="R330" i="37"/>
  <c r="K260" i="37"/>
  <c r="S253" i="37"/>
  <c r="P383" i="37"/>
  <c r="V253" i="37"/>
  <c r="I261" i="37"/>
  <c r="Q271" i="37"/>
  <c r="M260" i="37"/>
  <c r="J270" i="37"/>
  <c r="J261" i="37"/>
  <c r="E313" i="37"/>
  <c r="X417" i="37"/>
  <c r="R398" i="37"/>
  <c r="E259" i="37"/>
  <c r="T253" i="37"/>
  <c r="I260" i="37"/>
  <c r="P362" i="37"/>
  <c r="R354" i="37"/>
  <c r="N261" i="37"/>
  <c r="K270" i="37"/>
  <c r="J260" i="37"/>
  <c r="R411" i="37"/>
  <c r="R363" i="37"/>
  <c r="J275" i="37"/>
  <c r="P375" i="37"/>
  <c r="R253" i="37"/>
  <c r="R271" i="37"/>
  <c r="H263" i="37"/>
  <c r="P279" i="37"/>
  <c r="P414" i="37"/>
  <c r="R407" i="37"/>
  <c r="P382" i="37"/>
  <c r="P354" i="37"/>
  <c r="P317" i="37"/>
  <c r="K261" i="37"/>
  <c r="P359" i="37"/>
  <c r="P420" i="37"/>
  <c r="L260" i="37"/>
  <c r="Q263" i="37"/>
  <c r="AA260" i="37" s="1"/>
  <c r="Y260" i="37" s="1"/>
  <c r="AA369" i="37"/>
  <c r="AA372" i="37" s="1"/>
  <c r="AA373" i="37" s="1"/>
  <c r="E414" i="37"/>
  <c r="N260" i="37"/>
  <c r="Y259" i="37" s="1"/>
  <c r="I306" i="37"/>
  <c r="P273" i="37"/>
  <c r="I270" i="37"/>
  <c r="L270" i="37"/>
  <c r="P399" i="37"/>
  <c r="R355" i="37"/>
  <c r="M261" i="37"/>
  <c r="N258" i="37"/>
  <c r="N268" i="37" s="1"/>
  <c r="S263" i="37"/>
  <c r="P390" i="37"/>
  <c r="R362" i="37"/>
  <c r="X321" i="37"/>
  <c r="R349" i="37"/>
  <c r="L261" i="37"/>
  <c r="Q367" i="47"/>
  <c r="Q378" i="47" s="1"/>
  <c r="Q229" i="47"/>
  <c r="Q257" i="47" s="1"/>
  <c r="Q142" i="47"/>
  <c r="Q165" i="47" s="1"/>
  <c r="Q19" i="47"/>
  <c r="Q97" i="47" s="1"/>
  <c r="Q176" i="47"/>
  <c r="Q217" i="47" s="1"/>
  <c r="Q269" i="47"/>
  <c r="Q290" i="47" s="1"/>
  <c r="Q302" i="47"/>
  <c r="Q323" i="47" s="1"/>
  <c r="Q108" i="47"/>
  <c r="Q131" i="47" s="1"/>
  <c r="Q334" i="47"/>
  <c r="Q352" i="47" s="1"/>
  <c r="O206" i="34"/>
  <c r="R206" i="34" s="1"/>
  <c r="C207" i="34"/>
  <c r="D206" i="34"/>
  <c r="P99" i="50"/>
  <c r="E119" i="50"/>
  <c r="E227" i="50" s="1"/>
  <c r="S99" i="50"/>
  <c r="P96" i="50"/>
  <c r="S96" i="50"/>
  <c r="E116" i="50"/>
  <c r="E224" i="50" s="1"/>
  <c r="M67" i="50"/>
  <c r="M56" i="49"/>
  <c r="S1753" i="37"/>
  <c r="S1831" i="37"/>
  <c r="S1711" i="37"/>
  <c r="S1713" i="37"/>
  <c r="S1851" i="37"/>
  <c r="S1830" i="37"/>
  <c r="S1718" i="37"/>
  <c r="S1803" i="37"/>
  <c r="S1770" i="37"/>
  <c r="S1701" i="37"/>
  <c r="S1789" i="37"/>
  <c r="S1782" i="37"/>
  <c r="S1847" i="37"/>
  <c r="S1712" i="37"/>
  <c r="S1795" i="37"/>
  <c r="S1839" i="37"/>
  <c r="S1700" i="37"/>
  <c r="W1831" i="37"/>
  <c r="W1718" i="37"/>
  <c r="W1782" i="37"/>
  <c r="W1713" i="37"/>
  <c r="W1789" i="37"/>
  <c r="W1770" i="37"/>
  <c r="W1753" i="37"/>
  <c r="W1830" i="37"/>
  <c r="W1839" i="37"/>
  <c r="W1803" i="37"/>
  <c r="W1795" i="37"/>
  <c r="W1851" i="37"/>
  <c r="W1847" i="37"/>
  <c r="W1700" i="37"/>
  <c r="W1712" i="37"/>
  <c r="W1701" i="37"/>
  <c r="W1711" i="37"/>
  <c r="P1217" i="50"/>
  <c r="P1202" i="50"/>
  <c r="P1199" i="50"/>
  <c r="P1210" i="50"/>
  <c r="R1191" i="50"/>
  <c r="P1212" i="50"/>
  <c r="P1203" i="50"/>
  <c r="P1200" i="50"/>
  <c r="P1211" i="50"/>
  <c r="P1214" i="50"/>
  <c r="P1209" i="50"/>
  <c r="P1216" i="50"/>
  <c r="E1194" i="50"/>
  <c r="H1194" i="50"/>
  <c r="N1341" i="37"/>
  <c r="P1505" i="37"/>
  <c r="J1341" i="37"/>
  <c r="E1494" i="37"/>
  <c r="L1340" i="37"/>
  <c r="R1393" i="37"/>
  <c r="M1350" i="37"/>
  <c r="P1410" i="37"/>
  <c r="R1351" i="37"/>
  <c r="M1340" i="37"/>
  <c r="E1393" i="37"/>
  <c r="P1494" i="37"/>
  <c r="R1443" i="37"/>
  <c r="J1355" i="37"/>
  <c r="P1504" i="37"/>
  <c r="R1429" i="37"/>
  <c r="P1438" i="37"/>
  <c r="I1340" i="37"/>
  <c r="R1479" i="37"/>
  <c r="N1340" i="37"/>
  <c r="Y1339" i="37" s="1"/>
  <c r="P1478" i="37"/>
  <c r="N1338" i="37"/>
  <c r="R1478" i="37"/>
  <c r="P1479" i="37"/>
  <c r="AA1333" i="37"/>
  <c r="J1347" i="37"/>
  <c r="S1343" i="37"/>
  <c r="E1339" i="37"/>
  <c r="P1442" i="37"/>
  <c r="T1333" i="37"/>
  <c r="J1350" i="37"/>
  <c r="R1333" i="37"/>
  <c r="P1359" i="37"/>
  <c r="P1462" i="37"/>
  <c r="P1434" i="37"/>
  <c r="R1487" i="37"/>
  <c r="U1333" i="37"/>
  <c r="P1455" i="37"/>
  <c r="P1454" i="37"/>
  <c r="P1397" i="37"/>
  <c r="P1341" i="37"/>
  <c r="P1435" i="37"/>
  <c r="X1447" i="37"/>
  <c r="P1501" i="37"/>
  <c r="P1491" i="37"/>
  <c r="P1353" i="37"/>
  <c r="P1398" i="37"/>
  <c r="I1341" i="37"/>
  <c r="P1500" i="37"/>
  <c r="P1470" i="37"/>
  <c r="P1487" i="37"/>
  <c r="L1341" i="37"/>
  <c r="P1422" i="37"/>
  <c r="L1350" i="37"/>
  <c r="AA1403" i="37"/>
  <c r="R1434" i="37"/>
  <c r="P1471" i="37"/>
  <c r="I1350" i="37"/>
  <c r="X1497" i="37"/>
  <c r="Q1351" i="37"/>
  <c r="I1386" i="37"/>
  <c r="P1429" i="37"/>
  <c r="AA1494" i="37"/>
  <c r="R1422" i="37"/>
  <c r="X1401" i="37"/>
  <c r="AA1358" i="37"/>
  <c r="AA1371" i="37" s="1"/>
  <c r="AA1372" i="37" s="1"/>
  <c r="AA1373" i="37" s="1"/>
  <c r="AA1374" i="37" s="1"/>
  <c r="AA1375" i="37" s="1"/>
  <c r="AA1376" i="37" s="1"/>
  <c r="AA1377" i="37" s="1"/>
  <c r="AA1378" i="37" s="1"/>
  <c r="AA1379" i="37" s="1"/>
  <c r="AA1380" i="37" s="1"/>
  <c r="AA1381" i="37" s="1"/>
  <c r="V1333" i="37"/>
  <c r="K1350" i="37"/>
  <c r="P1443" i="37"/>
  <c r="Q1343" i="37"/>
  <c r="AA1340" i="37" s="1"/>
  <c r="J1340" i="37"/>
  <c r="M1341" i="37"/>
  <c r="P1340" i="37"/>
  <c r="R1410" i="37"/>
  <c r="P1463" i="37"/>
  <c r="S1333" i="37"/>
  <c r="K1341" i="37"/>
  <c r="AA1449" i="37"/>
  <c r="AA1452" i="37" s="1"/>
  <c r="AA1453" i="37" s="1"/>
  <c r="P1393" i="37"/>
  <c r="P1439" i="37"/>
  <c r="W1333" i="37"/>
  <c r="R1442" i="37"/>
  <c r="K1340" i="37"/>
  <c r="P1486" i="37"/>
  <c r="R1491" i="37"/>
  <c r="H1343" i="37"/>
  <c r="R1435" i="37"/>
  <c r="J403" i="50"/>
  <c r="J314" i="41"/>
  <c r="J408" i="50" s="1"/>
  <c r="J1708" i="37"/>
  <c r="T1710" i="37" s="1"/>
  <c r="J988" i="37"/>
  <c r="T990" i="37" s="1"/>
  <c r="J39" i="37"/>
  <c r="T41" i="37" s="1"/>
  <c r="J997" i="37"/>
  <c r="T997" i="37" s="1"/>
  <c r="J808" i="37"/>
  <c r="T810" i="37" s="1"/>
  <c r="J457" i="37"/>
  <c r="T457" i="37" s="1"/>
  <c r="J268" i="37"/>
  <c r="T270" i="37" s="1"/>
  <c r="J1348" i="37"/>
  <c r="T1350" i="37" s="1"/>
  <c r="J1537" i="37"/>
  <c r="T1537" i="37" s="1"/>
  <c r="J1177" i="37"/>
  <c r="T1177" i="37" s="1"/>
  <c r="J1357" i="37"/>
  <c r="T1357" i="37" s="1"/>
  <c r="J1168" i="37"/>
  <c r="T1170" i="37" s="1"/>
  <c r="J817" i="37"/>
  <c r="T817" i="37" s="1"/>
  <c r="J1528" i="37"/>
  <c r="T1530" i="37" s="1"/>
  <c r="J51" i="37"/>
  <c r="T51" i="37" s="1"/>
  <c r="J277" i="37"/>
  <c r="T277" i="37" s="1"/>
  <c r="J628" i="37"/>
  <c r="T630" i="37" s="1"/>
  <c r="J448" i="37"/>
  <c r="T450" i="37" s="1"/>
  <c r="J637" i="37"/>
  <c r="T637" i="37" s="1"/>
  <c r="J1717" i="37"/>
  <c r="T1717" i="37" s="1"/>
  <c r="L772" i="50"/>
  <c r="I772" i="50"/>
  <c r="I774" i="50" s="1"/>
  <c r="C1251" i="50"/>
  <c r="L1224" i="50"/>
  <c r="H1229" i="50" s="1"/>
  <c r="I1221" i="50"/>
  <c r="M1221" i="50"/>
  <c r="D1221" i="50"/>
  <c r="Q1221" i="50"/>
  <c r="J65" i="50"/>
  <c r="J56" i="49"/>
  <c r="E276" i="50"/>
  <c r="E250" i="41"/>
  <c r="K403" i="50"/>
  <c r="K314" i="41"/>
  <c r="K408" i="50" s="1"/>
  <c r="E280" i="50"/>
  <c r="E254" i="41"/>
  <c r="U1803" i="37"/>
  <c r="U1713" i="37"/>
  <c r="U1701" i="37"/>
  <c r="U1847" i="37"/>
  <c r="U1711" i="37"/>
  <c r="U1839" i="37"/>
  <c r="U1712" i="37"/>
  <c r="U1700" i="37"/>
  <c r="U1770" i="37"/>
  <c r="U1718" i="37"/>
  <c r="U1831" i="37"/>
  <c r="U1830" i="37"/>
  <c r="U1782" i="37"/>
  <c r="U1851" i="37"/>
  <c r="U1753" i="37"/>
  <c r="U1795" i="37"/>
  <c r="U1789" i="37"/>
  <c r="K1319" i="50"/>
  <c r="K1318" i="50"/>
  <c r="E118" i="50"/>
  <c r="E226" i="50" s="1"/>
  <c r="P98" i="50"/>
  <c r="S98" i="50"/>
  <c r="I41" i="37"/>
  <c r="K41" i="37"/>
  <c r="W13" i="37"/>
  <c r="E231" i="37"/>
  <c r="P110" i="37"/>
  <c r="J46" i="37"/>
  <c r="M28" i="37"/>
  <c r="R160" i="37"/>
  <c r="I27" i="37"/>
  <c r="P169" i="37"/>
  <c r="P102" i="37"/>
  <c r="P161" i="37"/>
  <c r="P53" i="37"/>
  <c r="E26" i="37"/>
  <c r="Q42" i="37"/>
  <c r="R151" i="37"/>
  <c r="X120" i="37"/>
  <c r="M41" i="37"/>
  <c r="P27" i="37"/>
  <c r="P243" i="37"/>
  <c r="P165" i="37"/>
  <c r="R42" i="37"/>
  <c r="R169" i="37"/>
  <c r="P168" i="37"/>
  <c r="R219" i="37"/>
  <c r="P111" i="37"/>
  <c r="R13" i="37"/>
  <c r="H30" i="37"/>
  <c r="J41" i="37"/>
  <c r="P181" i="37"/>
  <c r="R141" i="37"/>
  <c r="L27" i="37"/>
  <c r="R209" i="37"/>
  <c r="AA175" i="37"/>
  <c r="AA179" i="37" s="1"/>
  <c r="AA180" i="37" s="1"/>
  <c r="T13" i="37"/>
  <c r="P160" i="37"/>
  <c r="R102" i="37"/>
  <c r="Q30" i="37"/>
  <c r="AA27" i="37" s="1"/>
  <c r="P210" i="37"/>
  <c r="S13" i="37"/>
  <c r="P44" i="37"/>
  <c r="P182" i="37"/>
  <c r="P200" i="37"/>
  <c r="P218" i="37"/>
  <c r="P239" i="37"/>
  <c r="AA52" i="37"/>
  <c r="AA67" i="37" s="1"/>
  <c r="AA68" i="37" s="1"/>
  <c r="AA69" i="37" s="1"/>
  <c r="AA70" i="37" s="1"/>
  <c r="AA71" i="37" s="1"/>
  <c r="AA72" i="37" s="1"/>
  <c r="AA73" i="37" s="1"/>
  <c r="AA74" i="37" s="1"/>
  <c r="AA75" i="37" s="1"/>
  <c r="AA76" i="37" s="1"/>
  <c r="AA77" i="37" s="1"/>
  <c r="J27" i="37"/>
  <c r="P225" i="37"/>
  <c r="R129" i="37"/>
  <c r="AA231" i="37"/>
  <c r="J35" i="37"/>
  <c r="R161" i="37"/>
  <c r="P164" i="37"/>
  <c r="P209" i="37"/>
  <c r="L41" i="37"/>
  <c r="L28" i="37"/>
  <c r="U13" i="37"/>
  <c r="I28" i="37"/>
  <c r="R225" i="37"/>
  <c r="I82" i="37"/>
  <c r="P201" i="37"/>
  <c r="X173" i="37"/>
  <c r="P141" i="37"/>
  <c r="P231" i="37"/>
  <c r="P190" i="37"/>
  <c r="P28" i="37"/>
  <c r="S30" i="37"/>
  <c r="N25" i="37" s="1"/>
  <c r="N39" i="37" s="1"/>
  <c r="AA122" i="37"/>
  <c r="E102" i="37"/>
  <c r="AA13" i="37"/>
  <c r="P244" i="37"/>
  <c r="V13" i="37"/>
  <c r="X236" i="37"/>
  <c r="P219" i="37"/>
  <c r="R210" i="37"/>
  <c r="P191" i="37"/>
  <c r="P240" i="37"/>
  <c r="P129" i="37"/>
  <c r="P151" i="37"/>
  <c r="R168" i="37"/>
  <c r="M27" i="37"/>
  <c r="R1118" i="37"/>
  <c r="X1041" i="37"/>
  <c r="M981" i="37"/>
  <c r="X1087" i="37"/>
  <c r="R1082" i="37"/>
  <c r="K981" i="37"/>
  <c r="P1037" i="37"/>
  <c r="P1033" i="37"/>
  <c r="L980" i="37"/>
  <c r="S973" i="37"/>
  <c r="P1144" i="37"/>
  <c r="P1069" i="37"/>
  <c r="P1111" i="37"/>
  <c r="R991" i="37"/>
  <c r="J981" i="37"/>
  <c r="R1069" i="37"/>
  <c r="R1050" i="37"/>
  <c r="P1127" i="37"/>
  <c r="P999" i="37"/>
  <c r="P1038" i="37"/>
  <c r="R1131" i="37"/>
  <c r="P1095" i="37"/>
  <c r="P1110" i="37"/>
  <c r="E1033" i="37"/>
  <c r="P1126" i="37"/>
  <c r="K980" i="37"/>
  <c r="S983" i="37"/>
  <c r="T973" i="37"/>
  <c r="P1083" i="37"/>
  <c r="L990" i="37"/>
  <c r="R1127" i="37"/>
  <c r="H983" i="37"/>
  <c r="R1062" i="37"/>
  <c r="R1074" i="37"/>
  <c r="R1033" i="37"/>
  <c r="J980" i="37"/>
  <c r="J987" i="37"/>
  <c r="R1083" i="37"/>
  <c r="W973" i="37"/>
  <c r="P1118" i="37"/>
  <c r="I980" i="37"/>
  <c r="P981" i="37"/>
  <c r="P1134" i="37"/>
  <c r="P1078" i="37"/>
  <c r="P1075" i="37"/>
  <c r="P1102" i="37"/>
  <c r="J995" i="37"/>
  <c r="M990" i="37"/>
  <c r="P1131" i="37"/>
  <c r="P1141" i="37"/>
  <c r="R973" i="37"/>
  <c r="L981" i="37"/>
  <c r="N980" i="37"/>
  <c r="Y979" i="37" s="1"/>
  <c r="AA1134" i="37"/>
  <c r="P993" i="37"/>
  <c r="R1119" i="37"/>
  <c r="K990" i="37"/>
  <c r="I981" i="37"/>
  <c r="P980" i="37"/>
  <c r="E1134" i="37"/>
  <c r="M980" i="37"/>
  <c r="I990" i="37"/>
  <c r="P1079" i="37"/>
  <c r="AA998" i="37"/>
  <c r="AA1011" i="37" s="1"/>
  <c r="AA1012" i="37" s="1"/>
  <c r="AA1013" i="37" s="1"/>
  <c r="AA1014" i="37" s="1"/>
  <c r="AA1015" i="37" s="1"/>
  <c r="AA1016" i="37" s="1"/>
  <c r="AA1017" i="37" s="1"/>
  <c r="AA1018" i="37" s="1"/>
  <c r="AA1019" i="37" s="1"/>
  <c r="AA1020" i="37" s="1"/>
  <c r="AA1021" i="37" s="1"/>
  <c r="R1075" i="37"/>
  <c r="P1119" i="37"/>
  <c r="Q991" i="37"/>
  <c r="AA1043" i="37"/>
  <c r="AA1089" i="37"/>
  <c r="AA1092" i="37" s="1"/>
  <c r="AA1093" i="37" s="1"/>
  <c r="AA973" i="37"/>
  <c r="P1050" i="37"/>
  <c r="P1094" i="37"/>
  <c r="I1026" i="37"/>
  <c r="N978" i="37"/>
  <c r="N988" i="37" s="1"/>
  <c r="J990" i="37"/>
  <c r="E979" i="37"/>
  <c r="P1145" i="37"/>
  <c r="N981" i="37"/>
  <c r="V973" i="37"/>
  <c r="P1062" i="37"/>
  <c r="U973" i="37"/>
  <c r="P1140" i="37"/>
  <c r="X1137" i="37"/>
  <c r="P1082" i="37"/>
  <c r="P1103" i="37"/>
  <c r="P1074" i="37"/>
  <c r="Q983" i="37"/>
  <c r="AA980" i="37" s="1"/>
  <c r="Y980" i="37" s="1"/>
  <c r="L570" i="50"/>
  <c r="K538" i="50"/>
  <c r="L573" i="50"/>
  <c r="P576" i="50"/>
  <c r="J555" i="50"/>
  <c r="J565" i="50"/>
  <c r="L584" i="50"/>
  <c r="K537" i="50"/>
  <c r="M552" i="50"/>
  <c r="J552" i="50"/>
  <c r="P548" i="50"/>
  <c r="J576" i="50"/>
  <c r="K578" i="50"/>
  <c r="M556" i="50"/>
  <c r="L548" i="50"/>
  <c r="P550" i="50"/>
  <c r="I552" i="50"/>
  <c r="M532" i="50"/>
  <c r="K573" i="50"/>
  <c r="L537" i="50"/>
  <c r="F541" i="50"/>
  <c r="L566" i="50"/>
  <c r="K561" i="50"/>
  <c r="L578" i="50"/>
  <c r="M553" i="50"/>
  <c r="M555" i="50"/>
  <c r="K532" i="50"/>
  <c r="J547" i="50"/>
  <c r="I548" i="50"/>
  <c r="E585" i="50"/>
  <c r="K555" i="50"/>
  <c r="I551" i="50"/>
  <c r="I537" i="50"/>
  <c r="E532" i="50"/>
  <c r="L571" i="50"/>
  <c r="M568" i="50"/>
  <c r="L581" i="50"/>
  <c r="J564" i="50"/>
  <c r="J567" i="50"/>
  <c r="E582" i="50"/>
  <c r="I562" i="50"/>
  <c r="L582" i="50"/>
  <c r="P565" i="50"/>
  <c r="L564" i="50"/>
  <c r="K556" i="50"/>
  <c r="P553" i="50"/>
  <c r="J570" i="50"/>
  <c r="P552" i="50"/>
  <c r="I565" i="50"/>
  <c r="P559" i="50"/>
  <c r="P585" i="50"/>
  <c r="P561" i="50"/>
  <c r="M565" i="50"/>
  <c r="J584" i="50"/>
  <c r="M570" i="50"/>
  <c r="L553" i="50"/>
  <c r="L552" i="50"/>
  <c r="M538" i="50"/>
  <c r="K562" i="50"/>
  <c r="I585" i="50"/>
  <c r="K553" i="50"/>
  <c r="M575" i="50"/>
  <c r="J585" i="50"/>
  <c r="M569" i="50"/>
  <c r="I553" i="50"/>
  <c r="I581" i="50"/>
  <c r="I571" i="50"/>
  <c r="K552" i="50"/>
  <c r="G534" i="50"/>
  <c r="J548" i="50"/>
  <c r="P537" i="50"/>
  <c r="M576" i="50"/>
  <c r="L547" i="50"/>
  <c r="M534" i="50"/>
  <c r="I575" i="50"/>
  <c r="L558" i="50"/>
  <c r="L555" i="50"/>
  <c r="M548" i="50"/>
  <c r="K581" i="50"/>
  <c r="M585" i="50"/>
  <c r="K575" i="50"/>
  <c r="M541" i="50"/>
  <c r="T529" i="50" s="1"/>
  <c r="T540" i="50" s="1"/>
  <c r="E581" i="50"/>
  <c r="I572" i="50"/>
  <c r="I555" i="50"/>
  <c r="K582" i="50"/>
  <c r="J558" i="50"/>
  <c r="L565" i="50"/>
  <c r="K547" i="50"/>
  <c r="L559" i="50"/>
  <c r="L567" i="50"/>
  <c r="P572" i="50"/>
  <c r="L561" i="50"/>
  <c r="J559" i="50"/>
  <c r="L572" i="50"/>
  <c r="P564" i="50"/>
  <c r="J538" i="50"/>
  <c r="K565" i="50"/>
  <c r="P541" i="50"/>
  <c r="P566" i="50"/>
  <c r="M567" i="50"/>
  <c r="P547" i="50"/>
  <c r="P578" i="50"/>
  <c r="I566" i="50"/>
  <c r="P562" i="50"/>
  <c r="M578" i="50"/>
  <c r="I573" i="50"/>
  <c r="M581" i="50"/>
  <c r="P567" i="50"/>
  <c r="M582" i="50"/>
  <c r="L551" i="50"/>
  <c r="K571" i="50"/>
  <c r="J537" i="50"/>
  <c r="K550" i="50"/>
  <c r="L568" i="50"/>
  <c r="J562" i="50"/>
  <c r="P573" i="50"/>
  <c r="K567" i="50"/>
  <c r="E584" i="50"/>
  <c r="L569" i="50"/>
  <c r="M561" i="50"/>
  <c r="M572" i="50"/>
  <c r="M551" i="50"/>
  <c r="L576" i="50"/>
  <c r="K551" i="50"/>
  <c r="I547" i="50"/>
  <c r="P556" i="50"/>
  <c r="L575" i="50"/>
  <c r="P538" i="50"/>
  <c r="P570" i="50"/>
  <c r="P551" i="50"/>
  <c r="K572" i="50"/>
  <c r="J568" i="50"/>
  <c r="I556" i="50"/>
  <c r="M564" i="50"/>
  <c r="J573" i="50"/>
  <c r="K559" i="50"/>
  <c r="P584" i="50"/>
  <c r="P575" i="50"/>
  <c r="J556" i="50"/>
  <c r="M584" i="50"/>
  <c r="M571" i="50"/>
  <c r="M533" i="50"/>
  <c r="I569" i="50"/>
  <c r="P571" i="50"/>
  <c r="I561" i="50"/>
  <c r="K558" i="50"/>
  <c r="M566" i="50"/>
  <c r="P540" i="50"/>
  <c r="K585" i="50"/>
  <c r="H534" i="50"/>
  <c r="I538" i="50"/>
  <c r="P568" i="50"/>
  <c r="K564" i="50"/>
  <c r="J551" i="50"/>
  <c r="R529" i="50"/>
  <c r="D1326" i="50" s="1"/>
  <c r="I568" i="50"/>
  <c r="P582" i="50"/>
  <c r="J553" i="50"/>
  <c r="P558" i="50"/>
  <c r="M562" i="50"/>
  <c r="M537" i="50"/>
  <c r="K584" i="50"/>
  <c r="I559" i="50"/>
  <c r="J578" i="50"/>
  <c r="K548" i="50"/>
  <c r="I550" i="50"/>
  <c r="J581" i="50"/>
  <c r="I584" i="50"/>
  <c r="I564" i="50"/>
  <c r="L562" i="50"/>
  <c r="M558" i="50"/>
  <c r="M550" i="50"/>
  <c r="J569" i="50"/>
  <c r="J550" i="50"/>
  <c r="J566" i="50"/>
  <c r="J532" i="50"/>
  <c r="M573" i="50"/>
  <c r="J561" i="50"/>
  <c r="I582" i="50"/>
  <c r="I578" i="50"/>
  <c r="K568" i="50"/>
  <c r="J571" i="50"/>
  <c r="P555" i="50"/>
  <c r="P581" i="50"/>
  <c r="K566" i="50"/>
  <c r="M547" i="50"/>
  <c r="L538" i="50"/>
  <c r="J572" i="50"/>
  <c r="K541" i="50"/>
  <c r="S540" i="50" s="1"/>
  <c r="I576" i="50"/>
  <c r="I570" i="50"/>
  <c r="J534" i="50"/>
  <c r="J582" i="50"/>
  <c r="L585" i="50"/>
  <c r="L550" i="50"/>
  <c r="L556" i="50"/>
  <c r="J575" i="50"/>
  <c r="K534" i="50"/>
  <c r="K576" i="50"/>
  <c r="K570" i="50"/>
  <c r="I567" i="50"/>
  <c r="M559" i="50"/>
  <c r="I558" i="50"/>
  <c r="P569" i="50"/>
  <c r="I541" i="50"/>
  <c r="R540" i="50" s="1"/>
  <c r="K569" i="50"/>
  <c r="L862" i="50"/>
  <c r="M866" i="50"/>
  <c r="K841" i="50"/>
  <c r="S840" i="50" s="1"/>
  <c r="J873" i="50"/>
  <c r="K868" i="50"/>
  <c r="K878" i="50"/>
  <c r="K876" i="50"/>
  <c r="I837" i="50"/>
  <c r="J871" i="50"/>
  <c r="M878" i="50"/>
  <c r="F841" i="50"/>
  <c r="P851" i="50"/>
  <c r="M848" i="50"/>
  <c r="I871" i="50"/>
  <c r="L865" i="50"/>
  <c r="L838" i="50"/>
  <c r="K865" i="50"/>
  <c r="P867" i="50"/>
  <c r="I881" i="50"/>
  <c r="P859" i="50"/>
  <c r="K861" i="50"/>
  <c r="I848" i="50"/>
  <c r="M864" i="50"/>
  <c r="J867" i="50"/>
  <c r="E882" i="50"/>
  <c r="M885" i="50"/>
  <c r="P881" i="50"/>
  <c r="M847" i="50"/>
  <c r="M856" i="50"/>
  <c r="M881" i="50"/>
  <c r="J832" i="50"/>
  <c r="L859" i="50"/>
  <c r="I866" i="50"/>
  <c r="J856" i="50"/>
  <c r="K870" i="50"/>
  <c r="K884" i="50"/>
  <c r="J884" i="50"/>
  <c r="J848" i="50"/>
  <c r="K853" i="50"/>
  <c r="I859" i="50"/>
  <c r="L885" i="50"/>
  <c r="P856" i="50"/>
  <c r="J864" i="50"/>
  <c r="M858" i="50"/>
  <c r="M850" i="50"/>
  <c r="M869" i="50"/>
  <c r="L851" i="50"/>
  <c r="L878" i="50"/>
  <c r="J885" i="50"/>
  <c r="J853" i="50"/>
  <c r="L848" i="50"/>
  <c r="I876" i="50"/>
  <c r="I847" i="50"/>
  <c r="K838" i="50"/>
  <c r="M832" i="50"/>
  <c r="I882" i="50"/>
  <c r="J838" i="50"/>
  <c r="I841" i="50"/>
  <c r="R840" i="50" s="1"/>
  <c r="I864" i="50"/>
  <c r="L869" i="50"/>
  <c r="K871" i="50"/>
  <c r="I861" i="50"/>
  <c r="M834" i="50"/>
  <c r="M841" i="50" s="1"/>
  <c r="T829" i="50" s="1"/>
  <c r="T840" i="50" s="1"/>
  <c r="I867" i="50"/>
  <c r="E884" i="50"/>
  <c r="K859" i="50"/>
  <c r="J865" i="50"/>
  <c r="L853" i="50"/>
  <c r="L847" i="50"/>
  <c r="K866" i="50"/>
  <c r="M837" i="50"/>
  <c r="P870" i="50"/>
  <c r="I865" i="50"/>
  <c r="L875" i="50"/>
  <c r="I838" i="50"/>
  <c r="K850" i="50"/>
  <c r="K832" i="50"/>
  <c r="M875" i="50"/>
  <c r="K848" i="50"/>
  <c r="P862" i="50"/>
  <c r="K864" i="50"/>
  <c r="M851" i="50"/>
  <c r="P841" i="50"/>
  <c r="M853" i="50"/>
  <c r="E881" i="50"/>
  <c r="M872" i="50"/>
  <c r="I884" i="50"/>
  <c r="L858" i="50"/>
  <c r="P848" i="50"/>
  <c r="I858" i="50"/>
  <c r="K869" i="50"/>
  <c r="I868" i="50"/>
  <c r="L868" i="50"/>
  <c r="M867" i="50"/>
  <c r="J869" i="50"/>
  <c r="K881" i="50"/>
  <c r="M855" i="50"/>
  <c r="J859" i="50"/>
  <c r="L856" i="50"/>
  <c r="P876" i="50"/>
  <c r="L872" i="50"/>
  <c r="I862" i="50"/>
  <c r="K858" i="50"/>
  <c r="L867" i="50"/>
  <c r="E832" i="50"/>
  <c r="P875" i="50"/>
  <c r="L881" i="50"/>
  <c r="J868" i="50"/>
  <c r="I852" i="50"/>
  <c r="I869" i="50"/>
  <c r="J866" i="50"/>
  <c r="L871" i="50"/>
  <c r="J875" i="50"/>
  <c r="P865" i="50"/>
  <c r="I870" i="50"/>
  <c r="J837" i="50"/>
  <c r="K847" i="50"/>
  <c r="K872" i="50"/>
  <c r="L850" i="50"/>
  <c r="P840" i="50"/>
  <c r="M882" i="50"/>
  <c r="L864" i="50"/>
  <c r="M838" i="50"/>
  <c r="P882" i="50"/>
  <c r="P838" i="50"/>
  <c r="J852" i="50"/>
  <c r="M852" i="50"/>
  <c r="G834" i="50"/>
  <c r="P866" i="50"/>
  <c r="K855" i="50"/>
  <c r="P850" i="50"/>
  <c r="K875" i="50"/>
  <c r="P873" i="50"/>
  <c r="P885" i="50"/>
  <c r="P869" i="50"/>
  <c r="I872" i="50"/>
  <c r="I875" i="50"/>
  <c r="K862" i="50"/>
  <c r="L882" i="50"/>
  <c r="J861" i="50"/>
  <c r="M859" i="50"/>
  <c r="P855" i="50"/>
  <c r="J862" i="50"/>
  <c r="J872" i="50"/>
  <c r="K882" i="50"/>
  <c r="K852" i="50"/>
  <c r="E885" i="50"/>
  <c r="I885" i="50"/>
  <c r="I856" i="50"/>
  <c r="P868" i="50"/>
  <c r="P861" i="50"/>
  <c r="M871" i="50"/>
  <c r="J878" i="50"/>
  <c r="I850" i="50"/>
  <c r="L876" i="50"/>
  <c r="P852" i="50"/>
  <c r="M833" i="50"/>
  <c r="J855" i="50"/>
  <c r="J847" i="50"/>
  <c r="L873" i="50"/>
  <c r="L866" i="50"/>
  <c r="P872" i="50"/>
  <c r="I878" i="50"/>
  <c r="M876" i="50"/>
  <c r="M870" i="50"/>
  <c r="M868" i="50"/>
  <c r="P871" i="50"/>
  <c r="R829" i="50"/>
  <c r="D1331" i="50" s="1"/>
  <c r="I851" i="50"/>
  <c r="P864" i="50"/>
  <c r="K834" i="50"/>
  <c r="M865" i="50"/>
  <c r="J876" i="50"/>
  <c r="P884" i="50"/>
  <c r="J834" i="50"/>
  <c r="P847" i="50"/>
  <c r="L861" i="50"/>
  <c r="H834" i="50"/>
  <c r="L870" i="50"/>
  <c r="I853" i="50"/>
  <c r="M861" i="50"/>
  <c r="K867" i="50"/>
  <c r="L855" i="50"/>
  <c r="L837" i="50"/>
  <c r="K856" i="50"/>
  <c r="P858" i="50"/>
  <c r="K851" i="50"/>
  <c r="J870" i="50"/>
  <c r="K837" i="50"/>
  <c r="L884" i="50"/>
  <c r="M862" i="50"/>
  <c r="K873" i="50"/>
  <c r="J881" i="50"/>
  <c r="P878" i="50"/>
  <c r="J850" i="50"/>
  <c r="J882" i="50"/>
  <c r="I873" i="50"/>
  <c r="P837" i="50"/>
  <c r="J858" i="50"/>
  <c r="M873" i="50"/>
  <c r="J851" i="50"/>
  <c r="L852" i="50"/>
  <c r="I855" i="50"/>
  <c r="K885" i="50"/>
  <c r="P853" i="50"/>
  <c r="M884" i="50"/>
  <c r="M621" i="37"/>
  <c r="R722" i="37"/>
  <c r="P771" i="37"/>
  <c r="X727" i="37"/>
  <c r="AA683" i="37"/>
  <c r="P784" i="37"/>
  <c r="E619" i="37"/>
  <c r="P718" i="37"/>
  <c r="H623" i="37"/>
  <c r="J635" i="37"/>
  <c r="R613" i="37"/>
  <c r="I621" i="37"/>
  <c r="J620" i="37"/>
  <c r="R690" i="37"/>
  <c r="K620" i="37"/>
  <c r="N618" i="37"/>
  <c r="N628" i="37" s="1"/>
  <c r="P702" i="37"/>
  <c r="L630" i="37"/>
  <c r="I666" i="37"/>
  <c r="P639" i="37"/>
  <c r="J630" i="37"/>
  <c r="R758" i="37"/>
  <c r="Q623" i="37"/>
  <c r="AA620" i="37" s="1"/>
  <c r="L620" i="37"/>
  <c r="P767" i="37"/>
  <c r="P715" i="37"/>
  <c r="R767" i="37"/>
  <c r="L621" i="37"/>
  <c r="K630" i="37"/>
  <c r="P759" i="37"/>
  <c r="N620" i="37"/>
  <c r="Y619" i="37" s="1"/>
  <c r="P785" i="37"/>
  <c r="P766" i="37"/>
  <c r="P742" i="37"/>
  <c r="K621" i="37"/>
  <c r="P673" i="37"/>
  <c r="I620" i="37"/>
  <c r="M620" i="37"/>
  <c r="R714" i="37"/>
  <c r="P722" i="37"/>
  <c r="E774" i="37"/>
  <c r="J627" i="37"/>
  <c r="P621" i="37"/>
  <c r="R702" i="37"/>
  <c r="P678" i="37"/>
  <c r="P750" i="37"/>
  <c r="M630" i="37"/>
  <c r="P743" i="37"/>
  <c r="X681" i="37"/>
  <c r="T613" i="37"/>
  <c r="S613" i="37"/>
  <c r="U613" i="37"/>
  <c r="P758" i="37"/>
  <c r="P781" i="37"/>
  <c r="R771" i="37"/>
  <c r="P734" i="37"/>
  <c r="Q631" i="37"/>
  <c r="I630" i="37"/>
  <c r="P723" i="37"/>
  <c r="W613" i="37"/>
  <c r="R709" i="37"/>
  <c r="P774" i="37"/>
  <c r="P735" i="37"/>
  <c r="AA774" i="37"/>
  <c r="R673" i="37"/>
  <c r="J621" i="37"/>
  <c r="V613" i="37"/>
  <c r="R631" i="37"/>
  <c r="R715" i="37"/>
  <c r="AA638" i="37"/>
  <c r="AA651" i="37" s="1"/>
  <c r="AA652" i="37" s="1"/>
  <c r="AA653" i="37" s="1"/>
  <c r="AA654" i="37" s="1"/>
  <c r="AA655" i="37" s="1"/>
  <c r="AA656" i="37" s="1"/>
  <c r="AA657" i="37" s="1"/>
  <c r="AA658" i="37" s="1"/>
  <c r="AA659" i="37" s="1"/>
  <c r="AA660" i="37" s="1"/>
  <c r="AA661" i="37" s="1"/>
  <c r="P690" i="37"/>
  <c r="E673" i="37"/>
  <c r="P719" i="37"/>
  <c r="AA729" i="37"/>
  <c r="AA732" i="37" s="1"/>
  <c r="AA733" i="37" s="1"/>
  <c r="P677" i="37"/>
  <c r="S623" i="37"/>
  <c r="AA613" i="37"/>
  <c r="P714" i="37"/>
  <c r="R723" i="37"/>
  <c r="P620" i="37"/>
  <c r="N621" i="37"/>
  <c r="P709" i="37"/>
  <c r="R759" i="37"/>
  <c r="P751" i="37"/>
  <c r="P780" i="37"/>
  <c r="X777" i="37"/>
  <c r="P633" i="37"/>
  <c r="P800" i="37"/>
  <c r="I846" i="37"/>
  <c r="R903" i="37"/>
  <c r="R938" i="37"/>
  <c r="R939" i="37"/>
  <c r="X907" i="37"/>
  <c r="P889" i="37"/>
  <c r="P801" i="37"/>
  <c r="R793" i="37"/>
  <c r="U793" i="37"/>
  <c r="L810" i="37"/>
  <c r="I810" i="37"/>
  <c r="P931" i="37"/>
  <c r="N801" i="37"/>
  <c r="AA863" i="37"/>
  <c r="R889" i="37"/>
  <c r="P965" i="37"/>
  <c r="R895" i="37"/>
  <c r="AA793" i="37"/>
  <c r="P923" i="37"/>
  <c r="R870" i="37"/>
  <c r="P819" i="37"/>
  <c r="R882" i="37"/>
  <c r="P899" i="37"/>
  <c r="P938" i="37"/>
  <c r="Q811" i="37"/>
  <c r="Q803" i="37"/>
  <c r="AA800" i="37" s="1"/>
  <c r="AA954" i="37"/>
  <c r="R853" i="37"/>
  <c r="P946" i="37"/>
  <c r="M800" i="37"/>
  <c r="J815" i="37"/>
  <c r="S803" i="37"/>
  <c r="J801" i="37"/>
  <c r="L800" i="37"/>
  <c r="I800" i="37"/>
  <c r="E954" i="37"/>
  <c r="P930" i="37"/>
  <c r="J800" i="37"/>
  <c r="P882" i="37"/>
  <c r="P947" i="37"/>
  <c r="I801" i="37"/>
  <c r="AA909" i="37"/>
  <c r="AA912" i="37" s="1"/>
  <c r="AA913" i="37" s="1"/>
  <c r="P813" i="37"/>
  <c r="AA818" i="37"/>
  <c r="AA831" i="37" s="1"/>
  <c r="AA832" i="37" s="1"/>
  <c r="AA833" i="37" s="1"/>
  <c r="AA834" i="37" s="1"/>
  <c r="AA835" i="37" s="1"/>
  <c r="AA836" i="37" s="1"/>
  <c r="AA837" i="37" s="1"/>
  <c r="AA838" i="37" s="1"/>
  <c r="AA839" i="37" s="1"/>
  <c r="AA840" i="37" s="1"/>
  <c r="AA841" i="37" s="1"/>
  <c r="E853" i="37"/>
  <c r="R951" i="37"/>
  <c r="P902" i="37"/>
  <c r="V793" i="37"/>
  <c r="R811" i="37"/>
  <c r="M801" i="37"/>
  <c r="P960" i="37"/>
  <c r="N798" i="37"/>
  <c r="N808" i="37" s="1"/>
  <c r="T793" i="37"/>
  <c r="J810" i="37"/>
  <c r="W793" i="37"/>
  <c r="P939" i="37"/>
  <c r="S793" i="37"/>
  <c r="K810" i="37"/>
  <c r="P903" i="37"/>
  <c r="M810" i="37"/>
  <c r="P954" i="37"/>
  <c r="K800" i="37"/>
  <c r="K801" i="37"/>
  <c r="E799" i="37"/>
  <c r="R947" i="37"/>
  <c r="P914" i="37"/>
  <c r="P895" i="37"/>
  <c r="L801" i="37"/>
  <c r="P922" i="37"/>
  <c r="R902" i="37"/>
  <c r="P858" i="37"/>
  <c r="X861" i="37"/>
  <c r="P853" i="37"/>
  <c r="N800" i="37"/>
  <c r="Y799" i="37" s="1"/>
  <c r="P915" i="37"/>
  <c r="P870" i="37"/>
  <c r="H803" i="37"/>
  <c r="R894" i="37"/>
  <c r="P898" i="37"/>
  <c r="P964" i="37"/>
  <c r="P961" i="37"/>
  <c r="X957" i="37"/>
  <c r="P894" i="37"/>
  <c r="P857" i="37"/>
  <c r="J807" i="37"/>
  <c r="P951" i="37"/>
  <c r="R474" i="42"/>
  <c r="V1795" i="37"/>
  <c r="V1789" i="37"/>
  <c r="V1718" i="37"/>
  <c r="V1847" i="37"/>
  <c r="V1851" i="37"/>
  <c r="V1713" i="37"/>
  <c r="V1830" i="37"/>
  <c r="V1770" i="37"/>
  <c r="V1782" i="37"/>
  <c r="V1700" i="37"/>
  <c r="V1753" i="37"/>
  <c r="V1831" i="37"/>
  <c r="V1701" i="37"/>
  <c r="V1711" i="37"/>
  <c r="V1712" i="37"/>
  <c r="V1839" i="37"/>
  <c r="V1803" i="37"/>
  <c r="P615" i="50"/>
  <c r="J636" i="50"/>
  <c r="J621" i="50"/>
  <c r="M611" i="50"/>
  <c r="E645" i="50"/>
  <c r="J624" i="50"/>
  <c r="K636" i="50"/>
  <c r="M618" i="50"/>
  <c r="J633" i="50"/>
  <c r="L636" i="50"/>
  <c r="K641" i="50"/>
  <c r="P610" i="50"/>
  <c r="I624" i="50"/>
  <c r="P612" i="50"/>
  <c r="K621" i="50"/>
  <c r="P622" i="50"/>
  <c r="J630" i="50"/>
  <c r="K629" i="50"/>
  <c r="J625" i="50"/>
  <c r="I613" i="50"/>
  <c r="J608" i="50"/>
  <c r="I642" i="50"/>
  <c r="M621" i="50"/>
  <c r="L612" i="50"/>
  <c r="J613" i="50"/>
  <c r="P598" i="50"/>
  <c r="K633" i="50"/>
  <c r="M638" i="50"/>
  <c r="L615" i="50"/>
  <c r="I632" i="50"/>
  <c r="L644" i="50"/>
  <c r="I601" i="50"/>
  <c r="R600" i="50" s="1"/>
  <c r="J644" i="50"/>
  <c r="I619" i="50"/>
  <c r="P638" i="50"/>
  <c r="I630" i="50"/>
  <c r="L597" i="50"/>
  <c r="I633" i="50"/>
  <c r="L645" i="50"/>
  <c r="J642" i="50"/>
  <c r="L642" i="50"/>
  <c r="L633" i="50"/>
  <c r="M593" i="50"/>
  <c r="K608" i="50"/>
  <c r="K635" i="50"/>
  <c r="F601" i="50"/>
  <c r="P601" i="50"/>
  <c r="M624" i="50"/>
  <c r="P597" i="50"/>
  <c r="P628" i="50"/>
  <c r="K594" i="50"/>
  <c r="M641" i="50"/>
  <c r="L631" i="50"/>
  <c r="L624" i="50"/>
  <c r="K613" i="50"/>
  <c r="E641" i="50"/>
  <c r="K597" i="50"/>
  <c r="M633" i="50"/>
  <c r="K612" i="50"/>
  <c r="J611" i="50"/>
  <c r="M608" i="50"/>
  <c r="P642" i="50"/>
  <c r="K618" i="50"/>
  <c r="I598" i="50"/>
  <c r="P625" i="50"/>
  <c r="I641" i="50"/>
  <c r="L628" i="50"/>
  <c r="M598" i="50"/>
  <c r="I627" i="50"/>
  <c r="M631" i="50"/>
  <c r="M597" i="50"/>
  <c r="I629" i="50"/>
  <c r="J638" i="50"/>
  <c r="P600" i="50"/>
  <c r="P641" i="50"/>
  <c r="H594" i="50"/>
  <c r="M616" i="50"/>
  <c r="K607" i="50"/>
  <c r="P624" i="50"/>
  <c r="K616" i="50"/>
  <c r="E642" i="50"/>
  <c r="E644" i="50"/>
  <c r="L635" i="50"/>
  <c r="G594" i="50"/>
  <c r="M644" i="50"/>
  <c r="J635" i="50"/>
  <c r="K592" i="50"/>
  <c r="I611" i="50"/>
  <c r="I644" i="50"/>
  <c r="M610" i="50"/>
  <c r="R589" i="50"/>
  <c r="D1327" i="50" s="1"/>
  <c r="P633" i="50"/>
  <c r="M594" i="50"/>
  <c r="M601" i="50" s="1"/>
  <c r="T589" i="50" s="1"/>
  <c r="T600" i="50" s="1"/>
  <c r="I628" i="50"/>
  <c r="L626" i="50"/>
  <c r="M613" i="50"/>
  <c r="J619" i="50"/>
  <c r="I612" i="50"/>
  <c r="J607" i="50"/>
  <c r="J612" i="50"/>
  <c r="M626" i="50"/>
  <c r="P645" i="50"/>
  <c r="I638" i="50"/>
  <c r="M607" i="50"/>
  <c r="K642" i="50"/>
  <c r="J628" i="50"/>
  <c r="J618" i="50"/>
  <c r="P611" i="50"/>
  <c r="J626" i="50"/>
  <c r="I636" i="50"/>
  <c r="P616" i="50"/>
  <c r="P636" i="50"/>
  <c r="M622" i="50"/>
  <c r="P631" i="50"/>
  <c r="M636" i="50"/>
  <c r="J622" i="50"/>
  <c r="P644" i="50"/>
  <c r="J594" i="50"/>
  <c r="M619" i="50"/>
  <c r="M632" i="50"/>
  <c r="K631" i="50"/>
  <c r="L608" i="50"/>
  <c r="P627" i="50"/>
  <c r="L613" i="50"/>
  <c r="M635" i="50"/>
  <c r="L610" i="50"/>
  <c r="L616" i="50"/>
  <c r="K632" i="50"/>
  <c r="J632" i="50"/>
  <c r="K630" i="50"/>
  <c r="P618" i="50"/>
  <c r="L641" i="50"/>
  <c r="P607" i="50"/>
  <c r="P630" i="50"/>
  <c r="I597" i="50"/>
  <c r="K611" i="50"/>
  <c r="J629" i="50"/>
  <c r="P608" i="50"/>
  <c r="P629" i="50"/>
  <c r="L630" i="50"/>
  <c r="J597" i="50"/>
  <c r="I645" i="50"/>
  <c r="J598" i="50"/>
  <c r="M627" i="50"/>
  <c r="J645" i="50"/>
  <c r="M645" i="50"/>
  <c r="I607" i="50"/>
  <c r="K624" i="50"/>
  <c r="L638" i="50"/>
  <c r="L632" i="50"/>
  <c r="P635" i="50"/>
  <c r="K627" i="50"/>
  <c r="K610" i="50"/>
  <c r="K622" i="50"/>
  <c r="I615" i="50"/>
  <c r="I631" i="50"/>
  <c r="I622" i="50"/>
  <c r="I610" i="50"/>
  <c r="I635" i="50"/>
  <c r="K598" i="50"/>
  <c r="K645" i="50"/>
  <c r="K625" i="50"/>
  <c r="L619" i="50"/>
  <c r="P626" i="50"/>
  <c r="L625" i="50"/>
  <c r="K615" i="50"/>
  <c r="M615" i="50"/>
  <c r="P621" i="50"/>
  <c r="M629" i="50"/>
  <c r="K644" i="50"/>
  <c r="M642" i="50"/>
  <c r="J592" i="50"/>
  <c r="K601" i="50"/>
  <c r="S600" i="50" s="1"/>
  <c r="M630" i="50"/>
  <c r="P619" i="50"/>
  <c r="K638" i="50"/>
  <c r="L621" i="50"/>
  <c r="E592" i="50"/>
  <c r="L622" i="50"/>
  <c r="I625" i="50"/>
  <c r="M592" i="50"/>
  <c r="K619" i="50"/>
  <c r="P613" i="50"/>
  <c r="I626" i="50"/>
  <c r="J631" i="50"/>
  <c r="M625" i="50"/>
  <c r="P632" i="50"/>
  <c r="I616" i="50"/>
  <c r="L618" i="50"/>
  <c r="K628" i="50"/>
  <c r="L629" i="50"/>
  <c r="L627" i="50"/>
  <c r="J610" i="50"/>
  <c r="J641" i="50"/>
  <c r="J615" i="50"/>
  <c r="I618" i="50"/>
  <c r="L607" i="50"/>
  <c r="L598" i="50"/>
  <c r="I621" i="50"/>
  <c r="I608" i="50"/>
  <c r="M612" i="50"/>
  <c r="J616" i="50"/>
  <c r="M628" i="50"/>
  <c r="J627" i="50"/>
  <c r="L611" i="50"/>
  <c r="K626" i="50"/>
  <c r="L403" i="50"/>
  <c r="L314" i="41"/>
  <c r="L408" i="50" s="1"/>
  <c r="P93" i="50"/>
  <c r="E113" i="50"/>
  <c r="E221" i="50" s="1"/>
  <c r="S93" i="50"/>
  <c r="I915" i="50"/>
  <c r="P918" i="50"/>
  <c r="I901" i="50"/>
  <c r="R900" i="50" s="1"/>
  <c r="I931" i="50"/>
  <c r="P926" i="50"/>
  <c r="K925" i="50"/>
  <c r="K941" i="50"/>
  <c r="J932" i="50"/>
  <c r="I916" i="50"/>
  <c r="K894" i="50"/>
  <c r="I912" i="50"/>
  <c r="J918" i="50"/>
  <c r="L907" i="50"/>
  <c r="L930" i="50"/>
  <c r="I907" i="50"/>
  <c r="F901" i="50"/>
  <c r="K935" i="50"/>
  <c r="L932" i="50"/>
  <c r="M924" i="50"/>
  <c r="M894" i="50"/>
  <c r="L910" i="50"/>
  <c r="I921" i="50"/>
  <c r="P900" i="50"/>
  <c r="M936" i="50"/>
  <c r="J929" i="50"/>
  <c r="J931" i="50"/>
  <c r="M933" i="50"/>
  <c r="K910" i="50"/>
  <c r="M929" i="50"/>
  <c r="I945" i="50"/>
  <c r="L928" i="50"/>
  <c r="K938" i="50"/>
  <c r="I897" i="50"/>
  <c r="I911" i="50"/>
  <c r="M922" i="50"/>
  <c r="K924" i="50"/>
  <c r="J915" i="50"/>
  <c r="P941" i="50"/>
  <c r="M915" i="50"/>
  <c r="K926" i="50"/>
  <c r="M913" i="50"/>
  <c r="J892" i="50"/>
  <c r="K931" i="50"/>
  <c r="P929" i="50"/>
  <c r="L929" i="50"/>
  <c r="M928" i="50"/>
  <c r="M911" i="50"/>
  <c r="J922" i="50"/>
  <c r="L933" i="50"/>
  <c r="I938" i="50"/>
  <c r="K912" i="50"/>
  <c r="M898" i="50"/>
  <c r="K936" i="50"/>
  <c r="J936" i="50"/>
  <c r="K897" i="50"/>
  <c r="P921" i="50"/>
  <c r="J916" i="50"/>
  <c r="K927" i="50"/>
  <c r="K916" i="50"/>
  <c r="L941" i="50"/>
  <c r="J910" i="50"/>
  <c r="K907" i="50"/>
  <c r="L942" i="50"/>
  <c r="G894" i="50"/>
  <c r="K913" i="50"/>
  <c r="P933" i="50"/>
  <c r="J911" i="50"/>
  <c r="L935" i="50"/>
  <c r="L921" i="50"/>
  <c r="I936" i="50"/>
  <c r="L897" i="50"/>
  <c r="M945" i="50"/>
  <c r="E892" i="50"/>
  <c r="L912" i="50"/>
  <c r="K911" i="50"/>
  <c r="M901" i="50"/>
  <c r="T889" i="50" s="1"/>
  <c r="T900" i="50" s="1"/>
  <c r="L944" i="50"/>
  <c r="P945" i="50"/>
  <c r="E942" i="50"/>
  <c r="I927" i="50"/>
  <c r="K942" i="50"/>
  <c r="M912" i="50"/>
  <c r="M927" i="50"/>
  <c r="J907" i="50"/>
  <c r="K919" i="50"/>
  <c r="L936" i="50"/>
  <c r="M918" i="50"/>
  <c r="K932" i="50"/>
  <c r="P944" i="50"/>
  <c r="K901" i="50"/>
  <c r="S900" i="50" s="1"/>
  <c r="K944" i="50"/>
  <c r="M938" i="50"/>
  <c r="L945" i="50"/>
  <c r="L927" i="50"/>
  <c r="L925" i="50"/>
  <c r="J919" i="50"/>
  <c r="K908" i="50"/>
  <c r="M944" i="50"/>
  <c r="K921" i="50"/>
  <c r="I941" i="50"/>
  <c r="P938" i="50"/>
  <c r="L916" i="50"/>
  <c r="I898" i="50"/>
  <c r="P907" i="50"/>
  <c r="M892" i="50"/>
  <c r="P915" i="50"/>
  <c r="M931" i="50"/>
  <c r="M926" i="50"/>
  <c r="L938" i="50"/>
  <c r="R889" i="50"/>
  <c r="D1332" i="50" s="1"/>
  <c r="E944" i="50"/>
  <c r="J912" i="50"/>
  <c r="I933" i="50"/>
  <c r="L908" i="50"/>
  <c r="M919" i="50"/>
  <c r="K930" i="50"/>
  <c r="J913" i="50"/>
  <c r="K933" i="50"/>
  <c r="I908" i="50"/>
  <c r="M908" i="50"/>
  <c r="J930" i="50"/>
  <c r="P897" i="50"/>
  <c r="P908" i="50"/>
  <c r="P898" i="50"/>
  <c r="I919" i="50"/>
  <c r="J938" i="50"/>
  <c r="J942" i="50"/>
  <c r="I910" i="50"/>
  <c r="P942" i="50"/>
  <c r="J894" i="50"/>
  <c r="M925" i="50"/>
  <c r="P912" i="50"/>
  <c r="I930" i="50"/>
  <c r="K898" i="50"/>
  <c r="J927" i="50"/>
  <c r="P936" i="50"/>
  <c r="M907" i="50"/>
  <c r="J928" i="50"/>
  <c r="M910" i="50"/>
  <c r="E945" i="50"/>
  <c r="K929" i="50"/>
  <c r="I918" i="50"/>
  <c r="M893" i="50"/>
  <c r="M897" i="50"/>
  <c r="L898" i="50"/>
  <c r="K928" i="50"/>
  <c r="L926" i="50"/>
  <c r="L918" i="50"/>
  <c r="P928" i="50"/>
  <c r="J935" i="50"/>
  <c r="I925" i="50"/>
  <c r="L919" i="50"/>
  <c r="P919" i="50"/>
  <c r="P922" i="50"/>
  <c r="H894" i="50"/>
  <c r="M935" i="50"/>
  <c r="M941" i="50"/>
  <c r="P927" i="50"/>
  <c r="P935" i="50"/>
  <c r="I944" i="50"/>
  <c r="J941" i="50"/>
  <c r="I926" i="50"/>
  <c r="I929" i="50"/>
  <c r="J897" i="50"/>
  <c r="I932" i="50"/>
  <c r="M921" i="50"/>
  <c r="P932" i="50"/>
  <c r="K892" i="50"/>
  <c r="K945" i="50"/>
  <c r="J908" i="50"/>
  <c r="P925" i="50"/>
  <c r="J926" i="50"/>
  <c r="I942" i="50"/>
  <c r="K918" i="50"/>
  <c r="I922" i="50"/>
  <c r="I935" i="50"/>
  <c r="P916" i="50"/>
  <c r="P913" i="50"/>
  <c r="J925" i="50"/>
  <c r="L922" i="50"/>
  <c r="L913" i="50"/>
  <c r="J921" i="50"/>
  <c r="P911" i="50"/>
  <c r="J924" i="50"/>
  <c r="L911" i="50"/>
  <c r="I924" i="50"/>
  <c r="J944" i="50"/>
  <c r="K915" i="50"/>
  <c r="I913" i="50"/>
  <c r="K922" i="50"/>
  <c r="P910" i="50"/>
  <c r="M930" i="50"/>
  <c r="L931" i="50"/>
  <c r="J898" i="50"/>
  <c r="P930" i="50"/>
  <c r="P901" i="50"/>
  <c r="M942" i="50"/>
  <c r="E941" i="50"/>
  <c r="L915" i="50"/>
  <c r="I928" i="50"/>
  <c r="P931" i="50"/>
  <c r="P924" i="50"/>
  <c r="J933" i="50"/>
  <c r="M916" i="50"/>
  <c r="J945" i="50"/>
  <c r="L924" i="50"/>
  <c r="M932" i="50"/>
  <c r="J687" i="50"/>
  <c r="L678" i="50"/>
  <c r="I671" i="50"/>
  <c r="L693" i="50"/>
  <c r="I705" i="50"/>
  <c r="K678" i="50"/>
  <c r="M675" i="50"/>
  <c r="M668" i="50"/>
  <c r="I690" i="50"/>
  <c r="I675" i="50"/>
  <c r="P679" i="50"/>
  <c r="M672" i="50"/>
  <c r="P702" i="50"/>
  <c r="I676" i="50"/>
  <c r="L667" i="50"/>
  <c r="J686" i="50"/>
  <c r="E702" i="50"/>
  <c r="I701" i="50"/>
  <c r="J695" i="50"/>
  <c r="J676" i="50"/>
  <c r="J671" i="50"/>
  <c r="E704" i="50"/>
  <c r="K698" i="50"/>
  <c r="K684" i="50"/>
  <c r="M686" i="50"/>
  <c r="M705" i="50"/>
  <c r="M679" i="50"/>
  <c r="K679" i="50"/>
  <c r="L676" i="50"/>
  <c r="I668" i="50"/>
  <c r="L698" i="50"/>
  <c r="H654" i="50"/>
  <c r="L690" i="50"/>
  <c r="P660" i="50"/>
  <c r="L701" i="50"/>
  <c r="L691" i="50"/>
  <c r="K658" i="50"/>
  <c r="L705" i="50"/>
  <c r="M673" i="50"/>
  <c r="P657" i="50"/>
  <c r="P661" i="50"/>
  <c r="P675" i="50"/>
  <c r="K682" i="50"/>
  <c r="J682" i="50"/>
  <c r="L670" i="50"/>
  <c r="I698" i="50"/>
  <c r="P705" i="50"/>
  <c r="J688" i="50"/>
  <c r="I691" i="50"/>
  <c r="M684" i="50"/>
  <c r="P693" i="50"/>
  <c r="L689" i="50"/>
  <c r="I688" i="50"/>
  <c r="M695" i="50"/>
  <c r="L688" i="50"/>
  <c r="P704" i="50"/>
  <c r="P687" i="50"/>
  <c r="J670" i="50"/>
  <c r="P695" i="50"/>
  <c r="M652" i="50"/>
  <c r="K688" i="50"/>
  <c r="J657" i="50"/>
  <c r="L668" i="50"/>
  <c r="I704" i="50"/>
  <c r="M702" i="50"/>
  <c r="P670" i="50"/>
  <c r="P689" i="50"/>
  <c r="L704" i="50"/>
  <c r="L685" i="50"/>
  <c r="K675" i="50"/>
  <c r="J696" i="50"/>
  <c r="K701" i="50"/>
  <c r="I670" i="50"/>
  <c r="I702" i="50"/>
  <c r="M670" i="50"/>
  <c r="I685" i="50"/>
  <c r="J685" i="50"/>
  <c r="J667" i="50"/>
  <c r="K673" i="50"/>
  <c r="M678" i="50"/>
  <c r="J705" i="50"/>
  <c r="J698" i="50"/>
  <c r="K652" i="50"/>
  <c r="L681" i="50"/>
  <c r="J691" i="50"/>
  <c r="K693" i="50"/>
  <c r="E652" i="50"/>
  <c r="I679" i="50"/>
  <c r="J693" i="50"/>
  <c r="P686" i="50"/>
  <c r="I667" i="50"/>
  <c r="L657" i="50"/>
  <c r="M687" i="50"/>
  <c r="J675" i="50"/>
  <c r="M658" i="50"/>
  <c r="J689" i="50"/>
  <c r="E701" i="50"/>
  <c r="K696" i="50"/>
  <c r="M667" i="50"/>
  <c r="I658" i="50"/>
  <c r="K672" i="50"/>
  <c r="I693" i="50"/>
  <c r="I661" i="50"/>
  <c r="R660" i="50" s="1"/>
  <c r="P691" i="50"/>
  <c r="J654" i="50"/>
  <c r="M671" i="50"/>
  <c r="L672" i="50"/>
  <c r="I687" i="50"/>
  <c r="P673" i="50"/>
  <c r="J684" i="50"/>
  <c r="P658" i="50"/>
  <c r="J702" i="50"/>
  <c r="J658" i="50"/>
  <c r="K702" i="50"/>
  <c r="K668" i="50"/>
  <c r="K685" i="50"/>
  <c r="K670" i="50"/>
  <c r="K657" i="50"/>
  <c r="I673" i="50"/>
  <c r="L658" i="50"/>
  <c r="K671" i="50"/>
  <c r="K667" i="50"/>
  <c r="J679" i="50"/>
  <c r="K705" i="50"/>
  <c r="K676" i="50"/>
  <c r="I672" i="50"/>
  <c r="I681" i="50"/>
  <c r="M688" i="50"/>
  <c r="L682" i="50"/>
  <c r="P676" i="50"/>
  <c r="M696" i="50"/>
  <c r="P692" i="50"/>
  <c r="K704" i="50"/>
  <c r="I678" i="50"/>
  <c r="L686" i="50"/>
  <c r="K691" i="50"/>
  <c r="I684" i="50"/>
  <c r="K686" i="50"/>
  <c r="P681" i="50"/>
  <c r="F661" i="50"/>
  <c r="P688" i="50"/>
  <c r="M691" i="50"/>
  <c r="P678" i="50"/>
  <c r="L675" i="50"/>
  <c r="I682" i="50"/>
  <c r="J673" i="50"/>
  <c r="P690" i="50"/>
  <c r="J672" i="50"/>
  <c r="L687" i="50"/>
  <c r="M654" i="50"/>
  <c r="M661" i="50" s="1"/>
  <c r="T649" i="50" s="1"/>
  <c r="T660" i="50" s="1"/>
  <c r="L696" i="50"/>
  <c r="K695" i="50"/>
  <c r="M653" i="50"/>
  <c r="P667" i="50"/>
  <c r="L695" i="50"/>
  <c r="M657" i="50"/>
  <c r="P668" i="50"/>
  <c r="L702" i="50"/>
  <c r="P684" i="50"/>
  <c r="K681" i="50"/>
  <c r="P701" i="50"/>
  <c r="M701" i="50"/>
  <c r="M704" i="50"/>
  <c r="P696" i="50"/>
  <c r="G654" i="50"/>
  <c r="I695" i="50"/>
  <c r="I692" i="50"/>
  <c r="M692" i="50"/>
  <c r="I696" i="50"/>
  <c r="K690" i="50"/>
  <c r="J668" i="50"/>
  <c r="P682" i="50"/>
  <c r="I657" i="50"/>
  <c r="L684" i="50"/>
  <c r="M698" i="50"/>
  <c r="P671" i="50"/>
  <c r="P685" i="50"/>
  <c r="M685" i="50"/>
  <c r="J690" i="50"/>
  <c r="P698" i="50"/>
  <c r="I689" i="50"/>
  <c r="I686" i="50"/>
  <c r="J704" i="50"/>
  <c r="M682" i="50"/>
  <c r="L692" i="50"/>
  <c r="L673" i="50"/>
  <c r="P672" i="50"/>
  <c r="E705" i="50"/>
  <c r="K687" i="50"/>
  <c r="M681" i="50"/>
  <c r="R649" i="50"/>
  <c r="D1328" i="50" s="1"/>
  <c r="J701" i="50"/>
  <c r="J681" i="50"/>
  <c r="K654" i="50"/>
  <c r="L671" i="50"/>
  <c r="K689" i="50"/>
  <c r="K692" i="50"/>
  <c r="M690" i="50"/>
  <c r="M676" i="50"/>
  <c r="K661" i="50"/>
  <c r="S660" i="50" s="1"/>
  <c r="L679" i="50"/>
  <c r="J692" i="50"/>
  <c r="J652" i="50"/>
  <c r="M689" i="50"/>
  <c r="M693" i="50"/>
  <c r="J678" i="50"/>
  <c r="W481" i="42"/>
  <c r="W473" i="42"/>
  <c r="M178" i="49"/>
  <c r="M179" i="50" s="1"/>
  <c r="M178" i="50"/>
  <c r="K161" i="43"/>
  <c r="K66" i="49"/>
  <c r="K71" i="50"/>
  <c r="N1717" i="37"/>
  <c r="X1717" i="37" s="1"/>
  <c r="X1711" i="37"/>
  <c r="AA1833" i="37"/>
  <c r="AA1836" i="37" s="1"/>
  <c r="AA1815" i="37"/>
  <c r="N1712" i="37"/>
  <c r="X1712" i="37"/>
  <c r="X1718" i="37"/>
  <c r="X1713" i="37"/>
  <c r="N1195" i="50"/>
  <c r="N1196" i="50"/>
  <c r="N1194" i="50"/>
  <c r="H1200" i="50"/>
  <c r="G1203" i="50" s="1"/>
  <c r="P95" i="50"/>
  <c r="S95" i="50"/>
  <c r="E115" i="50"/>
  <c r="E223" i="50" s="1"/>
  <c r="I403" i="50"/>
  <c r="I314" i="41"/>
  <c r="I408" i="50" s="1"/>
  <c r="E252" i="41"/>
  <c r="E278" i="50"/>
  <c r="I1214" i="50"/>
  <c r="M1200" i="50"/>
  <c r="J1214" i="50"/>
  <c r="M1209" i="50"/>
  <c r="M1210" i="50"/>
  <c r="L1211" i="50"/>
  <c r="L1217" i="50"/>
  <c r="M1216" i="50"/>
  <c r="I1216" i="50"/>
  <c r="L1214" i="50"/>
  <c r="K1216" i="50"/>
  <c r="L1216" i="50"/>
  <c r="M1194" i="50"/>
  <c r="J1211" i="50"/>
  <c r="I1217" i="50"/>
  <c r="K1212" i="50"/>
  <c r="K1199" i="50"/>
  <c r="I1211" i="50"/>
  <c r="I1200" i="50"/>
  <c r="I1194" i="50"/>
  <c r="J1216" i="50"/>
  <c r="M1214" i="50"/>
  <c r="J1194" i="50"/>
  <c r="K1194" i="50" s="1"/>
  <c r="M1217" i="50"/>
  <c r="L1210" i="50"/>
  <c r="J1217" i="50"/>
  <c r="K1200" i="50"/>
  <c r="K1211" i="50"/>
  <c r="I1210" i="50"/>
  <c r="K1209" i="50"/>
  <c r="L1200" i="50"/>
  <c r="I1203" i="50"/>
  <c r="R1202" i="50" s="1"/>
  <c r="I1199" i="50"/>
  <c r="M1211" i="50"/>
  <c r="L1212" i="50"/>
  <c r="I1212" i="50"/>
  <c r="M1196" i="50"/>
  <c r="M1203" i="50" s="1"/>
  <c r="T1191" i="50" s="1"/>
  <c r="T1202" i="50" s="1"/>
  <c r="M1199" i="50"/>
  <c r="F1203" i="50"/>
  <c r="K1214" i="50"/>
  <c r="L1199" i="50"/>
  <c r="M1212" i="50"/>
  <c r="I1209" i="50"/>
  <c r="K1203" i="50"/>
  <c r="S1202" i="50" s="1"/>
  <c r="J1210" i="50"/>
  <c r="J1199" i="50"/>
  <c r="K1210" i="50"/>
  <c r="J1200" i="50"/>
  <c r="J1209" i="50"/>
  <c r="M1195" i="50"/>
  <c r="L1209" i="50"/>
  <c r="J1212" i="50"/>
  <c r="K1217" i="50"/>
  <c r="P100" i="50"/>
  <c r="S100" i="50"/>
  <c r="E120" i="50"/>
  <c r="E228" i="50" s="1"/>
  <c r="M504" i="50"/>
  <c r="M506" i="50"/>
  <c r="P502" i="50"/>
  <c r="I502" i="50" s="1"/>
  <c r="H474" i="50"/>
  <c r="P488" i="50"/>
  <c r="L488" i="50" s="1"/>
  <c r="K501" i="50"/>
  <c r="J495" i="50"/>
  <c r="L524" i="50"/>
  <c r="L505" i="50"/>
  <c r="P504" i="50"/>
  <c r="P506" i="50"/>
  <c r="K506" i="50" s="1"/>
  <c r="M508" i="50"/>
  <c r="J507" i="50"/>
  <c r="L504" i="50"/>
  <c r="K504" i="50"/>
  <c r="J472" i="50"/>
  <c r="K525" i="50"/>
  <c r="P521" i="50"/>
  <c r="E521" i="50" s="1"/>
  <c r="J491" i="50"/>
  <c r="M492" i="50"/>
  <c r="L508" i="50"/>
  <c r="M502" i="50"/>
  <c r="P478" i="50"/>
  <c r="P496" i="50"/>
  <c r="M496" i="50" s="1"/>
  <c r="J496" i="50"/>
  <c r="K491" i="50"/>
  <c r="P525" i="50"/>
  <c r="L525" i="50" s="1"/>
  <c r="K521" i="50"/>
  <c r="P487" i="50"/>
  <c r="L487" i="50" s="1"/>
  <c r="P507" i="50"/>
  <c r="K507" i="50" s="1"/>
  <c r="J501" i="50"/>
  <c r="R469" i="50"/>
  <c r="D1325" i="50" s="1"/>
  <c r="I507" i="50"/>
  <c r="K502" i="50"/>
  <c r="I513" i="50"/>
  <c r="M493" i="50"/>
  <c r="I499" i="50"/>
  <c r="L501" i="50"/>
  <c r="L518" i="50"/>
  <c r="P501" i="50"/>
  <c r="I501" i="50" s="1"/>
  <c r="K509" i="50"/>
  <c r="P513" i="50"/>
  <c r="K513" i="50" s="1"/>
  <c r="P499" i="50"/>
  <c r="K499" i="50" s="1"/>
  <c r="J521" i="50"/>
  <c r="I525" i="50"/>
  <c r="I493" i="50"/>
  <c r="P498" i="50"/>
  <c r="K498" i="50" s="1"/>
  <c r="I505" i="50"/>
  <c r="P512" i="50"/>
  <c r="J512" i="50" s="1"/>
  <c r="P491" i="50"/>
  <c r="L491" i="50" s="1"/>
  <c r="K518" i="50"/>
  <c r="L506" i="50"/>
  <c r="P508" i="50"/>
  <c r="I508" i="50" s="1"/>
  <c r="P510" i="50"/>
  <c r="J510" i="50" s="1"/>
  <c r="P492" i="50"/>
  <c r="I492" i="50" s="1"/>
  <c r="J492" i="50"/>
  <c r="M505" i="50"/>
  <c r="J511" i="50"/>
  <c r="I491" i="50"/>
  <c r="I521" i="50"/>
  <c r="M501" i="50"/>
  <c r="M474" i="50"/>
  <c r="M481" i="50" s="1"/>
  <c r="T469" i="50" s="1"/>
  <c r="T480" i="50" s="1"/>
  <c r="K505" i="50"/>
  <c r="L492" i="50"/>
  <c r="J508" i="50"/>
  <c r="I510" i="50"/>
  <c r="P480" i="50"/>
  <c r="L499" i="50"/>
  <c r="P511" i="50"/>
  <c r="K511" i="50" s="1"/>
  <c r="I498" i="50"/>
  <c r="J490" i="50"/>
  <c r="P493" i="50"/>
  <c r="J493" i="50" s="1"/>
  <c r="P495" i="50"/>
  <c r="L495" i="50" s="1"/>
  <c r="P518" i="50"/>
  <c r="M518" i="50" s="1"/>
  <c r="P515" i="50"/>
  <c r="P516" i="50"/>
  <c r="K516" i="50" s="1"/>
  <c r="L507" i="50"/>
  <c r="P522" i="50"/>
  <c r="K522" i="50" s="1"/>
  <c r="I495" i="50"/>
  <c r="I518" i="50"/>
  <c r="P509" i="50"/>
  <c r="I509" i="50" s="1"/>
  <c r="J504" i="50"/>
  <c r="J506" i="50"/>
  <c r="K492" i="50"/>
  <c r="P490" i="50"/>
  <c r="I490" i="50" s="1"/>
  <c r="L493" i="50"/>
  <c r="I504" i="50"/>
  <c r="E472" i="50"/>
  <c r="K472" i="50" s="1"/>
  <c r="J524" i="50"/>
  <c r="J499" i="50"/>
  <c r="P481" i="50"/>
  <c r="I506" i="50"/>
  <c r="P505" i="50"/>
  <c r="J505" i="50" s="1"/>
  <c r="P477" i="50"/>
  <c r="P524" i="50"/>
  <c r="E524" i="50" s="1"/>
  <c r="M511" i="50"/>
  <c r="M513" i="50"/>
  <c r="M490" i="50"/>
  <c r="M507" i="50"/>
  <c r="K508" i="50"/>
  <c r="X1221" i="37"/>
  <c r="J1161" i="37"/>
  <c r="P1254" i="37"/>
  <c r="J1175" i="37"/>
  <c r="X1267" i="37"/>
  <c r="M1161" i="37"/>
  <c r="P1320" i="37"/>
  <c r="J1160" i="37"/>
  <c r="E1159" i="37"/>
  <c r="P1258" i="37"/>
  <c r="R1255" i="37"/>
  <c r="I1161" i="37"/>
  <c r="I1206" i="37"/>
  <c r="R1299" i="37"/>
  <c r="AA1314" i="37"/>
  <c r="W1153" i="37"/>
  <c r="AA1223" i="37"/>
  <c r="V1153" i="37"/>
  <c r="E1314" i="37"/>
  <c r="R1153" i="37"/>
  <c r="P1325" i="37"/>
  <c r="P1213" i="37"/>
  <c r="K1170" i="37"/>
  <c r="R1311" i="37"/>
  <c r="R1254" i="37"/>
  <c r="R1171" i="37"/>
  <c r="L1161" i="37"/>
  <c r="P1160" i="37"/>
  <c r="R1249" i="37"/>
  <c r="H1163" i="37"/>
  <c r="P1314" i="37"/>
  <c r="M1170" i="37"/>
  <c r="P1255" i="37"/>
  <c r="U1153" i="37"/>
  <c r="P1306" i="37"/>
  <c r="P1217" i="37"/>
  <c r="S1163" i="37"/>
  <c r="I1160" i="37"/>
  <c r="E1213" i="37"/>
  <c r="AA1153" i="37"/>
  <c r="P1230" i="37"/>
  <c r="P1275" i="37"/>
  <c r="N1161" i="37"/>
  <c r="R1298" i="37"/>
  <c r="R1242" i="37"/>
  <c r="P1282" i="37"/>
  <c r="N1158" i="37"/>
  <c r="N1168" i="37" s="1"/>
  <c r="P1242" i="37"/>
  <c r="AA1178" i="37"/>
  <c r="AA1191" i="37" s="1"/>
  <c r="AA1192" i="37" s="1"/>
  <c r="AA1193" i="37" s="1"/>
  <c r="AA1194" i="37" s="1"/>
  <c r="AA1195" i="37" s="1"/>
  <c r="AA1196" i="37" s="1"/>
  <c r="AA1197" i="37" s="1"/>
  <c r="AA1198" i="37" s="1"/>
  <c r="AA1199" i="37" s="1"/>
  <c r="AA1200" i="37" s="1"/>
  <c r="AA1201" i="37" s="1"/>
  <c r="P1290" i="37"/>
  <c r="P1299" i="37"/>
  <c r="M1160" i="37"/>
  <c r="P1179" i="37"/>
  <c r="AA1269" i="37"/>
  <c r="AA1272" i="37" s="1"/>
  <c r="AA1273" i="37" s="1"/>
  <c r="P1298" i="37"/>
  <c r="K1161" i="37"/>
  <c r="P1259" i="37"/>
  <c r="J1170" i="37"/>
  <c r="P1311" i="37"/>
  <c r="P1274" i="37"/>
  <c r="P1291" i="37"/>
  <c r="X1317" i="37"/>
  <c r="P1249" i="37"/>
  <c r="K1160" i="37"/>
  <c r="P1307" i="37"/>
  <c r="P1324" i="37"/>
  <c r="N1160" i="37"/>
  <c r="Y1159" i="37" s="1"/>
  <c r="R1230" i="37"/>
  <c r="Q1171" i="37"/>
  <c r="L1170" i="37"/>
  <c r="P1321" i="37"/>
  <c r="Q1163" i="37"/>
  <c r="AA1160" i="37" s="1"/>
  <c r="L1160" i="37"/>
  <c r="S1153" i="37"/>
  <c r="P1161" i="37"/>
  <c r="R1262" i="37"/>
  <c r="I1170" i="37"/>
  <c r="P1262" i="37"/>
  <c r="P1218" i="37"/>
  <c r="R1307" i="37"/>
  <c r="R1213" i="37"/>
  <c r="P1283" i="37"/>
  <c r="J1167" i="37"/>
  <c r="R1263" i="37"/>
  <c r="P1263" i="37"/>
  <c r="T1153" i="37"/>
  <c r="P1173" i="37"/>
  <c r="E251" i="41"/>
  <c r="E277" i="50"/>
  <c r="P97" i="50"/>
  <c r="E117" i="50"/>
  <c r="E225" i="50" s="1"/>
  <c r="S97" i="50"/>
  <c r="L107" i="50"/>
  <c r="L127" i="50" s="1"/>
  <c r="L94" i="50"/>
  <c r="L114" i="50" s="1"/>
  <c r="L100" i="50"/>
  <c r="L120" i="50" s="1"/>
  <c r="L101" i="50"/>
  <c r="L121" i="50" s="1"/>
  <c r="L95" i="50"/>
  <c r="L115" i="50" s="1"/>
  <c r="L108" i="50"/>
  <c r="L93" i="50"/>
  <c r="L113" i="50" s="1"/>
  <c r="L98" i="50"/>
  <c r="L118" i="50" s="1"/>
  <c r="L99" i="50"/>
  <c r="L119" i="50" s="1"/>
  <c r="L102" i="50"/>
  <c r="L122" i="50" s="1"/>
  <c r="L109" i="50"/>
  <c r="L97" i="50"/>
  <c r="L117" i="50" s="1"/>
  <c r="L106" i="50"/>
  <c r="L126" i="50" s="1"/>
  <c r="L96" i="50"/>
  <c r="L116" i="50" s="1"/>
  <c r="AA1766" i="37"/>
  <c r="AA1767" i="37" s="1"/>
  <c r="AA1768" i="37" s="1"/>
  <c r="AA1769" i="37" s="1"/>
  <c r="AA1775" i="37"/>
  <c r="AA1778" i="37" s="1"/>
  <c r="AA1779" i="37" s="1"/>
  <c r="AA1780" i="37" s="1"/>
  <c r="AA1781" i="37" s="1"/>
  <c r="T1770" i="37"/>
  <c r="T1713" i="37"/>
  <c r="T1803" i="37"/>
  <c r="T1789" i="37"/>
  <c r="T1711" i="37"/>
  <c r="T1753" i="37"/>
  <c r="T1830" i="37"/>
  <c r="T1847" i="37"/>
  <c r="T1851" i="37"/>
  <c r="T1701" i="37"/>
  <c r="T1831" i="37"/>
  <c r="T1718" i="37"/>
  <c r="T1700" i="37"/>
  <c r="T1795" i="37"/>
  <c r="T1839" i="37"/>
  <c r="T1782" i="37"/>
  <c r="T1712" i="37"/>
  <c r="M181" i="50"/>
  <c r="M183" i="49"/>
  <c r="M182" i="50" s="1"/>
  <c r="E281" i="50"/>
  <c r="E255" i="41"/>
  <c r="Q20" i="37"/>
  <c r="I403" i="41" l="1"/>
  <c r="I406" i="41" s="1"/>
  <c r="M407" i="41"/>
  <c r="L1172" i="50"/>
  <c r="L154" i="50"/>
  <c r="L1176" i="50"/>
  <c r="K154" i="50"/>
  <c r="K1176" i="50"/>
  <c r="J1172" i="50"/>
  <c r="I1172" i="50"/>
  <c r="I154" i="50"/>
  <c r="I1176" i="50"/>
  <c r="L403" i="41"/>
  <c r="L406" i="41" s="1"/>
  <c r="I71" i="50"/>
  <c r="I66" i="49"/>
  <c r="AA1519" i="37"/>
  <c r="N1348" i="37"/>
  <c r="P1511" i="37"/>
  <c r="J474" i="50"/>
  <c r="M473" i="50"/>
  <c r="M472" i="50"/>
  <c r="K474" i="50"/>
  <c r="K488" i="50"/>
  <c r="M516" i="50"/>
  <c r="I512" i="50"/>
  <c r="J525" i="50"/>
  <c r="M524" i="50"/>
  <c r="L513" i="50"/>
  <c r="K495" i="50"/>
  <c r="K512" i="50"/>
  <c r="K524" i="50"/>
  <c r="L510" i="50"/>
  <c r="N28" i="37"/>
  <c r="K229" i="50"/>
  <c r="L229" i="50"/>
  <c r="P229" i="50"/>
  <c r="I229" i="50"/>
  <c r="J229" i="50"/>
  <c r="M229" i="50"/>
  <c r="J488" i="50"/>
  <c r="L512" i="50"/>
  <c r="M487" i="50"/>
  <c r="L496" i="50"/>
  <c r="J518" i="50"/>
  <c r="J487" i="50"/>
  <c r="J498" i="50"/>
  <c r="I524" i="50"/>
  <c r="J509" i="50"/>
  <c r="M499" i="50"/>
  <c r="M525" i="50"/>
  <c r="M521" i="50"/>
  <c r="M509" i="50"/>
  <c r="L502" i="50"/>
  <c r="K493" i="50"/>
  <c r="K510" i="50"/>
  <c r="M512" i="50"/>
  <c r="L490" i="50"/>
  <c r="L509" i="50"/>
  <c r="I487" i="50"/>
  <c r="J516" i="50"/>
  <c r="K490" i="50"/>
  <c r="K28" i="37"/>
  <c r="Y1537" i="37"/>
  <c r="Y1538" i="37" s="1"/>
  <c r="Y1521" i="37"/>
  <c r="Y1520" i="37"/>
  <c r="Y1528" i="37"/>
  <c r="Y1529" i="37" s="1"/>
  <c r="Y1530" i="37" s="1"/>
  <c r="Y1531" i="37" s="1"/>
  <c r="Y1532" i="37" s="1"/>
  <c r="Y1533" i="37" s="1"/>
  <c r="U1533" i="37"/>
  <c r="U1659" i="37"/>
  <c r="U1615" i="37"/>
  <c r="U1531" i="37"/>
  <c r="U1651" i="37"/>
  <c r="U1573" i="37"/>
  <c r="U1538" i="37"/>
  <c r="U1532" i="37"/>
  <c r="U1609" i="37"/>
  <c r="U1520" i="37"/>
  <c r="U1590" i="37"/>
  <c r="U1602" i="37"/>
  <c r="U1667" i="37"/>
  <c r="U1521" i="37"/>
  <c r="U1650" i="37"/>
  <c r="U1671" i="37"/>
  <c r="U1623" i="37"/>
  <c r="AA1586" i="37"/>
  <c r="AA1587" i="37" s="1"/>
  <c r="AA1588" i="37" s="1"/>
  <c r="AA1589" i="37" s="1"/>
  <c r="AA1595" i="37"/>
  <c r="AA1598" i="37" s="1"/>
  <c r="AA1599" i="37" s="1"/>
  <c r="AA1600" i="37" s="1"/>
  <c r="AA1601" i="37" s="1"/>
  <c r="V1590" i="37"/>
  <c r="V1623" i="37"/>
  <c r="V1651" i="37"/>
  <c r="V1573" i="37"/>
  <c r="V1520" i="37"/>
  <c r="V1531" i="37"/>
  <c r="V1659" i="37"/>
  <c r="V1521" i="37"/>
  <c r="V1533" i="37"/>
  <c r="V1532" i="37"/>
  <c r="V1650" i="37"/>
  <c r="V1615" i="37"/>
  <c r="V1602" i="37"/>
  <c r="V1671" i="37"/>
  <c r="V1667" i="37"/>
  <c r="V1609" i="37"/>
  <c r="V1538" i="37"/>
  <c r="S1623" i="37"/>
  <c r="S1650" i="37"/>
  <c r="S1521" i="37"/>
  <c r="S1531" i="37"/>
  <c r="S1538" i="37"/>
  <c r="S1667" i="37"/>
  <c r="S1573" i="37"/>
  <c r="S1671" i="37"/>
  <c r="S1651" i="37"/>
  <c r="S1615" i="37"/>
  <c r="S1609" i="37"/>
  <c r="S1602" i="37"/>
  <c r="S1659" i="37"/>
  <c r="S1590" i="37"/>
  <c r="S1533" i="37"/>
  <c r="S1520" i="37"/>
  <c r="S1532" i="37"/>
  <c r="W1521" i="37"/>
  <c r="W1533" i="37"/>
  <c r="W1532" i="37"/>
  <c r="W1531" i="37"/>
  <c r="W1615" i="37"/>
  <c r="W1651" i="37"/>
  <c r="W1671" i="37"/>
  <c r="W1590" i="37"/>
  <c r="W1520" i="37"/>
  <c r="W1667" i="37"/>
  <c r="W1659" i="37"/>
  <c r="W1538" i="37"/>
  <c r="W1602" i="37"/>
  <c r="W1650" i="37"/>
  <c r="W1609" i="37"/>
  <c r="W1573" i="37"/>
  <c r="W1623" i="37"/>
  <c r="M488" i="50"/>
  <c r="K487" i="50"/>
  <c r="J522" i="50"/>
  <c r="E525" i="50"/>
  <c r="J513" i="50"/>
  <c r="J502" i="50"/>
  <c r="K496" i="50"/>
  <c r="I496" i="50"/>
  <c r="L521" i="50"/>
  <c r="L511" i="50"/>
  <c r="Y25" i="37"/>
  <c r="Y51" i="37" s="1"/>
  <c r="Y52" i="37" s="1"/>
  <c r="AA1635" i="37"/>
  <c r="AA1653" i="37"/>
  <c r="AA1656" i="37" s="1"/>
  <c r="T1531" i="37"/>
  <c r="T1615" i="37"/>
  <c r="T1533" i="37"/>
  <c r="T1573" i="37"/>
  <c r="T1659" i="37"/>
  <c r="T1521" i="37"/>
  <c r="T1609" i="37"/>
  <c r="T1623" i="37"/>
  <c r="T1671" i="37"/>
  <c r="T1538" i="37"/>
  <c r="T1650" i="37"/>
  <c r="T1651" i="37"/>
  <c r="T1520" i="37"/>
  <c r="T1532" i="37"/>
  <c r="T1590" i="37"/>
  <c r="T1667" i="37"/>
  <c r="T1602" i="37"/>
  <c r="M510" i="50"/>
  <c r="X1532" i="37"/>
  <c r="X1533" i="37"/>
  <c r="N1532" i="37"/>
  <c r="X1538" i="37"/>
  <c r="E302" i="41"/>
  <c r="E357" i="50"/>
  <c r="P256" i="41"/>
  <c r="L516" i="50"/>
  <c r="I516" i="50"/>
  <c r="I488" i="50"/>
  <c r="M522" i="50"/>
  <c r="I522" i="50"/>
  <c r="M495" i="50"/>
  <c r="E522" i="50"/>
  <c r="M498" i="50"/>
  <c r="L522" i="50"/>
  <c r="L498" i="50"/>
  <c r="M491" i="50"/>
  <c r="I511" i="50"/>
  <c r="N27" i="37"/>
  <c r="Y26" i="37" s="1"/>
  <c r="J28" i="37"/>
  <c r="J477" i="50" s="1"/>
  <c r="K27" i="37"/>
  <c r="AA1530" i="37"/>
  <c r="AA1531" i="37" s="1"/>
  <c r="AA1532" i="37" s="1"/>
  <c r="AA1533" i="37" s="1"/>
  <c r="N1528" i="37"/>
  <c r="V319" i="42"/>
  <c r="V315" i="42"/>
  <c r="V307" i="42"/>
  <c r="V311" i="42"/>
  <c r="Y1340" i="37"/>
  <c r="U315" i="42"/>
  <c r="U311" i="42"/>
  <c r="U307" i="42"/>
  <c r="U319" i="42"/>
  <c r="U283" i="42"/>
  <c r="T311" i="42"/>
  <c r="T319" i="42"/>
  <c r="T315" i="42"/>
  <c r="T307" i="42"/>
  <c r="T283" i="42"/>
  <c r="Y27" i="37"/>
  <c r="S307" i="42"/>
  <c r="S311" i="42"/>
  <c r="S319" i="42"/>
  <c r="S315" i="42"/>
  <c r="W307" i="42"/>
  <c r="W283" i="42"/>
  <c r="W311" i="42"/>
  <c r="W315" i="42"/>
  <c r="W319" i="42"/>
  <c r="Y800" i="37"/>
  <c r="P332" i="41"/>
  <c r="E424" i="50"/>
  <c r="W216" i="42"/>
  <c r="W220" i="42"/>
  <c r="W224" i="42"/>
  <c r="W228" i="42"/>
  <c r="S216" i="42"/>
  <c r="S224" i="42"/>
  <c r="S228" i="42"/>
  <c r="S220" i="42"/>
  <c r="T216" i="42"/>
  <c r="T228" i="42"/>
  <c r="T224" i="42"/>
  <c r="T220" i="42"/>
  <c r="U220" i="42"/>
  <c r="U224" i="42"/>
  <c r="U216" i="42"/>
  <c r="U228" i="42"/>
  <c r="V224" i="42"/>
  <c r="V216" i="42"/>
  <c r="V228" i="42"/>
  <c r="V220" i="42"/>
  <c r="U125" i="42"/>
  <c r="U129" i="42"/>
  <c r="U133" i="42"/>
  <c r="U137" i="42"/>
  <c r="W376" i="47"/>
  <c r="W375" i="47"/>
  <c r="AA619" i="37"/>
  <c r="AA1159" i="37"/>
  <c r="Y39" i="37"/>
  <c r="Y40" i="37" s="1"/>
  <c r="Y41" i="37" s="1"/>
  <c r="Y42" i="37" s="1"/>
  <c r="Y43" i="37" s="1"/>
  <c r="Y44" i="37" s="1"/>
  <c r="Y28" i="37"/>
  <c r="P1331" i="37"/>
  <c r="P1151" i="37" s="1"/>
  <c r="P971" i="37" s="1"/>
  <c r="P791" i="37" s="1"/>
  <c r="P611" i="37" s="1"/>
  <c r="P431" i="37" s="1"/>
  <c r="P251" i="37" s="1"/>
  <c r="L477" i="50" s="1"/>
  <c r="T376" i="47"/>
  <c r="T375" i="47"/>
  <c r="U376" i="47"/>
  <c r="U375" i="47"/>
  <c r="V133" i="42"/>
  <c r="V125" i="42"/>
  <c r="V137" i="42"/>
  <c r="V129" i="42"/>
  <c r="Y817" i="37"/>
  <c r="Y818" i="37" s="1"/>
  <c r="Y808" i="37"/>
  <c r="Y809" i="37" s="1"/>
  <c r="Y810" i="37" s="1"/>
  <c r="Y811" i="37" s="1"/>
  <c r="Y812" i="37" s="1"/>
  <c r="Y813" i="37" s="1"/>
  <c r="Y801" i="37"/>
  <c r="AA979" i="37"/>
  <c r="Y1341" i="37"/>
  <c r="Y1348" i="37"/>
  <c r="Y1349" i="37" s="1"/>
  <c r="Y1350" i="37" s="1"/>
  <c r="Y1351" i="37" s="1"/>
  <c r="Y1352" i="37" s="1"/>
  <c r="Y1353" i="37" s="1"/>
  <c r="Y1357" i="37"/>
  <c r="Y1358" i="37" s="1"/>
  <c r="Y277" i="37"/>
  <c r="Y278" i="37" s="1"/>
  <c r="Y268" i="37"/>
  <c r="Y269" i="37" s="1"/>
  <c r="Y270" i="37" s="1"/>
  <c r="Y271" i="37" s="1"/>
  <c r="Y272" i="37" s="1"/>
  <c r="Y273" i="37" s="1"/>
  <c r="Y261" i="37"/>
  <c r="V376" i="47"/>
  <c r="V375" i="47"/>
  <c r="Y1160" i="37"/>
  <c r="Y620" i="37"/>
  <c r="S133" i="42"/>
  <c r="S129" i="42"/>
  <c r="S137" i="42"/>
  <c r="S125" i="42"/>
  <c r="AA26" i="37"/>
  <c r="AA259" i="37"/>
  <c r="Y637" i="37"/>
  <c r="Y638" i="37" s="1"/>
  <c r="Y621" i="37"/>
  <c r="Y628" i="37"/>
  <c r="Y629" i="37" s="1"/>
  <c r="Y630" i="37" s="1"/>
  <c r="Y631" i="37" s="1"/>
  <c r="Y632" i="37" s="1"/>
  <c r="Y633" i="37" s="1"/>
  <c r="Y1161" i="37"/>
  <c r="Y1168" i="37"/>
  <c r="Y1169" i="37" s="1"/>
  <c r="Y1170" i="37" s="1"/>
  <c r="Y1171" i="37" s="1"/>
  <c r="Y1172" i="37" s="1"/>
  <c r="Y1173" i="37" s="1"/>
  <c r="Y1177" i="37"/>
  <c r="Y1178" i="37" s="1"/>
  <c r="W129" i="42"/>
  <c r="W137" i="42"/>
  <c r="W125" i="42"/>
  <c r="W133" i="42"/>
  <c r="AA799" i="37"/>
  <c r="AA1339" i="37"/>
  <c r="AA439" i="37"/>
  <c r="T125" i="42"/>
  <c r="T137" i="42"/>
  <c r="T129" i="42"/>
  <c r="T133" i="42"/>
  <c r="S376" i="47"/>
  <c r="S375" i="47"/>
  <c r="Y997" i="37"/>
  <c r="Y998" i="37" s="1"/>
  <c r="Y981" i="37"/>
  <c r="Y988" i="37"/>
  <c r="Y989" i="37" s="1"/>
  <c r="Y990" i="37" s="1"/>
  <c r="Y991" i="37" s="1"/>
  <c r="Y992" i="37" s="1"/>
  <c r="Y993" i="37" s="1"/>
  <c r="Y441" i="37"/>
  <c r="Y457" i="37"/>
  <c r="Y458" i="37" s="1"/>
  <c r="Y448" i="37"/>
  <c r="Y449" i="37" s="1"/>
  <c r="Y450" i="37" s="1"/>
  <c r="Y451" i="37" s="1"/>
  <c r="Y452" i="37" s="1"/>
  <c r="Y453" i="37" s="1"/>
  <c r="N1200" i="50"/>
  <c r="D1375" i="50"/>
  <c r="L1207" i="50"/>
  <c r="M69" i="50"/>
  <c r="M58" i="49"/>
  <c r="T452" i="37"/>
  <c r="T451" i="37"/>
  <c r="T570" i="37"/>
  <c r="T543" i="37"/>
  <c r="T453" i="37"/>
  <c r="T441" i="37"/>
  <c r="T591" i="37"/>
  <c r="T571" i="37"/>
  <c r="T535" i="37"/>
  <c r="T440" i="37"/>
  <c r="T458" i="37"/>
  <c r="T493" i="37"/>
  <c r="T510" i="37"/>
  <c r="T579" i="37"/>
  <c r="T587" i="37"/>
  <c r="T529" i="37"/>
  <c r="T522" i="37"/>
  <c r="L725" i="50"/>
  <c r="E349" i="50"/>
  <c r="P248" i="41"/>
  <c r="E294" i="41"/>
  <c r="M221" i="50"/>
  <c r="K221" i="50"/>
  <c r="J221" i="50"/>
  <c r="P221" i="50"/>
  <c r="L221" i="50" s="1"/>
  <c r="I221" i="50"/>
  <c r="X811" i="37"/>
  <c r="N817" i="37"/>
  <c r="X817" i="37" s="1"/>
  <c r="W1127" i="37"/>
  <c r="W1075" i="37"/>
  <c r="W980" i="37"/>
  <c r="W1050" i="37"/>
  <c r="W1033" i="37"/>
  <c r="W991" i="37"/>
  <c r="W981" i="37"/>
  <c r="W1110" i="37"/>
  <c r="W1069" i="37"/>
  <c r="W1062" i="37"/>
  <c r="W1131" i="37"/>
  <c r="W1083" i="37"/>
  <c r="W993" i="37"/>
  <c r="W1119" i="37"/>
  <c r="W992" i="37"/>
  <c r="W998" i="37"/>
  <c r="W1111" i="37"/>
  <c r="E352" i="50"/>
  <c r="P251" i="41"/>
  <c r="E297" i="41"/>
  <c r="H472" i="50"/>
  <c r="H477" i="50"/>
  <c r="AA1825" i="37"/>
  <c r="AA1828" i="37" s="1"/>
  <c r="AA1829" i="37" s="1"/>
  <c r="AA1831" i="37" s="1"/>
  <c r="AA1817" i="37"/>
  <c r="AA1820" i="37" s="1"/>
  <c r="AA1821" i="37" s="1"/>
  <c r="AA1823" i="37" s="1"/>
  <c r="L652" i="50"/>
  <c r="I652" i="50"/>
  <c r="I654" i="50" s="1"/>
  <c r="P1239" i="50"/>
  <c r="P1230" i="50"/>
  <c r="P1241" i="50"/>
  <c r="P1244" i="50"/>
  <c r="P1232" i="50"/>
  <c r="P1246" i="50"/>
  <c r="P1242" i="50"/>
  <c r="R1221" i="50"/>
  <c r="E1224" i="50"/>
  <c r="P1247" i="50"/>
  <c r="P1233" i="50"/>
  <c r="P1229" i="50"/>
  <c r="P1240" i="50"/>
  <c r="H1224" i="50"/>
  <c r="L1237" i="50"/>
  <c r="S800" i="37"/>
  <c r="S812" i="37"/>
  <c r="S818" i="37"/>
  <c r="S870" i="37"/>
  <c r="S947" i="37"/>
  <c r="S811" i="37"/>
  <c r="S931" i="37"/>
  <c r="S903" i="37"/>
  <c r="S939" i="37"/>
  <c r="S889" i="37"/>
  <c r="S801" i="37"/>
  <c r="S853" i="37"/>
  <c r="S930" i="37"/>
  <c r="S951" i="37"/>
  <c r="S882" i="37"/>
  <c r="S895" i="37"/>
  <c r="S813" i="37"/>
  <c r="AA1055" i="37"/>
  <c r="AA1058" i="37" s="1"/>
  <c r="AA1059" i="37" s="1"/>
  <c r="AA1060" i="37" s="1"/>
  <c r="AA1061" i="37" s="1"/>
  <c r="AA1046" i="37"/>
  <c r="AA1047" i="37" s="1"/>
  <c r="AA1048" i="37" s="1"/>
  <c r="AA1049" i="37" s="1"/>
  <c r="T1050" i="37"/>
  <c r="T1069" i="37"/>
  <c r="T1111" i="37"/>
  <c r="T991" i="37"/>
  <c r="T998" i="37"/>
  <c r="T1110" i="37"/>
  <c r="T1033" i="37"/>
  <c r="T1127" i="37"/>
  <c r="T980" i="37"/>
  <c r="T1083" i="37"/>
  <c r="T1119" i="37"/>
  <c r="T1131" i="37"/>
  <c r="T1075" i="37"/>
  <c r="T992" i="37"/>
  <c r="T993" i="37"/>
  <c r="T1062" i="37"/>
  <c r="T981" i="37"/>
  <c r="X1173" i="37"/>
  <c r="N1172" i="37"/>
  <c r="X1178" i="37"/>
  <c r="X1172" i="37"/>
  <c r="I472" i="50"/>
  <c r="I474" i="50" s="1"/>
  <c r="L472" i="50"/>
  <c r="L485" i="50"/>
  <c r="L592" i="50"/>
  <c r="I592" i="50"/>
  <c r="I594" i="50" s="1"/>
  <c r="L605" i="50"/>
  <c r="W951" i="37"/>
  <c r="W939" i="37"/>
  <c r="W801" i="37"/>
  <c r="W895" i="37"/>
  <c r="W853" i="37"/>
  <c r="W812" i="37"/>
  <c r="W947" i="37"/>
  <c r="W931" i="37"/>
  <c r="W870" i="37"/>
  <c r="W811" i="37"/>
  <c r="W903" i="37"/>
  <c r="W889" i="37"/>
  <c r="W882" i="37"/>
  <c r="W818" i="37"/>
  <c r="W930" i="37"/>
  <c r="W800" i="37"/>
  <c r="W813" i="37"/>
  <c r="H832" i="50"/>
  <c r="H837" i="50"/>
  <c r="H532" i="50"/>
  <c r="H537" i="50"/>
  <c r="N997" i="37"/>
  <c r="X997" i="37" s="1"/>
  <c r="X991" i="37"/>
  <c r="S1119" i="37"/>
  <c r="S1127" i="37"/>
  <c r="S992" i="37"/>
  <c r="S1083" i="37"/>
  <c r="S998" i="37"/>
  <c r="S1050" i="37"/>
  <c r="S1131" i="37"/>
  <c r="S1110" i="37"/>
  <c r="S980" i="37"/>
  <c r="S1033" i="37"/>
  <c r="S1062" i="37"/>
  <c r="S981" i="37"/>
  <c r="S993" i="37"/>
  <c r="S1069" i="37"/>
  <c r="S1075" i="37"/>
  <c r="S1111" i="37"/>
  <c r="S991" i="37"/>
  <c r="S44" i="37"/>
  <c r="S102" i="37"/>
  <c r="S43" i="37"/>
  <c r="S200" i="37"/>
  <c r="S27" i="37"/>
  <c r="S141" i="37"/>
  <c r="S28" i="37"/>
  <c r="I478" i="50" s="1"/>
  <c r="S210" i="37"/>
  <c r="S169" i="37"/>
  <c r="S151" i="37"/>
  <c r="S201" i="37"/>
  <c r="S52" i="37"/>
  <c r="S129" i="37"/>
  <c r="S161" i="37"/>
  <c r="S42" i="37"/>
  <c r="S225" i="37"/>
  <c r="S219" i="37"/>
  <c r="W169" i="37"/>
  <c r="W27" i="37"/>
  <c r="W225" i="37"/>
  <c r="W201" i="37"/>
  <c r="W28" i="37"/>
  <c r="M478" i="50" s="1"/>
  <c r="W141" i="37"/>
  <c r="W44" i="37"/>
  <c r="W210" i="37"/>
  <c r="W219" i="37"/>
  <c r="W151" i="37"/>
  <c r="W102" i="37"/>
  <c r="W161" i="37"/>
  <c r="W52" i="37"/>
  <c r="W129" i="37"/>
  <c r="W200" i="37"/>
  <c r="W43" i="37"/>
  <c r="W42" i="37"/>
  <c r="P255" i="41"/>
  <c r="E356" i="50"/>
  <c r="E301" i="41"/>
  <c r="K108" i="50"/>
  <c r="K101" i="50"/>
  <c r="K121" i="50" s="1"/>
  <c r="K99" i="50"/>
  <c r="K119" i="50" s="1"/>
  <c r="K96" i="50"/>
  <c r="K116" i="50" s="1"/>
  <c r="K94" i="50"/>
  <c r="K114" i="50" s="1"/>
  <c r="K100" i="50"/>
  <c r="K120" i="50" s="1"/>
  <c r="K93" i="50"/>
  <c r="K97" i="50"/>
  <c r="K117" i="50" s="1"/>
  <c r="K98" i="50"/>
  <c r="K118" i="50" s="1"/>
  <c r="K109" i="50"/>
  <c r="K95" i="50"/>
  <c r="K115" i="50" s="1"/>
  <c r="K106" i="50"/>
  <c r="K107" i="50"/>
  <c r="K127" i="50" s="1"/>
  <c r="K102" i="50"/>
  <c r="K122" i="50" s="1"/>
  <c r="D1371" i="50"/>
  <c r="L665" i="50"/>
  <c r="AA866" i="37"/>
  <c r="AA867" i="37" s="1"/>
  <c r="AA868" i="37" s="1"/>
  <c r="AA869" i="37" s="1"/>
  <c r="AA875" i="37"/>
  <c r="AA878" i="37" s="1"/>
  <c r="AA879" i="37" s="1"/>
  <c r="AA880" i="37" s="1"/>
  <c r="AA881" i="37" s="1"/>
  <c r="L532" i="50"/>
  <c r="I532" i="50"/>
  <c r="I534" i="50" s="1"/>
  <c r="U998" i="37"/>
  <c r="U1050" i="37"/>
  <c r="U1111" i="37"/>
  <c r="U993" i="37"/>
  <c r="U1131" i="37"/>
  <c r="U1083" i="37"/>
  <c r="U1119" i="37"/>
  <c r="U1062" i="37"/>
  <c r="U1127" i="37"/>
  <c r="U1110" i="37"/>
  <c r="U1033" i="37"/>
  <c r="U980" i="37"/>
  <c r="U992" i="37"/>
  <c r="U981" i="37"/>
  <c r="U1075" i="37"/>
  <c r="U991" i="37"/>
  <c r="U1069" i="37"/>
  <c r="Q1700" i="37"/>
  <c r="E355" i="50"/>
  <c r="P254" i="41"/>
  <c r="E300" i="41"/>
  <c r="AA1415" i="37"/>
  <c r="AA1418" i="37" s="1"/>
  <c r="AA1419" i="37" s="1"/>
  <c r="AA1420" i="37" s="1"/>
  <c r="AA1421" i="37" s="1"/>
  <c r="AA1406" i="37"/>
  <c r="AA1407" i="37" s="1"/>
  <c r="AA1408" i="37" s="1"/>
  <c r="AA1409" i="37" s="1"/>
  <c r="Q1719" i="37"/>
  <c r="D207" i="34"/>
  <c r="C208" i="34"/>
  <c r="O207" i="34"/>
  <c r="R207" i="34" s="1"/>
  <c r="N272" i="37"/>
  <c r="X272" i="37"/>
  <c r="X273" i="37"/>
  <c r="X278" i="37"/>
  <c r="S330" i="37"/>
  <c r="S272" i="37"/>
  <c r="S273" i="37"/>
  <c r="S411" i="37"/>
  <c r="S271" i="37"/>
  <c r="S391" i="37"/>
  <c r="S261" i="37"/>
  <c r="S407" i="37"/>
  <c r="S313" i="37"/>
  <c r="S363" i="37"/>
  <c r="S342" i="37"/>
  <c r="S399" i="37"/>
  <c r="S349" i="37"/>
  <c r="S355" i="37"/>
  <c r="S390" i="37"/>
  <c r="S278" i="37"/>
  <c r="S260" i="37"/>
  <c r="N452" i="37"/>
  <c r="X458" i="37"/>
  <c r="X452" i="37"/>
  <c r="X453" i="37"/>
  <c r="AA506" i="37"/>
  <c r="AA507" i="37" s="1"/>
  <c r="AA508" i="37" s="1"/>
  <c r="AA509" i="37" s="1"/>
  <c r="AA515" i="37"/>
  <c r="AA518" i="37" s="1"/>
  <c r="AA519" i="37" s="1"/>
  <c r="AA520" i="37" s="1"/>
  <c r="AA521" i="37" s="1"/>
  <c r="X632" i="37"/>
  <c r="N632" i="37"/>
  <c r="X638" i="37"/>
  <c r="X633" i="37"/>
  <c r="W723" i="37"/>
  <c r="W702" i="37"/>
  <c r="W633" i="37"/>
  <c r="W631" i="37"/>
  <c r="W771" i="37"/>
  <c r="W621" i="37"/>
  <c r="W709" i="37"/>
  <c r="W673" i="37"/>
  <c r="W751" i="37"/>
  <c r="W690" i="37"/>
  <c r="W638" i="37"/>
  <c r="W759" i="37"/>
  <c r="W715" i="37"/>
  <c r="W750" i="37"/>
  <c r="W632" i="37"/>
  <c r="W620" i="37"/>
  <c r="W767" i="37"/>
  <c r="J1247" i="50"/>
  <c r="M1226" i="50"/>
  <c r="M1233" i="50" s="1"/>
  <c r="T1221" i="50" s="1"/>
  <c r="T1232" i="50" s="1"/>
  <c r="I1246" i="50"/>
  <c r="K1240" i="50"/>
  <c r="L1230" i="50"/>
  <c r="K1233" i="50"/>
  <c r="S1232" i="50" s="1"/>
  <c r="L1244" i="50"/>
  <c r="I1244" i="50"/>
  <c r="J1229" i="50"/>
  <c r="M1242" i="50"/>
  <c r="L1241" i="50"/>
  <c r="I1239" i="50"/>
  <c r="J1241" i="50"/>
  <c r="K1229" i="50"/>
  <c r="M1230" i="50"/>
  <c r="J1246" i="50"/>
  <c r="L1246" i="50"/>
  <c r="J1244" i="50"/>
  <c r="K1241" i="50"/>
  <c r="I1247" i="50"/>
  <c r="M1241" i="50"/>
  <c r="J1240" i="50"/>
  <c r="L1229" i="50"/>
  <c r="L1239" i="50"/>
  <c r="K1246" i="50"/>
  <c r="M1247" i="50"/>
  <c r="M1225" i="50"/>
  <c r="J1224" i="50"/>
  <c r="K1224" i="50" s="1"/>
  <c r="I1242" i="50"/>
  <c r="K1239" i="50"/>
  <c r="J1239" i="50"/>
  <c r="L1247" i="50"/>
  <c r="M1224" i="50"/>
  <c r="M1244" i="50"/>
  <c r="I1229" i="50"/>
  <c r="L1242" i="50"/>
  <c r="K1230" i="50"/>
  <c r="M1246" i="50"/>
  <c r="F1233" i="50"/>
  <c r="K1244" i="50"/>
  <c r="I1224" i="50"/>
  <c r="M1240" i="50"/>
  <c r="J1230" i="50"/>
  <c r="I1241" i="50"/>
  <c r="I1240" i="50"/>
  <c r="I1230" i="50"/>
  <c r="I1233" i="50"/>
  <c r="R1232" i="50" s="1"/>
  <c r="M1229" i="50"/>
  <c r="K1242" i="50"/>
  <c r="J1242" i="50"/>
  <c r="K1247" i="50"/>
  <c r="M1239" i="50"/>
  <c r="L1240" i="50"/>
  <c r="U818" i="37"/>
  <c r="U939" i="37"/>
  <c r="U882" i="37"/>
  <c r="U947" i="37"/>
  <c r="U801" i="37"/>
  <c r="U889" i="37"/>
  <c r="U813" i="37"/>
  <c r="U951" i="37"/>
  <c r="U811" i="37"/>
  <c r="U903" i="37"/>
  <c r="U800" i="37"/>
  <c r="U812" i="37"/>
  <c r="U930" i="37"/>
  <c r="U853" i="37"/>
  <c r="U931" i="37"/>
  <c r="U870" i="37"/>
  <c r="U895" i="37"/>
  <c r="H657" i="50"/>
  <c r="H652" i="50"/>
  <c r="S1230" i="37"/>
  <c r="S1249" i="37"/>
  <c r="S1172" i="37"/>
  <c r="S1299" i="37"/>
  <c r="S1171" i="37"/>
  <c r="S1173" i="37"/>
  <c r="S1161" i="37"/>
  <c r="S1160" i="37"/>
  <c r="S1290" i="37"/>
  <c r="S1263" i="37"/>
  <c r="S1213" i="37"/>
  <c r="S1242" i="37"/>
  <c r="S1178" i="37"/>
  <c r="S1291" i="37"/>
  <c r="S1311" i="37"/>
  <c r="S1307" i="37"/>
  <c r="S1255" i="37"/>
  <c r="U1172" i="37"/>
  <c r="U1263" i="37"/>
  <c r="U1173" i="37"/>
  <c r="U1255" i="37"/>
  <c r="U1299" i="37"/>
  <c r="U1307" i="37"/>
  <c r="U1230" i="37"/>
  <c r="U1311" i="37"/>
  <c r="U1290" i="37"/>
  <c r="U1242" i="37"/>
  <c r="U1249" i="37"/>
  <c r="U1160" i="37"/>
  <c r="U1213" i="37"/>
  <c r="U1178" i="37"/>
  <c r="U1171" i="37"/>
  <c r="U1291" i="37"/>
  <c r="U1161" i="37"/>
  <c r="V1160" i="37"/>
  <c r="V1290" i="37"/>
  <c r="V1291" i="37"/>
  <c r="V1249" i="37"/>
  <c r="V1311" i="37"/>
  <c r="V1173" i="37"/>
  <c r="V1299" i="37"/>
  <c r="V1178" i="37"/>
  <c r="V1307" i="37"/>
  <c r="V1161" i="37"/>
  <c r="V1213" i="37"/>
  <c r="V1255" i="37"/>
  <c r="V1263" i="37"/>
  <c r="V1230" i="37"/>
  <c r="V1171" i="37"/>
  <c r="V1242" i="37"/>
  <c r="V1172" i="37"/>
  <c r="P252" i="41"/>
  <c r="E298" i="41"/>
  <c r="E353" i="50"/>
  <c r="L892" i="50"/>
  <c r="I892" i="50"/>
  <c r="I894" i="50" s="1"/>
  <c r="D1370" i="50"/>
  <c r="T811" i="37"/>
  <c r="T813" i="37"/>
  <c r="T931" i="37"/>
  <c r="T903" i="37"/>
  <c r="T930" i="37"/>
  <c r="T812" i="37"/>
  <c r="T951" i="37"/>
  <c r="T870" i="37"/>
  <c r="T818" i="37"/>
  <c r="T801" i="37"/>
  <c r="T939" i="37"/>
  <c r="T889" i="37"/>
  <c r="T853" i="37"/>
  <c r="T800" i="37"/>
  <c r="T895" i="37"/>
  <c r="T947" i="37"/>
  <c r="T882" i="37"/>
  <c r="AA686" i="37"/>
  <c r="AA687" i="37" s="1"/>
  <c r="AA688" i="37" s="1"/>
  <c r="AA689" i="37" s="1"/>
  <c r="AA695" i="37"/>
  <c r="AA698" i="37" s="1"/>
  <c r="AA699" i="37" s="1"/>
  <c r="AA700" i="37" s="1"/>
  <c r="AA701" i="37" s="1"/>
  <c r="L545" i="50"/>
  <c r="AA134" i="37"/>
  <c r="AA137" i="37" s="1"/>
  <c r="AA138" i="37" s="1"/>
  <c r="AA139" i="37" s="1"/>
  <c r="AA140" i="37" s="1"/>
  <c r="AA125" i="37"/>
  <c r="AA126" i="37" s="1"/>
  <c r="AA127" i="37" s="1"/>
  <c r="AA128" i="37" s="1"/>
  <c r="L774" i="50"/>
  <c r="N778" i="50"/>
  <c r="AA1455" i="37"/>
  <c r="AA1473" i="37"/>
  <c r="AA1476" i="37" s="1"/>
  <c r="T1352" i="37"/>
  <c r="T1341" i="37"/>
  <c r="T1340" i="37"/>
  <c r="T1410" i="37"/>
  <c r="T1353" i="37"/>
  <c r="T1429" i="37"/>
  <c r="T1393" i="37"/>
  <c r="T1470" i="37"/>
  <c r="T1435" i="37"/>
  <c r="T1491" i="37"/>
  <c r="T1358" i="37"/>
  <c r="T1479" i="37"/>
  <c r="T1351" i="37"/>
  <c r="T1471" i="37"/>
  <c r="T1487" i="37"/>
  <c r="T1443" i="37"/>
  <c r="T1422" i="37"/>
  <c r="X1351" i="37"/>
  <c r="N1357" i="37"/>
  <c r="X1357" i="37" s="1"/>
  <c r="R1830" i="37"/>
  <c r="P224" i="50"/>
  <c r="J224" i="50"/>
  <c r="L224" i="50"/>
  <c r="M224" i="50"/>
  <c r="K224" i="50"/>
  <c r="I224" i="50"/>
  <c r="X271" i="37"/>
  <c r="N277" i="37"/>
  <c r="X277" i="37" s="1"/>
  <c r="AA555" i="37"/>
  <c r="AA573" i="37"/>
  <c r="AA576" i="37" s="1"/>
  <c r="S587" i="37"/>
  <c r="S441" i="37"/>
  <c r="S493" i="37"/>
  <c r="S579" i="37"/>
  <c r="S510" i="37"/>
  <c r="S440" i="37"/>
  <c r="S571" i="37"/>
  <c r="S529" i="37"/>
  <c r="S535" i="37"/>
  <c r="S458" i="37"/>
  <c r="S453" i="37"/>
  <c r="S591" i="37"/>
  <c r="S543" i="37"/>
  <c r="S451" i="37"/>
  <c r="S570" i="37"/>
  <c r="S522" i="37"/>
  <c r="S452" i="37"/>
  <c r="E1004" i="50"/>
  <c r="M978" i="50"/>
  <c r="L976" i="50"/>
  <c r="P998" i="50"/>
  <c r="P970" i="50"/>
  <c r="E1005" i="50"/>
  <c r="I990" i="50"/>
  <c r="I972" i="50"/>
  <c r="I958" i="50"/>
  <c r="K995" i="50"/>
  <c r="L1002" i="50"/>
  <c r="J986" i="50"/>
  <c r="J970" i="50"/>
  <c r="L998" i="50"/>
  <c r="P982" i="50"/>
  <c r="P986" i="50"/>
  <c r="K972" i="50"/>
  <c r="P972" i="50"/>
  <c r="I996" i="50"/>
  <c r="P960" i="50"/>
  <c r="K958" i="50"/>
  <c r="J968" i="50"/>
  <c r="M1005" i="50"/>
  <c r="M996" i="50"/>
  <c r="K992" i="50"/>
  <c r="L979" i="50"/>
  <c r="I1005" i="50"/>
  <c r="I981" i="50"/>
  <c r="P1005" i="50"/>
  <c r="E1001" i="50"/>
  <c r="L968" i="50"/>
  <c r="K1004" i="50"/>
  <c r="J967" i="50"/>
  <c r="I957" i="50"/>
  <c r="I1002" i="50"/>
  <c r="K984" i="50"/>
  <c r="P996" i="50"/>
  <c r="I988" i="50"/>
  <c r="J995" i="50"/>
  <c r="K1002" i="50"/>
  <c r="J978" i="50"/>
  <c r="P1002" i="50"/>
  <c r="L996" i="50"/>
  <c r="R949" i="50"/>
  <c r="D1333" i="50" s="1"/>
  <c r="I991" i="50"/>
  <c r="L1004" i="50"/>
  <c r="L988" i="50"/>
  <c r="P971" i="50"/>
  <c r="L957" i="50"/>
  <c r="M993" i="50"/>
  <c r="K993" i="50"/>
  <c r="L985" i="50"/>
  <c r="M985" i="50"/>
  <c r="L1001" i="50"/>
  <c r="J954" i="50"/>
  <c r="I973" i="50"/>
  <c r="M954" i="50"/>
  <c r="M961" i="50" s="1"/>
  <c r="T949" i="50" s="1"/>
  <c r="T960" i="50" s="1"/>
  <c r="L992" i="50"/>
  <c r="L993" i="50"/>
  <c r="P968" i="50"/>
  <c r="M982" i="50"/>
  <c r="L987" i="50"/>
  <c r="K967" i="50"/>
  <c r="K979" i="50"/>
  <c r="L973" i="50"/>
  <c r="M979" i="50"/>
  <c r="L982" i="50"/>
  <c r="J993" i="50"/>
  <c r="I1001" i="50"/>
  <c r="P992" i="50"/>
  <c r="M986" i="50"/>
  <c r="J976" i="50"/>
  <c r="J991" i="50"/>
  <c r="I976" i="50"/>
  <c r="P989" i="50"/>
  <c r="K971" i="50"/>
  <c r="E1002" i="50"/>
  <c r="L971" i="50"/>
  <c r="M1002" i="50"/>
  <c r="L990" i="50"/>
  <c r="J985" i="50"/>
  <c r="P993" i="50"/>
  <c r="K991" i="50"/>
  <c r="J984" i="50"/>
  <c r="J952" i="50"/>
  <c r="P958" i="50"/>
  <c r="L986" i="50"/>
  <c r="I975" i="50"/>
  <c r="K1001" i="50"/>
  <c r="L981" i="50"/>
  <c r="K952" i="50"/>
  <c r="M970" i="50"/>
  <c r="K973" i="50"/>
  <c r="I968" i="50"/>
  <c r="J981" i="50"/>
  <c r="P979" i="50"/>
  <c r="L989" i="50"/>
  <c r="I987" i="50"/>
  <c r="L991" i="50"/>
  <c r="P973" i="50"/>
  <c r="J1002" i="50"/>
  <c r="K996" i="50"/>
  <c r="I998" i="50"/>
  <c r="J1004" i="50"/>
  <c r="M953" i="50"/>
  <c r="M972" i="50"/>
  <c r="M967" i="50"/>
  <c r="P995" i="50"/>
  <c r="L972" i="50"/>
  <c r="I995" i="50"/>
  <c r="M975" i="50"/>
  <c r="L984" i="50"/>
  <c r="J998" i="50"/>
  <c r="P988" i="50"/>
  <c r="K978" i="50"/>
  <c r="M973" i="50"/>
  <c r="M995" i="50"/>
  <c r="P984" i="50"/>
  <c r="M971" i="50"/>
  <c r="I993" i="50"/>
  <c r="L995" i="50"/>
  <c r="M992" i="50"/>
  <c r="F961" i="50"/>
  <c r="K970" i="50"/>
  <c r="L970" i="50"/>
  <c r="K987" i="50"/>
  <c r="K989" i="50"/>
  <c r="I992" i="50"/>
  <c r="J1001" i="50"/>
  <c r="L965" i="50"/>
  <c r="G954" i="50"/>
  <c r="K998" i="50"/>
  <c r="P961" i="50"/>
  <c r="J972" i="50"/>
  <c r="J958" i="50"/>
  <c r="I970" i="50"/>
  <c r="K961" i="50"/>
  <c r="S960" i="50" s="1"/>
  <c r="M1004" i="50"/>
  <c r="P978" i="50"/>
  <c r="M968" i="50"/>
  <c r="L967" i="50"/>
  <c r="P990" i="50"/>
  <c r="P985" i="50"/>
  <c r="K985" i="50"/>
  <c r="I967" i="50"/>
  <c r="J957" i="50"/>
  <c r="M952" i="50"/>
  <c r="P967" i="50"/>
  <c r="M991" i="50"/>
  <c r="K968" i="50"/>
  <c r="M957" i="50"/>
  <c r="I985" i="50"/>
  <c r="P1004" i="50"/>
  <c r="J989" i="50"/>
  <c r="J973" i="50"/>
  <c r="M998" i="50"/>
  <c r="J996" i="50"/>
  <c r="J1005" i="50"/>
  <c r="J975" i="50"/>
  <c r="I1004" i="50"/>
  <c r="P991" i="50"/>
  <c r="P981" i="50"/>
  <c r="I982" i="50"/>
  <c r="M958" i="50"/>
  <c r="L1005" i="50"/>
  <c r="M987" i="50"/>
  <c r="I984" i="50"/>
  <c r="M976" i="50"/>
  <c r="J979" i="50"/>
  <c r="I978" i="50"/>
  <c r="I986" i="50"/>
  <c r="I989" i="50"/>
  <c r="I979" i="50"/>
  <c r="J990" i="50"/>
  <c r="I961" i="50"/>
  <c r="R960" i="50" s="1"/>
  <c r="P975" i="50"/>
  <c r="K976" i="50"/>
  <c r="P987" i="50"/>
  <c r="J988" i="50"/>
  <c r="M989" i="50"/>
  <c r="J971" i="50"/>
  <c r="K982" i="50"/>
  <c r="M984" i="50"/>
  <c r="I971" i="50"/>
  <c r="M988" i="50"/>
  <c r="J982" i="50"/>
  <c r="K975" i="50"/>
  <c r="L958" i="50"/>
  <c r="P957" i="50"/>
  <c r="E952" i="50"/>
  <c r="K990" i="50"/>
  <c r="M981" i="50"/>
  <c r="K981" i="50"/>
  <c r="K988" i="50"/>
  <c r="P976" i="50"/>
  <c r="J987" i="50"/>
  <c r="K957" i="50"/>
  <c r="K986" i="50"/>
  <c r="J992" i="50"/>
  <c r="K1005" i="50"/>
  <c r="K954" i="50"/>
  <c r="P1001" i="50"/>
  <c r="M990" i="50"/>
  <c r="M1001" i="50"/>
  <c r="H954" i="50"/>
  <c r="L978" i="50"/>
  <c r="L975" i="50"/>
  <c r="E350" i="50"/>
  <c r="P249" i="41"/>
  <c r="E295" i="41"/>
  <c r="AA1226" i="37"/>
  <c r="AA1227" i="37" s="1"/>
  <c r="AA1228" i="37" s="1"/>
  <c r="AA1229" i="37" s="1"/>
  <c r="AA1235" i="37"/>
  <c r="AA1238" i="37" s="1"/>
  <c r="AA1239" i="37" s="1"/>
  <c r="AA1240" i="37" s="1"/>
  <c r="AA1241" i="37" s="1"/>
  <c r="D1374" i="50"/>
  <c r="V1111" i="37"/>
  <c r="V998" i="37"/>
  <c r="V1075" i="37"/>
  <c r="V1050" i="37"/>
  <c r="V1069" i="37"/>
  <c r="V991" i="37"/>
  <c r="V1033" i="37"/>
  <c r="V1127" i="37"/>
  <c r="V1110" i="37"/>
  <c r="V993" i="37"/>
  <c r="V1062" i="37"/>
  <c r="V1131" i="37"/>
  <c r="V1119" i="37"/>
  <c r="V980" i="37"/>
  <c r="V981" i="37"/>
  <c r="V992" i="37"/>
  <c r="V1083" i="37"/>
  <c r="V571" i="37"/>
  <c r="V535" i="37"/>
  <c r="V458" i="37"/>
  <c r="V510" i="37"/>
  <c r="V452" i="37"/>
  <c r="V591" i="37"/>
  <c r="V529" i="37"/>
  <c r="V522" i="37"/>
  <c r="V453" i="37"/>
  <c r="V579" i="37"/>
  <c r="V451" i="37"/>
  <c r="V587" i="37"/>
  <c r="V440" i="37"/>
  <c r="V493" i="37"/>
  <c r="V570" i="37"/>
  <c r="V441" i="37"/>
  <c r="V543" i="37"/>
  <c r="M222" i="50"/>
  <c r="L222" i="50"/>
  <c r="J222" i="50"/>
  <c r="P222" i="50"/>
  <c r="K222" i="50"/>
  <c r="I222" i="50"/>
  <c r="Q1009" i="50"/>
  <c r="D1009" i="50"/>
  <c r="I1009" i="50"/>
  <c r="N457" i="37"/>
  <c r="X457" i="37" s="1"/>
  <c r="X451" i="37"/>
  <c r="H717" i="50"/>
  <c r="H712" i="50"/>
  <c r="R1335" i="50"/>
  <c r="E354" i="50"/>
  <c r="P253" i="41"/>
  <c r="E299" i="41"/>
  <c r="K225" i="50"/>
  <c r="J225" i="50"/>
  <c r="M225" i="50"/>
  <c r="L225" i="50"/>
  <c r="I225" i="50"/>
  <c r="P225" i="50"/>
  <c r="AA1841" i="37"/>
  <c r="AA1844" i="37" s="1"/>
  <c r="AA1845" i="37" s="1"/>
  <c r="AA1847" i="37" s="1"/>
  <c r="AA1837" i="37"/>
  <c r="AA1839" i="37" s="1"/>
  <c r="L905" i="50"/>
  <c r="AA933" i="37"/>
  <c r="AA936" i="37" s="1"/>
  <c r="AA915" i="37"/>
  <c r="AA735" i="37"/>
  <c r="AA753" i="37"/>
  <c r="AA756" i="37" s="1"/>
  <c r="T632" i="37"/>
  <c r="T690" i="37"/>
  <c r="T621" i="37"/>
  <c r="T767" i="37"/>
  <c r="T620" i="37"/>
  <c r="T673" i="37"/>
  <c r="T759" i="37"/>
  <c r="T750" i="37"/>
  <c r="T631" i="37"/>
  <c r="T771" i="37"/>
  <c r="T715" i="37"/>
  <c r="T709" i="37"/>
  <c r="T723" i="37"/>
  <c r="T702" i="37"/>
  <c r="T638" i="37"/>
  <c r="T633" i="37"/>
  <c r="T751" i="37"/>
  <c r="D1369" i="50"/>
  <c r="AA1095" i="37"/>
  <c r="AA1113" i="37"/>
  <c r="AA1116" i="37" s="1"/>
  <c r="U102" i="37"/>
  <c r="U169" i="37"/>
  <c r="U52" i="37"/>
  <c r="U161" i="37"/>
  <c r="U129" i="37"/>
  <c r="U200" i="37"/>
  <c r="U43" i="37"/>
  <c r="U151" i="37"/>
  <c r="U42" i="37"/>
  <c r="U44" i="37"/>
  <c r="U201" i="37"/>
  <c r="U225" i="37"/>
  <c r="U219" i="37"/>
  <c r="U141" i="37"/>
  <c r="U28" i="37"/>
  <c r="K478" i="50" s="1"/>
  <c r="U27" i="37"/>
  <c r="U210" i="37"/>
  <c r="T129" i="37"/>
  <c r="T161" i="37"/>
  <c r="T200" i="37"/>
  <c r="T169" i="37"/>
  <c r="T201" i="37"/>
  <c r="T151" i="37"/>
  <c r="T27" i="37"/>
  <c r="T219" i="37"/>
  <c r="T225" i="37"/>
  <c r="T141" i="37"/>
  <c r="T52" i="37"/>
  <c r="T28" i="37"/>
  <c r="J478" i="50" s="1"/>
  <c r="T44" i="37"/>
  <c r="T43" i="37"/>
  <c r="T210" i="37"/>
  <c r="T102" i="37"/>
  <c r="T42" i="37"/>
  <c r="J226" i="50"/>
  <c r="L226" i="50"/>
  <c r="I226" i="50"/>
  <c r="M226" i="50"/>
  <c r="K226" i="50"/>
  <c r="P226" i="50"/>
  <c r="E296" i="41"/>
  <c r="P250" i="41"/>
  <c r="E351" i="50"/>
  <c r="N1224" i="50"/>
  <c r="H1230" i="50"/>
  <c r="G1233" i="50" s="1"/>
  <c r="N1226" i="50"/>
  <c r="N1225" i="50"/>
  <c r="V1479" i="37"/>
  <c r="V1410" i="37"/>
  <c r="V1358" i="37"/>
  <c r="V1470" i="37"/>
  <c r="V1491" i="37"/>
  <c r="V1487" i="37"/>
  <c r="V1351" i="37"/>
  <c r="V1435" i="37"/>
  <c r="V1393" i="37"/>
  <c r="V1471" i="37"/>
  <c r="V1341" i="37"/>
  <c r="V1429" i="37"/>
  <c r="V1353" i="37"/>
  <c r="V1352" i="37"/>
  <c r="V1422" i="37"/>
  <c r="V1443" i="37"/>
  <c r="V1340" i="37"/>
  <c r="X1352" i="37"/>
  <c r="X1358" i="37"/>
  <c r="N1352" i="37"/>
  <c r="X1353" i="37"/>
  <c r="S1191" i="50"/>
  <c r="S1194" i="50"/>
  <c r="T273" i="37"/>
  <c r="T363" i="37"/>
  <c r="T390" i="37"/>
  <c r="T342" i="37"/>
  <c r="T330" i="37"/>
  <c r="T391" i="37"/>
  <c r="T313" i="37"/>
  <c r="T272" i="37"/>
  <c r="T271" i="37"/>
  <c r="T261" i="37"/>
  <c r="T349" i="37"/>
  <c r="T260" i="37"/>
  <c r="T355" i="37"/>
  <c r="T407" i="37"/>
  <c r="T399" i="37"/>
  <c r="T411" i="37"/>
  <c r="T278" i="37"/>
  <c r="W363" i="37"/>
  <c r="W272" i="37"/>
  <c r="W349" i="37"/>
  <c r="W278" i="37"/>
  <c r="W330" i="37"/>
  <c r="W260" i="37"/>
  <c r="W271" i="37"/>
  <c r="W407" i="37"/>
  <c r="W391" i="37"/>
  <c r="W342" i="37"/>
  <c r="W261" i="37"/>
  <c r="W390" i="37"/>
  <c r="W313" i="37"/>
  <c r="W273" i="37"/>
  <c r="W355" i="37"/>
  <c r="W399" i="37"/>
  <c r="W411" i="37"/>
  <c r="D1372" i="50"/>
  <c r="X44" i="37"/>
  <c r="X43" i="37"/>
  <c r="N43" i="37"/>
  <c r="X52" i="37"/>
  <c r="U1471" i="37"/>
  <c r="U1435" i="37"/>
  <c r="U1340" i="37"/>
  <c r="U1351" i="37"/>
  <c r="U1487" i="37"/>
  <c r="U1410" i="37"/>
  <c r="U1358" i="37"/>
  <c r="U1491" i="37"/>
  <c r="U1443" i="37"/>
  <c r="U1429" i="37"/>
  <c r="U1470" i="37"/>
  <c r="U1479" i="37"/>
  <c r="U1353" i="37"/>
  <c r="U1341" i="37"/>
  <c r="U1352" i="37"/>
  <c r="U1393" i="37"/>
  <c r="U1422" i="37"/>
  <c r="W1242" i="37"/>
  <c r="W1299" i="37"/>
  <c r="W1178" i="37"/>
  <c r="W1290" i="37"/>
  <c r="W1307" i="37"/>
  <c r="W1172" i="37"/>
  <c r="W1263" i="37"/>
  <c r="W1171" i="37"/>
  <c r="W1161" i="37"/>
  <c r="W1311" i="37"/>
  <c r="W1230" i="37"/>
  <c r="W1291" i="37"/>
  <c r="W1255" i="37"/>
  <c r="W1249" i="37"/>
  <c r="W1213" i="37"/>
  <c r="W1160" i="37"/>
  <c r="W1173" i="37"/>
  <c r="K228" i="50"/>
  <c r="L228" i="50"/>
  <c r="J228" i="50"/>
  <c r="P228" i="50"/>
  <c r="M228" i="50"/>
  <c r="I228" i="50"/>
  <c r="V702" i="37"/>
  <c r="V673" i="37"/>
  <c r="V631" i="37"/>
  <c r="V620" i="37"/>
  <c r="V771" i="37"/>
  <c r="V767" i="37"/>
  <c r="V633" i="37"/>
  <c r="V750" i="37"/>
  <c r="V759" i="37"/>
  <c r="V715" i="37"/>
  <c r="V690" i="37"/>
  <c r="V621" i="37"/>
  <c r="V723" i="37"/>
  <c r="V751" i="37"/>
  <c r="V638" i="37"/>
  <c r="V709" i="37"/>
  <c r="V632" i="37"/>
  <c r="S621" i="37"/>
  <c r="S709" i="37"/>
  <c r="S620" i="37"/>
  <c r="S751" i="37"/>
  <c r="S673" i="37"/>
  <c r="S750" i="37"/>
  <c r="S690" i="37"/>
  <c r="S759" i="37"/>
  <c r="S638" i="37"/>
  <c r="S767" i="37"/>
  <c r="S633" i="37"/>
  <c r="S715" i="37"/>
  <c r="S632" i="37"/>
  <c r="S631" i="37"/>
  <c r="S771" i="37"/>
  <c r="S723" i="37"/>
  <c r="S702" i="37"/>
  <c r="L845" i="50"/>
  <c r="I832" i="50"/>
  <c r="I834" i="50" s="1"/>
  <c r="L832" i="50"/>
  <c r="Q1713" i="37"/>
  <c r="AA393" i="37"/>
  <c r="AA396" i="37" s="1"/>
  <c r="AA375" i="37"/>
  <c r="L316" i="49"/>
  <c r="L129" i="50"/>
  <c r="D1368" i="50"/>
  <c r="K223" i="50"/>
  <c r="M223" i="50"/>
  <c r="P223" i="50"/>
  <c r="L223" i="50"/>
  <c r="J223" i="50"/>
  <c r="I223" i="50"/>
  <c r="AA1275" i="37"/>
  <c r="AA1293" i="37"/>
  <c r="AA1296" i="37" s="1"/>
  <c r="V201" i="37"/>
  <c r="V169" i="37"/>
  <c r="V43" i="37"/>
  <c r="V161" i="37"/>
  <c r="V151" i="37"/>
  <c r="V129" i="37"/>
  <c r="V42" i="37"/>
  <c r="V27" i="37"/>
  <c r="V219" i="37"/>
  <c r="V52" i="37"/>
  <c r="V28" i="37"/>
  <c r="L478" i="50" s="1"/>
  <c r="V141" i="37"/>
  <c r="V210" i="37"/>
  <c r="V200" i="37"/>
  <c r="V102" i="37"/>
  <c r="V44" i="37"/>
  <c r="V225" i="37"/>
  <c r="AA182" i="37"/>
  <c r="AA203" i="37"/>
  <c r="AA207" i="37" s="1"/>
  <c r="Q1701" i="37"/>
  <c r="C1271" i="50"/>
  <c r="Q1251" i="50"/>
  <c r="I1251" i="50"/>
  <c r="L1254" i="50"/>
  <c r="H1259" i="50" s="1"/>
  <c r="M1251" i="50"/>
  <c r="D1251" i="50"/>
  <c r="R1701" i="37"/>
  <c r="R1831" i="37"/>
  <c r="I227" i="50"/>
  <c r="M227" i="50"/>
  <c r="K227" i="50"/>
  <c r="J227" i="50"/>
  <c r="P227" i="50"/>
  <c r="L227" i="50"/>
  <c r="U271" i="37"/>
  <c r="U411" i="37"/>
  <c r="U261" i="37"/>
  <c r="U272" i="37"/>
  <c r="U313" i="37"/>
  <c r="U399" i="37"/>
  <c r="U260" i="37"/>
  <c r="U330" i="37"/>
  <c r="U363" i="37"/>
  <c r="U278" i="37"/>
  <c r="U407" i="37"/>
  <c r="U391" i="37"/>
  <c r="U342" i="37"/>
  <c r="U273" i="37"/>
  <c r="U349" i="37"/>
  <c r="U355" i="37"/>
  <c r="U390" i="37"/>
  <c r="W543" i="37"/>
  <c r="W493" i="37"/>
  <c r="W571" i="37"/>
  <c r="W529" i="37"/>
  <c r="W579" i="37"/>
  <c r="W441" i="37"/>
  <c r="W451" i="37"/>
  <c r="W587" i="37"/>
  <c r="W591" i="37"/>
  <c r="W535" i="37"/>
  <c r="W440" i="37"/>
  <c r="W452" i="37"/>
  <c r="W522" i="37"/>
  <c r="W570" i="37"/>
  <c r="W510" i="37"/>
  <c r="W453" i="37"/>
  <c r="W458" i="37"/>
  <c r="U458" i="37"/>
  <c r="U579" i="37"/>
  <c r="U452" i="37"/>
  <c r="U453" i="37"/>
  <c r="U571" i="37"/>
  <c r="U522" i="37"/>
  <c r="U529" i="37"/>
  <c r="U543" i="37"/>
  <c r="U587" i="37"/>
  <c r="U493" i="37"/>
  <c r="U441" i="37"/>
  <c r="U570" i="37"/>
  <c r="U535" i="37"/>
  <c r="U440" i="37"/>
  <c r="U591" i="37"/>
  <c r="U510" i="37"/>
  <c r="U451" i="37"/>
  <c r="S772" i="50"/>
  <c r="S769" i="50"/>
  <c r="R1330" i="50" s="1"/>
  <c r="L785" i="50"/>
  <c r="U751" i="37"/>
  <c r="U621" i="37"/>
  <c r="U638" i="37"/>
  <c r="U759" i="37"/>
  <c r="U709" i="37"/>
  <c r="U620" i="37"/>
  <c r="U632" i="37"/>
  <c r="U723" i="37"/>
  <c r="U767" i="37"/>
  <c r="U715" i="37"/>
  <c r="U673" i="37"/>
  <c r="U631" i="37"/>
  <c r="U690" i="37"/>
  <c r="U702" i="37"/>
  <c r="U633" i="37"/>
  <c r="U771" i="37"/>
  <c r="U750" i="37"/>
  <c r="S1487" i="37"/>
  <c r="S1358" i="37"/>
  <c r="S1443" i="37"/>
  <c r="S1351" i="37"/>
  <c r="S1341" i="37"/>
  <c r="S1422" i="37"/>
  <c r="S1429" i="37"/>
  <c r="S1353" i="37"/>
  <c r="S1410" i="37"/>
  <c r="S1470" i="37"/>
  <c r="S1393" i="37"/>
  <c r="S1491" i="37"/>
  <c r="S1352" i="37"/>
  <c r="S1340" i="37"/>
  <c r="S1479" i="37"/>
  <c r="S1435" i="37"/>
  <c r="S1471" i="37"/>
  <c r="L315" i="49"/>
  <c r="L128" i="50"/>
  <c r="X1171" i="37"/>
  <c r="N1177" i="37"/>
  <c r="X1177" i="37" s="1"/>
  <c r="T1307" i="37"/>
  <c r="T1171" i="37"/>
  <c r="T1160" i="37"/>
  <c r="T1311" i="37"/>
  <c r="T1230" i="37"/>
  <c r="T1172" i="37"/>
  <c r="T1299" i="37"/>
  <c r="T1291" i="37"/>
  <c r="T1255" i="37"/>
  <c r="T1213" i="37"/>
  <c r="T1249" i="37"/>
  <c r="T1242" i="37"/>
  <c r="T1178" i="37"/>
  <c r="T1161" i="37"/>
  <c r="T1263" i="37"/>
  <c r="T1173" i="37"/>
  <c r="T1290" i="37"/>
  <c r="H892" i="50"/>
  <c r="H897" i="50"/>
  <c r="H597" i="50"/>
  <c r="H592" i="50"/>
  <c r="V853" i="37"/>
  <c r="V947" i="37"/>
  <c r="V870" i="37"/>
  <c r="V813" i="37"/>
  <c r="V903" i="37"/>
  <c r="V812" i="37"/>
  <c r="V818" i="37"/>
  <c r="V889" i="37"/>
  <c r="V939" i="37"/>
  <c r="V882" i="37"/>
  <c r="V800" i="37"/>
  <c r="V951" i="37"/>
  <c r="V811" i="37"/>
  <c r="V895" i="37"/>
  <c r="V931" i="37"/>
  <c r="V930" i="37"/>
  <c r="V801" i="37"/>
  <c r="X818" i="37"/>
  <c r="X812" i="37"/>
  <c r="X813" i="37"/>
  <c r="N812" i="37"/>
  <c r="X631" i="37"/>
  <c r="N637" i="37"/>
  <c r="X637" i="37" s="1"/>
  <c r="N992" i="37"/>
  <c r="X993" i="37"/>
  <c r="X998" i="37"/>
  <c r="X992" i="37"/>
  <c r="N51" i="37"/>
  <c r="X51" i="37" s="1"/>
  <c r="X42" i="37"/>
  <c r="J58" i="49"/>
  <c r="J69" i="50"/>
  <c r="W1479" i="37"/>
  <c r="W1487" i="37"/>
  <c r="W1470" i="37"/>
  <c r="W1351" i="37"/>
  <c r="W1471" i="37"/>
  <c r="W1340" i="37"/>
  <c r="W1491" i="37"/>
  <c r="W1393" i="37"/>
  <c r="W1352" i="37"/>
  <c r="W1443" i="37"/>
  <c r="W1435" i="37"/>
  <c r="W1341" i="37"/>
  <c r="W1358" i="37"/>
  <c r="W1410" i="37"/>
  <c r="W1422" i="37"/>
  <c r="W1429" i="37"/>
  <c r="W1353" i="37"/>
  <c r="R1700" i="37"/>
  <c r="V363" i="37"/>
  <c r="V260" i="37"/>
  <c r="V330" i="37"/>
  <c r="V261" i="37"/>
  <c r="V411" i="37"/>
  <c r="V391" i="37"/>
  <c r="V271" i="37"/>
  <c r="V272" i="37"/>
  <c r="V355" i="37"/>
  <c r="V273" i="37"/>
  <c r="V342" i="37"/>
  <c r="V349" i="37"/>
  <c r="V399" i="37"/>
  <c r="V407" i="37"/>
  <c r="V313" i="37"/>
  <c r="V278" i="37"/>
  <c r="V390" i="37"/>
  <c r="AA335" i="37"/>
  <c r="AA338" i="37" s="1"/>
  <c r="AA339" i="37" s="1"/>
  <c r="AA340" i="37" s="1"/>
  <c r="AA341" i="37" s="1"/>
  <c r="AA326" i="37"/>
  <c r="AA327" i="37" s="1"/>
  <c r="AA328" i="37" s="1"/>
  <c r="AA329" i="37" s="1"/>
  <c r="L712" i="50"/>
  <c r="I712" i="50"/>
  <c r="I714" i="50" s="1"/>
  <c r="N774" i="50"/>
  <c r="N773" i="50"/>
  <c r="N772" i="50"/>
  <c r="H778" i="50"/>
  <c r="G781" i="50"/>
  <c r="S283" i="42" l="1"/>
  <c r="I407" i="41"/>
  <c r="L407" i="41"/>
  <c r="V283" i="42"/>
  <c r="I98" i="50"/>
  <c r="I118" i="50" s="1"/>
  <c r="I102" i="50"/>
  <c r="I122" i="50" s="1"/>
  <c r="I109" i="50"/>
  <c r="I101" i="50"/>
  <c r="I121" i="50" s="1"/>
  <c r="I97" i="50"/>
  <c r="I117" i="50" s="1"/>
  <c r="I107" i="50"/>
  <c r="I96" i="50"/>
  <c r="I116" i="50" s="1"/>
  <c r="I106" i="50"/>
  <c r="I99" i="50"/>
  <c r="I119" i="50" s="1"/>
  <c r="I94" i="50"/>
  <c r="I114" i="50" s="1"/>
  <c r="I100" i="50"/>
  <c r="I120" i="50" s="1"/>
  <c r="I95" i="50"/>
  <c r="I115" i="50" s="1"/>
  <c r="I93" i="50"/>
  <c r="I1025" i="50" s="1"/>
  <c r="I108" i="50"/>
  <c r="I1267" i="50" s="1"/>
  <c r="I477" i="50"/>
  <c r="Q1539" i="37"/>
  <c r="M477" i="50"/>
  <c r="N1537" i="37"/>
  <c r="X1537" i="37" s="1"/>
  <c r="X1531" i="37"/>
  <c r="K477" i="50"/>
  <c r="R1521" i="37"/>
  <c r="AA1657" i="37"/>
  <c r="AA1659" i="37" s="1"/>
  <c r="AA1661" i="37"/>
  <c r="AA1664" i="37" s="1"/>
  <c r="AA1665" i="37" s="1"/>
  <c r="AA1667" i="37" s="1"/>
  <c r="Q1521" i="37"/>
  <c r="E331" i="41"/>
  <c r="P302" i="41"/>
  <c r="I302" i="41" s="1"/>
  <c r="I397" i="50" s="1"/>
  <c r="E397" i="50"/>
  <c r="AA1645" i="37"/>
  <c r="AA1648" i="37" s="1"/>
  <c r="AA1649" i="37" s="1"/>
  <c r="AA1651" i="37" s="1"/>
  <c r="AA1637" i="37"/>
  <c r="AA1640" i="37" s="1"/>
  <c r="AA1641" i="37" s="1"/>
  <c r="AA1643" i="37" s="1"/>
  <c r="R1651" i="37"/>
  <c r="R1520" i="37"/>
  <c r="R1650" i="37"/>
  <c r="Q1533" i="37"/>
  <c r="Q1520" i="37"/>
  <c r="Q376" i="47"/>
  <c r="Q620" i="37"/>
  <c r="Q621" i="37"/>
  <c r="Q440" i="37"/>
  <c r="R1471" i="37"/>
  <c r="Q1341" i="37"/>
  <c r="R1111" i="37"/>
  <c r="R1110" i="37"/>
  <c r="Q639" i="37"/>
  <c r="R621" i="37"/>
  <c r="Q980" i="37"/>
  <c r="R1470" i="37"/>
  <c r="Q1359" i="37"/>
  <c r="I1894" i="37" a="1"/>
  <c r="I1894" i="37" s="1"/>
  <c r="I1895" i="37" s="1"/>
  <c r="I367" i="41" s="1"/>
  <c r="I368" i="41" s="1"/>
  <c r="K256" i="41"/>
  <c r="K357" i="50" s="1"/>
  <c r="L1894" i="37" a="1"/>
  <c r="L1894" i="37" s="1"/>
  <c r="L1895" i="37" s="1"/>
  <c r="L367" i="41" s="1"/>
  <c r="L368" i="41" s="1"/>
  <c r="L256" i="41"/>
  <c r="L357" i="50" s="1"/>
  <c r="I303" i="41"/>
  <c r="I398" i="50" s="1"/>
  <c r="L257" i="41"/>
  <c r="L358" i="50" s="1"/>
  <c r="M256" i="41"/>
  <c r="M357" i="50" s="1"/>
  <c r="L303" i="41"/>
  <c r="L398" i="50" s="1"/>
  <c r="M1889" i="37" a="1"/>
  <c r="M1889" i="37" s="1"/>
  <c r="M1890" i="37" s="1"/>
  <c r="M148" i="41" s="1"/>
  <c r="J1894" i="37" a="1"/>
  <c r="J1894" i="37" s="1"/>
  <c r="J1895" i="37" s="1"/>
  <c r="J367" i="41" s="1"/>
  <c r="J368" i="41" s="1"/>
  <c r="J332" i="41"/>
  <c r="J424" i="50" s="1"/>
  <c r="K257" i="41"/>
  <c r="K358" i="50" s="1"/>
  <c r="I332" i="41"/>
  <c r="I424" i="50" s="1"/>
  <c r="J257" i="41"/>
  <c r="J358" i="50" s="1"/>
  <c r="L332" i="41"/>
  <c r="L424" i="50" s="1"/>
  <c r="M332" i="41"/>
  <c r="M424" i="50" s="1"/>
  <c r="K303" i="41"/>
  <c r="K398" i="50" s="1"/>
  <c r="R2" i="37"/>
  <c r="K332" i="41"/>
  <c r="K424" i="50" s="1"/>
  <c r="M303" i="41"/>
  <c r="M398" i="50" s="1"/>
  <c r="K1894" i="37" a="1"/>
  <c r="K1894" i="37" s="1"/>
  <c r="K1895" i="37" s="1"/>
  <c r="K367" i="41" s="1"/>
  <c r="K368" i="41" s="1"/>
  <c r="K302" i="41"/>
  <c r="K397" i="50" s="1"/>
  <c r="I256" i="41"/>
  <c r="I357" i="50" s="1"/>
  <c r="M1894" i="37" a="1"/>
  <c r="M1894" i="37" s="1"/>
  <c r="M1895" i="37" s="1"/>
  <c r="M367" i="41" s="1"/>
  <c r="M368" i="41" s="1"/>
  <c r="J256" i="41"/>
  <c r="J357" i="50" s="1"/>
  <c r="J303" i="41"/>
  <c r="J398" i="50" s="1"/>
  <c r="L302" i="41"/>
  <c r="L397" i="50" s="1"/>
  <c r="K1889" i="37" a="1"/>
  <c r="K1889" i="37" s="1"/>
  <c r="K1890" i="37" s="1"/>
  <c r="K148" i="41" s="1"/>
  <c r="L1889" i="37" a="1"/>
  <c r="L1889" i="37" s="1"/>
  <c r="L1890" i="37" s="1"/>
  <c r="L148" i="41" s="1"/>
  <c r="M257" i="41"/>
  <c r="M358" i="50" s="1"/>
  <c r="I257" i="41"/>
  <c r="I358" i="50" s="1"/>
  <c r="I1889" i="37" a="1"/>
  <c r="I1889" i="37" s="1"/>
  <c r="I1890" i="37" s="1"/>
  <c r="I148" i="41" s="1"/>
  <c r="J1889" i="37" a="1"/>
  <c r="J1889" i="37" s="1"/>
  <c r="J1890" i="37" s="1"/>
  <c r="J148" i="41" s="1"/>
  <c r="AA577" i="37"/>
  <c r="AA579" i="37" s="1"/>
  <c r="AA581" i="37"/>
  <c r="AA584" i="37" s="1"/>
  <c r="AA585" i="37" s="1"/>
  <c r="AA587" i="37" s="1"/>
  <c r="M252" i="41"/>
  <c r="M353" i="50" s="1"/>
  <c r="L252" i="41"/>
  <c r="L353" i="50" s="1"/>
  <c r="J252" i="41"/>
  <c r="J353" i="50" s="1"/>
  <c r="I252" i="41"/>
  <c r="I353" i="50" s="1"/>
  <c r="K252" i="41"/>
  <c r="K353" i="50" s="1"/>
  <c r="K113" i="50"/>
  <c r="K605" i="50"/>
  <c r="K725" i="50"/>
  <c r="K845" i="50"/>
  <c r="K905" i="50"/>
  <c r="K665" i="50"/>
  <c r="K545" i="50"/>
  <c r="K485" i="50"/>
  <c r="K785" i="50"/>
  <c r="R28" i="37"/>
  <c r="R930" i="37"/>
  <c r="R1341" i="37"/>
  <c r="AA377" i="37"/>
  <c r="AA380" i="37" s="1"/>
  <c r="AA381" i="37" s="1"/>
  <c r="AA383" i="37" s="1"/>
  <c r="AA385" i="37"/>
  <c r="AA388" i="37" s="1"/>
  <c r="AA389" i="37" s="1"/>
  <c r="AA391" i="37" s="1"/>
  <c r="Q27" i="37"/>
  <c r="AA1121" i="37"/>
  <c r="AA1124" i="37" s="1"/>
  <c r="AA1125" i="37" s="1"/>
  <c r="AA1127" i="37" s="1"/>
  <c r="AA1117" i="37"/>
  <c r="AA1119" i="37" s="1"/>
  <c r="AA941" i="37"/>
  <c r="AA944" i="37" s="1"/>
  <c r="AA945" i="37" s="1"/>
  <c r="AA947" i="37" s="1"/>
  <c r="AA937" i="37"/>
  <c r="AA939" i="37" s="1"/>
  <c r="S709" i="50"/>
  <c r="R1329" i="50" s="1"/>
  <c r="S712" i="50"/>
  <c r="K965" i="50"/>
  <c r="R440" i="37"/>
  <c r="Q1161" i="37"/>
  <c r="Q801" i="37"/>
  <c r="Q279" i="37"/>
  <c r="L534" i="50"/>
  <c r="N538" i="50"/>
  <c r="K126" i="50"/>
  <c r="K1207" i="50"/>
  <c r="E330" i="41"/>
  <c r="E396" i="50"/>
  <c r="P301" i="41"/>
  <c r="R27" i="37"/>
  <c r="G541" i="50"/>
  <c r="N533" i="50"/>
  <c r="H538" i="50"/>
  <c r="N532" i="50"/>
  <c r="N534" i="50"/>
  <c r="R801" i="37"/>
  <c r="Q819" i="37"/>
  <c r="S1221" i="50"/>
  <c r="R1339" i="50" s="1"/>
  <c r="S1224" i="50"/>
  <c r="E323" i="41"/>
  <c r="P294" i="41"/>
  <c r="E389" i="50"/>
  <c r="S589" i="50"/>
  <c r="R1327" i="50" s="1"/>
  <c r="S592" i="50"/>
  <c r="AA212" i="37"/>
  <c r="AA216" i="37" s="1"/>
  <c r="AA217" i="37" s="1"/>
  <c r="AA219" i="37" s="1"/>
  <c r="AA208" i="37"/>
  <c r="AA210" i="37" s="1"/>
  <c r="AA397" i="37"/>
  <c r="AA399" i="37" s="1"/>
  <c r="AA401" i="37"/>
  <c r="AA404" i="37" s="1"/>
  <c r="AA405" i="37" s="1"/>
  <c r="AA407" i="37" s="1"/>
  <c r="R750" i="37"/>
  <c r="Q28" i="37"/>
  <c r="AA1105" i="37"/>
  <c r="AA1108" i="37" s="1"/>
  <c r="AA1109" i="37" s="1"/>
  <c r="AA1111" i="37" s="1"/>
  <c r="AA1097" i="37"/>
  <c r="AA1100" i="37" s="1"/>
  <c r="AA1101" i="37" s="1"/>
  <c r="AA1103" i="37" s="1"/>
  <c r="N712" i="50"/>
  <c r="G721" i="50"/>
  <c r="N713" i="50"/>
  <c r="H718" i="50"/>
  <c r="N714" i="50"/>
  <c r="D1376" i="50"/>
  <c r="R1290" i="37"/>
  <c r="R390" i="37"/>
  <c r="R261" i="37"/>
  <c r="Q981" i="37"/>
  <c r="Q53" i="37"/>
  <c r="G474" i="50" s="1"/>
  <c r="R200" i="37"/>
  <c r="Q993" i="37"/>
  <c r="Q999" i="37"/>
  <c r="S529" i="50"/>
  <c r="R1326" i="50" s="1"/>
  <c r="S532" i="50"/>
  <c r="L474" i="50"/>
  <c r="N478" i="50"/>
  <c r="F481" i="50" s="1"/>
  <c r="M248" i="41"/>
  <c r="K248" i="41"/>
  <c r="I248" i="41"/>
  <c r="J248" i="41"/>
  <c r="L248" i="41"/>
  <c r="AA737" i="37"/>
  <c r="AA740" i="37" s="1"/>
  <c r="AA741" i="37" s="1"/>
  <c r="AA743" i="37" s="1"/>
  <c r="AA745" i="37"/>
  <c r="AA748" i="37" s="1"/>
  <c r="AA749" i="37" s="1"/>
  <c r="AA751" i="37" s="1"/>
  <c r="R1338" i="50"/>
  <c r="D1339" i="50"/>
  <c r="D1336" i="50"/>
  <c r="R1336" i="50"/>
  <c r="R1337" i="50"/>
  <c r="D1338" i="50"/>
  <c r="D1335" i="50"/>
  <c r="G601" i="50"/>
  <c r="N594" i="50"/>
  <c r="N592" i="50"/>
  <c r="N593" i="50"/>
  <c r="H598" i="50"/>
  <c r="AA193" i="37"/>
  <c r="AA198" i="37" s="1"/>
  <c r="AA199" i="37" s="1"/>
  <c r="AA201" i="37" s="1"/>
  <c r="AA184" i="37"/>
  <c r="AA188" i="37" s="1"/>
  <c r="AA189" i="37" s="1"/>
  <c r="AA191" i="37" s="1"/>
  <c r="AA917" i="37"/>
  <c r="AA920" i="37" s="1"/>
  <c r="AA921" i="37" s="1"/>
  <c r="AA923" i="37" s="1"/>
  <c r="AA925" i="37"/>
  <c r="AA928" i="37" s="1"/>
  <c r="AA929" i="37" s="1"/>
  <c r="AA931" i="37" s="1"/>
  <c r="R570" i="37"/>
  <c r="R571" i="37"/>
  <c r="AA565" i="37"/>
  <c r="AA568" i="37" s="1"/>
  <c r="AA569" i="37" s="1"/>
  <c r="AA571" i="37" s="1"/>
  <c r="AA557" i="37"/>
  <c r="AA560" i="37" s="1"/>
  <c r="AA561" i="37" s="1"/>
  <c r="AA563" i="37" s="1"/>
  <c r="R260" i="37"/>
  <c r="K128" i="50"/>
  <c r="K315" i="49"/>
  <c r="L594" i="50"/>
  <c r="N598" i="50"/>
  <c r="L654" i="50"/>
  <c r="N658" i="50"/>
  <c r="J66" i="49"/>
  <c r="J71" i="50"/>
  <c r="H898" i="50"/>
  <c r="N894" i="50"/>
  <c r="N892" i="50"/>
  <c r="N893" i="50"/>
  <c r="G901" i="50"/>
  <c r="Q1353" i="37"/>
  <c r="Q260" i="37"/>
  <c r="M1256" i="50"/>
  <c r="M1263" i="50" s="1"/>
  <c r="T1251" i="50" s="1"/>
  <c r="T1262" i="50" s="1"/>
  <c r="K1260" i="50"/>
  <c r="L1260" i="50"/>
  <c r="I1259" i="50"/>
  <c r="L1259" i="50"/>
  <c r="I1263" i="50"/>
  <c r="R1262" i="50" s="1"/>
  <c r="I1254" i="50"/>
  <c r="K1263" i="50"/>
  <c r="S1262" i="50" s="1"/>
  <c r="M1255" i="50"/>
  <c r="M1259" i="50"/>
  <c r="J1259" i="50"/>
  <c r="F1263" i="50"/>
  <c r="K1259" i="50"/>
  <c r="M1260" i="50"/>
  <c r="J1260" i="50"/>
  <c r="I1260" i="50"/>
  <c r="M1254" i="50"/>
  <c r="J1254" i="50"/>
  <c r="K1254" i="50" s="1"/>
  <c r="L834" i="50"/>
  <c r="N838" i="50"/>
  <c r="R751" i="37"/>
  <c r="L714" i="50"/>
  <c r="N718" i="50"/>
  <c r="G1904" i="37"/>
  <c r="G1905" i="37"/>
  <c r="G1900" i="37"/>
  <c r="G1898" i="37"/>
  <c r="G1906" i="37"/>
  <c r="G1903" i="37"/>
  <c r="G1907" i="37"/>
  <c r="G1902" i="37"/>
  <c r="G1901" i="37"/>
  <c r="G1899" i="37"/>
  <c r="S892" i="50"/>
  <c r="S889" i="50"/>
  <c r="R1332" i="50" s="1"/>
  <c r="H1260" i="50"/>
  <c r="G1263" i="50" s="1"/>
  <c r="N1256" i="50"/>
  <c r="N1255" i="50"/>
  <c r="N1254" i="50"/>
  <c r="AA1297" i="37"/>
  <c r="AA1299" i="37" s="1"/>
  <c r="AA1301" i="37"/>
  <c r="AA1304" i="37" s="1"/>
  <c r="AA1305" i="37" s="1"/>
  <c r="AA1307" i="37" s="1"/>
  <c r="Q633" i="37"/>
  <c r="R620" i="37"/>
  <c r="L250" i="41"/>
  <c r="L351" i="50" s="1"/>
  <c r="K250" i="41"/>
  <c r="K351" i="50" s="1"/>
  <c r="I250" i="41"/>
  <c r="I351" i="50" s="1"/>
  <c r="M250" i="41"/>
  <c r="M351" i="50" s="1"/>
  <c r="J250" i="41"/>
  <c r="J351" i="50" s="1"/>
  <c r="D1337" i="50"/>
  <c r="R1340" i="37"/>
  <c r="Q441" i="37"/>
  <c r="P1262" i="50"/>
  <c r="H1254" i="50"/>
  <c r="P1260" i="50"/>
  <c r="E1254" i="50"/>
  <c r="P1263" i="50"/>
  <c r="R1251" i="50"/>
  <c r="D1340" i="50" s="1"/>
  <c r="P1259" i="50"/>
  <c r="K1267" i="50"/>
  <c r="L1267" i="50"/>
  <c r="AA1285" i="37"/>
  <c r="AA1288" i="37" s="1"/>
  <c r="AA1289" i="37" s="1"/>
  <c r="AA1291" i="37" s="1"/>
  <c r="AA1277" i="37"/>
  <c r="AA1280" i="37" s="1"/>
  <c r="AA1281" i="37" s="1"/>
  <c r="AA1283" i="37" s="1"/>
  <c r="Q1340" i="37"/>
  <c r="E391" i="50"/>
  <c r="E325" i="41"/>
  <c r="P296" i="41"/>
  <c r="L952" i="50"/>
  <c r="I952" i="50"/>
  <c r="I954" i="50" s="1"/>
  <c r="H957" i="50"/>
  <c r="H952" i="50"/>
  <c r="L894" i="50"/>
  <c r="N898" i="50"/>
  <c r="R1160" i="37"/>
  <c r="S652" i="50"/>
  <c r="S649" i="50"/>
  <c r="R1328" i="50" s="1"/>
  <c r="Q800" i="37"/>
  <c r="N1230" i="50"/>
  <c r="R391" i="37"/>
  <c r="P300" i="41"/>
  <c r="E329" i="41"/>
  <c r="E395" i="50"/>
  <c r="K316" i="49"/>
  <c r="K129" i="50"/>
  <c r="L255" i="41"/>
  <c r="L356" i="50" s="1"/>
  <c r="I255" i="41"/>
  <c r="I356" i="50" s="1"/>
  <c r="M255" i="41"/>
  <c r="M356" i="50" s="1"/>
  <c r="J255" i="41"/>
  <c r="J356" i="50" s="1"/>
  <c r="K255" i="41"/>
  <c r="K356" i="50" s="1"/>
  <c r="R201" i="37"/>
  <c r="R981" i="37"/>
  <c r="N833" i="50"/>
  <c r="H838" i="50"/>
  <c r="N834" i="50"/>
  <c r="G841" i="50"/>
  <c r="N832" i="50"/>
  <c r="Q813" i="37"/>
  <c r="R800" i="37"/>
  <c r="G481" i="50"/>
  <c r="N473" i="50"/>
  <c r="H478" i="50"/>
  <c r="N472" i="50"/>
  <c r="N474" i="50"/>
  <c r="E394" i="50"/>
  <c r="E328" i="41"/>
  <c r="P299" i="41"/>
  <c r="Q453" i="37"/>
  <c r="R1161" i="37"/>
  <c r="N652" i="50"/>
  <c r="N653" i="50"/>
  <c r="G661" i="50"/>
  <c r="H658" i="50"/>
  <c r="N654" i="50"/>
  <c r="L254" i="41"/>
  <c r="L355" i="50" s="1"/>
  <c r="J254" i="41"/>
  <c r="J355" i="50" s="1"/>
  <c r="I254" i="41"/>
  <c r="I355" i="50" s="1"/>
  <c r="M254" i="41"/>
  <c r="M355" i="50" s="1"/>
  <c r="K254" i="41"/>
  <c r="K355" i="50" s="1"/>
  <c r="S829" i="50"/>
  <c r="R1331" i="50" s="1"/>
  <c r="S832" i="50"/>
  <c r="S469" i="50"/>
  <c r="R1325" i="50" s="1"/>
  <c r="S472" i="50"/>
  <c r="Q261" i="37"/>
  <c r="M1271" i="50"/>
  <c r="L1274" i="50"/>
  <c r="H1279" i="50" s="1"/>
  <c r="D1271" i="50"/>
  <c r="Q1271" i="50"/>
  <c r="I1271" i="50"/>
  <c r="M253" i="41"/>
  <c r="M354" i="50" s="1"/>
  <c r="I253" i="41"/>
  <c r="I354" i="50" s="1"/>
  <c r="J253" i="41"/>
  <c r="J354" i="50" s="1"/>
  <c r="L253" i="41"/>
  <c r="L354" i="50" s="1"/>
  <c r="K253" i="41"/>
  <c r="K354" i="50" s="1"/>
  <c r="L1035" i="50"/>
  <c r="L1041" i="50"/>
  <c r="L1056" i="50"/>
  <c r="K1027" i="50"/>
  <c r="K1038" i="50"/>
  <c r="I1041" i="50"/>
  <c r="L1064" i="50"/>
  <c r="K1053" i="50"/>
  <c r="G1014" i="50"/>
  <c r="M1041" i="50"/>
  <c r="P1041" i="50"/>
  <c r="L1039" i="50"/>
  <c r="M1044" i="50"/>
  <c r="I1061" i="50"/>
  <c r="P1031" i="50"/>
  <c r="I1035" i="50"/>
  <c r="M1017" i="50"/>
  <c r="J1033" i="50"/>
  <c r="I1065" i="50"/>
  <c r="I1056" i="50"/>
  <c r="I1018" i="50"/>
  <c r="I1055" i="50"/>
  <c r="J1045" i="50"/>
  <c r="L1028" i="50"/>
  <c r="L1062" i="50"/>
  <c r="M1013" i="50"/>
  <c r="I1033" i="50"/>
  <c r="J1052" i="50"/>
  <c r="K1051" i="50"/>
  <c r="M1028" i="50"/>
  <c r="P1033" i="50"/>
  <c r="I1038" i="50"/>
  <c r="K1056" i="50"/>
  <c r="M1036" i="50"/>
  <c r="M1045" i="50"/>
  <c r="K1047" i="50"/>
  <c r="P1027" i="50"/>
  <c r="I1039" i="50"/>
  <c r="M1055" i="50"/>
  <c r="I1049" i="50"/>
  <c r="K1065" i="50"/>
  <c r="P1039" i="50"/>
  <c r="P1061" i="50"/>
  <c r="K1012" i="50"/>
  <c r="K1039" i="50"/>
  <c r="L1053" i="50"/>
  <c r="M1058" i="50"/>
  <c r="P1047" i="50"/>
  <c r="M1064" i="50"/>
  <c r="K1050" i="50"/>
  <c r="M1032" i="50"/>
  <c r="I1017" i="50"/>
  <c r="K1018" i="50"/>
  <c r="L1046" i="50"/>
  <c r="L1050" i="50"/>
  <c r="K1035" i="50"/>
  <c r="J1065" i="50"/>
  <c r="K1062" i="50"/>
  <c r="P1028" i="50"/>
  <c r="P1042" i="50"/>
  <c r="K1025" i="50"/>
  <c r="K1044" i="50"/>
  <c r="K1032" i="50"/>
  <c r="M1052" i="50"/>
  <c r="I1058" i="50"/>
  <c r="J1048" i="50"/>
  <c r="I1042" i="50"/>
  <c r="P1055" i="50"/>
  <c r="L1038" i="50"/>
  <c r="I1062" i="50"/>
  <c r="J1046" i="50"/>
  <c r="K1017" i="50"/>
  <c r="I1028" i="50"/>
  <c r="E1061" i="50"/>
  <c r="M1033" i="50"/>
  <c r="J1051" i="50"/>
  <c r="J1032" i="50"/>
  <c r="M1035" i="50"/>
  <c r="M1061" i="50"/>
  <c r="P1052" i="50"/>
  <c r="K1049" i="50"/>
  <c r="K1014" i="50"/>
  <c r="L1051" i="50"/>
  <c r="M1048" i="50"/>
  <c r="M1053" i="50"/>
  <c r="P1030" i="50"/>
  <c r="J1050" i="50"/>
  <c r="P1062" i="50"/>
  <c r="I1048" i="50"/>
  <c r="L1031" i="50"/>
  <c r="K1064" i="50"/>
  <c r="L1027" i="50"/>
  <c r="L1049" i="50"/>
  <c r="M1031" i="50"/>
  <c r="L1061" i="50"/>
  <c r="J1027" i="50"/>
  <c r="J1030" i="50"/>
  <c r="K1061" i="50"/>
  <c r="J1058" i="50"/>
  <c r="P1053" i="50"/>
  <c r="P1048" i="50"/>
  <c r="K1031" i="50"/>
  <c r="R1009" i="50"/>
  <c r="D1334" i="50" s="1"/>
  <c r="P1018" i="50"/>
  <c r="J1018" i="50"/>
  <c r="J1012" i="50"/>
  <c r="J1064" i="50"/>
  <c r="J1049" i="50"/>
  <c r="I1047" i="50"/>
  <c r="J1014" i="50"/>
  <c r="L1045" i="50"/>
  <c r="I1044" i="50"/>
  <c r="I1032" i="50"/>
  <c r="E1012" i="50"/>
  <c r="M1012" i="50"/>
  <c r="M1065" i="50"/>
  <c r="J1055" i="50"/>
  <c r="L1033" i="50"/>
  <c r="M1049" i="50"/>
  <c r="E1064" i="50"/>
  <c r="K1058" i="50"/>
  <c r="J1035" i="50"/>
  <c r="K1046" i="50"/>
  <c r="L1055" i="50"/>
  <c r="P1035" i="50"/>
  <c r="L1052" i="50"/>
  <c r="I1064" i="50"/>
  <c r="L1030" i="50"/>
  <c r="M1018" i="50"/>
  <c r="J1053" i="50"/>
  <c r="K1030" i="50"/>
  <c r="P1051" i="50"/>
  <c r="M1030" i="50"/>
  <c r="J1042" i="50"/>
  <c r="M1014" i="50"/>
  <c r="M1021" i="50" s="1"/>
  <c r="T1009" i="50" s="1"/>
  <c r="T1020" i="50" s="1"/>
  <c r="L1058" i="50"/>
  <c r="L1042" i="50"/>
  <c r="L1048" i="50"/>
  <c r="P1017" i="50"/>
  <c r="J1044" i="50"/>
  <c r="I1027" i="50"/>
  <c r="I1045" i="50"/>
  <c r="M1042" i="50"/>
  <c r="I1050" i="50"/>
  <c r="J1031" i="50"/>
  <c r="K1033" i="50"/>
  <c r="K1042" i="50"/>
  <c r="I1036" i="50"/>
  <c r="J1017" i="50"/>
  <c r="P1032" i="50"/>
  <c r="M1027" i="50"/>
  <c r="E1065" i="50"/>
  <c r="P1058" i="50"/>
  <c r="M1039" i="50"/>
  <c r="M1062" i="50"/>
  <c r="I1030" i="50"/>
  <c r="L1032" i="50"/>
  <c r="P1046" i="50"/>
  <c r="I1046" i="50"/>
  <c r="K1041" i="50"/>
  <c r="P1056" i="50"/>
  <c r="J1036" i="50"/>
  <c r="K1045" i="50"/>
  <c r="L1065" i="50"/>
  <c r="I1051" i="50"/>
  <c r="L1018" i="50"/>
  <c r="P1038" i="50"/>
  <c r="J1038" i="50"/>
  <c r="K1052" i="50"/>
  <c r="P1065" i="50"/>
  <c r="J1056" i="50"/>
  <c r="F1021" i="50"/>
  <c r="I1031" i="50"/>
  <c r="K1048" i="50"/>
  <c r="L1025" i="50"/>
  <c r="J1062" i="50"/>
  <c r="P1036" i="50"/>
  <c r="P1049" i="50"/>
  <c r="P1045" i="50"/>
  <c r="P1064" i="50"/>
  <c r="M1050" i="50"/>
  <c r="J1041" i="50"/>
  <c r="P1021" i="50"/>
  <c r="J1039" i="50"/>
  <c r="H1014" i="50"/>
  <c r="M1038" i="50"/>
  <c r="M1051" i="50"/>
  <c r="I1053" i="50"/>
  <c r="P1020" i="50"/>
  <c r="K1021" i="50"/>
  <c r="S1020" i="50" s="1"/>
  <c r="P1044" i="50"/>
  <c r="E1062" i="50"/>
  <c r="J1061" i="50"/>
  <c r="K1028" i="50"/>
  <c r="J1047" i="50"/>
  <c r="M1047" i="50"/>
  <c r="I1052" i="50"/>
  <c r="L1044" i="50"/>
  <c r="M1046" i="50"/>
  <c r="L1017" i="50"/>
  <c r="K1055" i="50"/>
  <c r="L1036" i="50"/>
  <c r="P1050" i="50"/>
  <c r="L1047" i="50"/>
  <c r="I1021" i="50"/>
  <c r="R1020" i="50" s="1"/>
  <c r="M1056" i="50"/>
  <c r="K1036" i="50"/>
  <c r="J1028" i="50"/>
  <c r="E324" i="41"/>
  <c r="P295" i="41"/>
  <c r="E390" i="50"/>
  <c r="Q459" i="37"/>
  <c r="R441" i="37"/>
  <c r="AA1477" i="37"/>
  <c r="AA1479" i="37" s="1"/>
  <c r="AA1481" i="37"/>
  <c r="AA1484" i="37" s="1"/>
  <c r="AA1485" i="37" s="1"/>
  <c r="AA1487" i="37" s="1"/>
  <c r="R1291" i="37"/>
  <c r="Q1173" i="37"/>
  <c r="Q44" i="37"/>
  <c r="R931" i="37"/>
  <c r="P297" i="41"/>
  <c r="E392" i="50"/>
  <c r="E326" i="41"/>
  <c r="AA757" i="37"/>
  <c r="AA759" i="37" s="1"/>
  <c r="AA761" i="37"/>
  <c r="AA764" i="37" s="1"/>
  <c r="AA765" i="37" s="1"/>
  <c r="AA767" i="37" s="1"/>
  <c r="M249" i="41"/>
  <c r="M350" i="50" s="1"/>
  <c r="I249" i="41"/>
  <c r="I350" i="50" s="1"/>
  <c r="J249" i="41"/>
  <c r="J350" i="50" s="1"/>
  <c r="K249" i="41"/>
  <c r="K350" i="50" s="1"/>
  <c r="L249" i="41"/>
  <c r="L350" i="50" s="1"/>
  <c r="AA1465" i="37"/>
  <c r="AA1468" i="37" s="1"/>
  <c r="AA1469" i="37" s="1"/>
  <c r="AA1471" i="37" s="1"/>
  <c r="AA1457" i="37"/>
  <c r="AA1460" i="37" s="1"/>
  <c r="AA1461" i="37" s="1"/>
  <c r="AA1463" i="37" s="1"/>
  <c r="E393" i="50"/>
  <c r="E327" i="41"/>
  <c r="P298" i="41"/>
  <c r="Q1160" i="37"/>
  <c r="Q1179" i="37"/>
  <c r="Q273" i="37"/>
  <c r="D208" i="34"/>
  <c r="C209" i="34"/>
  <c r="O208" i="34"/>
  <c r="R208" i="34" s="1"/>
  <c r="R980" i="37"/>
  <c r="K1237" i="50"/>
  <c r="M251" i="41"/>
  <c r="M352" i="50" s="1"/>
  <c r="I251" i="41"/>
  <c r="I352" i="50" s="1"/>
  <c r="J251" i="41"/>
  <c r="J352" i="50" s="1"/>
  <c r="K251" i="41"/>
  <c r="K352" i="50" s="1"/>
  <c r="L251" i="41"/>
  <c r="L352" i="50" s="1"/>
  <c r="M71" i="50"/>
  <c r="M161" i="43"/>
  <c r="N161" i="43" s="1"/>
  <c r="M66" i="49"/>
  <c r="I113" i="50" l="1"/>
  <c r="I545" i="50"/>
  <c r="I725" i="50"/>
  <c r="I665" i="50"/>
  <c r="I605" i="50"/>
  <c r="I905" i="50"/>
  <c r="I785" i="50"/>
  <c r="I485" i="50"/>
  <c r="I845" i="50"/>
  <c r="I965" i="50"/>
  <c r="I129" i="50"/>
  <c r="I316" i="49"/>
  <c r="I127" i="50"/>
  <c r="I1237" i="50"/>
  <c r="I128" i="50"/>
  <c r="I315" i="49"/>
  <c r="I126" i="50"/>
  <c r="I1207" i="50"/>
  <c r="K481" i="50"/>
  <c r="S480" i="50" s="1"/>
  <c r="I481" i="50"/>
  <c r="R480" i="50" s="1"/>
  <c r="K515" i="50"/>
  <c r="I515" i="50"/>
  <c r="L515" i="50"/>
  <c r="M515" i="50"/>
  <c r="J515" i="50"/>
  <c r="M302" i="41"/>
  <c r="M397" i="50" s="1"/>
  <c r="E423" i="50"/>
  <c r="P331" i="41"/>
  <c r="J302" i="41"/>
  <c r="J397" i="50" s="1"/>
  <c r="D1383" i="50"/>
  <c r="Q1340" i="50"/>
  <c r="Q1334" i="50"/>
  <c r="D1377" i="50"/>
  <c r="K234" i="50"/>
  <c r="H1017" i="50"/>
  <c r="H1012" i="50"/>
  <c r="J300" i="41"/>
  <c r="J395" i="50" s="1"/>
  <c r="M300" i="41"/>
  <c r="M395" i="50" s="1"/>
  <c r="L300" i="41"/>
  <c r="L395" i="50" s="1"/>
  <c r="K300" i="41"/>
  <c r="K395" i="50" s="1"/>
  <c r="I300" i="41"/>
  <c r="I395" i="50" s="1"/>
  <c r="O209" i="34"/>
  <c r="R209" i="34" s="1"/>
  <c r="D209" i="34"/>
  <c r="C210" i="34"/>
  <c r="L235" i="50"/>
  <c r="P329" i="41"/>
  <c r="E421" i="50"/>
  <c r="D1382" i="50"/>
  <c r="Q1339" i="50"/>
  <c r="L287" i="50"/>
  <c r="L158" i="41"/>
  <c r="L293" i="50" s="1"/>
  <c r="L155" i="41"/>
  <c r="L290" i="50" s="1"/>
  <c r="L411" i="41"/>
  <c r="L1012" i="50"/>
  <c r="I1012" i="50"/>
  <c r="I1014" i="50" s="1"/>
  <c r="S952" i="50"/>
  <c r="S949" i="50"/>
  <c r="R1333" i="50" s="1"/>
  <c r="D1380" i="50"/>
  <c r="D1381" i="50"/>
  <c r="Q1338" i="50"/>
  <c r="E415" i="50"/>
  <c r="P323" i="41"/>
  <c r="M158" i="41"/>
  <c r="M293" i="50" s="1"/>
  <c r="M411" i="41"/>
  <c r="M155" i="41"/>
  <c r="M290" i="50" s="1"/>
  <c r="M287" i="50"/>
  <c r="H1280" i="50"/>
  <c r="G1283" i="50" s="1"/>
  <c r="N1276" i="50"/>
  <c r="N1275" i="50"/>
  <c r="N1274" i="50"/>
  <c r="G1908" i="37"/>
  <c r="M100" i="50"/>
  <c r="M120" i="50" s="1"/>
  <c r="M94" i="50"/>
  <c r="M114" i="50" s="1"/>
  <c r="M108" i="50"/>
  <c r="M101" i="50"/>
  <c r="M121" i="50" s="1"/>
  <c r="M93" i="50"/>
  <c r="M96" i="50"/>
  <c r="M116" i="50" s="1"/>
  <c r="M95" i="50"/>
  <c r="M115" i="50" s="1"/>
  <c r="M99" i="50"/>
  <c r="M119" i="50" s="1"/>
  <c r="M109" i="50"/>
  <c r="M1287" i="50" s="1"/>
  <c r="M106" i="50"/>
  <c r="M102" i="50"/>
  <c r="M122" i="50" s="1"/>
  <c r="M98" i="50"/>
  <c r="M118" i="50" s="1"/>
  <c r="M97" i="50"/>
  <c r="M117" i="50" s="1"/>
  <c r="M107" i="50"/>
  <c r="E418" i="50"/>
  <c r="P326" i="41"/>
  <c r="K235" i="50"/>
  <c r="M1274" i="50"/>
  <c r="J1274" i="50"/>
  <c r="K1274" i="50" s="1"/>
  <c r="I1274" i="50"/>
  <c r="J1280" i="50"/>
  <c r="L1279" i="50"/>
  <c r="K1283" i="50"/>
  <c r="S1282" i="50" s="1"/>
  <c r="K1279" i="50"/>
  <c r="I1283" i="50"/>
  <c r="R1282" i="50" s="1"/>
  <c r="D1341" i="50" s="1"/>
  <c r="K1280" i="50"/>
  <c r="L1280" i="50"/>
  <c r="F1283" i="50"/>
  <c r="M1275" i="50"/>
  <c r="M1280" i="50"/>
  <c r="M1276" i="50"/>
  <c r="M1283" i="50" s="1"/>
  <c r="T1271" i="50" s="1"/>
  <c r="T1282" i="50" s="1"/>
  <c r="J1279" i="50"/>
  <c r="M1279" i="50"/>
  <c r="I1279" i="50"/>
  <c r="I1280" i="50"/>
  <c r="N954" i="50"/>
  <c r="H958" i="50"/>
  <c r="N953" i="50"/>
  <c r="G961" i="50"/>
  <c r="N952" i="50"/>
  <c r="N1260" i="50"/>
  <c r="L258" i="41"/>
  <c r="L349" i="50"/>
  <c r="L234" i="50"/>
  <c r="K294" i="41"/>
  <c r="I294" i="41"/>
  <c r="L294" i="41"/>
  <c r="J294" i="41"/>
  <c r="M294" i="41"/>
  <c r="J235" i="50"/>
  <c r="J349" i="50"/>
  <c r="J258" i="41"/>
  <c r="J155" i="41"/>
  <c r="J290" i="50" s="1"/>
  <c r="J287" i="50"/>
  <c r="J158" i="41"/>
  <c r="J293" i="50" s="1"/>
  <c r="J411" i="41"/>
  <c r="I158" i="41"/>
  <c r="I293" i="50" s="1"/>
  <c r="I411" i="41"/>
  <c r="I287" i="50"/>
  <c r="I155" i="41"/>
  <c r="I290" i="50" s="1"/>
  <c r="I235" i="50"/>
  <c r="K297" i="41"/>
  <c r="K392" i="50" s="1"/>
  <c r="L297" i="41"/>
  <c r="L392" i="50" s="1"/>
  <c r="J297" i="41"/>
  <c r="J392" i="50" s="1"/>
  <c r="M297" i="41"/>
  <c r="M392" i="50" s="1"/>
  <c r="I297" i="41"/>
  <c r="I392" i="50" s="1"/>
  <c r="I349" i="50"/>
  <c r="I258" i="41"/>
  <c r="I301" i="41"/>
  <c r="I396" i="50" s="1"/>
  <c r="J301" i="41"/>
  <c r="J396" i="50" s="1"/>
  <c r="K301" i="41"/>
  <c r="K396" i="50" s="1"/>
  <c r="M301" i="41"/>
  <c r="M396" i="50" s="1"/>
  <c r="L301" i="41"/>
  <c r="L396" i="50" s="1"/>
  <c r="K295" i="41"/>
  <c r="K390" i="50" s="1"/>
  <c r="J295" i="41"/>
  <c r="J390" i="50" s="1"/>
  <c r="L295" i="41"/>
  <c r="L390" i="50" s="1"/>
  <c r="M295" i="41"/>
  <c r="M390" i="50" s="1"/>
  <c r="I295" i="41"/>
  <c r="I390" i="50" s="1"/>
  <c r="J234" i="50"/>
  <c r="J296" i="41"/>
  <c r="J391" i="50" s="1"/>
  <c r="K296" i="41"/>
  <c r="K391" i="50" s="1"/>
  <c r="I296" i="41"/>
  <c r="I391" i="50" s="1"/>
  <c r="M296" i="41"/>
  <c r="M391" i="50" s="1"/>
  <c r="L296" i="41"/>
  <c r="L391" i="50" s="1"/>
  <c r="S1254" i="50"/>
  <c r="S1251" i="50"/>
  <c r="R1340" i="50" s="1"/>
  <c r="D1379" i="50"/>
  <c r="K258" i="41"/>
  <c r="K349" i="50"/>
  <c r="K155" i="41"/>
  <c r="K290" i="50" s="1"/>
  <c r="K287" i="50"/>
  <c r="K158" i="41"/>
  <c r="K293" i="50" s="1"/>
  <c r="K411" i="41"/>
  <c r="J298" i="41"/>
  <c r="J393" i="50" s="1"/>
  <c r="K298" i="41"/>
  <c r="K393" i="50" s="1"/>
  <c r="L298" i="41"/>
  <c r="L393" i="50" s="1"/>
  <c r="I298" i="41"/>
  <c r="I393" i="50" s="1"/>
  <c r="M298" i="41"/>
  <c r="M393" i="50" s="1"/>
  <c r="J299" i="41"/>
  <c r="J394" i="50" s="1"/>
  <c r="K299" i="41"/>
  <c r="K394" i="50" s="1"/>
  <c r="M299" i="41"/>
  <c r="M394" i="50" s="1"/>
  <c r="L299" i="41"/>
  <c r="L394" i="50" s="1"/>
  <c r="I299" i="41"/>
  <c r="I394" i="50" s="1"/>
  <c r="L954" i="50"/>
  <c r="N958" i="50"/>
  <c r="M235" i="50"/>
  <c r="P327" i="41"/>
  <c r="E419" i="50"/>
  <c r="E420" i="50"/>
  <c r="P328" i="41"/>
  <c r="P324" i="41"/>
  <c r="E416" i="50"/>
  <c r="P1279" i="50"/>
  <c r="R1271" i="50"/>
  <c r="P1283" i="50"/>
  <c r="P1280" i="50"/>
  <c r="P1282" i="50"/>
  <c r="H1274" i="50"/>
  <c r="E1274" i="50"/>
  <c r="I1287" i="50"/>
  <c r="K1287" i="50"/>
  <c r="L1287" i="50"/>
  <c r="I234" i="50"/>
  <c r="E417" i="50"/>
  <c r="P325" i="41"/>
  <c r="J93" i="50"/>
  <c r="J108" i="50"/>
  <c r="J100" i="50"/>
  <c r="J120" i="50" s="1"/>
  <c r="J99" i="50"/>
  <c r="J119" i="50" s="1"/>
  <c r="J102" i="50"/>
  <c r="J122" i="50" s="1"/>
  <c r="J109" i="50"/>
  <c r="J1287" i="50" s="1"/>
  <c r="J95" i="50"/>
  <c r="J115" i="50" s="1"/>
  <c r="J98" i="50"/>
  <c r="J118" i="50" s="1"/>
  <c r="J101" i="50"/>
  <c r="J121" i="50" s="1"/>
  <c r="J96" i="50"/>
  <c r="J116" i="50" s="1"/>
  <c r="J94" i="50"/>
  <c r="J114" i="50" s="1"/>
  <c r="J97" i="50"/>
  <c r="J117" i="50" s="1"/>
  <c r="J107" i="50"/>
  <c r="J106" i="50"/>
  <c r="D1378" i="50"/>
  <c r="M349" i="50"/>
  <c r="M258" i="41"/>
  <c r="P330" i="41"/>
  <c r="E422" i="50"/>
  <c r="M234" i="50"/>
  <c r="J414" i="41" l="1"/>
  <c r="J413" i="41"/>
  <c r="J420" i="41" s="1"/>
  <c r="J180" i="41" s="1"/>
  <c r="M414" i="41"/>
  <c r="M421" i="41" s="1"/>
  <c r="M181" i="41" s="1"/>
  <c r="M413" i="41"/>
  <c r="K414" i="41"/>
  <c r="K413" i="41"/>
  <c r="I414" i="41"/>
  <c r="I413" i="41"/>
  <c r="I420" i="41" s="1"/>
  <c r="I180" i="41" s="1"/>
  <c r="L414" i="41"/>
  <c r="L413" i="41"/>
  <c r="L420" i="41" s="1"/>
  <c r="L180" i="41" s="1"/>
  <c r="M310" i="50"/>
  <c r="Q1325" i="50"/>
  <c r="K1325" i="50" s="1"/>
  <c r="K1368" i="50" s="1"/>
  <c r="Q1329" i="50"/>
  <c r="Q1327" i="50"/>
  <c r="Q1331" i="50"/>
  <c r="Q1326" i="50"/>
  <c r="Q1332" i="50"/>
  <c r="Q1328" i="50"/>
  <c r="Q1330" i="50"/>
  <c r="Q1333" i="50"/>
  <c r="L331" i="41"/>
  <c r="L423" i="50" s="1"/>
  <c r="M331" i="41"/>
  <c r="M423" i="50" s="1"/>
  <c r="J331" i="41"/>
  <c r="J423" i="50" s="1"/>
  <c r="K331" i="41"/>
  <c r="K423" i="50" s="1"/>
  <c r="I331" i="41"/>
  <c r="I423" i="50" s="1"/>
  <c r="D1384" i="50"/>
  <c r="Q1341" i="50"/>
  <c r="J329" i="41"/>
  <c r="J421" i="50" s="1"/>
  <c r="L329" i="41"/>
  <c r="L421" i="50" s="1"/>
  <c r="I329" i="41"/>
  <c r="I421" i="50" s="1"/>
  <c r="M329" i="41"/>
  <c r="M421" i="50" s="1"/>
  <c r="K329" i="41"/>
  <c r="K421" i="50" s="1"/>
  <c r="S1271" i="50"/>
  <c r="R1341" i="50" s="1"/>
  <c r="S1274" i="50"/>
  <c r="J315" i="49"/>
  <c r="J128" i="50"/>
  <c r="J1267" i="50"/>
  <c r="J127" i="50"/>
  <c r="J1237" i="50"/>
  <c r="J316" i="49"/>
  <c r="J129" i="50"/>
  <c r="I330" i="41"/>
  <c r="I422" i="50" s="1"/>
  <c r="J330" i="41"/>
  <c r="J422" i="50" s="1"/>
  <c r="M330" i="41"/>
  <c r="M422" i="50" s="1"/>
  <c r="L330" i="41"/>
  <c r="L422" i="50" s="1"/>
  <c r="K330" i="41"/>
  <c r="K422" i="50" s="1"/>
  <c r="L304" i="41"/>
  <c r="L399" i="50" s="1"/>
  <c r="L389" i="50"/>
  <c r="J359" i="50"/>
  <c r="J269" i="41"/>
  <c r="K389" i="50"/>
  <c r="K304" i="41"/>
  <c r="K399" i="50" s="1"/>
  <c r="J323" i="41"/>
  <c r="M323" i="41"/>
  <c r="I323" i="41"/>
  <c r="K323" i="41"/>
  <c r="L323" i="41"/>
  <c r="J1339" i="50"/>
  <c r="J1382" i="50" s="1"/>
  <c r="M1339" i="50"/>
  <c r="M1382" i="50" s="1"/>
  <c r="I1339" i="50"/>
  <c r="I1382" i="50" s="1"/>
  <c r="L1339" i="50"/>
  <c r="L1382" i="50" s="1"/>
  <c r="K1339" i="50"/>
  <c r="K1382" i="50" s="1"/>
  <c r="K269" i="41"/>
  <c r="K359" i="50"/>
  <c r="I328" i="41"/>
  <c r="I420" i="50" s="1"/>
  <c r="L328" i="41"/>
  <c r="L420" i="50" s="1"/>
  <c r="K328" i="41"/>
  <c r="K420" i="50" s="1"/>
  <c r="J328" i="41"/>
  <c r="J420" i="50" s="1"/>
  <c r="M328" i="41"/>
  <c r="M420" i="50" s="1"/>
  <c r="M315" i="49"/>
  <c r="M128" i="50"/>
  <c r="M1267" i="50"/>
  <c r="I269" i="41"/>
  <c r="I359" i="50"/>
  <c r="J326" i="41"/>
  <c r="J418" i="50" s="1"/>
  <c r="K326" i="41"/>
  <c r="K418" i="50" s="1"/>
  <c r="M326" i="41"/>
  <c r="M418" i="50" s="1"/>
  <c r="L326" i="41"/>
  <c r="L418" i="50" s="1"/>
  <c r="I326" i="41"/>
  <c r="I418" i="50" s="1"/>
  <c r="M126" i="50"/>
  <c r="M1207" i="50"/>
  <c r="M1338" i="50"/>
  <c r="M1381" i="50" s="1"/>
  <c r="L1338" i="50"/>
  <c r="L1381" i="50" s="1"/>
  <c r="J1338" i="50"/>
  <c r="J1381" i="50" s="1"/>
  <c r="I1338" i="50"/>
  <c r="I1381" i="50" s="1"/>
  <c r="K1338" i="50"/>
  <c r="K1381" i="50" s="1"/>
  <c r="C211" i="34"/>
  <c r="D210" i="34"/>
  <c r="O210" i="34"/>
  <c r="R210" i="34" s="1"/>
  <c r="J1334" i="50"/>
  <c r="J1377" i="50" s="1"/>
  <c r="K1334" i="50"/>
  <c r="L1334" i="50"/>
  <c r="L1377" i="50" s="1"/>
  <c r="M1334" i="50"/>
  <c r="I1334" i="50"/>
  <c r="I1377" i="50" s="1"/>
  <c r="N1280" i="50"/>
  <c r="M316" i="49"/>
  <c r="M129" i="50"/>
  <c r="L1014" i="50"/>
  <c r="N1018" i="50"/>
  <c r="L1340" i="50"/>
  <c r="L1383" i="50" s="1"/>
  <c r="K1340" i="50"/>
  <c r="K1383" i="50" s="1"/>
  <c r="M1340" i="50"/>
  <c r="M1383" i="50" s="1"/>
  <c r="J1340" i="50"/>
  <c r="J1383" i="50" s="1"/>
  <c r="I1340" i="50"/>
  <c r="I1383" i="50" s="1"/>
  <c r="M359" i="50"/>
  <c r="M269" i="41"/>
  <c r="L325" i="41"/>
  <c r="L417" i="50" s="1"/>
  <c r="K325" i="41"/>
  <c r="K417" i="50" s="1"/>
  <c r="I325" i="41"/>
  <c r="I417" i="50" s="1"/>
  <c r="M325" i="41"/>
  <c r="M417" i="50" s="1"/>
  <c r="J325" i="41"/>
  <c r="J417" i="50" s="1"/>
  <c r="I324" i="41"/>
  <c r="I416" i="50" s="1"/>
  <c r="M324" i="41"/>
  <c r="M416" i="50" s="1"/>
  <c r="K324" i="41"/>
  <c r="K416" i="50" s="1"/>
  <c r="J324" i="41"/>
  <c r="J416" i="50" s="1"/>
  <c r="L324" i="41"/>
  <c r="L416" i="50" s="1"/>
  <c r="J126" i="50"/>
  <c r="J1207" i="50"/>
  <c r="J113" i="50"/>
  <c r="J725" i="50"/>
  <c r="J845" i="50"/>
  <c r="J605" i="50"/>
  <c r="J785" i="50"/>
  <c r="J485" i="50"/>
  <c r="J545" i="50"/>
  <c r="J665" i="50"/>
  <c r="J905" i="50"/>
  <c r="J965" i="50"/>
  <c r="J1025" i="50"/>
  <c r="I327" i="41"/>
  <c r="I419" i="50" s="1"/>
  <c r="M327" i="41"/>
  <c r="M419" i="50" s="1"/>
  <c r="K327" i="41"/>
  <c r="K419" i="50" s="1"/>
  <c r="J327" i="41"/>
  <c r="J419" i="50" s="1"/>
  <c r="L327" i="41"/>
  <c r="L419" i="50" s="1"/>
  <c r="M304" i="41"/>
  <c r="M399" i="50" s="1"/>
  <c r="M389" i="50"/>
  <c r="L269" i="41"/>
  <c r="L359" i="50"/>
  <c r="M127" i="50"/>
  <c r="M1237" i="50"/>
  <c r="S1012" i="50"/>
  <c r="S1009" i="50"/>
  <c r="R1334" i="50" s="1"/>
  <c r="I389" i="50"/>
  <c r="I304" i="41"/>
  <c r="I399" i="50" s="1"/>
  <c r="M113" i="50"/>
  <c r="M665" i="50"/>
  <c r="M545" i="50"/>
  <c r="M905" i="50"/>
  <c r="M725" i="50"/>
  <c r="M485" i="50"/>
  <c r="M785" i="50"/>
  <c r="M845" i="50"/>
  <c r="M605" i="50"/>
  <c r="M965" i="50"/>
  <c r="M1025" i="50"/>
  <c r="J389" i="50"/>
  <c r="J304" i="41"/>
  <c r="J399" i="50" s="1"/>
  <c r="N1013" i="50"/>
  <c r="N1014" i="50"/>
  <c r="N1012" i="50"/>
  <c r="G1021" i="50"/>
  <c r="H1018" i="50"/>
  <c r="K421" i="41" l="1"/>
  <c r="K181" i="41" s="1"/>
  <c r="K310" i="50" s="1"/>
  <c r="L421" i="41"/>
  <c r="L181" i="41" s="1"/>
  <c r="L310" i="50" s="1"/>
  <c r="J421" i="41"/>
  <c r="J181" i="41" s="1"/>
  <c r="J310" i="50" s="1"/>
  <c r="M420" i="41"/>
  <c r="M180" i="41" s="1"/>
  <c r="I421" i="41"/>
  <c r="I181" i="41" s="1"/>
  <c r="I310" i="50" s="1"/>
  <c r="K420" i="41"/>
  <c r="K180" i="41" s="1"/>
  <c r="K184" i="41" s="1"/>
  <c r="K313" i="50" s="1"/>
  <c r="M184" i="41"/>
  <c r="M313" i="50" s="1"/>
  <c r="L184" i="41"/>
  <c r="L313" i="50" s="1"/>
  <c r="I309" i="50"/>
  <c r="L309" i="50"/>
  <c r="L215" i="41"/>
  <c r="K309" i="50"/>
  <c r="J215" i="41"/>
  <c r="J309" i="50"/>
  <c r="M309" i="50"/>
  <c r="M215" i="41"/>
  <c r="L1325" i="50"/>
  <c r="L1368" i="50" s="1"/>
  <c r="J1325" i="50"/>
  <c r="J1368" i="50" s="1"/>
  <c r="M1325" i="50"/>
  <c r="M1368" i="50" s="1"/>
  <c r="I1325" i="50"/>
  <c r="I1368" i="50" s="1"/>
  <c r="M1330" i="50"/>
  <c r="M1373" i="50" s="1"/>
  <c r="L1330" i="50"/>
  <c r="L1373" i="50" s="1"/>
  <c r="I1330" i="50"/>
  <c r="I1373" i="50" s="1"/>
  <c r="J1330" i="50"/>
  <c r="J1373" i="50" s="1"/>
  <c r="K1330" i="50"/>
  <c r="K1373" i="50" s="1"/>
  <c r="K1328" i="50"/>
  <c r="K1371" i="50" s="1"/>
  <c r="I1328" i="50"/>
  <c r="I1371" i="50" s="1"/>
  <c r="M1328" i="50"/>
  <c r="M1371" i="50" s="1"/>
  <c r="L1328" i="50"/>
  <c r="L1371" i="50" s="1"/>
  <c r="J1328" i="50"/>
  <c r="J1371" i="50" s="1"/>
  <c r="I1332" i="50"/>
  <c r="I1375" i="50" s="1"/>
  <c r="K1332" i="50"/>
  <c r="K1375" i="50" s="1"/>
  <c r="J1332" i="50"/>
  <c r="J1375" i="50" s="1"/>
  <c r="M1332" i="50"/>
  <c r="M1375" i="50" s="1"/>
  <c r="L1332" i="50"/>
  <c r="L1375" i="50" s="1"/>
  <c r="I1326" i="50"/>
  <c r="I1369" i="50" s="1"/>
  <c r="J1326" i="50"/>
  <c r="J1369" i="50" s="1"/>
  <c r="K1326" i="50"/>
  <c r="K1369" i="50" s="1"/>
  <c r="M1326" i="50"/>
  <c r="M1369" i="50" s="1"/>
  <c r="L1326" i="50"/>
  <c r="L1369" i="50" s="1"/>
  <c r="I1331" i="50"/>
  <c r="I1374" i="50" s="1"/>
  <c r="J1331" i="50"/>
  <c r="J1374" i="50" s="1"/>
  <c r="L1331" i="50"/>
  <c r="L1374" i="50" s="1"/>
  <c r="K1331" i="50"/>
  <c r="K1374" i="50" s="1"/>
  <c r="M1331" i="50"/>
  <c r="M1374" i="50" s="1"/>
  <c r="L1327" i="50"/>
  <c r="L1370" i="50" s="1"/>
  <c r="I1327" i="50"/>
  <c r="I1370" i="50" s="1"/>
  <c r="K1327" i="50"/>
  <c r="K1370" i="50" s="1"/>
  <c r="J1327" i="50"/>
  <c r="J1370" i="50" s="1"/>
  <c r="M1327" i="50"/>
  <c r="M1370" i="50" s="1"/>
  <c r="M1329" i="50"/>
  <c r="M1372" i="50" s="1"/>
  <c r="K1329" i="50"/>
  <c r="K1372" i="50" s="1"/>
  <c r="J1329" i="50"/>
  <c r="J1372" i="50" s="1"/>
  <c r="L1329" i="50"/>
  <c r="L1372" i="50" s="1"/>
  <c r="I1329" i="50"/>
  <c r="I1372" i="50" s="1"/>
  <c r="L1333" i="50"/>
  <c r="L1376" i="50" s="1"/>
  <c r="M1333" i="50"/>
  <c r="M1376" i="50" s="1"/>
  <c r="I1333" i="50"/>
  <c r="I1376" i="50" s="1"/>
  <c r="K1333" i="50"/>
  <c r="K1376" i="50" s="1"/>
  <c r="J1333" i="50"/>
  <c r="J1376" i="50" s="1"/>
  <c r="M1377" i="50"/>
  <c r="J368" i="50"/>
  <c r="J289" i="41"/>
  <c r="L334" i="41"/>
  <c r="L426" i="50" s="1"/>
  <c r="L415" i="50"/>
  <c r="M368" i="50"/>
  <c r="M289" i="41"/>
  <c r="I289" i="41"/>
  <c r="I368" i="50"/>
  <c r="K415" i="50"/>
  <c r="K334" i="41"/>
  <c r="K426" i="50" s="1"/>
  <c r="K289" i="41"/>
  <c r="K368" i="50"/>
  <c r="I334" i="41"/>
  <c r="I426" i="50" s="1"/>
  <c r="I415" i="50"/>
  <c r="K1377" i="50"/>
  <c r="L368" i="50"/>
  <c r="L289" i="41"/>
  <c r="M334" i="41"/>
  <c r="M426" i="50" s="1"/>
  <c r="M415" i="50"/>
  <c r="D211" i="34"/>
  <c r="C212" i="34"/>
  <c r="O211" i="34"/>
  <c r="R211" i="34" s="1"/>
  <c r="J334" i="41"/>
  <c r="J426" i="50" s="1"/>
  <c r="J415" i="50"/>
  <c r="L1341" i="50"/>
  <c r="L1384" i="50" s="1"/>
  <c r="M1341" i="50"/>
  <c r="M1384" i="50" s="1"/>
  <c r="K1341" i="50"/>
  <c r="K1384" i="50" s="1"/>
  <c r="I1341" i="50"/>
  <c r="J1341" i="50"/>
  <c r="J1384" i="50" s="1"/>
  <c r="M1131" i="50" l="1"/>
  <c r="M232" i="50" s="1"/>
  <c r="M1171" i="50"/>
  <c r="M233" i="50" s="1"/>
  <c r="J1131" i="50"/>
  <c r="J232" i="50" s="1"/>
  <c r="J1171" i="50"/>
  <c r="J233" i="50" s="1"/>
  <c r="L1131" i="50"/>
  <c r="L232" i="50" s="1"/>
  <c r="L1171" i="50"/>
  <c r="L233" i="50" s="1"/>
  <c r="I184" i="41"/>
  <c r="I313" i="50" s="1"/>
  <c r="J184" i="41"/>
  <c r="J313" i="50" s="1"/>
  <c r="I215" i="41"/>
  <c r="I233" i="41" s="1"/>
  <c r="I389" i="41" s="1"/>
  <c r="K215" i="41"/>
  <c r="J231" i="41"/>
  <c r="J387" i="41" s="1"/>
  <c r="J232" i="41"/>
  <c r="J388" i="41" s="1"/>
  <c r="J337" i="50"/>
  <c r="J233" i="41"/>
  <c r="J389" i="41" s="1"/>
  <c r="M232" i="41"/>
  <c r="M388" i="41" s="1"/>
  <c r="M337" i="50"/>
  <c r="M233" i="41"/>
  <c r="M389" i="41" s="1"/>
  <c r="M231" i="41"/>
  <c r="M387" i="41" s="1"/>
  <c r="K231" i="41"/>
  <c r="K387" i="41" s="1"/>
  <c r="L233" i="41"/>
  <c r="L389" i="41" s="1"/>
  <c r="L337" i="50"/>
  <c r="L231" i="41"/>
  <c r="L387" i="41" s="1"/>
  <c r="L232" i="41"/>
  <c r="L388" i="41" s="1"/>
  <c r="K338" i="41"/>
  <c r="K385" i="50"/>
  <c r="L338" i="41"/>
  <c r="L385" i="50"/>
  <c r="J338" i="41"/>
  <c r="J385" i="50"/>
  <c r="I338" i="41"/>
  <c r="I385" i="50"/>
  <c r="M338" i="41"/>
  <c r="M385" i="50"/>
  <c r="O212" i="34"/>
  <c r="R212" i="34" s="1"/>
  <c r="D212" i="34"/>
  <c r="C213" i="34"/>
  <c r="I1384" i="50"/>
  <c r="L343" i="50" l="1"/>
  <c r="L242" i="42"/>
  <c r="J342" i="50"/>
  <c r="J151" i="42"/>
  <c r="M342" i="50"/>
  <c r="M151" i="42"/>
  <c r="L341" i="50"/>
  <c r="L24" i="42"/>
  <c r="J343" i="50"/>
  <c r="J242" i="42"/>
  <c r="K341" i="50"/>
  <c r="K24" i="42"/>
  <c r="M341" i="50"/>
  <c r="M24" i="42"/>
  <c r="J341" i="50"/>
  <c r="J24" i="42"/>
  <c r="M343" i="50"/>
  <c r="M242" i="42"/>
  <c r="I343" i="50"/>
  <c r="I242" i="42"/>
  <c r="L342" i="50"/>
  <c r="L151" i="42"/>
  <c r="L1091" i="50"/>
  <c r="L231" i="50" s="1"/>
  <c r="K337" i="50"/>
  <c r="K1171" i="50"/>
  <c r="K233" i="50" s="1"/>
  <c r="K1131" i="50"/>
  <c r="K232" i="50" s="1"/>
  <c r="J1091" i="50"/>
  <c r="J231" i="50" s="1"/>
  <c r="M1091" i="50"/>
  <c r="M231" i="50" s="1"/>
  <c r="I231" i="41"/>
  <c r="I387" i="41" s="1"/>
  <c r="I24" i="42" s="1"/>
  <c r="I232" i="41"/>
  <c r="I388" i="41" s="1"/>
  <c r="I1131" i="50"/>
  <c r="I232" i="50" s="1"/>
  <c r="I1171" i="50"/>
  <c r="I233" i="50" s="1"/>
  <c r="K233" i="41"/>
  <c r="K389" i="41" s="1"/>
  <c r="K232" i="41"/>
  <c r="K388" i="41" s="1"/>
  <c r="I337" i="50"/>
  <c r="I341" i="50"/>
  <c r="L429" i="50"/>
  <c r="L339" i="41"/>
  <c r="L430" i="50" s="1"/>
  <c r="J339" i="41"/>
  <c r="J430" i="50" s="1"/>
  <c r="J429" i="50"/>
  <c r="M339" i="41"/>
  <c r="M430" i="50" s="1"/>
  <c r="M429" i="50"/>
  <c r="C214" i="34"/>
  <c r="D213" i="34"/>
  <c r="O213" i="34"/>
  <c r="R213" i="34" s="1"/>
  <c r="I339" i="41"/>
  <c r="I430" i="50" s="1"/>
  <c r="I429" i="50"/>
  <c r="K429" i="50"/>
  <c r="K339" i="41"/>
  <c r="K430" i="50" s="1"/>
  <c r="V211" i="42" l="1"/>
  <c r="L182" i="42"/>
  <c r="M1098" i="50"/>
  <c r="W211" i="42"/>
  <c r="T120" i="42"/>
  <c r="S120" i="42"/>
  <c r="I64" i="42"/>
  <c r="K64" i="42"/>
  <c r="J230" i="42"/>
  <c r="J1098" i="50"/>
  <c r="L1138" i="50"/>
  <c r="V212" i="42"/>
  <c r="M230" i="42"/>
  <c r="M1138" i="50"/>
  <c r="W212" i="42"/>
  <c r="S121" i="42"/>
  <c r="I273" i="42"/>
  <c r="U120" i="42"/>
  <c r="K1098" i="50"/>
  <c r="K139" i="42"/>
  <c r="U121" i="42"/>
  <c r="T211" i="42"/>
  <c r="J1138" i="50"/>
  <c r="T212" i="42"/>
  <c r="L139" i="42"/>
  <c r="V120" i="42"/>
  <c r="L1098" i="50"/>
  <c r="V121" i="42"/>
  <c r="M139" i="42"/>
  <c r="W120" i="42"/>
  <c r="M273" i="42"/>
  <c r="J273" i="42"/>
  <c r="L273" i="42"/>
  <c r="J1079" i="50"/>
  <c r="T24" i="42"/>
  <c r="J1080" i="50" s="1"/>
  <c r="L1079" i="50"/>
  <c r="V24" i="42"/>
  <c r="L1080" i="50" s="1"/>
  <c r="L1127" i="50"/>
  <c r="L1119" i="50"/>
  <c r="V151" i="42"/>
  <c r="L1120" i="50" s="1"/>
  <c r="M1079" i="50"/>
  <c r="W24" i="42"/>
  <c r="M1080" i="50" s="1"/>
  <c r="M1127" i="50"/>
  <c r="M1119" i="50"/>
  <c r="W151" i="42"/>
  <c r="M1120" i="50" s="1"/>
  <c r="K342" i="50"/>
  <c r="K151" i="42"/>
  <c r="K343" i="50"/>
  <c r="K242" i="42"/>
  <c r="I1159" i="50"/>
  <c r="S242" i="42"/>
  <c r="K1079" i="50"/>
  <c r="Q24" i="42"/>
  <c r="U24" i="42"/>
  <c r="K1080" i="50" s="1"/>
  <c r="J1119" i="50"/>
  <c r="J1127" i="50"/>
  <c r="T151" i="42"/>
  <c r="J1120" i="50" s="1"/>
  <c r="J1159" i="50"/>
  <c r="T242" i="42"/>
  <c r="J1160" i="50" s="1"/>
  <c r="L1159" i="50"/>
  <c r="V242" i="42"/>
  <c r="L1160" i="50" s="1"/>
  <c r="I342" i="50"/>
  <c r="I151" i="42"/>
  <c r="M1159" i="50"/>
  <c r="W242" i="42"/>
  <c r="M1160" i="50" s="1"/>
  <c r="J1092" i="50"/>
  <c r="J1096" i="50"/>
  <c r="T86" i="42"/>
  <c r="K1091" i="50"/>
  <c r="K231" i="50" s="1"/>
  <c r="M1092" i="50"/>
  <c r="M1096" i="50"/>
  <c r="W86" i="42"/>
  <c r="L1092" i="50"/>
  <c r="L1096" i="50"/>
  <c r="V86" i="42"/>
  <c r="I1091" i="50"/>
  <c r="I231" i="50" s="1"/>
  <c r="I1079" i="50"/>
  <c r="S24" i="42"/>
  <c r="D214" i="34"/>
  <c r="C215" i="34"/>
  <c r="O214" i="34"/>
  <c r="R214" i="34" s="1"/>
  <c r="M182" i="42" l="1"/>
  <c r="L230" i="42"/>
  <c r="T121" i="42"/>
  <c r="J139" i="42"/>
  <c r="I1098" i="50"/>
  <c r="J182" i="42"/>
  <c r="I182" i="42"/>
  <c r="I139" i="42"/>
  <c r="J64" i="42"/>
  <c r="K230" i="42"/>
  <c r="K182" i="42"/>
  <c r="W121" i="42"/>
  <c r="L64" i="42"/>
  <c r="M64" i="42"/>
  <c r="K273" i="42"/>
  <c r="V302" i="42"/>
  <c r="L321" i="42"/>
  <c r="L1178" i="50"/>
  <c r="V303" i="42"/>
  <c r="J321" i="42"/>
  <c r="T302" i="42"/>
  <c r="J1178" i="50"/>
  <c r="T303" i="42"/>
  <c r="U211" i="42"/>
  <c r="W302" i="42"/>
  <c r="M321" i="42"/>
  <c r="M1178" i="50"/>
  <c r="W303" i="42"/>
  <c r="S302" i="42"/>
  <c r="I321" i="42"/>
  <c r="I1178" i="50"/>
  <c r="S303" i="42"/>
  <c r="S211" i="42"/>
  <c r="I230" i="42"/>
  <c r="I1138" i="50"/>
  <c r="S212" i="42"/>
  <c r="K1159" i="50"/>
  <c r="Q242" i="42"/>
  <c r="U242" i="42"/>
  <c r="K1160" i="50" s="1"/>
  <c r="I1119" i="50"/>
  <c r="I1127" i="50"/>
  <c r="S151" i="42"/>
  <c r="K1127" i="50"/>
  <c r="K1119" i="50"/>
  <c r="Q151" i="42"/>
  <c r="U151" i="42"/>
  <c r="K1120" i="50" s="1"/>
  <c r="I1160" i="50"/>
  <c r="R242" i="42"/>
  <c r="K1092" i="50"/>
  <c r="K1096" i="50"/>
  <c r="U86" i="42"/>
  <c r="M1132" i="50"/>
  <c r="M1136" i="50"/>
  <c r="W192" i="42"/>
  <c r="L1132" i="50"/>
  <c r="L1136" i="50"/>
  <c r="V192" i="42"/>
  <c r="J1132" i="50"/>
  <c r="J1136" i="50"/>
  <c r="T192" i="42"/>
  <c r="I1092" i="50"/>
  <c r="I1096" i="50"/>
  <c r="S86" i="42"/>
  <c r="I1080" i="50"/>
  <c r="N1080" i="50" s="1"/>
  <c r="F1083" i="50" s="1"/>
  <c r="R24" i="42"/>
  <c r="D215" i="34"/>
  <c r="O215" i="34"/>
  <c r="R215" i="34" s="1"/>
  <c r="C216" i="34"/>
  <c r="U212" i="42" l="1"/>
  <c r="K1138" i="50"/>
  <c r="K321" i="42"/>
  <c r="U302" i="42"/>
  <c r="K1178" i="50"/>
  <c r="U303" i="42"/>
  <c r="I1120" i="50"/>
  <c r="N1120" i="50" s="1"/>
  <c r="F1123" i="50" s="1"/>
  <c r="R151" i="42"/>
  <c r="M103" i="50" s="1"/>
  <c r="N1160" i="50"/>
  <c r="F1163" i="50" s="1"/>
  <c r="K1132" i="50"/>
  <c r="K1136" i="50"/>
  <c r="U192" i="42"/>
  <c r="I1132" i="50"/>
  <c r="I1136" i="50"/>
  <c r="S192" i="42"/>
  <c r="K103" i="50"/>
  <c r="J103" i="50"/>
  <c r="K104" i="50"/>
  <c r="I1083" i="50"/>
  <c r="R1082" i="50" s="1"/>
  <c r="Q1335" i="50" s="1"/>
  <c r="K1083" i="50"/>
  <c r="S1082" i="50" s="1"/>
  <c r="D216" i="34"/>
  <c r="O216" i="34"/>
  <c r="R216" i="34" s="1"/>
  <c r="C217" i="34"/>
  <c r="J104" i="50" l="1"/>
  <c r="J1129" i="50" s="1"/>
  <c r="I104" i="50"/>
  <c r="I1129" i="50" s="1"/>
  <c r="I103" i="50"/>
  <c r="I1089" i="50" s="1"/>
  <c r="I105" i="50"/>
  <c r="I1169" i="50" s="1"/>
  <c r="L103" i="50"/>
  <c r="L1089" i="50" s="1"/>
  <c r="L105" i="50"/>
  <c r="L1169" i="50" s="1"/>
  <c r="M105" i="50"/>
  <c r="M125" i="50" s="1"/>
  <c r="L104" i="50"/>
  <c r="L124" i="50" s="1"/>
  <c r="J105" i="50"/>
  <c r="J1169" i="50" s="1"/>
  <c r="M104" i="50"/>
  <c r="M1129" i="50" s="1"/>
  <c r="K105" i="50"/>
  <c r="K125" i="50" s="1"/>
  <c r="I1163" i="50"/>
  <c r="R1162" i="50" s="1"/>
  <c r="Q1337" i="50" s="1"/>
  <c r="K1163" i="50"/>
  <c r="S1162" i="50" s="1"/>
  <c r="I1123" i="50"/>
  <c r="R1122" i="50" s="1"/>
  <c r="Q1336" i="50" s="1"/>
  <c r="K1123" i="50"/>
  <c r="S1122" i="50" s="1"/>
  <c r="M1335" i="50"/>
  <c r="J1335" i="50"/>
  <c r="L1335" i="50"/>
  <c r="I1335" i="50"/>
  <c r="K1335" i="50"/>
  <c r="K1129" i="50"/>
  <c r="K124" i="50"/>
  <c r="M123" i="50"/>
  <c r="M1089" i="50"/>
  <c r="J123" i="50"/>
  <c r="J1089" i="50"/>
  <c r="K123" i="50"/>
  <c r="K1089" i="50"/>
  <c r="C218" i="34"/>
  <c r="D217" i="34"/>
  <c r="O217" i="34"/>
  <c r="R217" i="34" s="1"/>
  <c r="J125" i="50" l="1"/>
  <c r="I124" i="50"/>
  <c r="J110" i="50"/>
  <c r="J130" i="50" s="1"/>
  <c r="J124" i="50"/>
  <c r="L125" i="50"/>
  <c r="I123" i="50"/>
  <c r="I125" i="50"/>
  <c r="I110" i="50"/>
  <c r="I130" i="50" s="1"/>
  <c r="M1169" i="50"/>
  <c r="L123" i="50"/>
  <c r="L1129" i="50"/>
  <c r="M110" i="50"/>
  <c r="M130" i="50" s="1"/>
  <c r="K110" i="50"/>
  <c r="K130" i="50" s="1"/>
  <c r="M124" i="50"/>
  <c r="K1169" i="50"/>
  <c r="L110" i="50"/>
  <c r="L130" i="50" s="1"/>
  <c r="M1336" i="50"/>
  <c r="M1379" i="50" s="1"/>
  <c r="I1336" i="50"/>
  <c r="I1379" i="50" s="1"/>
  <c r="L1336" i="50"/>
  <c r="L1379" i="50" s="1"/>
  <c r="K1336" i="50"/>
  <c r="K1379" i="50" s="1"/>
  <c r="J1336" i="50"/>
  <c r="J1379" i="50" s="1"/>
  <c r="I1337" i="50"/>
  <c r="I1380" i="50" s="1"/>
  <c r="M1337" i="50"/>
  <c r="M1380" i="50" s="1"/>
  <c r="J1337" i="50"/>
  <c r="J1380" i="50" s="1"/>
  <c r="L1337" i="50"/>
  <c r="L1380" i="50" s="1"/>
  <c r="K1337" i="50"/>
  <c r="K1380" i="50" s="1"/>
  <c r="J1378" i="50"/>
  <c r="K1378" i="50"/>
  <c r="M1378" i="50"/>
  <c r="I1378" i="50"/>
  <c r="L1378" i="50"/>
  <c r="O218" i="34"/>
  <c r="R218" i="34" s="1"/>
  <c r="C219" i="34"/>
  <c r="D218" i="34"/>
  <c r="I1342" i="50" l="1"/>
  <c r="L1385" i="50"/>
  <c r="I1385" i="50"/>
  <c r="M1342" i="50"/>
  <c r="L1342" i="50"/>
  <c r="M1385" i="50"/>
  <c r="K1342" i="50"/>
  <c r="K1385" i="50"/>
  <c r="J1342" i="50"/>
  <c r="J1385" i="50"/>
  <c r="C220" i="34"/>
  <c r="D219" i="34"/>
  <c r="O219" i="34"/>
  <c r="R219" i="34" s="1"/>
  <c r="D220" i="34" l="1"/>
  <c r="C221" i="34"/>
  <c r="O220" i="34"/>
  <c r="R220" i="34" s="1"/>
  <c r="D221" i="34" l="1"/>
  <c r="C222" i="34"/>
  <c r="O221" i="34"/>
  <c r="R221" i="34" s="1"/>
  <c r="C223" i="34" l="1"/>
  <c r="D222" i="34"/>
  <c r="O222" i="34"/>
  <c r="R222" i="34" s="1"/>
  <c r="C224" i="34" l="1"/>
  <c r="D223" i="34"/>
  <c r="O223" i="34"/>
  <c r="R223" i="34" s="1"/>
  <c r="D224" i="34" l="1"/>
  <c r="O224" i="34"/>
  <c r="R224" i="34" s="1"/>
  <c r="C225" i="34"/>
  <c r="C226" i="34" l="1"/>
  <c r="O225" i="34"/>
  <c r="R225" i="34" s="1"/>
  <c r="D225" i="34"/>
  <c r="D226" i="34" l="1"/>
  <c r="C227" i="34"/>
  <c r="O226" i="34"/>
  <c r="R226" i="34" s="1"/>
  <c r="D227" i="34" l="1"/>
  <c r="O227" i="34"/>
  <c r="R227" i="34" s="1"/>
  <c r="C228" i="34"/>
  <c r="D228" i="34" l="1"/>
  <c r="C229" i="34"/>
  <c r="O228" i="34"/>
  <c r="R228" i="34" s="1"/>
  <c r="D229" i="34" l="1"/>
  <c r="C230" i="34"/>
  <c r="O229" i="34"/>
  <c r="R229" i="34" s="1"/>
  <c r="D230" i="34" l="1"/>
  <c r="C231" i="34"/>
  <c r="O230" i="34"/>
  <c r="R230" i="34" s="1"/>
  <c r="O231" i="34" l="1"/>
  <c r="R231" i="34" s="1"/>
  <c r="D231" i="34"/>
  <c r="C232" i="34"/>
  <c r="D232" i="34" l="1"/>
  <c r="C233" i="34"/>
  <c r="O232" i="34"/>
  <c r="R232" i="34" s="1"/>
  <c r="C234" i="34" l="1"/>
  <c r="O233" i="34"/>
  <c r="R233" i="34" s="1"/>
  <c r="D233" i="34"/>
  <c r="C235" i="34" l="1"/>
  <c r="D234" i="34"/>
  <c r="O234" i="34"/>
  <c r="R234" i="34" s="1"/>
  <c r="D235" i="34" l="1"/>
  <c r="O235" i="34"/>
  <c r="R235" i="34" s="1"/>
  <c r="C236" i="34"/>
  <c r="D236" i="34" l="1"/>
  <c r="C237" i="34"/>
  <c r="O236" i="34"/>
  <c r="R236" i="34" s="1"/>
  <c r="O237" i="34" l="1"/>
  <c r="R237" i="34" s="1"/>
  <c r="C238" i="34"/>
  <c r="D237" i="34"/>
  <c r="D238" i="34" l="1"/>
  <c r="C239" i="34"/>
  <c r="O238" i="34"/>
  <c r="R238" i="34" s="1"/>
  <c r="C240" i="34" l="1"/>
  <c r="O239" i="34"/>
  <c r="R239" i="34" s="1"/>
  <c r="D239" i="34"/>
  <c r="D240" i="34" l="1"/>
  <c r="C241" i="34"/>
  <c r="O240" i="34"/>
  <c r="R240" i="34" s="1"/>
  <c r="D241" i="34" l="1"/>
  <c r="C242" i="34"/>
  <c r="O241" i="34"/>
  <c r="R241" i="34" s="1"/>
  <c r="O242" i="34" l="1"/>
  <c r="R242" i="34" s="1"/>
  <c r="C243" i="34"/>
  <c r="D242" i="34"/>
  <c r="C244" i="34" l="1"/>
  <c r="D243" i="34"/>
  <c r="O243" i="34"/>
  <c r="R243" i="34" s="1"/>
  <c r="D244" i="34" l="1"/>
  <c r="C245" i="34"/>
  <c r="O244" i="34"/>
  <c r="R244" i="34" s="1"/>
  <c r="O245" i="34" l="1"/>
  <c r="R245" i="34" s="1"/>
  <c r="D245" i="34"/>
  <c r="C246" i="34"/>
  <c r="O246" i="34" l="1"/>
  <c r="R246" i="34" s="1"/>
  <c r="D246" i="34"/>
  <c r="C247" i="34"/>
  <c r="C248" i="34" l="1"/>
  <c r="O247" i="34"/>
  <c r="R247" i="34" s="1"/>
  <c r="D247" i="34"/>
  <c r="O248" i="34" l="1"/>
  <c r="R248" i="34" s="1"/>
  <c r="C249" i="34"/>
  <c r="D248" i="34"/>
  <c r="O249" i="34" l="1"/>
  <c r="R249" i="34" s="1"/>
  <c r="C250" i="34"/>
  <c r="D249" i="34"/>
  <c r="O250" i="34" l="1"/>
  <c r="R250" i="34" s="1"/>
  <c r="D250" i="34"/>
  <c r="C251" i="34"/>
  <c r="O251" i="34" l="1"/>
  <c r="R251" i="34" s="1"/>
  <c r="C252" i="34"/>
  <c r="D251" i="34"/>
  <c r="O252" i="34" l="1"/>
  <c r="R252" i="34" s="1"/>
  <c r="D252" i="34"/>
</calcChain>
</file>

<file path=xl/comments1.xml><?xml version="1.0" encoding="utf-8"?>
<comments xmlns="http://schemas.openxmlformats.org/spreadsheetml/2006/main">
  <authors>
    <author>Fallmann Hubert</author>
  </authors>
  <commentList>
    <comment ref="H361" authorId="0" shapeId="0">
      <text>
        <r>
          <rPr>
            <b/>
            <sz val="9"/>
            <color indexed="81"/>
            <rFont val="Tahoma"/>
            <family val="2"/>
          </rPr>
          <t>Needed for heat sub-installation, and for nitric acid</t>
        </r>
      </text>
    </comment>
  </commentList>
</comments>
</file>

<file path=xl/comments2.xml><?xml version="1.0" encoding="utf-8"?>
<comments xmlns="http://schemas.openxmlformats.org/spreadsheetml/2006/main">
  <authors>
    <author>Fallmann Hubert</author>
    <author>Heller</author>
  </authors>
  <commentList>
    <comment ref="Q30" authorId="0" shapeId="0">
      <text>
        <r>
          <rPr>
            <sz val="9"/>
            <color indexed="81"/>
            <rFont val="Tahoma"/>
            <family val="2"/>
          </rPr>
          <t>special reporting, exception = BM 47 (VCM)</t>
        </r>
      </text>
    </comment>
    <comment ref="R160" authorId="1" shapeId="0">
      <text>
        <r>
          <rPr>
            <b/>
            <sz val="9"/>
            <color indexed="81"/>
            <rFont val="Tahoma"/>
            <family val="2"/>
          </rPr>
          <t>1= BM applied --&gt; not used for attr. emissions</t>
        </r>
      </text>
    </comment>
    <comment ref="R168" authorId="1" shapeId="0">
      <text>
        <r>
          <rPr>
            <b/>
            <sz val="9"/>
            <color indexed="81"/>
            <rFont val="Tahoma"/>
            <family val="2"/>
          </rPr>
          <t>1= BM applied --&gt; not used for attr. emissions</t>
        </r>
      </text>
    </comment>
    <comment ref="R209" authorId="1" shapeId="0">
      <text>
        <r>
          <rPr>
            <b/>
            <sz val="9"/>
            <color indexed="81"/>
            <rFont val="Tahoma"/>
            <family val="2"/>
          </rPr>
          <t>1= BM applied --&gt; not used for attr. emissions</t>
        </r>
      </text>
    </comment>
    <comment ref="Q263" authorId="0" shapeId="0">
      <text>
        <r>
          <rPr>
            <sz val="9"/>
            <color indexed="81"/>
            <rFont val="Tahoma"/>
            <family val="2"/>
          </rPr>
          <t>special reporting, exception = BM 47 (VCM)</t>
        </r>
      </text>
    </comment>
    <comment ref="R354" authorId="1" shapeId="0">
      <text>
        <r>
          <rPr>
            <b/>
            <sz val="9"/>
            <color indexed="81"/>
            <rFont val="Tahoma"/>
            <family val="2"/>
          </rPr>
          <t>1= BM applied --&gt; not used for attr. emissions</t>
        </r>
      </text>
    </comment>
    <comment ref="R362" authorId="1" shapeId="0">
      <text>
        <r>
          <rPr>
            <b/>
            <sz val="9"/>
            <color indexed="81"/>
            <rFont val="Tahoma"/>
            <family val="2"/>
          </rPr>
          <t>1= BM applied --&gt; not used for attr. emissions</t>
        </r>
      </text>
    </comment>
    <comment ref="R398" authorId="1" shapeId="0">
      <text>
        <r>
          <rPr>
            <b/>
            <sz val="9"/>
            <color indexed="81"/>
            <rFont val="Tahoma"/>
            <family val="2"/>
          </rPr>
          <t>1= BM applied --&gt; not used for attr. emissions</t>
        </r>
      </text>
    </comment>
    <comment ref="Q443" authorId="0" shapeId="0">
      <text>
        <r>
          <rPr>
            <sz val="9"/>
            <color indexed="81"/>
            <rFont val="Tahoma"/>
            <family val="2"/>
          </rPr>
          <t>special reporting, exception = BM 47 (VCM)</t>
        </r>
      </text>
    </comment>
    <comment ref="R534" authorId="1" shapeId="0">
      <text>
        <r>
          <rPr>
            <b/>
            <sz val="9"/>
            <color indexed="81"/>
            <rFont val="Tahoma"/>
            <family val="2"/>
          </rPr>
          <t>1= BM applied --&gt; not used for attr. emissions</t>
        </r>
      </text>
    </comment>
    <comment ref="R542" authorId="1" shapeId="0">
      <text>
        <r>
          <rPr>
            <b/>
            <sz val="9"/>
            <color indexed="81"/>
            <rFont val="Tahoma"/>
            <family val="2"/>
          </rPr>
          <t>1= BM applied --&gt; not used for attr. emissions</t>
        </r>
      </text>
    </comment>
    <comment ref="R578" authorId="1" shapeId="0">
      <text>
        <r>
          <rPr>
            <b/>
            <sz val="9"/>
            <color indexed="81"/>
            <rFont val="Tahoma"/>
            <family val="2"/>
          </rPr>
          <t>1= BM applied --&gt; not used for attr. emissions</t>
        </r>
      </text>
    </comment>
    <comment ref="Q623" authorId="0" shapeId="0">
      <text>
        <r>
          <rPr>
            <sz val="9"/>
            <color indexed="81"/>
            <rFont val="Tahoma"/>
            <family val="2"/>
          </rPr>
          <t>special reporting, exception = BM 47 (VCM)</t>
        </r>
      </text>
    </comment>
    <comment ref="R714" authorId="1" shapeId="0">
      <text>
        <r>
          <rPr>
            <b/>
            <sz val="9"/>
            <color indexed="81"/>
            <rFont val="Tahoma"/>
            <family val="2"/>
          </rPr>
          <t>1= BM applied --&gt; not used for attr. emissions</t>
        </r>
      </text>
    </comment>
    <comment ref="R722" authorId="1" shapeId="0">
      <text>
        <r>
          <rPr>
            <b/>
            <sz val="9"/>
            <color indexed="81"/>
            <rFont val="Tahoma"/>
            <family val="2"/>
          </rPr>
          <t>1= BM applied --&gt; not used for attr. emissions</t>
        </r>
      </text>
    </comment>
    <comment ref="R758" authorId="1" shapeId="0">
      <text>
        <r>
          <rPr>
            <b/>
            <sz val="9"/>
            <color indexed="81"/>
            <rFont val="Tahoma"/>
            <family val="2"/>
          </rPr>
          <t>1= BM applied --&gt; not used for attr. emissions</t>
        </r>
      </text>
    </comment>
    <comment ref="Q803" authorId="0" shapeId="0">
      <text>
        <r>
          <rPr>
            <sz val="9"/>
            <color indexed="81"/>
            <rFont val="Tahoma"/>
            <family val="2"/>
          </rPr>
          <t>special reporting, exception = BM 47 (VCM)</t>
        </r>
      </text>
    </comment>
    <comment ref="R894" authorId="1" shapeId="0">
      <text>
        <r>
          <rPr>
            <b/>
            <sz val="9"/>
            <color indexed="81"/>
            <rFont val="Tahoma"/>
            <family val="2"/>
          </rPr>
          <t>1= BM applied --&gt; not used for attr. emissions</t>
        </r>
      </text>
    </comment>
    <comment ref="R902" authorId="1" shapeId="0">
      <text>
        <r>
          <rPr>
            <b/>
            <sz val="9"/>
            <color indexed="81"/>
            <rFont val="Tahoma"/>
            <family val="2"/>
          </rPr>
          <t>1= BM applied --&gt; not used for attr. emissions</t>
        </r>
      </text>
    </comment>
    <comment ref="R938" authorId="1" shapeId="0">
      <text>
        <r>
          <rPr>
            <b/>
            <sz val="9"/>
            <color indexed="81"/>
            <rFont val="Tahoma"/>
            <family val="2"/>
          </rPr>
          <t>1= BM applied --&gt; not used for attr. emissions</t>
        </r>
      </text>
    </comment>
    <comment ref="Q983" authorId="0" shapeId="0">
      <text>
        <r>
          <rPr>
            <sz val="9"/>
            <color indexed="81"/>
            <rFont val="Tahoma"/>
            <family val="2"/>
          </rPr>
          <t>special reporting, exception = BM 47 (VCM)</t>
        </r>
      </text>
    </comment>
    <comment ref="R1074" authorId="1" shapeId="0">
      <text>
        <r>
          <rPr>
            <b/>
            <sz val="9"/>
            <color indexed="81"/>
            <rFont val="Tahoma"/>
            <family val="2"/>
          </rPr>
          <t>1= BM applied --&gt; not used for attr. emissions</t>
        </r>
      </text>
    </comment>
    <comment ref="R1082" authorId="1" shapeId="0">
      <text>
        <r>
          <rPr>
            <b/>
            <sz val="9"/>
            <color indexed="81"/>
            <rFont val="Tahoma"/>
            <family val="2"/>
          </rPr>
          <t>1= BM applied --&gt; not used for attr. emissions</t>
        </r>
      </text>
    </comment>
    <comment ref="R1118" authorId="1" shapeId="0">
      <text>
        <r>
          <rPr>
            <b/>
            <sz val="9"/>
            <color indexed="81"/>
            <rFont val="Tahoma"/>
            <family val="2"/>
          </rPr>
          <t>1= BM applied --&gt; not used for attr. emissions</t>
        </r>
      </text>
    </comment>
    <comment ref="Q1163" authorId="0" shapeId="0">
      <text>
        <r>
          <rPr>
            <sz val="9"/>
            <color indexed="81"/>
            <rFont val="Tahoma"/>
            <family val="2"/>
          </rPr>
          <t>special reporting, exception = BM 47 (VCM)</t>
        </r>
      </text>
    </comment>
    <comment ref="R1254" authorId="1" shapeId="0">
      <text>
        <r>
          <rPr>
            <b/>
            <sz val="9"/>
            <color indexed="81"/>
            <rFont val="Tahoma"/>
            <family val="2"/>
          </rPr>
          <t>1= BM applied --&gt; not used for attr. emissions</t>
        </r>
      </text>
    </comment>
    <comment ref="R1262" authorId="1" shapeId="0">
      <text>
        <r>
          <rPr>
            <b/>
            <sz val="9"/>
            <color indexed="81"/>
            <rFont val="Tahoma"/>
            <family val="2"/>
          </rPr>
          <t>1= BM applied --&gt; not used for attr. emissions</t>
        </r>
      </text>
    </comment>
    <comment ref="R1298" authorId="1" shapeId="0">
      <text>
        <r>
          <rPr>
            <b/>
            <sz val="9"/>
            <color indexed="81"/>
            <rFont val="Tahoma"/>
            <family val="2"/>
          </rPr>
          <t>1= BM applied --&gt; not used for attr. emissions</t>
        </r>
      </text>
    </comment>
    <comment ref="Q1343" authorId="0" shapeId="0">
      <text>
        <r>
          <rPr>
            <sz val="9"/>
            <color indexed="81"/>
            <rFont val="Tahoma"/>
            <family val="2"/>
          </rPr>
          <t>special reporting, exception = BM 47 (VCM)</t>
        </r>
      </text>
    </comment>
    <comment ref="R1434" authorId="1" shapeId="0">
      <text>
        <r>
          <rPr>
            <b/>
            <sz val="9"/>
            <color indexed="81"/>
            <rFont val="Tahoma"/>
            <family val="2"/>
          </rPr>
          <t>1= BM applied --&gt; not used for attr. emissions</t>
        </r>
      </text>
    </comment>
    <comment ref="R1442" authorId="1" shapeId="0">
      <text>
        <r>
          <rPr>
            <b/>
            <sz val="9"/>
            <color indexed="81"/>
            <rFont val="Tahoma"/>
            <family val="2"/>
          </rPr>
          <t>1= BM applied --&gt; not used for attr. emissions</t>
        </r>
      </text>
    </comment>
    <comment ref="R1478" authorId="1" shapeId="0">
      <text>
        <r>
          <rPr>
            <b/>
            <sz val="9"/>
            <color indexed="81"/>
            <rFont val="Tahoma"/>
            <family val="2"/>
          </rPr>
          <t>1= BM applied --&gt; not used for attr. emissions</t>
        </r>
      </text>
    </comment>
    <comment ref="Q1523" authorId="0" shapeId="0">
      <text>
        <r>
          <rPr>
            <sz val="9"/>
            <color indexed="81"/>
            <rFont val="Tahoma"/>
            <family val="2"/>
          </rPr>
          <t>special reporting, exception = BM 47 (VCM)</t>
        </r>
      </text>
    </comment>
    <comment ref="R1614" authorId="1" shapeId="0">
      <text>
        <r>
          <rPr>
            <b/>
            <sz val="9"/>
            <color indexed="81"/>
            <rFont val="Tahoma"/>
            <family val="2"/>
          </rPr>
          <t>1= BM applied --&gt; not used for attr. emissions</t>
        </r>
      </text>
    </comment>
    <comment ref="R1622" authorId="1" shapeId="0">
      <text>
        <r>
          <rPr>
            <b/>
            <sz val="9"/>
            <color indexed="81"/>
            <rFont val="Tahoma"/>
            <family val="2"/>
          </rPr>
          <t>1= BM applied --&gt; not used for attr. emissions</t>
        </r>
      </text>
    </comment>
    <comment ref="R1658" authorId="1" shapeId="0">
      <text>
        <r>
          <rPr>
            <b/>
            <sz val="9"/>
            <color indexed="81"/>
            <rFont val="Tahoma"/>
            <family val="2"/>
          </rPr>
          <t>1= BM applied --&gt; not used for attr. emissions</t>
        </r>
      </text>
    </comment>
    <comment ref="Q1703" authorId="0" shapeId="0">
      <text>
        <r>
          <rPr>
            <sz val="9"/>
            <color indexed="81"/>
            <rFont val="Tahoma"/>
            <family val="2"/>
          </rPr>
          <t>special reporting, exception = BM 47 (VCM)</t>
        </r>
      </text>
    </comment>
    <comment ref="R1794" authorId="1" shapeId="0">
      <text>
        <r>
          <rPr>
            <b/>
            <sz val="9"/>
            <color indexed="81"/>
            <rFont val="Tahoma"/>
            <family val="2"/>
          </rPr>
          <t>1= BM applied --&gt; not used for attr. emissions</t>
        </r>
      </text>
    </comment>
    <comment ref="R1802" authorId="1" shapeId="0">
      <text>
        <r>
          <rPr>
            <b/>
            <sz val="9"/>
            <color indexed="81"/>
            <rFont val="Tahoma"/>
            <family val="2"/>
          </rPr>
          <t>1= BM applied --&gt; not used for attr. emissions</t>
        </r>
      </text>
    </comment>
    <comment ref="R1838" authorId="1" shapeId="0">
      <text>
        <r>
          <rPr>
            <b/>
            <sz val="9"/>
            <color indexed="81"/>
            <rFont val="Tahoma"/>
            <family val="2"/>
          </rPr>
          <t>1= BM applied --&gt; not used for attr. emissions</t>
        </r>
      </text>
    </comment>
    <comment ref="D1910" authorId="1" shapeId="0">
      <text>
        <r>
          <rPr>
            <sz val="9"/>
            <color indexed="81"/>
            <rFont val="Tahoma"/>
            <family val="2"/>
          </rPr>
          <t>INDEX($W:$W;VERGLEICH(MAX(INDIREKT(ADRESSE(1;3)&amp;":"&amp;ADRESSE(ZEILE(D12);3)));$C:$C;0))</t>
        </r>
      </text>
    </comment>
  </commentList>
</comments>
</file>

<file path=xl/comments3.xml><?xml version="1.0" encoding="utf-8"?>
<comments xmlns="http://schemas.openxmlformats.org/spreadsheetml/2006/main">
  <authors>
    <author>Heller</author>
  </authors>
  <commentList>
    <comment ref="R120" authorId="0" shapeId="0">
      <text>
        <r>
          <rPr>
            <b/>
            <sz val="9"/>
            <color indexed="81"/>
            <rFont val="Tahoma"/>
            <family val="2"/>
          </rPr>
          <t>1= BM applied --&gt; not used for attr. emissions</t>
        </r>
      </text>
    </comment>
    <comment ref="R124" authorId="0" shapeId="0">
      <text>
        <r>
          <rPr>
            <b/>
            <sz val="9"/>
            <color indexed="81"/>
            <rFont val="Tahoma"/>
            <family val="2"/>
          </rPr>
          <t>1= BM applied --&gt; not used for attr. emissions</t>
        </r>
      </text>
    </comment>
    <comment ref="R128" authorId="0" shapeId="0">
      <text>
        <r>
          <rPr>
            <b/>
            <sz val="9"/>
            <color indexed="81"/>
            <rFont val="Tahoma"/>
            <family val="2"/>
          </rPr>
          <t>1= BM applied --&gt; not used for attr. emissions</t>
        </r>
      </text>
    </comment>
    <comment ref="R132" authorId="0" shapeId="0">
      <text>
        <r>
          <rPr>
            <b/>
            <sz val="9"/>
            <color indexed="81"/>
            <rFont val="Tahoma"/>
            <family val="2"/>
          </rPr>
          <t>1= BM applied --&gt; not used for attr. emissions</t>
        </r>
      </text>
    </comment>
    <comment ref="R136" authorId="0" shapeId="0">
      <text>
        <r>
          <rPr>
            <b/>
            <sz val="9"/>
            <color indexed="81"/>
            <rFont val="Tahoma"/>
            <family val="2"/>
          </rPr>
          <t>1= BM applied --&gt; not used for attr. emissions</t>
        </r>
      </text>
    </comment>
    <comment ref="R211" authorId="0" shapeId="0">
      <text>
        <r>
          <rPr>
            <b/>
            <sz val="9"/>
            <color indexed="81"/>
            <rFont val="Tahoma"/>
            <family val="2"/>
          </rPr>
          <t>1= BM applied --&gt; not used for attr. emissions</t>
        </r>
      </text>
    </comment>
    <comment ref="R215" authorId="0" shapeId="0">
      <text>
        <r>
          <rPr>
            <b/>
            <sz val="9"/>
            <color indexed="81"/>
            <rFont val="Tahoma"/>
            <family val="2"/>
          </rPr>
          <t>1= BM applied --&gt; not used for attr. emissions</t>
        </r>
      </text>
    </comment>
    <comment ref="R219" authorId="0" shapeId="0">
      <text>
        <r>
          <rPr>
            <b/>
            <sz val="9"/>
            <color indexed="81"/>
            <rFont val="Tahoma"/>
            <family val="2"/>
          </rPr>
          <t>1= BM applied --&gt; not used for attr. emissions</t>
        </r>
      </text>
    </comment>
    <comment ref="R223" authorId="0" shapeId="0">
      <text>
        <r>
          <rPr>
            <b/>
            <sz val="9"/>
            <color indexed="81"/>
            <rFont val="Tahoma"/>
            <family val="2"/>
          </rPr>
          <t>1= BM applied --&gt; not used for attr. emissions</t>
        </r>
      </text>
    </comment>
    <comment ref="R227" authorId="0" shapeId="0">
      <text>
        <r>
          <rPr>
            <b/>
            <sz val="9"/>
            <color indexed="81"/>
            <rFont val="Tahoma"/>
            <family val="2"/>
          </rPr>
          <t>1= BM applied --&gt; not used for attr. emissions</t>
        </r>
      </text>
    </comment>
    <comment ref="R302" authorId="0" shapeId="0">
      <text>
        <r>
          <rPr>
            <b/>
            <sz val="9"/>
            <color indexed="81"/>
            <rFont val="Tahoma"/>
            <family val="2"/>
          </rPr>
          <t>1= BM applied --&gt; not used for attr. emissions</t>
        </r>
      </text>
    </comment>
    <comment ref="R306" authorId="0" shapeId="0">
      <text>
        <r>
          <rPr>
            <b/>
            <sz val="9"/>
            <color indexed="81"/>
            <rFont val="Tahoma"/>
            <family val="2"/>
          </rPr>
          <t>1= BM applied --&gt; not used for attr. emissions</t>
        </r>
      </text>
    </comment>
    <comment ref="R310" authorId="0" shapeId="0">
      <text>
        <r>
          <rPr>
            <b/>
            <sz val="9"/>
            <color indexed="81"/>
            <rFont val="Tahoma"/>
            <family val="2"/>
          </rPr>
          <t>1= BM applied --&gt; not used for attr. emissions</t>
        </r>
      </text>
    </comment>
    <comment ref="R314" authorId="0" shapeId="0">
      <text>
        <r>
          <rPr>
            <b/>
            <sz val="9"/>
            <color indexed="81"/>
            <rFont val="Tahoma"/>
            <family val="2"/>
          </rPr>
          <t>1= BM applied --&gt; not used for attr. emissions</t>
        </r>
      </text>
    </comment>
    <comment ref="R318" authorId="0" shapeId="0">
      <text>
        <r>
          <rPr>
            <b/>
            <sz val="9"/>
            <color indexed="81"/>
            <rFont val="Tahoma"/>
            <family val="2"/>
          </rPr>
          <t>1= BM applied --&gt; not used for attr. emissions</t>
        </r>
      </text>
    </comment>
    <comment ref="R386" authorId="0" shapeId="0">
      <text>
        <r>
          <rPr>
            <b/>
            <sz val="9"/>
            <color indexed="81"/>
            <rFont val="Tahoma"/>
            <family val="2"/>
          </rPr>
          <t>1= BM applied --&gt; not used for attr. emissions</t>
        </r>
      </text>
    </comment>
    <comment ref="R456" authorId="0" shapeId="0">
      <text>
        <r>
          <rPr>
            <b/>
            <sz val="9"/>
            <color indexed="81"/>
            <rFont val="Tahoma"/>
            <family val="2"/>
          </rPr>
          <t>1= BM applied --&gt; not used for attr. emissions</t>
        </r>
      </text>
    </comment>
    <comment ref="D575" authorId="0" shapeId="0">
      <text>
        <r>
          <rPr>
            <sz val="9"/>
            <color indexed="81"/>
            <rFont val="Tahoma"/>
            <family val="2"/>
          </rPr>
          <t>INDEX($W:$W;VERGLEICH(MAX(INDIREKT(ADRESSE(1;3)&amp;":"&amp;ADRESSE(ZEILE(D12);3)));$C:$C;0))</t>
        </r>
      </text>
    </comment>
  </commentList>
</comments>
</file>

<file path=xl/comments4.xml><?xml version="1.0" encoding="utf-8"?>
<comments xmlns="http://schemas.openxmlformats.org/spreadsheetml/2006/main">
  <authors>
    <author>Heller</author>
  </authors>
  <commentList>
    <comment ref="A2" authorId="0" shapeId="0">
      <text>
        <r>
          <rPr>
            <sz val="9"/>
            <color indexed="81"/>
            <rFont val="Tahoma"/>
            <family val="2"/>
          </rPr>
          <t xml:space="preserve">FALSE = draft preliminary data collection
TRUE = actual BM values included
</t>
        </r>
      </text>
    </comment>
  </commentList>
</comments>
</file>

<file path=xl/sharedStrings.xml><?xml version="1.0" encoding="utf-8"?>
<sst xmlns="http://schemas.openxmlformats.org/spreadsheetml/2006/main" count="7168" uniqueCount="3704">
  <si>
    <t>Version list</t>
  </si>
  <si>
    <t>Languages list</t>
  </si>
  <si>
    <t>i.</t>
  </si>
  <si>
    <t>ii.</t>
  </si>
  <si>
    <t>iii.</t>
  </si>
  <si>
    <t>IV</t>
  </si>
  <si>
    <t>iv.</t>
  </si>
  <si>
    <t>EUconst_FuelUseTypes</t>
  </si>
  <si>
    <t>CNTR_ConfirmationOK</t>
  </si>
  <si>
    <t>EUconst_tCO2pTJorT</t>
  </si>
  <si>
    <t>EUconst_AbsRel</t>
  </si>
  <si>
    <t>(c)</t>
  </si>
  <si>
    <t>(e)</t>
  </si>
  <si>
    <t>(f)</t>
  </si>
  <si>
    <t>VI</t>
  </si>
  <si>
    <t>Direct emissions</t>
  </si>
  <si>
    <t>x.</t>
  </si>
  <si>
    <t>xi.</t>
  </si>
  <si>
    <t>xii.</t>
  </si>
  <si>
    <t>EUconst_EUA</t>
  </si>
  <si>
    <t>EUconst_EUApa</t>
  </si>
  <si>
    <t>EUconst_EUApt</t>
  </si>
  <si>
    <t>Default values</t>
  </si>
  <si>
    <t>EUconst_HALsum</t>
  </si>
  <si>
    <t>HALsum_</t>
  </si>
  <si>
    <t>Version comments</t>
  </si>
  <si>
    <t>m(CaO)</t>
  </si>
  <si>
    <t>m(MgO)</t>
  </si>
  <si>
    <t>EUconst_FBSubinst</t>
  </si>
  <si>
    <t>EUconst_MsgEnterThisSection</t>
  </si>
  <si>
    <t>EUconst_MsgGoToNextSubInst</t>
  </si>
  <si>
    <t>taken from D.II.2.b</t>
  </si>
  <si>
    <t>BM no.</t>
  </si>
  <si>
    <t>Jump info:</t>
  </si>
  <si>
    <t>BM number:</t>
  </si>
  <si>
    <t>EUconst_MsgBackToSheetF</t>
  </si>
  <si>
    <t>HALspecial_</t>
  </si>
  <si>
    <t>EUconst_CNTR_HALspecial</t>
  </si>
  <si>
    <t>Special reporting?</t>
  </si>
  <si>
    <t>EUconst_BM</t>
  </si>
  <si>
    <t>EUconst_MWhpa</t>
  </si>
  <si>
    <t>EUconst_tpa</t>
  </si>
  <si>
    <t>EUconst_GJpt</t>
  </si>
  <si>
    <t>EUconst_tCO2pTJ</t>
  </si>
  <si>
    <t>EUconst_tCO2pa</t>
  </si>
  <si>
    <t>EUconst_tCO2pt</t>
  </si>
  <si>
    <t>EUconst_TJpa</t>
  </si>
  <si>
    <t>EUconst_tN2Opa</t>
  </si>
  <si>
    <t>EUconst_tCO2eptN2O</t>
  </si>
  <si>
    <t>EUconst_tCO2epa</t>
  </si>
  <si>
    <t>EUconst_tCO2ept</t>
  </si>
  <si>
    <t>EUconst_relOrTJpa</t>
  </si>
  <si>
    <t>EUconst_relOrMWhpa</t>
  </si>
  <si>
    <t>EUconst_relOrtCO2pa</t>
  </si>
  <si>
    <t>CWT</t>
  </si>
  <si>
    <t>EUconst_MsgGoOn_cd</t>
  </si>
  <si>
    <t>EUconst_MsgGoOn_e</t>
  </si>
  <si>
    <t>Start (up to section e)</t>
  </si>
  <si>
    <t>amount eligible (i.e. not coming from non-ETS):</t>
  </si>
  <si>
    <t>amount non-eligible</t>
  </si>
  <si>
    <t>amount eligible:</t>
  </si>
  <si>
    <t>Electricity production:</t>
  </si>
  <si>
    <t>AFTER electricity production:</t>
  </si>
  <si>
    <t>Product benchmarks</t>
  </si>
  <si>
    <t>AFTER product benchmarks:</t>
  </si>
  <si>
    <t>AFTER export to ETS installations:</t>
  </si>
  <si>
    <t>Export to ETS installations (considered 100% eligible)</t>
  </si>
  <si>
    <t>Determine relevant data (relevant=full baseline period, all years!)</t>
  </si>
  <si>
    <t>Total emissions</t>
  </si>
  <si>
    <t>EUconst_CNTR_HEAT</t>
  </si>
  <si>
    <t>HEAT_</t>
  </si>
  <si>
    <t>EUconst_CNTR_VCM</t>
  </si>
  <si>
    <t>VCM_</t>
  </si>
  <si>
    <t>EUconst_CNTR_HVC</t>
  </si>
  <si>
    <t>HVC_</t>
  </si>
  <si>
    <t>Column for</t>
  </si>
  <si>
    <t>EUconst_Allowances</t>
  </si>
  <si>
    <t>IX</t>
  </si>
  <si>
    <t>Section III</t>
  </si>
  <si>
    <t>(n)</t>
  </si>
  <si>
    <t>taken from E.I.1.c</t>
  </si>
  <si>
    <t>Needed for G.I.1.a</t>
  </si>
  <si>
    <t>Needed for G.I.2.a</t>
  </si>
  <si>
    <t>Needed for G.I.3.a</t>
  </si>
  <si>
    <t>Needed for G.I.4.a</t>
  </si>
  <si>
    <t>CTRL_InputMethodHeatSubInstSplit</t>
  </si>
  <si>
    <t>a</t>
  </si>
  <si>
    <t>(g)</t>
  </si>
  <si>
    <t>(h)</t>
  </si>
  <si>
    <t>(i)</t>
  </si>
  <si>
    <t>EUconst_NA</t>
  </si>
  <si>
    <t>Sub-installation type</t>
  </si>
  <si>
    <t>CL exposed?</t>
  </si>
  <si>
    <t>TJ</t>
  </si>
  <si>
    <t>t CO2e</t>
  </si>
  <si>
    <t>EUconst_TJ</t>
  </si>
  <si>
    <t>EUconst_tCO2e</t>
  </si>
  <si>
    <t>Sorting</t>
  </si>
  <si>
    <t>F</t>
  </si>
  <si>
    <t>K.</t>
  </si>
  <si>
    <t>EUconst_ConfirmAllowUseOfData</t>
  </si>
  <si>
    <t>ausblenden</t>
  </si>
  <si>
    <t>lv</t>
  </si>
  <si>
    <t>Lithuanian</t>
  </si>
  <si>
    <t>lt</t>
  </si>
  <si>
    <t>Hungarian</t>
  </si>
  <si>
    <t>hu</t>
  </si>
  <si>
    <t>Maltese</t>
  </si>
  <si>
    <t>mt</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</si>
  <si>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</si>
  <si>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</si>
  <si>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</si>
  <si>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</si>
  <si>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</si>
  <si>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</si>
  <si>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</si>
  <si>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</si>
  <si>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</si>
  <si>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</si>
  <si>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</si>
  <si>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</si>
  <si>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</si>
  <si>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</si>
  <si>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</si>
  <si>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</si>
  <si>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</si>
  <si>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</si>
  <si>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</si>
  <si>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</si>
  <si>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</si>
  <si>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</si>
  <si>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</si>
  <si>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</si>
  <si>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</si>
  <si>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</si>
  <si>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</si>
  <si>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</si>
  <si>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</si>
  <si>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</si>
  <si>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</si>
  <si>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</si>
  <si>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</si>
  <si>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LT</t>
  </si>
  <si>
    <t>LU</t>
  </si>
  <si>
    <t>MT</t>
  </si>
  <si>
    <t>NL</t>
  </si>
  <si>
    <t>PL</t>
  </si>
  <si>
    <t>PT</t>
  </si>
  <si>
    <t>RO</t>
  </si>
  <si>
    <t>SK</t>
  </si>
  <si>
    <t>SI</t>
  </si>
  <si>
    <t>ES</t>
  </si>
  <si>
    <t>SE</t>
  </si>
  <si>
    <t>UK</t>
  </si>
  <si>
    <t>P</t>
  </si>
  <si>
    <t>Green fields are used throughout the template for conditional formatting!</t>
  </si>
  <si>
    <t>EUconst_Negative</t>
  </si>
  <si>
    <t>SUM_CO2</t>
  </si>
  <si>
    <t>SUM_bioCO2</t>
  </si>
  <si>
    <t>SUM_EnergyIN</t>
  </si>
  <si>
    <t>EUconst_SumCO2</t>
  </si>
  <si>
    <t>EUconst_SumBioCO2</t>
  </si>
  <si>
    <t>EUconst_SumEnergyIN</t>
  </si>
  <si>
    <t>EUconst_SumN2O</t>
  </si>
  <si>
    <t>EUconst_SumPFC</t>
  </si>
  <si>
    <t>SUM_N2O</t>
  </si>
  <si>
    <t>SUM_PFC</t>
  </si>
  <si>
    <t>FB1</t>
  </si>
  <si>
    <t>FB2</t>
  </si>
  <si>
    <t>FB3</t>
  </si>
  <si>
    <t>FB4</t>
  </si>
  <si>
    <t>FB5</t>
  </si>
  <si>
    <t>FB6</t>
  </si>
  <si>
    <t>(a)</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</si>
  <si>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</si>
  <si>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</si>
  <si>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</si>
  <si>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</si>
  <si>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</si>
  <si>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</si>
  <si>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</si>
  <si>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</si>
  <si>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</si>
  <si>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</si>
  <si>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</si>
  <si>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</si>
  <si>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</si>
  <si>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</si>
  <si>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</si>
  <si>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</si>
  <si>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</si>
  <si>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</si>
  <si>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Netherlands</t>
  </si>
  <si>
    <t>Poland</t>
  </si>
  <si>
    <t>Iceland</t>
  </si>
  <si>
    <t>EUconst_CWTpa</t>
  </si>
  <si>
    <t>EUconst_ERR_MandatoryDII3a</t>
  </si>
  <si>
    <t>EUconst_ERR_MandatoryEII4</t>
  </si>
  <si>
    <t>EUconst_MsgUseElExchTool</t>
  </si>
  <si>
    <t>Jump Address:</t>
  </si>
  <si>
    <t>EUconst_MsgGoOn_d</t>
  </si>
  <si>
    <t>EUconst_MsgGoOnIfNotRelevant</t>
  </si>
  <si>
    <t>EUconst_Month</t>
  </si>
  <si>
    <t>EUconst_BMSubinst</t>
  </si>
  <si>
    <t>EUconst_ERR_DatesSorting</t>
  </si>
  <si>
    <t>EUconst_DateMissing</t>
  </si>
  <si>
    <t>EUconst_Unit</t>
  </si>
  <si>
    <t>EUconst_GJ</t>
  </si>
  <si>
    <t>GJ</t>
  </si>
  <si>
    <t>EUconst_MWh</t>
  </si>
  <si>
    <t>MWh</t>
  </si>
  <si>
    <t>EUconst_t</t>
  </si>
  <si>
    <t>t</t>
  </si>
  <si>
    <t>EUconst_tCO2</t>
  </si>
  <si>
    <t>t CO2</t>
  </si>
  <si>
    <t>EUconst_tN2O</t>
  </si>
  <si>
    <t>t N2O</t>
  </si>
  <si>
    <t>EUconst_Or</t>
  </si>
  <si>
    <t>(j)</t>
  </si>
  <si>
    <t>(k)</t>
  </si>
  <si>
    <t>(l)</t>
  </si>
  <si>
    <t>(m)</t>
  </si>
  <si>
    <t>EUconst_WithinInst</t>
  </si>
  <si>
    <t>EUconst_HeatUseTypes</t>
  </si>
  <si>
    <t>SG</t>
  </si>
  <si>
    <t>P (MNm3 O2)</t>
  </si>
  <si>
    <t>F (MNm3)</t>
  </si>
  <si>
    <t>kW</t>
  </si>
  <si>
    <t xml:space="preserve">Flexicoking </t>
  </si>
  <si>
    <t>List of Sub-installations for drop-downlists:</t>
  </si>
  <si>
    <t>Type of entity</t>
  </si>
  <si>
    <t>EUconst_ConnectedEntityTypes</t>
  </si>
  <si>
    <t>EUconst_ConnectionTypes</t>
  </si>
  <si>
    <t>Period choosen:</t>
  </si>
  <si>
    <t>Year relevant:</t>
  </si>
  <si>
    <t>Member of period:</t>
  </si>
  <si>
    <t>Table for conditional formatting:</t>
  </si>
  <si>
    <t>Indicator</t>
  </si>
  <si>
    <t>Identify and use only relevant years here:</t>
  </si>
  <si>
    <t>EUconst_CNTR_HAL</t>
  </si>
  <si>
    <t>HAL_</t>
  </si>
  <si>
    <t>EUconst_CNTR_ELEXCH</t>
  </si>
  <si>
    <t>ELEXCH_</t>
  </si>
  <si>
    <t>Sum of exchangable electricity for corroboration use in sheet "E_EnergyFlows":</t>
  </si>
  <si>
    <t>for use in section E.III.1.f</t>
  </si>
  <si>
    <t>EUconst_NotEligible</t>
  </si>
  <si>
    <t>b</t>
  </si>
  <si>
    <t xml:space="preserve">&lt;&lt;&lt; END OF TEMPLATE &gt;&gt;&gt; </t>
  </si>
  <si>
    <t>List of technical connections for drop-downlists:</t>
  </si>
  <si>
    <t>sorted line</t>
  </si>
  <si>
    <t>interim value</t>
  </si>
  <si>
    <t>Name of Transfer Entity</t>
  </si>
  <si>
    <t>Product BM?</t>
  </si>
  <si>
    <t>V</t>
  </si>
  <si>
    <t>EUconst_Relevant</t>
  </si>
  <si>
    <t>EUconst_NotRelevant</t>
  </si>
  <si>
    <t>EUconst_kNm3pa</t>
  </si>
  <si>
    <t>EUconst_TonnesOrkNm3pa</t>
  </si>
  <si>
    <t>1000Nm3/year</t>
  </si>
  <si>
    <t>EUconst_GJperTorKNm3</t>
  </si>
  <si>
    <t>GJ/1000Nm3</t>
  </si>
  <si>
    <t>EUconst_GJperUnit</t>
  </si>
  <si>
    <t>A.</t>
  </si>
  <si>
    <t>D.</t>
  </si>
  <si>
    <t>E.</t>
  </si>
  <si>
    <t>F.</t>
  </si>
  <si>
    <t>G.</t>
  </si>
  <si>
    <t>H.</t>
  </si>
  <si>
    <t>I.</t>
  </si>
  <si>
    <t>J.</t>
  </si>
  <si>
    <t>EUconst_Incomplete</t>
  </si>
  <si>
    <t>EUconst_ERR_Mandatory_ef</t>
  </si>
  <si>
    <t>Make grey?</t>
  </si>
  <si>
    <t>EUconst_OK</t>
  </si>
  <si>
    <t>controls</t>
  </si>
  <si>
    <t>Version:</t>
  </si>
  <si>
    <t>Info for automatic Version detection</t>
  </si>
  <si>
    <t>Template type:</t>
  </si>
  <si>
    <t>Type list:</t>
  </si>
  <si>
    <t>Language:</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</si>
  <si>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</si>
  <si>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</si>
  <si>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</si>
  <si>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</si>
  <si>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</si>
  <si>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</si>
  <si>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</si>
  <si>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</si>
  <si>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</si>
  <si>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</si>
  <si>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</si>
  <si>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</si>
  <si>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</si>
  <si>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</si>
  <si>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</si>
  <si>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</si>
  <si>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</si>
  <si>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</si>
  <si>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</si>
  <si>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</si>
  <si>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</si>
  <si>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</si>
  <si>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</si>
  <si>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EUconst_CNTR_nonETSMeasHeat</t>
  </si>
  <si>
    <t>Sum of measurable heat from non-ETS imports for further use in sheet "E_EnergyFlows":</t>
  </si>
  <si>
    <t>Number of non-empty relevant cells</t>
  </si>
  <si>
    <t>Search criterion</t>
  </si>
  <si>
    <t>Start of aggregation</t>
  </si>
  <si>
    <t>Measurable heat aggregated</t>
  </si>
  <si>
    <t>for use in section E.II</t>
  </si>
  <si>
    <t>Number of activity</t>
  </si>
  <si>
    <t>EUconst_ERR_ActivityMissing</t>
  </si>
  <si>
    <t>CNTR_Eligible10a</t>
  </si>
  <si>
    <t>CNTR_ApplyLinF</t>
  </si>
  <si>
    <t>EUconst_MSlist</t>
  </si>
  <si>
    <t>EUconst_MSlistISOcodes</t>
  </si>
  <si>
    <t>v.</t>
  </si>
  <si>
    <t>vi.</t>
  </si>
  <si>
    <t>vii.</t>
  </si>
  <si>
    <t>viii.</t>
  </si>
  <si>
    <t>ix.</t>
  </si>
  <si>
    <t>For formatting of capacity list:</t>
  </si>
  <si>
    <t>CNTR_ExistSubInstEntries</t>
  </si>
  <si>
    <t>For formatting of connection list:</t>
  </si>
  <si>
    <t>CNTR_ExistConnectionEntries</t>
  </si>
  <si>
    <t>Any error messages?</t>
  </si>
  <si>
    <t>Total:</t>
  </si>
  <si>
    <t>CNTR_HasEntries_A_I:</t>
  </si>
  <si>
    <t>Used for formatting and Error messages.</t>
  </si>
  <si>
    <t>end</t>
  </si>
  <si>
    <t>EUconst_Year</t>
  </si>
  <si>
    <t>BM number</t>
  </si>
  <si>
    <t>EUconst_Tons</t>
  </si>
  <si>
    <t>(o)</t>
  </si>
  <si>
    <t>(p)</t>
  </si>
  <si>
    <t>(q)</t>
  </si>
  <si>
    <t>CF(EOE)</t>
  </si>
  <si>
    <t>EUconst_MNm3pa</t>
  </si>
  <si>
    <t>Norway</t>
  </si>
  <si>
    <t>Liechtenstein</t>
  </si>
  <si>
    <t>IS</t>
  </si>
  <si>
    <t>LI</t>
  </si>
  <si>
    <t>NO</t>
  </si>
  <si>
    <t>UBA</t>
  </si>
  <si>
    <t>Name</t>
  </si>
  <si>
    <t>TEXT (Language Version)</t>
  </si>
  <si>
    <t>English Version (Original)</t>
  </si>
  <si>
    <t>Constant</t>
  </si>
  <si>
    <t>Further constants</t>
  </si>
  <si>
    <t>EUconst_ReportingYears</t>
  </si>
  <si>
    <t>End</t>
  </si>
  <si>
    <t>Area for functionalities, Constants etc.</t>
  </si>
  <si>
    <t>II</t>
  </si>
  <si>
    <t>(b)</t>
  </si>
  <si>
    <t>Column Index:</t>
  </si>
  <si>
    <t xml:space="preserve"> %</t>
  </si>
  <si>
    <t>(d)</t>
  </si>
  <si>
    <t>III</t>
  </si>
  <si>
    <t>Unit</t>
  </si>
  <si>
    <t>EUconst_ERR_Mandatory_g</t>
  </si>
  <si>
    <t>EUconst_ERR_Mandatory_abd</t>
  </si>
  <si>
    <t>Section II.1</t>
  </si>
  <si>
    <t>Section II.2</t>
  </si>
  <si>
    <t>EUconst_ERR_DoubleBMentry</t>
  </si>
  <si>
    <t>EUconst_ERR_MissingSubInstEntry</t>
  </si>
  <si>
    <t>EUconst_ERR_MissingFallBackEntry</t>
  </si>
  <si>
    <t>ETS coverage (f. formatting)</t>
  </si>
  <si>
    <t>Used f. Formatting of navigation panel</t>
  </si>
  <si>
    <t>EUconst_ERR_Mandatory_Bbc</t>
  </si>
  <si>
    <t>EUconst_ERR_StartWithFuels</t>
  </si>
  <si>
    <t>EUconst_ERR_Goto_DI2</t>
  </si>
  <si>
    <t>EUconst_Fuel</t>
  </si>
  <si>
    <t>EUconst_GJpa</t>
  </si>
  <si>
    <t>EUconst_BaselinePeriods</t>
  </si>
  <si>
    <t># occurances</t>
  </si>
  <si>
    <t>EUconst_HeatBMvalue</t>
  </si>
  <si>
    <t>EUconst_ElBM</t>
  </si>
  <si>
    <t>Unit of HAL</t>
  </si>
  <si>
    <t xml:space="preserve">-  </t>
  </si>
  <si>
    <t>Norwegian</t>
  </si>
  <si>
    <t>no</t>
  </si>
  <si>
    <t>Make tool grey?</t>
  </si>
  <si>
    <t>VII</t>
  </si>
  <si>
    <t>VIII</t>
  </si>
  <si>
    <t>tCO2e/tN2O</t>
  </si>
  <si>
    <t>EUconst_FuelBMvalue</t>
  </si>
  <si>
    <t>PRODCOM 2010</t>
  </si>
  <si>
    <t>EUconst_ProcessEmissionTypes</t>
  </si>
  <si>
    <t>N2O</t>
  </si>
  <si>
    <t>Umweltbundesamt</t>
  </si>
  <si>
    <t>Spain</t>
  </si>
  <si>
    <t>Sweden</t>
  </si>
  <si>
    <t>United Kingdom</t>
  </si>
  <si>
    <t>EUconst_MsgSeeFirst</t>
  </si>
  <si>
    <t>EUconst_MsgProceedF</t>
  </si>
  <si>
    <t>EUconst_MsgProceedEII2</t>
  </si>
  <si>
    <t>EUconst_MsgGoOn</t>
  </si>
  <si>
    <t>EUconst_Inconsistent</t>
  </si>
  <si>
    <t>EUconst_tCO2pkNm3</t>
  </si>
  <si>
    <t>Portugal</t>
  </si>
  <si>
    <t>Romania</t>
  </si>
  <si>
    <t>Slovakia</t>
  </si>
  <si>
    <t>Slovenia</t>
  </si>
  <si>
    <t>Identify and use only relevant years here (relevant = full baseline period):</t>
  </si>
  <si>
    <t>MSconst_AllowInstEmmisionTotals</t>
  </si>
  <si>
    <t>EUconst_TrueFalse</t>
  </si>
  <si>
    <t>EUconst_TrueFalseNA</t>
  </si>
  <si>
    <t>I</t>
  </si>
  <si>
    <t>-</t>
  </si>
  <si>
    <t>%</t>
  </si>
  <si>
    <t>R</t>
  </si>
  <si>
    <t>EUconst_Error</t>
  </si>
  <si>
    <t>ERR_</t>
  </si>
  <si>
    <t>Errors?</t>
  </si>
  <si>
    <t>Error messages?</t>
  </si>
  <si>
    <t>BM1</t>
  </si>
  <si>
    <t>BM2</t>
  </si>
  <si>
    <t>BM3</t>
  </si>
  <si>
    <t>BM4</t>
  </si>
  <si>
    <t>BM5</t>
  </si>
  <si>
    <t>BM6</t>
  </si>
  <si>
    <t>BM7</t>
  </si>
  <si>
    <t>BM8</t>
  </si>
  <si>
    <t>BM9</t>
  </si>
  <si>
    <t>BM10</t>
  </si>
  <si>
    <t>EUconst_RelevantNotRelevant</t>
  </si>
  <si>
    <t>EUconst_CLnonCL</t>
  </si>
  <si>
    <t>EUconst_ConnectionTransferTypes</t>
  </si>
  <si>
    <t>EUconst_ConnectionShortTypes</t>
  </si>
  <si>
    <t>CO2</t>
  </si>
  <si>
    <t>EUconst_ConfirmationNotEligible</t>
  </si>
  <si>
    <t>EUconst_ConfirmApplicationForAlloc</t>
  </si>
  <si>
    <t>for BM value</t>
  </si>
  <si>
    <t>HeatEx_</t>
  </si>
  <si>
    <t>WasteGasEx_</t>
  </si>
  <si>
    <t>EUconst_CNTR_HeatExport</t>
  </si>
  <si>
    <t>EUconst_CNTR_WGExport</t>
  </si>
  <si>
    <t>AVERAGE</t>
  </si>
  <si>
    <t>FuelInput_</t>
  </si>
  <si>
    <t>EUconst_CNTR_FuelInput</t>
  </si>
  <si>
    <t>EUconst_CNTR_WGExportEF</t>
  </si>
  <si>
    <t>WasteGasExEF_</t>
  </si>
  <si>
    <t>HeatExEF_</t>
  </si>
  <si>
    <t>EUconst_CNTR_HeatExportEF</t>
  </si>
  <si>
    <t>EUconst_CNTR_HeatImport</t>
  </si>
  <si>
    <t>HeatIm_</t>
  </si>
  <si>
    <t>EUconst_CNTR_HeatImportEF</t>
  </si>
  <si>
    <t>HeatImEF_</t>
  </si>
  <si>
    <t>EUconst_CNTR_ElectricityExported</t>
  </si>
  <si>
    <t>ElecEx_</t>
  </si>
  <si>
    <t>EUconst_CNTR_WGImport</t>
  </si>
  <si>
    <t>EUconst_CNTR_WGImportEF</t>
  </si>
  <si>
    <t>WasteGasImEF_</t>
  </si>
  <si>
    <t>WasteGasIm_</t>
  </si>
  <si>
    <t>xiii.</t>
  </si>
  <si>
    <t>xiv.</t>
  </si>
  <si>
    <t>xv.</t>
  </si>
  <si>
    <t>xvi.</t>
  </si>
  <si>
    <t>xvii.</t>
  </si>
  <si>
    <t>xviii.</t>
  </si>
  <si>
    <t>xix.</t>
  </si>
  <si>
    <t>xx.</t>
  </si>
  <si>
    <t>xxi.</t>
  </si>
  <si>
    <t>xxii.</t>
  </si>
  <si>
    <t>xxiii.</t>
  </si>
  <si>
    <t>EUconst_CNTR_Emissions</t>
  </si>
  <si>
    <t>make grey?</t>
  </si>
  <si>
    <t>2014-2018</t>
  </si>
  <si>
    <t>2019-2023</t>
  </si>
  <si>
    <t>EUconst_tCO2pMWh</t>
  </si>
  <si>
    <t>EUconst_NGEFvalue</t>
  </si>
  <si>
    <t>ARR</t>
  </si>
  <si>
    <t>Reporting years used:</t>
  </si>
  <si>
    <t>Reporting years (default):</t>
  </si>
  <si>
    <t>Croatia</t>
  </si>
  <si>
    <t>HR</t>
  </si>
  <si>
    <t>IC</t>
  </si>
  <si>
    <t>Croatian</t>
  </si>
  <si>
    <t>hr</t>
  </si>
  <si>
    <t>Icelandic</t>
  </si>
  <si>
    <t>ic</t>
  </si>
  <si>
    <t>Print area:</t>
  </si>
  <si>
    <t>#</t>
  </si>
  <si>
    <t>B: AEO</t>
  </si>
  <si>
    <t>B: CE</t>
  </si>
  <si>
    <t>B: OVC</t>
  </si>
  <si>
    <t>F(C2F6)</t>
  </si>
  <si>
    <t>GWP (CF4) (tCO2e/t)</t>
  </si>
  <si>
    <t>GWP (C2F6) (tCO2e/t)</t>
  </si>
  <si>
    <t/>
  </si>
  <si>
    <t>EUconst_CNTR_HeatImportPulp</t>
  </si>
  <si>
    <t>HeatImPulp_</t>
  </si>
  <si>
    <t>EUconst_CNTR_HeatImportNitric</t>
  </si>
  <si>
    <t>HeatImNitric_</t>
  </si>
  <si>
    <t>CNTR_ProdElec</t>
  </si>
  <si>
    <t>EUconst_AllYears</t>
  </si>
  <si>
    <t>(r)</t>
  </si>
  <si>
    <t>D.II.b !</t>
  </si>
  <si>
    <t>for dynamic print area</t>
  </si>
  <si>
    <t>EUconst_CLEFYears</t>
  </si>
  <si>
    <t>EUconst_CLEFDistrict</t>
  </si>
  <si>
    <t>Draft NIMs baseline data Phase 4</t>
  </si>
  <si>
    <t>NIMs P4 draft</t>
  </si>
  <si>
    <t>NIMs P4 2nd draft</t>
  </si>
  <si>
    <t>NIMs P4 3rd draft</t>
  </si>
  <si>
    <t>NIMs P4 baseline</t>
  </si>
  <si>
    <t>Draft II NIMs baseline data Phase 4</t>
  </si>
  <si>
    <t>Draft III NIMs baseline data Phase 4</t>
  </si>
  <si>
    <t>District heating sub-installation</t>
  </si>
  <si>
    <t>EUconst_AllocPrelim</t>
  </si>
  <si>
    <t>AllocPrelim_</t>
  </si>
  <si>
    <t>Year:</t>
  </si>
  <si>
    <t>Sheet Y #</t>
  </si>
  <si>
    <t>CNTR_BaselinePeriod:</t>
  </si>
  <si>
    <t>FB7</t>
  </si>
  <si>
    <t>First Draft to CCEG</t>
  </si>
  <si>
    <t>ElExch?</t>
  </si>
  <si>
    <t>Dont touch!</t>
  </si>
  <si>
    <t>sub-inst-No</t>
  </si>
  <si>
    <t>CL-status</t>
  </si>
  <si>
    <t>HAL total</t>
  </si>
  <si>
    <t>EmInternalSource1_</t>
  </si>
  <si>
    <t>EmInternalSource2_</t>
  </si>
  <si>
    <t>EUconst_CNTR_EmissionsIntSource1</t>
  </si>
  <si>
    <t>EUconst_CNTR_EmissionsIntSource2</t>
  </si>
  <si>
    <t>EUconst_CNTR_CO2Feedstock</t>
  </si>
  <si>
    <t>EmCO2Feedstock_</t>
  </si>
  <si>
    <t>EUconst_SumTransferCO2</t>
  </si>
  <si>
    <t>SUM_Tranfer_CO2</t>
  </si>
  <si>
    <t>GJ/t</t>
  </si>
  <si>
    <t>tCO2/TJ</t>
  </si>
  <si>
    <t>tCO2/t</t>
  </si>
  <si>
    <t>tC/t</t>
  </si>
  <si>
    <t>g/Nm3</t>
  </si>
  <si>
    <t>1000Nm3/h</t>
  </si>
  <si>
    <t>make conditional?</t>
  </si>
  <si>
    <t>GB</t>
  </si>
  <si>
    <t>GR</t>
  </si>
  <si>
    <t>EUconst_MSlistEUTLcodes</t>
  </si>
  <si>
    <t>EUconst_CNTR_WGProduced</t>
  </si>
  <si>
    <t>WasteGasProd_</t>
  </si>
  <si>
    <t>EUconst_CNTR_WGFlared</t>
  </si>
  <si>
    <t>WasteGasFlare_</t>
  </si>
  <si>
    <t>EUconst_CNTR_WGConsumed</t>
  </si>
  <si>
    <t>WasteGasCons_</t>
  </si>
  <si>
    <t>Second Draft to CCEG</t>
  </si>
  <si>
    <t>for allocation reduction for flaring as of 2026:</t>
  </si>
  <si>
    <t>for E.III:</t>
  </si>
  <si>
    <t>These are auxiliary calculations for the heat balance:</t>
  </si>
  <si>
    <t>E.II.r !</t>
  </si>
  <si>
    <t>indicator for cond. format.</t>
  </si>
  <si>
    <t>CTRL_InputMethodFuelDistribution</t>
  </si>
  <si>
    <t>taken from E.II.r</t>
  </si>
  <si>
    <t>E.I.1.c !</t>
  </si>
  <si>
    <t>EUconst_WasteGasCorrFactor</t>
  </si>
  <si>
    <t>EUconst_CNTR_AttributedEmissions</t>
  </si>
  <si>
    <t>AttrEmissions_</t>
  </si>
  <si>
    <t>Direct:</t>
  </si>
  <si>
    <t>EUTL-List</t>
  </si>
  <si>
    <t>EUconst_CNTR_HALPulpTotal</t>
  </si>
  <si>
    <t>HALPulpTotal_</t>
  </si>
  <si>
    <t>CNTR_NACEInstallation</t>
  </si>
  <si>
    <t>CNTR_UniqueID</t>
  </si>
  <si>
    <t>1.</t>
  </si>
  <si>
    <t>2.</t>
  </si>
  <si>
    <t>3.</t>
  </si>
  <si>
    <t>4.</t>
  </si>
  <si>
    <t>5.</t>
  </si>
  <si>
    <t>6.</t>
  </si>
  <si>
    <t>EUconst_BM_ARR_Range</t>
  </si>
  <si>
    <t>ARR(min)</t>
  </si>
  <si>
    <t>ARR(max)</t>
  </si>
  <si>
    <t>ElExch-F</t>
  </si>
  <si>
    <t>HVC-Corr</t>
  </si>
  <si>
    <t>VCM-F</t>
  </si>
  <si>
    <t>EUconst_ERR_AttrEmBMapplied</t>
  </si>
  <si>
    <t>no calculation if heatBM or fuelBM needs to be applied:</t>
  </si>
  <si>
    <t>CL-value for Y1:</t>
  </si>
  <si>
    <t>EUconst_CNTR_ELEXCH_min</t>
  </si>
  <si>
    <t>EUconst_CNTR_ELEXCH_max</t>
  </si>
  <si>
    <t>ELEXCHmin_</t>
  </si>
  <si>
    <t>ELEXCHmax_</t>
  </si>
  <si>
    <t>EUconst_StatusOfDataCollection</t>
  </si>
  <si>
    <t>Prelim Alloc Y1</t>
  </si>
  <si>
    <t>ARR (actual)</t>
  </si>
  <si>
    <t>EUconst_MsgAttrEm</t>
  </si>
  <si>
    <t>EUconst_CNTR_FuelEF</t>
  </si>
  <si>
    <t>FuelEF_</t>
  </si>
  <si>
    <t>DirEmissions_</t>
  </si>
  <si>
    <t>EUconst_CNTR_WGProducedEF</t>
  </si>
  <si>
    <t>WasteGasProdEF_</t>
  </si>
  <si>
    <t>EUconst_CNTR_WGConsumedEF</t>
  </si>
  <si>
    <t>WasteGasConsEF_</t>
  </si>
  <si>
    <t>EUconst_CNTR_WGFlaredEF</t>
  </si>
  <si>
    <t>WasteGasFlareEF_</t>
  </si>
  <si>
    <t>&lt; 1 year</t>
  </si>
  <si>
    <t>Start date</t>
  </si>
  <si>
    <t>WGflare</t>
  </si>
  <si>
    <t>&lt; 1 year?</t>
  </si>
  <si>
    <t>EUconst_CNTR_IntermediateImport</t>
  </si>
  <si>
    <t>EUconst_CNTR_IntermediateExport</t>
  </si>
  <si>
    <t>IntImp_</t>
  </si>
  <si>
    <t>IntExp_</t>
  </si>
  <si>
    <t>=</t>
  </si>
  <si>
    <t>+</t>
  </si>
  <si>
    <t>+/-</t>
  </si>
  <si>
    <t>make grey? (column N)</t>
  </si>
  <si>
    <t>CNTR_ExistProductSubEntries</t>
  </si>
  <si>
    <t>EUconst_CNTR_HeatImportProduct</t>
  </si>
  <si>
    <t>EUconst_CNTR_HeatImportProductEF</t>
  </si>
  <si>
    <t>EUconst_CNTR_HeatImportPulpEF</t>
  </si>
  <si>
    <t>HeatImProd_</t>
  </si>
  <si>
    <t>HeatImProdEF_</t>
  </si>
  <si>
    <t>HeatImPulpEF_</t>
  </si>
  <si>
    <t>HeatImFuel_</t>
  </si>
  <si>
    <t>HeatImFuelEF_</t>
  </si>
  <si>
    <t>EUconst_CNTR_HeatImportFuel</t>
  </si>
  <si>
    <t>EUconst_CNTR_HeatImportFuelEF</t>
  </si>
  <si>
    <t>end of sum</t>
  </si>
  <si>
    <t>CL?</t>
  </si>
  <si>
    <t>Prelim Alloc</t>
  </si>
  <si>
    <t>prelim alloc</t>
  </si>
  <si>
    <t>value needed for conditional formatting</t>
  </si>
  <si>
    <t>MSconst_RequireArt27Info</t>
  </si>
  <si>
    <t>MSconst_RequireArt27aInfo</t>
  </si>
  <si>
    <t>Conditional formatting: Art. 27 reporting mandatory?</t>
  </si>
  <si>
    <t>Conditional formatting: Art. 27a reporting mandatory?</t>
  </si>
  <si>
    <t>EUconst_CNTR_HeatProduced</t>
  </si>
  <si>
    <t>HeatProd_</t>
  </si>
  <si>
    <t>Third draft for presentation</t>
  </si>
  <si>
    <t>Alloc (min)</t>
  </si>
  <si>
    <t>Alloc (max)</t>
  </si>
  <si>
    <t>Alloc (actual)</t>
  </si>
  <si>
    <t>CNTR_MinMaxActual</t>
  </si>
  <si>
    <t>EUconst_MinOrMaxOrActual</t>
  </si>
  <si>
    <t>Specific EF (heat export)</t>
  </si>
  <si>
    <t>NIMs P4 draft_COM_en_031018.xls</t>
  </si>
  <si>
    <t>NIMs P4 2nd draft_COM_en_091118.xls</t>
  </si>
  <si>
    <t>A.II.1.a-g!</t>
  </si>
  <si>
    <t>Third draft to CCEG</t>
  </si>
  <si>
    <t>B+C.</t>
  </si>
  <si>
    <t>MSconst_RequirePermitInfo</t>
  </si>
  <si>
    <t>B+C</t>
  </si>
  <si>
    <t>xxiv.</t>
  </si>
  <si>
    <t>xxv.</t>
  </si>
  <si>
    <t>xxvi.</t>
  </si>
  <si>
    <t>Final draft</t>
  </si>
  <si>
    <t>NIMs baseline data report  Phase 4</t>
  </si>
  <si>
    <t>truncated to 250 characters</t>
  </si>
  <si>
    <t>Originals, not truncated</t>
  </si>
  <si>
    <t>Ref. No.</t>
  </si>
  <si>
    <t>a_Contents'!$B$5</t>
  </si>
  <si>
    <t>a_Contents'!$B$7</t>
  </si>
  <si>
    <t>a_Contents'!$C$56</t>
  </si>
  <si>
    <t>a_Contents'!$C$57</t>
  </si>
  <si>
    <t>a_Contents'!$C$59</t>
  </si>
  <si>
    <t>a_Contents'!$C$60</t>
  </si>
  <si>
    <t>a_Contents'!$C$61</t>
  </si>
  <si>
    <t>a_Contents'!$C$62</t>
  </si>
  <si>
    <t>a_Contents'!$C$64</t>
  </si>
  <si>
    <t>a_Contents'!$C$70</t>
  </si>
  <si>
    <t>a_Contents'!$G$70</t>
  </si>
  <si>
    <t>b_Guidelines &amp; conditions'!$B$5</t>
  </si>
  <si>
    <t>b_Guidelines &amp; conditions'!$B$7</t>
  </si>
  <si>
    <t>b_Guidelines &amp; conditions'!$B$9</t>
  </si>
  <si>
    <t>b_Guidelines &amp; conditions'!$B$10</t>
  </si>
  <si>
    <t>b_Guidelines &amp; conditions'!$B$11</t>
  </si>
  <si>
    <t>b_Guidelines &amp; conditions'!$B$12</t>
  </si>
  <si>
    <t>b_Guidelines &amp; conditions'!$B$13</t>
  </si>
  <si>
    <t>b_Guidelines &amp; conditions'!$B$14</t>
  </si>
  <si>
    <t>b_Guidelines &amp; conditions'!$B$15</t>
  </si>
  <si>
    <t>b_Guidelines &amp; conditions'!$B$16</t>
  </si>
  <si>
    <t>b_Guidelines &amp; conditions'!$B$18</t>
  </si>
  <si>
    <t>b_Guidelines &amp; conditions'!$B$20</t>
  </si>
  <si>
    <t>b_Guidelines &amp; conditions'!$B$21</t>
  </si>
  <si>
    <t>b_Guidelines &amp; conditions'!$B$22</t>
  </si>
  <si>
    <t>b_Guidelines &amp; conditions'!$B$23</t>
  </si>
  <si>
    <t>b_Guidelines &amp; conditions'!$B$24</t>
  </si>
  <si>
    <t>b_Guidelines &amp; conditions'!$B$25</t>
  </si>
  <si>
    <t>b_Guidelines &amp; conditions'!$B$26</t>
  </si>
  <si>
    <t>b_Guidelines &amp; conditions'!$B$27</t>
  </si>
  <si>
    <t>b_Guidelines &amp; conditions'!$D$28</t>
  </si>
  <si>
    <t>b_Guidelines &amp; conditions'!$D$29</t>
  </si>
  <si>
    <t>b_Guidelines &amp; conditions'!$D$30</t>
  </si>
  <si>
    <t>b_Guidelines &amp; conditions'!$D$31</t>
  </si>
  <si>
    <t>b_Guidelines &amp; conditions'!$B$33</t>
  </si>
  <si>
    <t>b_Guidelines &amp; conditions'!$B$34</t>
  </si>
  <si>
    <t>b_Guidelines &amp; conditions'!$D$34</t>
  </si>
  <si>
    <t>b_Guidelines &amp; conditions'!$B$35</t>
  </si>
  <si>
    <t>b_Guidelines &amp; conditions'!$D$35</t>
  </si>
  <si>
    <t>b_Guidelines &amp; conditions'!$D$36</t>
  </si>
  <si>
    <t>b_Guidelines &amp; conditions'!$D$37</t>
  </si>
  <si>
    <t>b_Guidelines &amp; conditions'!$D$38</t>
  </si>
  <si>
    <t>b_Guidelines &amp; conditions'!$D$39</t>
  </si>
  <si>
    <t>b_Guidelines &amp; conditions'!$D$40</t>
  </si>
  <si>
    <t>b_Guidelines &amp; conditions'!$D$41</t>
  </si>
  <si>
    <t>b_Guidelines &amp; conditions'!$B$43</t>
  </si>
  <si>
    <t>b_Guidelines &amp; conditions'!$B$44</t>
  </si>
  <si>
    <t>b_Guidelines &amp; conditions'!$B$45</t>
  </si>
  <si>
    <t>b_Guidelines &amp; conditions'!$B$46</t>
  </si>
  <si>
    <t>b_Guidelines &amp; conditions'!$B$48</t>
  </si>
  <si>
    <t>b_Guidelines &amp; conditions'!$B$51</t>
  </si>
  <si>
    <t>b_Guidelines &amp; conditions'!$B$53</t>
  </si>
  <si>
    <t>b_Guidelines &amp; conditions'!$D$55</t>
  </si>
  <si>
    <t>b_Guidelines &amp; conditions'!$B$65</t>
  </si>
  <si>
    <t>b_Guidelines &amp; conditions'!$B$66</t>
  </si>
  <si>
    <t>b_Guidelines &amp; conditions'!$B$67</t>
  </si>
  <si>
    <t>b_Guidelines &amp; conditions'!$D$67</t>
  </si>
  <si>
    <t>b_Guidelines &amp; conditions'!$B$68</t>
  </si>
  <si>
    <t>b_Guidelines &amp; conditions'!$D$68</t>
  </si>
  <si>
    <t>b_Guidelines &amp; conditions'!$B$70</t>
  </si>
  <si>
    <t>b_Guidelines &amp; conditions'!$B$71</t>
  </si>
  <si>
    <t>b_Guidelines &amp; conditions'!$B$73</t>
  </si>
  <si>
    <t>b_Guidelines &amp; conditions'!$B$74</t>
  </si>
  <si>
    <t>b_Guidelines &amp; conditions'!$B$78</t>
  </si>
  <si>
    <t>A_InstallationData'!$B$2</t>
  </si>
  <si>
    <t>A_InstallationData'!$G$3</t>
  </si>
  <si>
    <t>A_InstallationData'!$I$3</t>
  </si>
  <si>
    <t>A_InstallationData'!$K$3</t>
  </si>
  <si>
    <t>A_InstallationData'!$M$3</t>
  </si>
  <si>
    <t>A_InstallationData'!$G$4</t>
  </si>
  <si>
    <t>A_InstallationData'!$I$4</t>
  </si>
  <si>
    <t>A_InstallationData'!$K$4</t>
  </si>
  <si>
    <t>A_InstallationData'!$M$4</t>
  </si>
  <si>
    <t>A_InstallationData'!$D$6</t>
  </si>
  <si>
    <t>A_InstallationData'!$D$8</t>
  </si>
  <si>
    <t>A_InstallationData'!$D$10</t>
  </si>
  <si>
    <t>A_InstallationData'!$E$13</t>
  </si>
  <si>
    <t>A_InstallationData'!$E$15</t>
  </si>
  <si>
    <t>A_InstallationData'!$E$16</t>
  </si>
  <si>
    <t>A_InstallationData'!$E$18</t>
  </si>
  <si>
    <t>A_InstallationData'!$E$20</t>
  </si>
  <si>
    <t>A_InstallationData'!$E$21</t>
  </si>
  <si>
    <t>A_InstallationData'!$E$22</t>
  </si>
  <si>
    <t>A_InstallationData'!$E$23</t>
  </si>
  <si>
    <t>A_InstallationData'!$E$25</t>
  </si>
  <si>
    <t>A_InstallationData'!$E$26</t>
  </si>
  <si>
    <t>A_InstallationData'!$E$27</t>
  </si>
  <si>
    <t>A_InstallationData'!$E$29</t>
  </si>
  <si>
    <t>A_InstallationData'!$E$31</t>
  </si>
  <si>
    <t>A_InstallationData'!$E$32</t>
  </si>
  <si>
    <t>A_InstallationData'!$E$33</t>
  </si>
  <si>
    <t>A_InstallationData'!$F$34</t>
  </si>
  <si>
    <t>A_InstallationData'!$F$36</t>
  </si>
  <si>
    <t>A_InstallationData'!$F$40</t>
  </si>
  <si>
    <t>A_InstallationData'!$F$37; 'A_InstallationData'!$F$41</t>
  </si>
  <si>
    <t>A_InstallationData'!$F$38; 'A_InstallationData'!$F$42</t>
  </si>
  <si>
    <t>A_InstallationData'!$E$44</t>
  </si>
  <si>
    <t>A_InstallationData'!$E$45</t>
  </si>
  <si>
    <t>A_InstallationData'!$E$47</t>
  </si>
  <si>
    <t>A_InstallationData'!$E$48</t>
  </si>
  <si>
    <t>A_InstallationData'!$F$49</t>
  </si>
  <si>
    <t>A_InstallationData'!$F$50</t>
  </si>
  <si>
    <t>A_InstallationData'!$E$51</t>
  </si>
  <si>
    <t>A_InstallationData'!$E$52</t>
  </si>
  <si>
    <t>A_InstallationData'!$E$53</t>
  </si>
  <si>
    <t>A_InstallationData'!$E$55</t>
  </si>
  <si>
    <t>A_InstallationData'!$E$56</t>
  </si>
  <si>
    <t>A_InstallationData'!$G$62</t>
  </si>
  <si>
    <t>A_InstallationData'!$E$67</t>
  </si>
  <si>
    <t>A_InstallationData'!$G$59; 'A_InstallationData'!$G$69</t>
  </si>
  <si>
    <t>A_InstallationData'!$D$73</t>
  </si>
  <si>
    <t>A_InstallationData'!$E$74</t>
  </si>
  <si>
    <t>A_InstallationData'!$E$76</t>
  </si>
  <si>
    <t>A_InstallationData'!$E$82</t>
  </si>
  <si>
    <t>A_InstallationData'!$G$63; 'A_InstallationData'!$G$78; 'A_InstallationData'!$G$84</t>
  </si>
  <si>
    <t>A_InstallationData'!$G$64; 'A_InstallationData'!$G$79; 'A_InstallationData'!$G$85</t>
  </si>
  <si>
    <t>A_InstallationData'!$D$88</t>
  </si>
  <si>
    <t>A_InstallationData'!$E$90</t>
  </si>
  <si>
    <t>A_InstallationData'!$G$91</t>
  </si>
  <si>
    <t>A_InstallationData'!$G$58; 'A_InstallationData'!$G$68; 'A_InstallationData'!$G$92</t>
  </si>
  <si>
    <t>A_InstallationData'!$G$60; 'A_InstallationData'!$G$70; 'A_InstallationData'!$G$93</t>
  </si>
  <si>
    <t>A_InstallationData'!$G$94</t>
  </si>
  <si>
    <t>A_InstallationData'!$G$61; 'A_InstallationData'!$G$71; 'A_InstallationData'!$G$95</t>
  </si>
  <si>
    <t>A_InstallationData'!$E$97</t>
  </si>
  <si>
    <t>A_InstallationData'!$E$98</t>
  </si>
  <si>
    <t>A_InstallationData'!$G$77; 'A_InstallationData'!$G$83; 'A_InstallationData'!$G$99</t>
  </si>
  <si>
    <t>A_InstallationData'!$G$100</t>
  </si>
  <si>
    <t>A_InstallationData'!$G$101</t>
  </si>
  <si>
    <t>A_InstallationData'!$G$65; 'A_InstallationData'!$G$80; 'A_InstallationData'!$G$86; 'A_InstallationData'!$G$102</t>
  </si>
  <si>
    <t>A_InstallationData'!$E$104</t>
  </si>
  <si>
    <t>A_InstallationData'!$G$105</t>
  </si>
  <si>
    <t>A_InstallationData'!$G$106</t>
  </si>
  <si>
    <t>A_InstallationData'!$G$107</t>
  </si>
  <si>
    <t>A_InstallationData'!$D$109</t>
  </si>
  <si>
    <t>A_InstallationData'!$E$112</t>
  </si>
  <si>
    <t>A_InstallationData'!$E$113</t>
  </si>
  <si>
    <t>A_InstallationData'!$E$114</t>
  </si>
  <si>
    <t>A_InstallationData'!$F$114</t>
  </si>
  <si>
    <t>A_InstallationData'!$E$122</t>
  </si>
  <si>
    <t>A_InstallationData'!$E$123</t>
  </si>
  <si>
    <t>A_InstallationData'!$E$124</t>
  </si>
  <si>
    <t>A_InstallationData'!$E$125</t>
  </si>
  <si>
    <t>A_InstallationData'!$E$126</t>
  </si>
  <si>
    <t>A_InstallationData'!$E$127</t>
  </si>
  <si>
    <t>A_InstallationData'!$F$128</t>
  </si>
  <si>
    <t>A_InstallationData'!$E$130</t>
  </si>
  <si>
    <t>A_InstallationData'!$E$131</t>
  </si>
  <si>
    <t>A_InstallationData'!$E$132</t>
  </si>
  <si>
    <t>A_InstallationData'!$E$134</t>
  </si>
  <si>
    <t>A_InstallationData'!$E$135</t>
  </si>
  <si>
    <t>A_InstallationData'!$F$136</t>
  </si>
  <si>
    <t>A_InstallationData'!$F$137</t>
  </si>
  <si>
    <t>A_InstallationData'!$F$138</t>
  </si>
  <si>
    <t>A_InstallationData'!$F$140</t>
  </si>
  <si>
    <t>A_InstallationData'!$F$142</t>
  </si>
  <si>
    <t>A_InstallationData'!$F$144</t>
  </si>
  <si>
    <t>A_InstallationData'!$E$147</t>
  </si>
  <si>
    <t>A_InstallationData'!$E$148</t>
  </si>
  <si>
    <t>A_InstallationData'!$F$149</t>
  </si>
  <si>
    <t>A_InstallationData'!$F$150</t>
  </si>
  <si>
    <t>A_InstallationData'!$F$152</t>
  </si>
  <si>
    <t>A_InstallationData'!$F$154</t>
  </si>
  <si>
    <t>A_InstallationData'!$F$156</t>
  </si>
  <si>
    <t>A_InstallationData'!$E$158</t>
  </si>
  <si>
    <t>A_InstallationData'!$E$159</t>
  </si>
  <si>
    <t>A_InstallationData'!$F$161</t>
  </si>
  <si>
    <t>A_InstallationData'!$E$163</t>
  </si>
  <si>
    <t>A_InstallationData'!$E$164</t>
  </si>
  <si>
    <t>A_InstallationData'!$D$166</t>
  </si>
  <si>
    <t>A_InstallationData'!$D$168</t>
  </si>
  <si>
    <t>A_InstallationData'!$E$170</t>
  </si>
  <si>
    <t>A_InstallationData'!$E$171</t>
  </si>
  <si>
    <t>A_InstallationData'!$E$172</t>
  </si>
  <si>
    <t>A_InstallationData'!$E$174</t>
  </si>
  <si>
    <t>A_InstallationData'!$E$176</t>
  </si>
  <si>
    <t>A_InstallationData'!$E$177</t>
  </si>
  <si>
    <t>A_InstallationData'!$E$178</t>
  </si>
  <si>
    <t>A_InstallationData'!$E$180</t>
  </si>
  <si>
    <t>A_InstallationData'!$E$186</t>
  </si>
  <si>
    <t>A_InstallationData'!$E$188</t>
  </si>
  <si>
    <t>A_InstallationData'!$E$191</t>
  </si>
  <si>
    <t>A_InstallationData'!$E$192</t>
  </si>
  <si>
    <t>A_InstallationData'!$E$193</t>
  </si>
  <si>
    <t>A_InstallationData'!$E$194</t>
  </si>
  <si>
    <t>A_InstallationData'!$E$196</t>
  </si>
  <si>
    <t>A_InstallationData'!$E$198</t>
  </si>
  <si>
    <t>A_InstallationData'!$E$205</t>
  </si>
  <si>
    <t>A_InstallationData'!$E$206</t>
  </si>
  <si>
    <t>A_InstallationData'!$E$207</t>
  </si>
  <si>
    <t>A_InstallationData'!$D$211</t>
  </si>
  <si>
    <t>A_InstallationData'!$E$212</t>
  </si>
  <si>
    <t>A_InstallationData'!$E$213</t>
  </si>
  <si>
    <t>A_InstallationData'!$E$215</t>
  </si>
  <si>
    <t>A_InstallationData'!$E$216</t>
  </si>
  <si>
    <t>A_InstallationData'!$E$217</t>
  </si>
  <si>
    <t>A_InstallationData'!$E$218</t>
  </si>
  <si>
    <t>A_InstallationData'!$E$219</t>
  </si>
  <si>
    <t>A_InstallationData'!$E$220</t>
  </si>
  <si>
    <t>A_InstallationData'!$D$222</t>
  </si>
  <si>
    <t>A_InstallationData'!$D$224</t>
  </si>
  <si>
    <t>A_InstallationData'!$E$226</t>
  </si>
  <si>
    <t>A_InstallationData'!$E$227</t>
  </si>
  <si>
    <t>A_InstallationData'!$E$228</t>
  </si>
  <si>
    <t>A_InstallationData'!$E$229</t>
  </si>
  <si>
    <t>A_InstallationData'!$E$233</t>
  </si>
  <si>
    <t>A_InstallationData'!$D$248</t>
  </si>
  <si>
    <t>A_InstallationData'!$E$249</t>
  </si>
  <si>
    <t>A_InstallationData'!$E$250</t>
  </si>
  <si>
    <t>A_InstallationData'!$E$251</t>
  </si>
  <si>
    <t>A_InstallationData'!$E$252</t>
  </si>
  <si>
    <t>A_InstallationData'!$E$253</t>
  </si>
  <si>
    <t>A_InstallationData'!$E$254</t>
  </si>
  <si>
    <t>A_InstallationData'!$E$230; 'A_InstallationData'!$E$255</t>
  </si>
  <si>
    <t>A_InstallationData'!$E$231; 'A_InstallationData'!$E$256</t>
  </si>
  <si>
    <t>A_InstallationData'!$E$258</t>
  </si>
  <si>
    <t>A_InstallationData'!$I$258</t>
  </si>
  <si>
    <t>A_InstallationData'!$J$233; 'A_InstallationData'!$J$258</t>
  </si>
  <si>
    <t>A_InstallationData'!$K$233; 'A_InstallationData'!$K$258</t>
  </si>
  <si>
    <t>A_InstallationData'!$D$270</t>
  </si>
  <si>
    <t>A_InstallationData'!$E$272</t>
  </si>
  <si>
    <t>A_InstallationData'!$E$273</t>
  </si>
  <si>
    <t>A_InstallationData'!$E$274</t>
  </si>
  <si>
    <t>A_InstallationData'!$E$275</t>
  </si>
  <si>
    <t>A_InstallationData'!$E$276</t>
  </si>
  <si>
    <t>A_InstallationData'!$E$277</t>
  </si>
  <si>
    <t>A_InstallationData'!$E$282</t>
  </si>
  <si>
    <t>A_InstallationData'!$F$283</t>
  </si>
  <si>
    <t>A_InstallationData'!$F$284</t>
  </si>
  <si>
    <t>A_InstallationData'!$F$285</t>
  </si>
  <si>
    <t>A_InstallationData'!$E$286</t>
  </si>
  <si>
    <t>A_InstallationData'!$F$289</t>
  </si>
  <si>
    <t>A_InstallationData'!$F$290</t>
  </si>
  <si>
    <t>A_InstallationData'!$E$291</t>
  </si>
  <si>
    <t>A_InstallationData'!$F$292</t>
  </si>
  <si>
    <t>A_InstallationData'!$F$293</t>
  </si>
  <si>
    <t>A_InstallationData'!$I$295</t>
  </si>
  <si>
    <t>A_InstallationData'!$K$295</t>
  </si>
  <si>
    <t>A_InstallationData'!$M$295</t>
  </si>
  <si>
    <t>A_InstallationData'!$E$307</t>
  </si>
  <si>
    <t>A_InstallationData'!$E$308</t>
  </si>
  <si>
    <t>A_InstallationData'!$E$309</t>
  </si>
  <si>
    <t>A_InstallationData'!$F$310</t>
  </si>
  <si>
    <t>A_InstallationData'!$H$310</t>
  </si>
  <si>
    <t>A_InstallationData'!$J$310</t>
  </si>
  <si>
    <t>A_InstallationData'!$M$310</t>
  </si>
  <si>
    <t>B+C_Emissions_Y1'!$B$2; 'B+C_Emissions_Y2'!$B$2; 'B+C_Emissions_Y3'!$B$2; 'B+C_Emissions_Y4'!$B$2; 'B+C_Emissions_Y5'!$B$2</t>
  </si>
  <si>
    <t>B+C_Emissions_Y1'!$F$3; 'B+C_Emissions_Y2'!$F$3; 'B+C_Emissions_Y3'!$F$3; 'B+C_Emissions_Y4'!$F$3; 'B+C_Emissions_Y5'!$F$3</t>
  </si>
  <si>
    <t>B+C_Emissions_Y1'!$H$3; 'B+C_Emissions_Y2'!$H$3; 'B+C_Emissions_Y3'!$H$3; 'B+C_Emissions_Y4'!$H$3; 'B+C_Emissions_Y5'!$H$3</t>
  </si>
  <si>
    <t>B+C_Emissions_Y1'!$J$3; 'B+C_Emissions_Y2'!$J$3; 'B+C_Emissions_Y3'!$J$3; 'B+C_Emissions_Y4'!$J$3; 'B+C_Emissions_Y5'!$J$3</t>
  </si>
  <si>
    <t>B+C_Emissions_Y1'!$D$6; 'B+C_Emissions_Y2'!$D$6; 'B+C_Emissions_Y3'!$D$6; 'B+C_Emissions_Y4'!$D$6; 'B+C_Emissions_Y5'!$D$6</t>
  </si>
  <si>
    <t>B+C_Emissions_Y1'!$D$8; 'B+C_Emissions_Y2'!$D$8; 'B+C_Emissions_Y3'!$D$8; 'B+C_Emissions_Y4'!$D$8; 'B+C_Emissions_Y5'!$D$8</t>
  </si>
  <si>
    <t>B+C_Emissions_Y1'!$D$10; 'B+C_Emissions_Y2'!$D$10; 'B+C_Emissions_Y3'!$D$10; 'B+C_Emissions_Y4'!$D$10; 'B+C_Emissions_Y5'!$D$10</t>
  </si>
  <si>
    <t>B+C_Emissions_Y1'!$D$11; 'B+C_Emissions_Y2'!$D$11; 'B+C_Emissions_Y3'!$D$11; 'B+C_Emissions_Y4'!$D$11; 'B+C_Emissions_Y5'!$D$11</t>
  </si>
  <si>
    <t>B+C_Emissions_Y1'!$D$14; 'B+C_Emissions_Y2'!$D$14; 'B+C_Emissions_Y3'!$D$14; 'B+C_Emissions_Y4'!$D$14; 'B+C_Emissions_Y5'!$D$14</t>
  </si>
  <si>
    <t>B+C_Emissions_Y1'!$D$15; 'B+C_Emissions_Y2'!$D$15; 'B+C_Emissions_Y3'!$D$15; 'B+C_Emissions_Y4'!$D$15; 'B+C_Emissions_Y5'!$D$15</t>
  </si>
  <si>
    <t>B+C_Emissions_Y1'!$D$16; 'B+C_Emissions_Y2'!$D$16; 'B+C_Emissions_Y3'!$D$16; 'B+C_Emissions_Y4'!$D$16; 'B+C_Emissions_Y5'!$D$16</t>
  </si>
  <si>
    <t>B+C_Emissions_Y1'!$D$17; 'B+C_Emissions_Y2'!$D$17; 'B+C_Emissions_Y3'!$D$17; 'B+C_Emissions_Y4'!$D$17; 'B+C_Emissions_Y5'!$D$17</t>
  </si>
  <si>
    <t>B+C_Emissions_Y1'!$D$18; 'B+C_Emissions_Y2'!$D$18; 'B+C_Emissions_Y3'!$D$18; 'B+C_Emissions_Y4'!$D$18; 'B+C_Emissions_Y5'!$D$18</t>
  </si>
  <si>
    <t>B+C_Emissions_Y1'!$D$19; 'B+C_Emissions_Y2'!$D$19; 'B+C_Emissions_Y3'!$D$19; 'B+C_Emissions_Y4'!$D$19; 'B+C_Emissions_Y5'!$D$19</t>
  </si>
  <si>
    <t>B+C_Emissions_Y1'!$E$20; 'B+C_Emissions_Y2'!$E$20; 'B+C_Emissions_Y3'!$E$20; 'B+C_Emissions_Y4'!$E$20; 'B+C_Emissions_Y5'!$E$20</t>
  </si>
  <si>
    <t>B+C_Emissions_Y1'!$D$21; 'B+C_Emissions_Y2'!$D$21; 'B+C_Emissions_Y3'!$D$21; 'B+C_Emissions_Y4'!$D$21; 'B+C_Emissions_Y5'!$D$21</t>
  </si>
  <si>
    <t>B+C_Emissions_Y1'!$E$21; 'B+C_Emissions_Y2'!$E$21; 'B+C_Emissions_Y3'!$E$21; 'B+C_Emissions_Y4'!$E$21; 'B+C_Emissions_Y5'!$E$21</t>
  </si>
  <si>
    <t>B+C_Emissions_Y1'!$D$22; 'B+C_Emissions_Y2'!$D$22; 'B+C_Emissions_Y3'!$D$22; 'B+C_Emissions_Y4'!$D$22; 'B+C_Emissions_Y5'!$D$22</t>
  </si>
  <si>
    <t>B+C_Emissions_Y1'!$E$22; 'B+C_Emissions_Y2'!$E$22; 'B+C_Emissions_Y3'!$E$22; 'B+C_Emissions_Y4'!$E$22; 'B+C_Emissions_Y5'!$E$22</t>
  </si>
  <si>
    <t>B+C_Emissions_Y1'!$C$23; 'B+C_Emissions_Y2'!$C$23; 'B+C_Emissions_Y3'!$C$23; 'B+C_Emissions_Y4'!$C$23; 'B+C_Emissions_Y5'!$C$23</t>
  </si>
  <si>
    <t>B+C_Emissions_Y1'!$D$23; 'B+C_Emissions_Y2'!$D$23; 'B+C_Emissions_Y3'!$D$23; 'B+C_Emissions_Y4'!$D$23; 'B+C_Emissions_Y5'!$D$23</t>
  </si>
  <si>
    <t>B+C_Emissions_Y1'!$E$23; 'B+C_Emissions_Y2'!$E$23; 'B+C_Emissions_Y3'!$E$23; 'B+C_Emissions_Y4'!$E$23; 'B+C_Emissions_Y5'!$E$23</t>
  </si>
  <si>
    <t>B+C_Emissions_Y1'!$D$100; 'B+C_Emissions_Y2'!$D$100; 'B+C_Emissions_Y3'!$D$100; 'B+C_Emissions_Y4'!$D$100; 'B+C_Emissions_Y5'!$D$100</t>
  </si>
  <si>
    <t>B+C_Emissions_Y1'!$D$102; 'B+C_Emissions_Y2'!$D$102; 'B+C_Emissions_Y3'!$D$102; 'B+C_Emissions_Y4'!$D$102; 'B+C_Emissions_Y5'!$D$102</t>
  </si>
  <si>
    <t>B+C_Emissions_Y1'!$E$102; 'B+C_Emissions_Y2'!$E$102; 'B+C_Emissions_Y3'!$E$102; 'B+C_Emissions_Y4'!$E$102; 'B+C_Emissions_Y5'!$E$102</t>
  </si>
  <si>
    <t>B+C_Emissions_Y1'!$D$114; 'B+C_Emissions_Y2'!$D$114; 'B+C_Emissions_Y3'!$D$114; 'B+C_Emissions_Y4'!$D$114; 'B+C_Emissions_Y5'!$D$114</t>
  </si>
  <si>
    <t>B+C_Emissions_Y1'!$C$21; 'B+C_Emissions_Y1'!$C$116; 'B+C_Emissions_Y2'!$C$21; 'B+C_Emissions_Y2'!$C$116; 'B+C_Emissions_Y3'!$C$21; 'B+C_Emissions_Y3'!$C$116; 'B+C_Emissions_Y4'!$C$21; 'B+C_Emissions_Y4'!$C$116; 'B+C_Emissions_Y5'!$C$21; 'B+C_Emissions_Y5'!$C$116</t>
  </si>
  <si>
    <t>B+C_Emissions_Y1'!$E$116; 'B+C_Emissions_Y2'!$E$116; 'B+C_Emissions_Y3'!$E$116; 'B+C_Emissions_Y4'!$E$116; 'B+C_Emissions_Y5'!$E$116</t>
  </si>
  <si>
    <t>B+C_Emissions_Y1'!$C$22; 'B+C_Emissions_Y1'!$C$117; 'B+C_Emissions_Y2'!$C$22; 'B+C_Emissions_Y2'!$C$117; 'B+C_Emissions_Y3'!$C$22; 'B+C_Emissions_Y3'!$C$117; 'B+C_Emissions_Y4'!$C$22; 'B+C_Emissions_Y4'!$C$117; 'B+C_Emissions_Y5'!$C$22; 'B+C_Emissions_Y5'!$C$117</t>
  </si>
  <si>
    <t>B+C_Emissions_Y1'!$D$117; 'B+C_Emissions_Y2'!$D$117; 'B+C_Emissions_Y3'!$D$117; 'B+C_Emissions_Y4'!$D$117; 'B+C_Emissions_Y5'!$D$117</t>
  </si>
  <si>
    <t>B+C_Emissions_Y1'!$E$117; 'B+C_Emissions_Y2'!$E$117; 'B+C_Emissions_Y3'!$E$117; 'B+C_Emissions_Y4'!$E$117; 'B+C_Emissions_Y5'!$E$117</t>
  </si>
  <si>
    <t>B+C_Emissions_Y1'!$Y$116; 'B+C_Emissions_Y1'!$Y$117; 'B+C_Emissions_Y2'!$Y$116; 'B+C_Emissions_Y2'!$Y$117; 'B+C_Emissions_Y3'!$Y$116; 'B+C_Emissions_Y3'!$Y$117; 'B+C_Emissions_Y4'!$Y$116; 'B+C_Emissions_Y4'!$Y$117; 'B+C_Emissions_Y5'!$Y$116; 'B+C_Emissions_Y5'!$Y$117</t>
  </si>
  <si>
    <t>B+C_Emissions_Y1'!$AA$116; 'B+C_Emissions_Y1'!$AA$117; 'B+C_Emissions_Y2'!$AA$116; 'B+C_Emissions_Y2'!$AA$117; 'B+C_Emissions_Y3'!$AA$116; 'B+C_Emissions_Y3'!$AA$117; 'B+C_Emissions_Y4'!$AA$116; 'B+C_Emissions_Y4'!$AA$117; 'B+C_Emissions_Y5'!$AA$116; 'B+C_Emissions_Y5'!$AA$117</t>
  </si>
  <si>
    <t>B+C_Emissions_Y1'!$AC$116; 'B+C_Emissions_Y1'!$AC$117; 'B+C_Emissions_Y2'!$AC$116; 'B+C_Emissions_Y2'!$AC$117; 'B+C_Emissions_Y3'!$AC$116; 'B+C_Emissions_Y3'!$AC$117; 'B+C_Emissions_Y4'!$AC$116; 'B+C_Emissions_Y4'!$AC$117; 'B+C_Emissions_Y5'!$AC$116; 'B+C_Emissions_Y5'!$AC$117</t>
  </si>
  <si>
    <t>B+C_Emissions_Y1'!$D$20; 'B+C_Emissions_Y1'!$D$101; 'B+C_Emissions_Y1'!$D$115; 'B+C_Emissions_Y1'!$D$130; 'B+C_Emissions_Y2'!$D$20; 'B+C_Emissions_Y2'!$D$101; 'B+C_Emissions_Y2'!$D$115; 'B+C_Emissions_Y2'!$D$130; 'B+C_Emissions_Y3'!$D$20; 'B+C_Emissions_Y3'!$D$101; 'B+C_Emissions_Y3'!$D$115; 'B+C_Emissions_Y3'!$D$130; 'B+C_Emissions_Y4'!$D$20; 'B+C_Emissions_Y4'!$D$101; 'B+C_Emissions_Y4'!$D$115; 'B+C_Emissions_Y4'!$D$130; 'B+C_Emissions_Y5'!$D$20; 'B+C_Emissions_Y5'!$D$101; 'B+C_Emissions_Y5'!$D$115; 'B+C_Emissions_Y5'!$D$130</t>
  </si>
  <si>
    <t>B+C_Emissions_Y1'!$F$20; 'B+C_Emissions_Y1'!$F$101; 'B+C_Emissions_Y1'!$F$115; 'B+C_Emissions_Y1'!$F$130; 'B+C_Emissions_Y2'!$F$20; 'B+C_Emissions_Y2'!$F$101; 'B+C_Emissions_Y2'!$F$115; 'B+C_Emissions_Y2'!$F$130; 'B+C_Emissions_Y3'!$F$20; 'B+C_Emissions_Y3'!$F$101; 'B+C_Emissions_Y3'!$F$115; 'B+C_Emissions_Y3'!$F$130; 'B+C_Emissions_Y4'!$F$20; 'B+C_Emissions_Y4'!$F$101; 'B+C_Emissions_Y4'!$F$115; 'B+C_Emissions_Y4'!$F$130; 'B+C_Emissions_Y5'!$F$20; 'B+C_Emissions_Y5'!$F$101; 'B+C_Emissions_Y5'!$F$115; 'B+C_Emissions_Y5'!$F$130</t>
  </si>
  <si>
    <t>B+C_Emissions_Y1'!$G$20; 'B+C_Emissions_Y1'!$G$101; 'B+C_Emissions_Y1'!$G$115; 'B+C_Emissions_Y1'!$G$130; 'B+C_Emissions_Y2'!$G$20; 'B+C_Emissions_Y2'!$G$101; 'B+C_Emissions_Y2'!$G$115; 'B+C_Emissions_Y2'!$G$130; 'B+C_Emissions_Y3'!$G$20; 'B+C_Emissions_Y3'!$G$101; 'B+C_Emissions_Y3'!$G$115; 'B+C_Emissions_Y3'!$G$130; 'B+C_Emissions_Y4'!$G$20; 'B+C_Emissions_Y4'!$G$101; 'B+C_Emissions_Y4'!$G$115; 'B+C_Emissions_Y4'!$G$130; 'B+C_Emissions_Y5'!$G$20; 'B+C_Emissions_Y5'!$G$101; 'B+C_Emissions_Y5'!$G$115; 'B+C_Emissions_Y5'!$G$130</t>
  </si>
  <si>
    <t>B+C_Emissions_Y1'!$H$20; 'B+C_Emissions_Y1'!$H$101; 'B+C_Emissions_Y1'!$H$115; 'B+C_Emissions_Y1'!$H$130; 'B+C_Emissions_Y2'!$H$20; 'B+C_Emissions_Y2'!$H$101; 'B+C_Emissions_Y2'!$H$115; 'B+C_Emissions_Y2'!$H$130; 'B+C_Emissions_Y3'!$H$20; 'B+C_Emissions_Y3'!$H$101; 'B+C_Emissions_Y3'!$H$115; 'B+C_Emissions_Y3'!$H$130; 'B+C_Emissions_Y4'!$H$20; 'B+C_Emissions_Y4'!$H$101; 'B+C_Emissions_Y4'!$H$115; 'B+C_Emissions_Y4'!$H$130; 'B+C_Emissions_Y5'!$H$20; 'B+C_Emissions_Y5'!$H$101; 'B+C_Emissions_Y5'!$H$115; 'B+C_Emissions_Y5'!$H$130</t>
  </si>
  <si>
    <t>B+C_Emissions_Y1'!$I$20; 'B+C_Emissions_Y1'!$I$101; 'B+C_Emissions_Y1'!$I$115; 'B+C_Emissions_Y1'!$I$130; 'B+C_Emissions_Y2'!$I$20; 'B+C_Emissions_Y2'!$I$101; 'B+C_Emissions_Y2'!$I$115; 'B+C_Emissions_Y2'!$I$130; 'B+C_Emissions_Y3'!$I$20; 'B+C_Emissions_Y3'!$I$101; 'B+C_Emissions_Y3'!$I$115; 'B+C_Emissions_Y3'!$I$130; 'B+C_Emissions_Y4'!$I$20; 'B+C_Emissions_Y4'!$I$101; 'B+C_Emissions_Y4'!$I$115; 'B+C_Emissions_Y4'!$I$130; 'B+C_Emissions_Y5'!$I$20; 'B+C_Emissions_Y5'!$I$101; 'B+C_Emissions_Y5'!$I$115; 'B+C_Emissions_Y5'!$I$130</t>
  </si>
  <si>
    <t>B+C_Emissions_Y1'!$J$20; 'B+C_Emissions_Y1'!$J$101; 'B+C_Emissions_Y1'!$J$115; 'B+C_Emissions_Y1'!$J$130; 'B+C_Emissions_Y2'!$J$20; 'B+C_Emissions_Y2'!$J$101; 'B+C_Emissions_Y2'!$J$115; 'B+C_Emissions_Y2'!$J$130; 'B+C_Emissions_Y3'!$J$20; 'B+C_Emissions_Y3'!$J$101; 'B+C_Emissions_Y3'!$J$115; 'B+C_Emissions_Y3'!$J$130; 'B+C_Emissions_Y4'!$J$20; 'B+C_Emissions_Y4'!$J$101; 'B+C_Emissions_Y4'!$J$115; 'B+C_Emissions_Y4'!$J$130; 'B+C_Emissions_Y5'!$J$20; 'B+C_Emissions_Y5'!$J$101; 'B+C_Emissions_Y5'!$J$115; 'B+C_Emissions_Y5'!$J$130</t>
  </si>
  <si>
    <t>B+C_Emissions_Y1'!$K$20; 'B+C_Emissions_Y1'!$K$101; 'B+C_Emissions_Y1'!$K$115; 'B+C_Emissions_Y1'!$K$130; 'B+C_Emissions_Y2'!$K$20; 'B+C_Emissions_Y2'!$K$101; 'B+C_Emissions_Y2'!$K$115; 'B+C_Emissions_Y2'!$K$130; 'B+C_Emissions_Y3'!$K$20; 'B+C_Emissions_Y3'!$K$101; 'B+C_Emissions_Y3'!$K$115; 'B+C_Emissions_Y3'!$K$130; 'B+C_Emissions_Y4'!$K$20; 'B+C_Emissions_Y4'!$K$101; 'B+C_Emissions_Y4'!$K$115; 'B+C_Emissions_Y4'!$K$130; 'B+C_Emissions_Y5'!$K$20; 'B+C_Emissions_Y5'!$K$101; 'B+C_Emissions_Y5'!$K$115; 'B+C_Emissions_Y5'!$K$130</t>
  </si>
  <si>
    <t>B+C_Emissions_Y1'!$L$20; 'B+C_Emissions_Y1'!$L$101; 'B+C_Emissions_Y1'!$L$115; 'B+C_Emissions_Y1'!$L$130; 'B+C_Emissions_Y2'!$L$20; 'B+C_Emissions_Y2'!$L$101; 'B+C_Emissions_Y2'!$L$115; 'B+C_Emissions_Y2'!$L$130; 'B+C_Emissions_Y3'!$L$20; 'B+C_Emissions_Y3'!$L$101; 'B+C_Emissions_Y3'!$L$115; 'B+C_Emissions_Y3'!$L$130; 'B+C_Emissions_Y4'!$L$20; 'B+C_Emissions_Y4'!$L$101; 'B+C_Emissions_Y4'!$L$115; 'B+C_Emissions_Y4'!$L$130; 'B+C_Emissions_Y5'!$L$20; 'B+C_Emissions_Y5'!$L$101; 'B+C_Emissions_Y5'!$L$115; 'B+C_Emissions_Y5'!$L$130</t>
  </si>
  <si>
    <t>B+C_Emissions_Y1'!$M$20; 'B+C_Emissions_Y1'!$M$101; 'B+C_Emissions_Y1'!$M$115; 'B+C_Emissions_Y1'!$M$130; 'B+C_Emissions_Y2'!$M$20; 'B+C_Emissions_Y2'!$M$101; 'B+C_Emissions_Y2'!$M$115; 'B+C_Emissions_Y2'!$M$130; 'B+C_Emissions_Y3'!$M$20; 'B+C_Emissions_Y3'!$M$101; 'B+C_Emissions_Y3'!$M$115; 'B+C_Emissions_Y3'!$M$130; 'B+C_Emissions_Y4'!$M$20; 'B+C_Emissions_Y4'!$M$101; 'B+C_Emissions_Y4'!$M$115; 'B+C_Emissions_Y4'!$M$130; 'B+C_Emissions_Y5'!$M$20; 'B+C_Emissions_Y5'!$M$101; 'B+C_Emissions_Y5'!$M$115; 'B+C_Emissions_Y5'!$M$130</t>
  </si>
  <si>
    <t>B+C_Emissions_Y1'!$N$20; 'B+C_Emissions_Y1'!$N$101; 'B+C_Emissions_Y1'!$N$115; 'B+C_Emissions_Y1'!$N$130; 'B+C_Emissions_Y2'!$N$20; 'B+C_Emissions_Y2'!$N$101; 'B+C_Emissions_Y2'!$N$115; 'B+C_Emissions_Y2'!$N$130; 'B+C_Emissions_Y3'!$N$20; 'B+C_Emissions_Y3'!$N$101; 'B+C_Emissions_Y3'!$N$115; 'B+C_Emissions_Y3'!$N$130; 'B+C_Emissions_Y4'!$N$20; 'B+C_Emissions_Y4'!$N$101; 'B+C_Emissions_Y4'!$N$115; 'B+C_Emissions_Y4'!$N$130; 'B+C_Emissions_Y5'!$N$20; 'B+C_Emissions_Y5'!$N$101; 'B+C_Emissions_Y5'!$N$115; 'B+C_Emissions_Y5'!$N$130</t>
  </si>
  <si>
    <t>B+C_Emissions_Y1'!$O$20; 'B+C_Emissions_Y1'!$O$101; 'B+C_Emissions_Y1'!$O$115; 'B+C_Emissions_Y1'!$O$130; 'B+C_Emissions_Y2'!$O$20; 'B+C_Emissions_Y2'!$O$101; 'B+C_Emissions_Y2'!$O$115; 'B+C_Emissions_Y2'!$O$130; 'B+C_Emissions_Y3'!$O$20; 'B+C_Emissions_Y3'!$O$101; 'B+C_Emissions_Y3'!$O$115; 'B+C_Emissions_Y3'!$O$130; 'B+C_Emissions_Y4'!$O$20; 'B+C_Emissions_Y4'!$O$101; 'B+C_Emissions_Y4'!$O$115; 'B+C_Emissions_Y4'!$O$130; 'B+C_Emissions_Y5'!$O$20; 'B+C_Emissions_Y5'!$O$101; 'B+C_Emissions_Y5'!$O$115; 'B+C_Emissions_Y5'!$O$130</t>
  </si>
  <si>
    <t>B+C_Emissions_Y1'!$P$20; 'B+C_Emissions_Y1'!$P$101; 'B+C_Emissions_Y1'!$P$115; 'B+C_Emissions_Y1'!$P$130; 'B+C_Emissions_Y2'!$P$20; 'B+C_Emissions_Y2'!$P$101; 'B+C_Emissions_Y2'!$P$115; 'B+C_Emissions_Y2'!$P$130; 'B+C_Emissions_Y3'!$P$20; 'B+C_Emissions_Y3'!$P$101; 'B+C_Emissions_Y3'!$P$115; 'B+C_Emissions_Y3'!$P$130; 'B+C_Emissions_Y4'!$P$20; 'B+C_Emissions_Y4'!$P$101; 'B+C_Emissions_Y4'!$P$115; 'B+C_Emissions_Y4'!$P$130; 'B+C_Emissions_Y5'!$P$20; 'B+C_Emissions_Y5'!$P$101; 'B+C_Emissions_Y5'!$P$115; 'B+C_Emissions_Y5'!$P$130</t>
  </si>
  <si>
    <t>B+C_Emissions_Y1'!$Q$20; 'B+C_Emissions_Y1'!$Q$101; 'B+C_Emissions_Y1'!$Q$115; 'B+C_Emissions_Y1'!$Q$130; 'B+C_Emissions_Y2'!$Q$20; 'B+C_Emissions_Y2'!$Q$101; 'B+C_Emissions_Y2'!$Q$115; 'B+C_Emissions_Y2'!$Q$130; 'B+C_Emissions_Y3'!$Q$20; 'B+C_Emissions_Y3'!$Q$101; 'B+C_Emissions_Y3'!$Q$115; 'B+C_Emissions_Y3'!$Q$130; 'B+C_Emissions_Y4'!$Q$20; 'B+C_Emissions_Y4'!$Q$101; 'B+C_Emissions_Y4'!$Q$115; 'B+C_Emissions_Y4'!$Q$130; 'B+C_Emissions_Y5'!$Q$20; 'B+C_Emissions_Y5'!$Q$101; 'B+C_Emissions_Y5'!$Q$115; 'B+C_Emissions_Y5'!$Q$130</t>
  </si>
  <si>
    <t>B+C_Emissions_Y1'!$R$20; 'B+C_Emissions_Y1'!$R$101; 'B+C_Emissions_Y1'!$R$115; 'B+C_Emissions_Y1'!$R$130; 'B+C_Emissions_Y2'!$R$20; 'B+C_Emissions_Y2'!$R$101; 'B+C_Emissions_Y2'!$R$115; 'B+C_Emissions_Y2'!$R$130; 'B+C_Emissions_Y3'!$R$20; 'B+C_Emissions_Y3'!$R$101; 'B+C_Emissions_Y3'!$R$115; 'B+C_Emissions_Y3'!$R$130; 'B+C_Emissions_Y4'!$R$20; 'B+C_Emissions_Y4'!$R$101; 'B+C_Emissions_Y4'!$R$115; 'B+C_Emissions_Y4'!$R$130; 'B+C_Emissions_Y5'!$R$20; 'B+C_Emissions_Y5'!$R$101; 'B+C_Emissions_Y5'!$R$115; 'B+C_Emissions_Y5'!$R$130</t>
  </si>
  <si>
    <t>B+C_Emissions_Y1'!$S$20; 'B+C_Emissions_Y1'!$S$101; 'B+C_Emissions_Y1'!$S$115; 'B+C_Emissions_Y1'!$S$130; 'B+C_Emissions_Y2'!$S$20; 'B+C_Emissions_Y2'!$S$101; 'B+C_Emissions_Y2'!$S$115; 'B+C_Emissions_Y2'!$S$130; 'B+C_Emissions_Y3'!$S$20; 'B+C_Emissions_Y3'!$S$101; 'B+C_Emissions_Y3'!$S$115; 'B+C_Emissions_Y3'!$S$130; 'B+C_Emissions_Y4'!$S$20; 'B+C_Emissions_Y4'!$S$101; 'B+C_Emissions_Y4'!$S$115; 'B+C_Emissions_Y4'!$S$130; 'B+C_Emissions_Y5'!$S$20; 'B+C_Emissions_Y5'!$S$101; 'B+C_Emissions_Y5'!$S$115; 'B+C_Emissions_Y5'!$S$130</t>
  </si>
  <si>
    <t>B+C_Emissions_Y1'!$T$20; 'B+C_Emissions_Y1'!$T$101; 'B+C_Emissions_Y1'!$T$115; 'B+C_Emissions_Y1'!$T$130; 'B+C_Emissions_Y2'!$T$20; 'B+C_Emissions_Y2'!$T$101; 'B+C_Emissions_Y2'!$T$115; 'B+C_Emissions_Y2'!$T$130; 'B+C_Emissions_Y3'!$T$20; 'B+C_Emissions_Y3'!$T$101; 'B+C_Emissions_Y3'!$T$115; 'B+C_Emissions_Y3'!$T$130; 'B+C_Emissions_Y4'!$T$20; 'B+C_Emissions_Y4'!$T$101; 'B+C_Emissions_Y4'!$T$115; 'B+C_Emissions_Y4'!$T$130; 'B+C_Emissions_Y5'!$T$20; 'B+C_Emissions_Y5'!$T$101; 'B+C_Emissions_Y5'!$T$115; 'B+C_Emissions_Y5'!$T$130</t>
  </si>
  <si>
    <t>B+C_Emissions_Y1'!$U$20; 'B+C_Emissions_Y1'!$U$101; 'B+C_Emissions_Y1'!$U$115; 'B+C_Emissions_Y1'!$U$130; 'B+C_Emissions_Y2'!$U$20; 'B+C_Emissions_Y2'!$U$101; 'B+C_Emissions_Y2'!$U$115; 'B+C_Emissions_Y2'!$U$130; 'B+C_Emissions_Y3'!$U$20; 'B+C_Emissions_Y3'!$U$101; 'B+C_Emissions_Y3'!$U$115; 'B+C_Emissions_Y3'!$U$130; 'B+C_Emissions_Y4'!$U$20; 'B+C_Emissions_Y4'!$U$101; 'B+C_Emissions_Y4'!$U$115; 'B+C_Emissions_Y4'!$U$130; 'B+C_Emissions_Y5'!$U$20; 'B+C_Emissions_Y5'!$U$101; 'B+C_Emissions_Y5'!$U$115; 'B+C_Emissions_Y5'!$U$130</t>
  </si>
  <si>
    <t>B+C_Emissions_Y1'!$V$20; 'B+C_Emissions_Y1'!$V$101; 'B+C_Emissions_Y1'!$V$115; 'B+C_Emissions_Y1'!$V$130; 'B+C_Emissions_Y2'!$V$20; 'B+C_Emissions_Y2'!$V$101; 'B+C_Emissions_Y2'!$V$115; 'B+C_Emissions_Y2'!$V$130; 'B+C_Emissions_Y3'!$V$20; 'B+C_Emissions_Y3'!$V$101; 'B+C_Emissions_Y3'!$V$115; 'B+C_Emissions_Y3'!$V$130; 'B+C_Emissions_Y4'!$V$20; 'B+C_Emissions_Y4'!$V$101; 'B+C_Emissions_Y4'!$V$115; 'B+C_Emissions_Y4'!$V$130; 'B+C_Emissions_Y5'!$V$20; 'B+C_Emissions_Y5'!$V$101; 'B+C_Emissions_Y5'!$V$115; 'B+C_Emissions_Y5'!$V$130</t>
  </si>
  <si>
    <t>B+C_Emissions_Y1'!$W$20; 'B+C_Emissions_Y1'!$W$101; 'B+C_Emissions_Y1'!$W$115; 'B+C_Emissions_Y1'!$W$130; 'B+C_Emissions_Y2'!$W$20; 'B+C_Emissions_Y2'!$W$101; 'B+C_Emissions_Y2'!$W$115; 'B+C_Emissions_Y2'!$W$130; 'B+C_Emissions_Y3'!$W$20; 'B+C_Emissions_Y3'!$W$101; 'B+C_Emissions_Y3'!$W$115; 'B+C_Emissions_Y3'!$W$130; 'B+C_Emissions_Y4'!$W$20; 'B+C_Emissions_Y4'!$W$101; 'B+C_Emissions_Y4'!$W$115; 'B+C_Emissions_Y4'!$W$130; 'B+C_Emissions_Y5'!$W$20; 'B+C_Emissions_Y5'!$W$101; 'B+C_Emissions_Y5'!$W$115; 'B+C_Emissions_Y5'!$W$130</t>
  </si>
  <si>
    <t>B+C_Emissions_Y1'!$X$20; 'B+C_Emissions_Y1'!$X$101; 'B+C_Emissions_Y1'!$X$115; 'B+C_Emissions_Y1'!$X$130; 'B+C_Emissions_Y2'!$X$20; 'B+C_Emissions_Y2'!$X$101; 'B+C_Emissions_Y2'!$X$115; 'B+C_Emissions_Y2'!$X$130; 'B+C_Emissions_Y3'!$X$20; 'B+C_Emissions_Y3'!$X$101; 'B+C_Emissions_Y3'!$X$115; 'B+C_Emissions_Y3'!$X$130; 'B+C_Emissions_Y4'!$X$20; 'B+C_Emissions_Y4'!$X$101; 'B+C_Emissions_Y4'!$X$115; 'B+C_Emissions_Y4'!$X$130; 'B+C_Emissions_Y5'!$X$20; 'B+C_Emissions_Y5'!$X$101; 'B+C_Emissions_Y5'!$X$115; 'B+C_Emissions_Y5'!$X$130</t>
  </si>
  <si>
    <t>B+C_Emissions_Y1'!$Y$20; 'B+C_Emissions_Y1'!$Y$101; 'B+C_Emissions_Y1'!$Y$115; 'B+C_Emissions_Y1'!$Y$130; 'B+C_Emissions_Y2'!$Y$20; 'B+C_Emissions_Y2'!$Y$101; 'B+C_Emissions_Y2'!$Y$115; 'B+C_Emissions_Y2'!$Y$130; 'B+C_Emissions_Y3'!$Y$20; 'B+C_Emissions_Y3'!$Y$101; 'B+C_Emissions_Y3'!$Y$115; 'B+C_Emissions_Y3'!$Y$130; 'B+C_Emissions_Y4'!$Y$20; 'B+C_Emissions_Y4'!$Y$101; 'B+C_Emissions_Y4'!$Y$115; 'B+C_Emissions_Y4'!$Y$130; 'B+C_Emissions_Y5'!$Y$20; 'B+C_Emissions_Y5'!$Y$101; 'B+C_Emissions_Y5'!$Y$115; 'B+C_Emissions_Y5'!$Y$130</t>
  </si>
  <si>
    <t>B+C_Emissions_Y1'!$Z$20; 'B+C_Emissions_Y1'!$Z$101; 'B+C_Emissions_Y1'!$Z$115; 'B+C_Emissions_Y1'!$Z$130; 'B+C_Emissions_Y2'!$Z$20; 'B+C_Emissions_Y2'!$Z$101; 'B+C_Emissions_Y2'!$Z$115; 'B+C_Emissions_Y2'!$Z$130; 'B+C_Emissions_Y3'!$Z$20; 'B+C_Emissions_Y3'!$Z$101; 'B+C_Emissions_Y3'!$Z$115; 'B+C_Emissions_Y3'!$Z$130; 'B+C_Emissions_Y4'!$Z$20; 'B+C_Emissions_Y4'!$Z$101; 'B+C_Emissions_Y4'!$Z$115; 'B+C_Emissions_Y4'!$Z$130; 'B+C_Emissions_Y5'!$Z$20; 'B+C_Emissions_Y5'!$Z$101; 'B+C_Emissions_Y5'!$Z$115; 'B+C_Emissions_Y5'!$Z$130</t>
  </si>
  <si>
    <t>B+C_Emissions_Y1'!$AA$20; 'B+C_Emissions_Y1'!$AA$101; 'B+C_Emissions_Y1'!$AA$115; 'B+C_Emissions_Y1'!$AA$130; 'B+C_Emissions_Y2'!$AA$20; 'B+C_Emissions_Y2'!$AA$101; 'B+C_Emissions_Y2'!$AA$115; 'B+C_Emissions_Y2'!$AA$130; 'B+C_Emissions_Y3'!$AA$20; 'B+C_Emissions_Y3'!$AA$101; 'B+C_Emissions_Y3'!$AA$115; 'B+C_Emissions_Y3'!$AA$130; 'B+C_Emissions_Y4'!$AA$20; 'B+C_Emissions_Y4'!$AA$101; 'B+C_Emissions_Y4'!$AA$115; 'B+C_Emissions_Y4'!$AA$130; 'B+C_Emissions_Y5'!$AA$20; 'B+C_Emissions_Y5'!$AA$101; 'B+C_Emissions_Y5'!$AA$115; 'B+C_Emissions_Y5'!$AA$130</t>
  </si>
  <si>
    <t>B+C_Emissions_Y1'!$AB$20; 'B+C_Emissions_Y1'!$AB$101; 'B+C_Emissions_Y1'!$AB$115; 'B+C_Emissions_Y1'!$AB$130; 'B+C_Emissions_Y2'!$AB$20; 'B+C_Emissions_Y2'!$AB$101; 'B+C_Emissions_Y2'!$AB$115; 'B+C_Emissions_Y2'!$AB$130; 'B+C_Emissions_Y3'!$AB$20; 'B+C_Emissions_Y3'!$AB$101; 'B+C_Emissions_Y3'!$AB$115; 'B+C_Emissions_Y3'!$AB$130; 'B+C_Emissions_Y4'!$AB$20; 'B+C_Emissions_Y4'!$AB$101; 'B+C_Emissions_Y4'!$AB$115; 'B+C_Emissions_Y4'!$AB$130; 'B+C_Emissions_Y5'!$AB$20; 'B+C_Emissions_Y5'!$AB$101; 'B+C_Emissions_Y5'!$AB$115; 'B+C_Emissions_Y5'!$AB$130</t>
  </si>
  <si>
    <t>B+C_Emissions_Y1'!$AC$20; 'B+C_Emissions_Y1'!$AC$101; 'B+C_Emissions_Y1'!$AC$115; 'B+C_Emissions_Y1'!$AC$130; 'B+C_Emissions_Y2'!$AC$20; 'B+C_Emissions_Y2'!$AC$101; 'B+C_Emissions_Y2'!$AC$115; 'B+C_Emissions_Y2'!$AC$130; 'B+C_Emissions_Y3'!$AC$20; 'B+C_Emissions_Y3'!$AC$101; 'B+C_Emissions_Y3'!$AC$115; 'B+C_Emissions_Y3'!$AC$130; 'B+C_Emissions_Y4'!$AC$20; 'B+C_Emissions_Y4'!$AC$101; 'B+C_Emissions_Y4'!$AC$115; 'B+C_Emissions_Y4'!$AC$130; 'B+C_Emissions_Y5'!$AC$20; 'B+C_Emissions_Y5'!$AC$101; 'B+C_Emissions_Y5'!$AC$115; 'B+C_Emissions_Y5'!$AC$130</t>
  </si>
  <si>
    <t>B+C_Emissions_Y1'!$AD$20; 'B+C_Emissions_Y1'!$AD$101; 'B+C_Emissions_Y1'!$AD$115; 'B+C_Emissions_Y1'!$AD$130; 'B+C_Emissions_Y2'!$AD$20; 'B+C_Emissions_Y2'!$AD$101; 'B+C_Emissions_Y2'!$AD$115; 'B+C_Emissions_Y2'!$AD$130; 'B+C_Emissions_Y3'!$AD$20; 'B+C_Emissions_Y3'!$AD$101; 'B+C_Emissions_Y3'!$AD$115; 'B+C_Emissions_Y3'!$AD$130; 'B+C_Emissions_Y4'!$AD$20; 'B+C_Emissions_Y4'!$AD$101; 'B+C_Emissions_Y4'!$AD$115; 'B+C_Emissions_Y4'!$AD$130; 'B+C_Emissions_Y5'!$AD$20; 'B+C_Emissions_Y5'!$AD$101; 'B+C_Emissions_Y5'!$AD$115; 'B+C_Emissions_Y5'!$AD$130</t>
  </si>
  <si>
    <t>B+C_Emissions_Y1'!$AE$20; 'B+C_Emissions_Y1'!$AE$101; 'B+C_Emissions_Y1'!$AE$115; 'B+C_Emissions_Y1'!$AE$130; 'B+C_Emissions_Y2'!$AE$20; 'B+C_Emissions_Y2'!$AE$101; 'B+C_Emissions_Y2'!$AE$115; 'B+C_Emissions_Y2'!$AE$130; 'B+C_Emissions_Y3'!$AE$20; 'B+C_Emissions_Y3'!$AE$101; 'B+C_Emissions_Y3'!$AE$115; 'B+C_Emissions_Y3'!$AE$130; 'B+C_Emissions_Y4'!$AE$20; 'B+C_Emissions_Y4'!$AE$101; 'B+C_Emissions_Y4'!$AE$115; 'B+C_Emissions_Y4'!$AE$130; 'B+C_Emissions_Y5'!$AE$20; 'B+C_Emissions_Y5'!$AE$101; 'B+C_Emissions_Y5'!$AE$115; 'B+C_Emissions_Y5'!$AE$130</t>
  </si>
  <si>
    <t>B+C_Emissions_Y1'!$AF$20; 'B+C_Emissions_Y1'!$AF$101; 'B+C_Emissions_Y1'!$AF$115; 'B+C_Emissions_Y1'!$AF$130; 'B+C_Emissions_Y2'!$AF$20; 'B+C_Emissions_Y2'!$AF$101; 'B+C_Emissions_Y2'!$AF$115; 'B+C_Emissions_Y2'!$AF$130; 'B+C_Emissions_Y3'!$AF$20; 'B+C_Emissions_Y3'!$AF$101; 'B+C_Emissions_Y3'!$AF$115; 'B+C_Emissions_Y3'!$AF$130; 'B+C_Emissions_Y4'!$AF$20; 'B+C_Emissions_Y4'!$AF$101; 'B+C_Emissions_Y4'!$AF$115; 'B+C_Emissions_Y4'!$AF$130; 'B+C_Emissions_Y5'!$AF$20; 'B+C_Emissions_Y5'!$AF$101; 'B+C_Emissions_Y5'!$AF$115; 'B+C_Emissions_Y5'!$AF$130</t>
  </si>
  <si>
    <t>B+C_Emissions_Y1'!$AG$20; 'B+C_Emissions_Y1'!$AG$101; 'B+C_Emissions_Y1'!$AG$115; 'B+C_Emissions_Y1'!$AG$130; 'B+C_Emissions_Y2'!$AG$20; 'B+C_Emissions_Y2'!$AG$101; 'B+C_Emissions_Y2'!$AG$115; 'B+C_Emissions_Y2'!$AG$130; 'B+C_Emissions_Y3'!$AG$20; 'B+C_Emissions_Y3'!$AG$101; 'B+C_Emissions_Y3'!$AG$115; 'B+C_Emissions_Y3'!$AG$130; 'B+C_Emissions_Y4'!$AG$20; 'B+C_Emissions_Y4'!$AG$101; 'B+C_Emissions_Y4'!$AG$115; 'B+C_Emissions_Y4'!$AG$130; 'B+C_Emissions_Y5'!$AG$20; 'B+C_Emissions_Y5'!$AG$101; 'B+C_Emissions_Y5'!$AG$115; 'B+C_Emissions_Y5'!$AG$130</t>
  </si>
  <si>
    <t>B+C_Emissions_Y1'!$AH$20; 'B+C_Emissions_Y1'!$AH$101; 'B+C_Emissions_Y1'!$AH$115; 'B+C_Emissions_Y1'!$AH$130; 'B+C_Emissions_Y2'!$AH$20; 'B+C_Emissions_Y2'!$AH$101; 'B+C_Emissions_Y2'!$AH$115; 'B+C_Emissions_Y2'!$AH$130; 'B+C_Emissions_Y3'!$AH$20; 'B+C_Emissions_Y3'!$AH$101; 'B+C_Emissions_Y3'!$AH$115; 'B+C_Emissions_Y3'!$AH$130; 'B+C_Emissions_Y4'!$AH$20; 'B+C_Emissions_Y4'!$AH$101; 'B+C_Emissions_Y4'!$AH$115; 'B+C_Emissions_Y4'!$AH$130; 'B+C_Emissions_Y5'!$AH$20; 'B+C_Emissions_Y5'!$AH$101; 'B+C_Emissions_Y5'!$AH$115; 'B+C_Emissions_Y5'!$AH$130</t>
  </si>
  <si>
    <t>B+C_Emissions_Y1'!$AI$20; 'B+C_Emissions_Y1'!$AI$101; 'B+C_Emissions_Y1'!$AI$115; 'B+C_Emissions_Y1'!$AI$130; 'B+C_Emissions_Y2'!$AI$20; 'B+C_Emissions_Y2'!$AI$101; 'B+C_Emissions_Y2'!$AI$115; 'B+C_Emissions_Y2'!$AI$130; 'B+C_Emissions_Y3'!$AI$20; 'B+C_Emissions_Y3'!$AI$101; 'B+C_Emissions_Y3'!$AI$115; 'B+C_Emissions_Y3'!$AI$130; 'B+C_Emissions_Y4'!$AI$20; 'B+C_Emissions_Y4'!$AI$101; 'B+C_Emissions_Y4'!$AI$115; 'B+C_Emissions_Y4'!$AI$130; 'B+C_Emissions_Y5'!$AI$20; 'B+C_Emissions_Y5'!$AI$101; 'B+C_Emissions_Y5'!$AI$115; 'B+C_Emissions_Y5'!$AI$130</t>
  </si>
  <si>
    <t>B+C_Emissions_Y1'!$AJ$20; 'B+C_Emissions_Y1'!$AJ$101; 'B+C_Emissions_Y1'!$AJ$115; 'B+C_Emissions_Y1'!$AJ$130; 'B+C_Emissions_Y2'!$AJ$20; 'B+C_Emissions_Y2'!$AJ$101; 'B+C_Emissions_Y2'!$AJ$115; 'B+C_Emissions_Y2'!$AJ$130; 'B+C_Emissions_Y3'!$AJ$20; 'B+C_Emissions_Y3'!$AJ$101; 'B+C_Emissions_Y3'!$AJ$115; 'B+C_Emissions_Y3'!$AJ$130; 'B+C_Emissions_Y4'!$AJ$20; 'B+C_Emissions_Y4'!$AJ$101; 'B+C_Emissions_Y4'!$AJ$115; 'B+C_Emissions_Y4'!$AJ$130; 'B+C_Emissions_Y5'!$AJ$20; 'B+C_Emissions_Y5'!$AJ$101; 'B+C_Emissions_Y5'!$AJ$115; 'B+C_Emissions_Y5'!$AJ$130</t>
  </si>
  <si>
    <t>B+C_Emissions_Y1'!$AK$20; 'B+C_Emissions_Y1'!$AK$101; 'B+C_Emissions_Y1'!$AK$115; 'B+C_Emissions_Y1'!$AK$130; 'B+C_Emissions_Y2'!$AK$20; 'B+C_Emissions_Y2'!$AK$101; 'B+C_Emissions_Y2'!$AK$115; 'B+C_Emissions_Y2'!$AK$130; 'B+C_Emissions_Y3'!$AK$20; 'B+C_Emissions_Y3'!$AK$101; 'B+C_Emissions_Y3'!$AK$115; 'B+C_Emissions_Y3'!$AK$130; 'B+C_Emissions_Y4'!$AK$20; 'B+C_Emissions_Y4'!$AK$101; 'B+C_Emissions_Y4'!$AK$115; 'B+C_Emissions_Y4'!$AK$130; 'B+C_Emissions_Y5'!$AK$20; 'B+C_Emissions_Y5'!$AK$101; 'B+C_Emissions_Y5'!$AK$115; 'B+C_Emissions_Y5'!$AK$130</t>
  </si>
  <si>
    <t>B+C_Emissions_Y1'!$AL$20; 'B+C_Emissions_Y1'!$AL$101; 'B+C_Emissions_Y1'!$AL$115; 'B+C_Emissions_Y1'!$AL$130; 'B+C_Emissions_Y2'!$AL$20; 'B+C_Emissions_Y2'!$AL$101; 'B+C_Emissions_Y2'!$AL$115; 'B+C_Emissions_Y2'!$AL$130; 'B+C_Emissions_Y3'!$AL$20; 'B+C_Emissions_Y3'!$AL$101; 'B+C_Emissions_Y3'!$AL$115; 'B+C_Emissions_Y3'!$AL$130; 'B+C_Emissions_Y4'!$AL$20; 'B+C_Emissions_Y4'!$AL$101; 'B+C_Emissions_Y4'!$AL$115; 'B+C_Emissions_Y4'!$AL$130; 'B+C_Emissions_Y5'!$AL$20; 'B+C_Emissions_Y5'!$AL$101; 'B+C_Emissions_Y5'!$AL$115; 'B+C_Emissions_Y5'!$AL$130</t>
  </si>
  <si>
    <t>B+C_Emissions_Y1'!$AM$20; 'B+C_Emissions_Y1'!$AM$101; 'B+C_Emissions_Y1'!$AM$115; 'B+C_Emissions_Y1'!$AM$130; 'B+C_Emissions_Y2'!$AM$20; 'B+C_Emissions_Y2'!$AM$101; 'B+C_Emissions_Y2'!$AM$115; 'B+C_Emissions_Y2'!$AM$130; 'B+C_Emissions_Y3'!$AM$20; 'B+C_Emissions_Y3'!$AM$101; 'B+C_Emissions_Y3'!$AM$115; 'B+C_Emissions_Y3'!$AM$130; 'B+C_Emissions_Y4'!$AM$20; 'B+C_Emissions_Y4'!$AM$101; 'B+C_Emissions_Y4'!$AM$115; 'B+C_Emissions_Y4'!$AM$130; 'B+C_Emissions_Y5'!$AM$20; 'B+C_Emissions_Y5'!$AM$101; 'B+C_Emissions_Y5'!$AM$115; 'B+C_Emissions_Y5'!$AM$130</t>
  </si>
  <si>
    <t>B+C_Emissions_Y1'!$AN$20; 'B+C_Emissions_Y1'!$AN$101; 'B+C_Emissions_Y1'!$AN$115; 'B+C_Emissions_Y1'!$AN$130; 'B+C_Emissions_Y2'!$AN$20; 'B+C_Emissions_Y2'!$AN$101; 'B+C_Emissions_Y2'!$AN$115; 'B+C_Emissions_Y2'!$AN$130; 'B+C_Emissions_Y3'!$AN$20; 'B+C_Emissions_Y3'!$AN$101; 'B+C_Emissions_Y3'!$AN$115; 'B+C_Emissions_Y3'!$AN$130; 'B+C_Emissions_Y4'!$AN$20; 'B+C_Emissions_Y4'!$AN$101; 'B+C_Emissions_Y4'!$AN$115; 'B+C_Emissions_Y4'!$AN$130; 'B+C_Emissions_Y5'!$AN$20; 'B+C_Emissions_Y5'!$AN$101; 'B+C_Emissions_Y5'!$AN$115; 'B+C_Emissions_Y5'!$AN$130</t>
  </si>
  <si>
    <t>B+C_Emissions_Y1'!$AO$20; 'B+C_Emissions_Y1'!$AO$101; 'B+C_Emissions_Y1'!$AO$115; 'B+C_Emissions_Y1'!$AO$130; 'B+C_Emissions_Y2'!$AO$20; 'B+C_Emissions_Y2'!$AO$101; 'B+C_Emissions_Y2'!$AO$115; 'B+C_Emissions_Y2'!$AO$130; 'B+C_Emissions_Y3'!$AO$20; 'B+C_Emissions_Y3'!$AO$101; 'B+C_Emissions_Y3'!$AO$115; 'B+C_Emissions_Y3'!$AO$130; 'B+C_Emissions_Y4'!$AO$20; 'B+C_Emissions_Y4'!$AO$101; 'B+C_Emissions_Y4'!$AO$115; 'B+C_Emissions_Y4'!$AO$130; 'B+C_Emissions_Y5'!$AO$20; 'B+C_Emissions_Y5'!$AO$101; 'B+C_Emissions_Y5'!$AO$115; 'B+C_Emissions_Y5'!$AO$130</t>
  </si>
  <si>
    <t>B+C_Emissions_Y1'!$AP$20; 'B+C_Emissions_Y1'!$AP$101; 'B+C_Emissions_Y1'!$AP$115; 'B+C_Emissions_Y1'!$AP$130; 'B+C_Emissions_Y2'!$AP$20; 'B+C_Emissions_Y2'!$AP$101; 'B+C_Emissions_Y2'!$AP$115; 'B+C_Emissions_Y2'!$AP$130; 'B+C_Emissions_Y3'!$AP$20; 'B+C_Emissions_Y3'!$AP$101; 'B+C_Emissions_Y3'!$AP$115; 'B+C_Emissions_Y3'!$AP$130; 'B+C_Emissions_Y4'!$AP$20; 'B+C_Emissions_Y4'!$AP$101; 'B+C_Emissions_Y4'!$AP$115; 'B+C_Emissions_Y4'!$AP$130; 'B+C_Emissions_Y5'!$AP$20; 'B+C_Emissions_Y5'!$AP$101; 'B+C_Emissions_Y5'!$AP$115; 'B+C_Emissions_Y5'!$AP$130</t>
  </si>
  <si>
    <t>B+C_Emissions_Y1'!$AQ$20; 'B+C_Emissions_Y1'!$AQ$101; 'B+C_Emissions_Y1'!$AQ$115; 'B+C_Emissions_Y1'!$AQ$130; 'B+C_Emissions_Y2'!$AQ$20; 'B+C_Emissions_Y2'!$AQ$101; 'B+C_Emissions_Y2'!$AQ$115; 'B+C_Emissions_Y2'!$AQ$130; 'B+C_Emissions_Y3'!$AQ$20; 'B+C_Emissions_Y3'!$AQ$101; 'B+C_Emissions_Y3'!$AQ$115; 'B+C_Emissions_Y3'!$AQ$130; 'B+C_Emissions_Y4'!$AQ$20; 'B+C_Emissions_Y4'!$AQ$101; 'B+C_Emissions_Y4'!$AQ$115; 'B+C_Emissions_Y4'!$AQ$130; 'B+C_Emissions_Y5'!$AQ$20; 'B+C_Emissions_Y5'!$AQ$101; 'B+C_Emissions_Y5'!$AQ$115; 'B+C_Emissions_Y5'!$AQ$130</t>
  </si>
  <si>
    <t>B+C_Emissions_Y1'!$AR$20; 'B+C_Emissions_Y1'!$AR$101; 'B+C_Emissions_Y1'!$AR$115; 'B+C_Emissions_Y1'!$AR$130; 'B+C_Emissions_Y2'!$AR$20; 'B+C_Emissions_Y2'!$AR$101; 'B+C_Emissions_Y2'!$AR$115; 'B+C_Emissions_Y2'!$AR$130; 'B+C_Emissions_Y3'!$AR$20; 'B+C_Emissions_Y3'!$AR$101; 'B+C_Emissions_Y3'!$AR$115; 'B+C_Emissions_Y3'!$AR$130; 'B+C_Emissions_Y4'!$AR$20; 'B+C_Emissions_Y4'!$AR$101; 'B+C_Emissions_Y4'!$AR$115; 'B+C_Emissions_Y4'!$AR$130; 'B+C_Emissions_Y5'!$AR$20; 'B+C_Emissions_Y5'!$AR$101; 'B+C_Emissions_Y5'!$AR$115; 'B+C_Emissions_Y5'!$AR$130</t>
  </si>
  <si>
    <t>B+C_Emissions_Y1'!$AS$20; 'B+C_Emissions_Y1'!$AS$101; 'B+C_Emissions_Y1'!$AS$115; 'B+C_Emissions_Y1'!$AS$130; 'B+C_Emissions_Y2'!$AS$20; 'B+C_Emissions_Y2'!$AS$101; 'B+C_Emissions_Y2'!$AS$115; 'B+C_Emissions_Y2'!$AS$130; 'B+C_Emissions_Y3'!$AS$20; 'B+C_Emissions_Y3'!$AS$101; 'B+C_Emissions_Y3'!$AS$115; 'B+C_Emissions_Y3'!$AS$130; 'B+C_Emissions_Y4'!$AS$20; 'B+C_Emissions_Y4'!$AS$101; 'B+C_Emissions_Y4'!$AS$115; 'B+C_Emissions_Y4'!$AS$130; 'B+C_Emissions_Y5'!$AS$20; 'B+C_Emissions_Y5'!$AS$101; 'B+C_Emissions_Y5'!$AS$115; 'B+C_Emissions_Y5'!$AS$130</t>
  </si>
  <si>
    <t>B+C_Emissions_Y1'!$AT$20; 'B+C_Emissions_Y1'!$AT$101; 'B+C_Emissions_Y1'!$AT$115; 'B+C_Emissions_Y1'!$AT$130; 'B+C_Emissions_Y2'!$AT$20; 'B+C_Emissions_Y2'!$AT$101; 'B+C_Emissions_Y2'!$AT$115; 'B+C_Emissions_Y2'!$AT$130; 'B+C_Emissions_Y3'!$AT$20; 'B+C_Emissions_Y3'!$AT$101; 'B+C_Emissions_Y3'!$AT$115; 'B+C_Emissions_Y3'!$AT$130; 'B+C_Emissions_Y4'!$AT$20; 'B+C_Emissions_Y4'!$AT$101; 'B+C_Emissions_Y4'!$AT$115; 'B+C_Emissions_Y4'!$AT$130; 'B+C_Emissions_Y5'!$AT$20; 'B+C_Emissions_Y5'!$AT$101; 'B+C_Emissions_Y5'!$AT$115; 'B+C_Emissions_Y5'!$AT$130</t>
  </si>
  <si>
    <t>B+C_Emissions_Y1'!$AU$20; 'B+C_Emissions_Y1'!$AU$101; 'B+C_Emissions_Y1'!$AU$115; 'B+C_Emissions_Y1'!$AU$130; 'B+C_Emissions_Y2'!$AU$20; 'B+C_Emissions_Y2'!$AU$101; 'B+C_Emissions_Y2'!$AU$115; 'B+C_Emissions_Y2'!$AU$130; 'B+C_Emissions_Y3'!$AU$20; 'B+C_Emissions_Y3'!$AU$101; 'B+C_Emissions_Y3'!$AU$115; 'B+C_Emissions_Y3'!$AU$130; 'B+C_Emissions_Y4'!$AU$20; 'B+C_Emissions_Y4'!$AU$101; 'B+C_Emissions_Y4'!$AU$115; 'B+C_Emissions_Y4'!$AU$130; 'B+C_Emissions_Y5'!$AU$20; 'B+C_Emissions_Y5'!$AU$101; 'B+C_Emissions_Y5'!$AU$115; 'B+C_Emissions_Y5'!$AU$130</t>
  </si>
  <si>
    <t>B+C_Emissions_Y1'!$AV$20; 'B+C_Emissions_Y1'!$AV$101; 'B+C_Emissions_Y1'!$AV$115; 'B+C_Emissions_Y1'!$AV$130; 'B+C_Emissions_Y2'!$AV$20; 'B+C_Emissions_Y2'!$AV$101; 'B+C_Emissions_Y2'!$AV$115; 'B+C_Emissions_Y2'!$AV$130; 'B+C_Emissions_Y3'!$AV$20; 'B+C_Emissions_Y3'!$AV$101; 'B+C_Emissions_Y3'!$AV$115; 'B+C_Emissions_Y3'!$AV$130; 'B+C_Emissions_Y4'!$AV$20; 'B+C_Emissions_Y4'!$AV$101; 'B+C_Emissions_Y4'!$AV$115; 'B+C_Emissions_Y4'!$AV$130; 'B+C_Emissions_Y5'!$AV$20; 'B+C_Emissions_Y5'!$AV$101; 'B+C_Emissions_Y5'!$AV$115; 'B+C_Emissions_Y5'!$AV$130</t>
  </si>
  <si>
    <t>B+C_Emissions_Y1'!$AW$20; 'B+C_Emissions_Y1'!$AW$101; 'B+C_Emissions_Y1'!$AW$115; 'B+C_Emissions_Y1'!$AW$130; 'B+C_Emissions_Y2'!$AW$20; 'B+C_Emissions_Y2'!$AW$101; 'B+C_Emissions_Y2'!$AW$115; 'B+C_Emissions_Y2'!$AW$130; 'B+C_Emissions_Y3'!$AW$20; 'B+C_Emissions_Y3'!$AW$101; 'B+C_Emissions_Y3'!$AW$115; 'B+C_Emissions_Y3'!$AW$130; 'B+C_Emissions_Y4'!$AW$20; 'B+C_Emissions_Y4'!$AW$101; 'B+C_Emissions_Y4'!$AW$115; 'B+C_Emissions_Y4'!$AW$130; 'B+C_Emissions_Y5'!$AW$20; 'B+C_Emissions_Y5'!$AW$101; 'B+C_Emissions_Y5'!$AW$115; 'B+C_Emissions_Y5'!$AW$130</t>
  </si>
  <si>
    <t>B+C_Emissions_Y1'!$AX$20; 'B+C_Emissions_Y1'!$AX$101; 'B+C_Emissions_Y1'!$AX$115; 'B+C_Emissions_Y1'!$AX$130; 'B+C_Emissions_Y2'!$AX$20; 'B+C_Emissions_Y2'!$AX$101; 'B+C_Emissions_Y2'!$AX$115; 'B+C_Emissions_Y2'!$AX$130; 'B+C_Emissions_Y3'!$AX$20; 'B+C_Emissions_Y3'!$AX$101; 'B+C_Emissions_Y3'!$AX$115; 'B+C_Emissions_Y3'!$AX$130; 'B+C_Emissions_Y4'!$AX$20; 'B+C_Emissions_Y4'!$AX$101; 'B+C_Emissions_Y4'!$AX$115; 'B+C_Emissions_Y4'!$AX$130; 'B+C_Emissions_Y5'!$AX$20; 'B+C_Emissions_Y5'!$AX$101; 'B+C_Emissions_Y5'!$AX$115; 'B+C_Emissions_Y5'!$AX$130</t>
  </si>
  <si>
    <t>B+C_Emissions_Y1'!$AY$20; 'B+C_Emissions_Y1'!$AY$101; 'B+C_Emissions_Y1'!$AY$115; 'B+C_Emissions_Y1'!$AY$130; 'B+C_Emissions_Y2'!$AY$20; 'B+C_Emissions_Y2'!$AY$101; 'B+C_Emissions_Y2'!$AY$115; 'B+C_Emissions_Y2'!$AY$130; 'B+C_Emissions_Y3'!$AY$20; 'B+C_Emissions_Y3'!$AY$101; 'B+C_Emissions_Y3'!$AY$115; 'B+C_Emissions_Y3'!$AY$130; 'B+C_Emissions_Y4'!$AY$20; 'B+C_Emissions_Y4'!$AY$101; 'B+C_Emissions_Y4'!$AY$115; 'B+C_Emissions_Y4'!$AY$130; 'B+C_Emissions_Y5'!$AY$20; 'B+C_Emissions_Y5'!$AY$101; 'B+C_Emissions_Y5'!$AY$115; 'B+C_Emissions_Y5'!$AY$130</t>
  </si>
  <si>
    <t>B+C_Emissions_Y1'!$C$102; 'B+C_Emissions_Y1'!$C$131; 'B+C_Emissions_Y2'!$C$102; 'B+C_Emissions_Y2'!$C$131; 'B+C_Emissions_Y3'!$C$102; 'B+C_Emissions_Y3'!$C$131; 'B+C_Emissions_Y4'!$C$102; 'B+C_Emissions_Y4'!$C$131; 'B+C_Emissions_Y5'!$C$102; 'B+C_Emissions_Y5'!$C$131</t>
  </si>
  <si>
    <t>B+C_Emissions_Y1'!$L$3; 'B+C_Emissions_Y1'!$D$129; 'B+C_Emissions_Y1'!$D$131; 'B+C_Emissions_Y1'!$D$132; 'B+C_Emissions_Y2'!$L$3; 'B+C_Emissions_Y2'!$D$129; 'B+C_Emissions_Y2'!$D$131; 'B+C_Emissions_Y2'!$D$132; 'B+C_Emissions_Y3'!$L$3; 'B+C_Emissions_Y3'!$D$129; 'B+C_Emissions_Y3'!$D$131; 'B+C_Emissions_Y3'!$D$132; 'B+C_Emissions_Y4'!$L$3; 'B+C_Emissions_Y4'!$D$129; 'B+C_Emissions_Y4'!$D$131; 'B+C_Emissions_Y4'!$D$132; 'B+C_Emissions_Y5'!$L$3; 'B+C_Emissions_Y5'!$D$129; 'B+C_Emissions_Y5'!$D$131; 'B+C_Emissions_Y5'!$D$132</t>
  </si>
  <si>
    <t>D_Emissions'!$B$2</t>
  </si>
  <si>
    <t>D_Emissions'!$G$3</t>
  </si>
  <si>
    <t>D_Emissions'!$I$3</t>
  </si>
  <si>
    <t>D_Emissions'!$K$3</t>
  </si>
  <si>
    <t>D_Emissions'!$M$3</t>
  </si>
  <si>
    <t>D_Emissions'!$G$4</t>
  </si>
  <si>
    <t>D_Emissions'!$I$4</t>
  </si>
  <si>
    <t>D_Emissions'!$D$6</t>
  </si>
  <si>
    <t>D_Emissions'!$D$8</t>
  </si>
  <si>
    <t>D_Emissions'!$D$10</t>
  </si>
  <si>
    <t>D_Emissions'!$D$11</t>
  </si>
  <si>
    <t>D_Emissions'!$D$13</t>
  </si>
  <si>
    <t>D_Emissions'!$E$14</t>
  </si>
  <si>
    <t>D_Emissions'!$D$26</t>
  </si>
  <si>
    <t>D_Emissions'!$E$27</t>
  </si>
  <si>
    <t>D_Emissions'!$E$28</t>
  </si>
  <si>
    <t>D_Emissions'!$F$29</t>
  </si>
  <si>
    <t>D_Emissions'!$F$30</t>
  </si>
  <si>
    <t>D_Emissions'!$F$31</t>
  </si>
  <si>
    <t>D_Emissions'!$F$32</t>
  </si>
  <si>
    <t>D_Emissions'!$F$33</t>
  </si>
  <si>
    <t>D_Emissions'!$F$34</t>
  </si>
  <si>
    <t>D_Emissions'!$D$47</t>
  </si>
  <si>
    <t>D_Emissions'!$E$48</t>
  </si>
  <si>
    <t>D_Emissions'!$E$49</t>
  </si>
  <si>
    <t>D_Emissions'!$E$50</t>
  </si>
  <si>
    <t>D_Emissions'!$E$17; 'D_Emissions'!$E$37; 'D_Emissions'!$E$52</t>
  </si>
  <si>
    <t>D_Emissions'!$E$18; 'D_Emissions'!$E$38; 'D_Emissions'!$E$53</t>
  </si>
  <si>
    <t>D_Emissions'!$E$19; 'D_Emissions'!$E$39; 'D_Emissions'!$E$54</t>
  </si>
  <si>
    <t>D_Emissions'!$E$20; 'D_Emissions'!$E$40; 'D_Emissions'!$E$55</t>
  </si>
  <si>
    <t>D_Emissions'!$E$21; 'D_Emissions'!$E$41; 'D_Emissions'!$E$56</t>
  </si>
  <si>
    <t>D_Emissions'!$E$22; 'D_Emissions'!$E$42; 'D_Emissions'!$E$57</t>
  </si>
  <si>
    <t>D_Emissions'!$E$23; 'D_Emissions'!$E$43; 'D_Emissions'!$E$58</t>
  </si>
  <si>
    <t>D_Emissions'!$D$61</t>
  </si>
  <si>
    <t>D_Emissions'!$D$63</t>
  </si>
  <si>
    <t>D_Emissions'!$E$16; 'D_Emissions'!$E$36; 'D_Emissions'!$E$51; 'D_Emissions'!$E$65</t>
  </si>
  <si>
    <t>D_Emissions'!$E$66</t>
  </si>
  <si>
    <t>D_Emissions'!$D$68</t>
  </si>
  <si>
    <t>D_Emissions'!$E$70</t>
  </si>
  <si>
    <t>D_Emissions'!$E$71</t>
  </si>
  <si>
    <t>D_Emissions'!$D$74</t>
  </si>
  <si>
    <t>D_Emissions'!$E$76</t>
  </si>
  <si>
    <t>D_Emissions'!$E$77</t>
  </si>
  <si>
    <t>D_Emissions'!$E$78</t>
  </si>
  <si>
    <t>D_Emissions'!$E$79</t>
  </si>
  <si>
    <t>D_Emissions'!$E$80</t>
  </si>
  <si>
    <t>D_Emissions'!$E$81</t>
  </si>
  <si>
    <t>D_Emissions'!$E$86</t>
  </si>
  <si>
    <t>D_Emissions'!$E$91</t>
  </si>
  <si>
    <t>D_Emissions'!$E$96</t>
  </si>
  <si>
    <t>D_Emissions'!$E$102</t>
  </si>
  <si>
    <t>D_Emissions'!$E$111</t>
  </si>
  <si>
    <t>D_Emissions'!$E$112</t>
  </si>
  <si>
    <t>D_Emissions'!$E$118</t>
  </si>
  <si>
    <t>D_Emissions'!$E$119</t>
  </si>
  <si>
    <t>D_Emissions'!$E$120</t>
  </si>
  <si>
    <t>D_Emissions'!$E$121</t>
  </si>
  <si>
    <t>D_Emissions'!$E$127</t>
  </si>
  <si>
    <t>D_Emissions'!$E$128</t>
  </si>
  <si>
    <t>D_Emissions'!$E$135</t>
  </si>
  <si>
    <t>D_Emissions'!$D$83; 'D_Emissions'!$D$140</t>
  </si>
  <si>
    <t>D_Emissions'!$E$85; 'D_Emissions'!$E$144</t>
  </si>
  <si>
    <t>D_Emissions'!$E$88; 'D_Emissions'!$E$146</t>
  </si>
  <si>
    <t>D_Emissions'!$E$90; 'D_Emissions'!$E$93; 'D_Emissions'!$E$148; 'D_Emissions'!$E$150</t>
  </si>
  <si>
    <t>D_Emissions'!$E$98; 'D_Emissions'!$E$99; 'D_Emissions'!$E$154</t>
  </si>
  <si>
    <t>D_Emissions'!$E$95; 'D_Emissions'!$E$152; 'D_Emissions'!$E$155</t>
  </si>
  <si>
    <t>D_Emissions'!$E$101; 'D_Emissions'!$E$157</t>
  </si>
  <si>
    <t>D_Emissions'!$E$104; 'D_Emissions'!$E$159</t>
  </si>
  <si>
    <t>D_Emissions'!$E$105; 'D_Emissions'!$E$160</t>
  </si>
  <si>
    <t>D_Emissions'!$E$106; 'D_Emissions'!$E$161</t>
  </si>
  <si>
    <t>D_Emissions'!$E$108; 'D_Emissions'!$E$163</t>
  </si>
  <si>
    <t>D_Emissions'!$I$108; 'D_Emissions'!$I$163</t>
  </si>
  <si>
    <t>D_Emissions'!$L$108; 'D_Emissions'!$L$163</t>
  </si>
  <si>
    <t>D_Emissions'!$E$110; 'D_Emissions'!$E$165</t>
  </si>
  <si>
    <t>D_Emissions'!$E$117; 'D_Emissions'!$E$170</t>
  </si>
  <si>
    <t>D_Emissions'!$E$114; 'D_Emissions'!$E$123; 'D_Emissions'!$E$167; 'D_Emissions'!$E$172</t>
  </si>
  <si>
    <t>D_Emissions'!$E$126; 'D_Emissions'!$E$175</t>
  </si>
  <si>
    <t>D_Emissions'!$E$131; 'D_Emissions'!$E$177</t>
  </si>
  <si>
    <t>D_Emissions'!$E$132; 'D_Emissions'!$E$178</t>
  </si>
  <si>
    <t>D_Emissions'!$E$134; 'D_Emissions'!$E$180</t>
  </si>
  <si>
    <t>D_Emissions'!$E$137; 'D_Emissions'!$E$182</t>
  </si>
  <si>
    <t>D_Emissions'!$E$138; 'D_Emissions'!$E$183</t>
  </si>
  <si>
    <t>D_Emissions'!$D$185</t>
  </si>
  <si>
    <t>D_Emissions'!$E$187</t>
  </si>
  <si>
    <t>D_Emissions'!$E$188</t>
  </si>
  <si>
    <t>D_Emissions'!$E$189</t>
  </si>
  <si>
    <t>D_Emissions'!$E$190</t>
  </si>
  <si>
    <t>D_Emissions'!$E$191</t>
  </si>
  <si>
    <t>D_Emissions'!$F$192</t>
  </si>
  <si>
    <t>D_Emissions'!$F$193</t>
  </si>
  <si>
    <t>D_Emissions'!$F$194</t>
  </si>
  <si>
    <t>D_Emissions'!$F$195</t>
  </si>
  <si>
    <t>D_Emissions'!$F$196</t>
  </si>
  <si>
    <t>D_Emissions'!$E$197</t>
  </si>
  <si>
    <t>D_Emissions'!$E$202</t>
  </si>
  <si>
    <t>D_Emissions'!$E$203</t>
  </si>
  <si>
    <t>D_Emissions'!$E$208</t>
  </si>
  <si>
    <t>D_Emissions'!$E$209</t>
  </si>
  <si>
    <t>D_Emissions'!$E$219</t>
  </si>
  <si>
    <t>D_Emissions'!$E$220</t>
  </si>
  <si>
    <t>D_Emissions'!$E$214; 'D_Emissions'!$E$225</t>
  </si>
  <si>
    <t>D_Emissions'!$E$226</t>
  </si>
  <si>
    <t>D_Emissions'!$E$227</t>
  </si>
  <si>
    <t>D_Emissions'!$E$232</t>
  </si>
  <si>
    <t>D_Emissions'!$E$241</t>
  </si>
  <si>
    <t>D_Emissions'!$E$246</t>
  </si>
  <si>
    <t>D_Emissions'!$E$129; 'D_Emissions'!$E$247</t>
  </si>
  <si>
    <t>D_Emissions'!$E$248</t>
  </si>
  <si>
    <t>D_Emissions'!$D$199; 'D_Emissions'!$D$253</t>
  </si>
  <si>
    <t>D_Emissions'!$E$201; 'D_Emissions'!$E$257</t>
  </si>
  <si>
    <t>D_Emissions'!$E$205; 'D_Emissions'!$E$259</t>
  </si>
  <si>
    <t>D_Emissions'!$E$207; 'D_Emissions'!$E$261</t>
  </si>
  <si>
    <t>D_Emissions'!$E$213; 'D_Emissions'!$E$266</t>
  </si>
  <si>
    <t>D_Emissions'!$E$216; 'D_Emissions'!$E$269</t>
  </si>
  <si>
    <t>D_Emissions'!$E$218; 'D_Emissions'!$E$271</t>
  </si>
  <si>
    <t>D_Emissions'!$E$224; 'D_Emissions'!$E$276</t>
  </si>
  <si>
    <t>D_Emissions'!$E$231; 'D_Emissions'!$E$281</t>
  </si>
  <si>
    <t>D_Emissions'!$E$236; 'D_Emissions'!$E$285</t>
  </si>
  <si>
    <t>D_Emissions'!$E$237; 'D_Emissions'!$E$287</t>
  </si>
  <si>
    <t>D_Emissions'!$J$237; 'D_Emissions'!$J$287</t>
  </si>
  <si>
    <t>D_Emissions'!$M$237; 'D_Emissions'!$M$287</t>
  </si>
  <si>
    <t>D_Emissions'!$E$238; 'D_Emissions'!$E$288</t>
  </si>
  <si>
    <t>D_Emissions'!$E$240; 'D_Emissions'!$E$290</t>
  </si>
  <si>
    <t>D_Emissions'!$E$222; 'D_Emissions'!$E$229; 'D_Emissions'!$E$243; 'D_Emissions'!$E$274; 'D_Emissions'!$E$279; 'D_Emissions'!$E$293</t>
  </si>
  <si>
    <t>D_Emissions'!$E$245; 'D_Emissions'!$E$295</t>
  </si>
  <si>
    <t>D_Emissions'!$E$250; 'D_Emissions'!$E$298</t>
  </si>
  <si>
    <t>E_EnergyFlows'!$B$2</t>
  </si>
  <si>
    <t>E_EnergyFlows'!$G$3</t>
  </si>
  <si>
    <t>E_EnergyFlows'!$K$3</t>
  </si>
  <si>
    <t>E_EnergyFlows'!$M$3</t>
  </si>
  <si>
    <t>E_EnergyFlows'!$D$6</t>
  </si>
  <si>
    <t>E_EnergyFlows'!$D$8</t>
  </si>
  <si>
    <t>E_EnergyFlows'!$D$10</t>
  </si>
  <si>
    <t>E_EnergyFlows'!$E$13</t>
  </si>
  <si>
    <t>D_Emissions'!$E$24; 'D_Emissions'!$E$44; 'D_Emissions'!$E$59; 'E_EnergyFlows'!$E$16</t>
  </si>
  <si>
    <t>E_EnergyFlows'!$E$18</t>
  </si>
  <si>
    <t>E_EnergyFlows'!$E$19</t>
  </si>
  <si>
    <t>E_EnergyFlows'!$E$22</t>
  </si>
  <si>
    <t>E_EnergyFlows'!$E$23</t>
  </si>
  <si>
    <t>E_EnergyFlows'!$F$24</t>
  </si>
  <si>
    <t>E_EnergyFlows'!$F$25</t>
  </si>
  <si>
    <t>E_EnergyFlows'!$F$26</t>
  </si>
  <si>
    <t>E_EnergyFlows'!$E$28</t>
  </si>
  <si>
    <t>E_EnergyFlows'!$E$29</t>
  </si>
  <si>
    <t>E_EnergyFlows'!$E$30</t>
  </si>
  <si>
    <t>E_EnergyFlows'!$E$31</t>
  </si>
  <si>
    <t>E_EnergyFlows'!$E$33</t>
  </si>
  <si>
    <t>E_EnergyFlows'!$E$34</t>
  </si>
  <si>
    <t>E_EnergyFlows'!$E$35</t>
  </si>
  <si>
    <t>E_EnergyFlows'!$F$27; 'E_EnergyFlows'!$E$38</t>
  </si>
  <si>
    <t>E_EnergyFlows'!$E$39</t>
  </si>
  <si>
    <t>E_EnergyFlows'!$E$41</t>
  </si>
  <si>
    <t>E_EnergyFlows'!$D$53</t>
  </si>
  <si>
    <t>E_EnergyFlows'!$E$55</t>
  </si>
  <si>
    <t>E_EnergyFlows'!$E$57</t>
  </si>
  <si>
    <t>E_EnergyFlows'!$E$59</t>
  </si>
  <si>
    <t>E_EnergyFlows'!$D$64</t>
  </si>
  <si>
    <t>E_EnergyFlows'!$D$65</t>
  </si>
  <si>
    <t>E_EnergyFlows'!$D$66</t>
  </si>
  <si>
    <t>E_EnergyFlows'!$E$67</t>
  </si>
  <si>
    <t>E_EnergyFlows'!$E$68</t>
  </si>
  <si>
    <t>E_EnergyFlows'!$D$69</t>
  </si>
  <si>
    <t>E_EnergyFlows'!$E$70</t>
  </si>
  <si>
    <t>E_EnergyFlows'!$E$71</t>
  </si>
  <si>
    <t>E_EnergyFlows'!$E$72</t>
  </si>
  <si>
    <t>E_EnergyFlows'!$E$73</t>
  </si>
  <si>
    <t>E_EnergyFlows'!$E$74</t>
  </si>
  <si>
    <t>E_EnergyFlows'!$E$75</t>
  </si>
  <si>
    <t>E_EnergyFlows'!$E$76</t>
  </si>
  <si>
    <t>E_EnergyFlows'!$E$78</t>
  </si>
  <si>
    <t>E_EnergyFlows'!$E$80</t>
  </si>
  <si>
    <t>E_EnergyFlows'!$D$62; 'E_EnergyFlows'!$E$81</t>
  </si>
  <si>
    <t>E_EnergyFlows'!$E$82</t>
  </si>
  <si>
    <t>E_EnergyFlows'!$E$86</t>
  </si>
  <si>
    <t>E_EnergyFlows'!$E$95</t>
  </si>
  <si>
    <t>E_EnergyFlows'!$E$96</t>
  </si>
  <si>
    <t>E_EnergyFlows'!$E$97</t>
  </si>
  <si>
    <t>E_EnergyFlows'!$E$104</t>
  </si>
  <si>
    <t>E_EnergyFlows'!$E$105</t>
  </si>
  <si>
    <t>E_EnergyFlows'!$E$107</t>
  </si>
  <si>
    <t>E_EnergyFlows'!$E$109</t>
  </si>
  <si>
    <t>E_EnergyFlows'!$E$110</t>
  </si>
  <si>
    <t>E_EnergyFlows'!$E$112</t>
  </si>
  <si>
    <t>E_EnergyFlows'!$E$113</t>
  </si>
  <si>
    <t>E_EnergyFlows'!$E$114</t>
  </si>
  <si>
    <t>E_EnergyFlows'!$E$116</t>
  </si>
  <si>
    <t>E_EnergyFlows'!$E$118</t>
  </si>
  <si>
    <t>E_EnergyFlows'!$E$119</t>
  </si>
  <si>
    <t>E_EnergyFlows'!$E$120</t>
  </si>
  <si>
    <t>E_EnergyFlows'!$E$121</t>
  </si>
  <si>
    <t>E_EnergyFlows'!$E$123</t>
  </si>
  <si>
    <t>E_EnergyFlows'!$E$124</t>
  </si>
  <si>
    <t>E_EnergyFlows'!$E$125</t>
  </si>
  <si>
    <t>E_EnergyFlows'!$E$127</t>
  </si>
  <si>
    <t>E_EnergyFlows'!$E$129</t>
  </si>
  <si>
    <t>E_EnergyFlows'!$E$131</t>
  </si>
  <si>
    <t>E_EnergyFlows'!$E$132</t>
  </si>
  <si>
    <t>E_EnergyFlows'!$E$133</t>
  </si>
  <si>
    <t>E_EnergyFlows'!$E$147</t>
  </si>
  <si>
    <t>E_EnergyFlows'!$E$128; 'E_EnergyFlows'!$E$148</t>
  </si>
  <si>
    <t>E_EnergyFlows'!$E$150</t>
  </si>
  <si>
    <t>E_EnergyFlows'!$E$151</t>
  </si>
  <si>
    <t>E_EnergyFlows'!$E$152</t>
  </si>
  <si>
    <t>E_EnergyFlows'!$E$154</t>
  </si>
  <si>
    <t>E_EnergyFlows'!$E$155</t>
  </si>
  <si>
    <t>E_EnergyFlows'!$E$157</t>
  </si>
  <si>
    <t>E_EnergyFlows'!$E$158</t>
  </si>
  <si>
    <t>E_EnergyFlows'!$E$160</t>
  </si>
  <si>
    <t>E_EnergyFlows'!$E$161</t>
  </si>
  <si>
    <t>E_EnergyFlows'!$E$89; 'E_EnergyFlows'!$E$163</t>
  </si>
  <si>
    <t>E_EnergyFlows'!$E$169</t>
  </si>
  <si>
    <t>E_EnergyFlows'!$E$171</t>
  </si>
  <si>
    <t>E_EnergyFlows'!$E$173</t>
  </si>
  <si>
    <t>E_EnergyFlows'!$E$176</t>
  </si>
  <si>
    <t>E_EnergyFlows'!$E$178</t>
  </si>
  <si>
    <t>E_EnergyFlows'!$E$179</t>
  </si>
  <si>
    <t>E_EnergyFlows'!$E$180</t>
  </si>
  <si>
    <t>E_EnergyFlows'!$E$181</t>
  </si>
  <si>
    <t>E_EnergyFlows'!$E$183</t>
  </si>
  <si>
    <t>E_EnergyFlows'!$E$184</t>
  </si>
  <si>
    <t>E_EnergyFlows'!$E$186</t>
  </si>
  <si>
    <t>E_EnergyFlows'!$E$187</t>
  </si>
  <si>
    <t>E_EnergyFlows'!$E$188</t>
  </si>
  <si>
    <t>E_EnergyFlows'!$E$190</t>
  </si>
  <si>
    <t>E_EnergyFlows'!$E$193</t>
  </si>
  <si>
    <t>E_EnergyFlows'!$E$199</t>
  </si>
  <si>
    <t>E_EnergyFlows'!$E$201</t>
  </si>
  <si>
    <t>E_EnergyFlows'!$E$202</t>
  </si>
  <si>
    <t>E_EnergyFlows'!$E$203</t>
  </si>
  <si>
    <t>E_EnergyFlows'!$E$205</t>
  </si>
  <si>
    <t>E_EnergyFlows'!$E$206</t>
  </si>
  <si>
    <t>E_EnergyFlows'!$E$208</t>
  </si>
  <si>
    <t>E_EnergyFlows'!$E$209</t>
  </si>
  <si>
    <t>E_EnergyFlows'!$E$211</t>
  </si>
  <si>
    <t>E_EnergyFlows'!$E$212</t>
  </si>
  <si>
    <t>E_EnergyFlows'!$E$213</t>
  </si>
  <si>
    <t>E_EnergyFlows'!$E$215</t>
  </si>
  <si>
    <t>E_EnergyFlows'!$E$217</t>
  </si>
  <si>
    <t>E_EnergyFlows'!$E$218</t>
  </si>
  <si>
    <t>E_EnergyFlows'!$E$20; 'E_EnergyFlows'!$E$219</t>
  </si>
  <si>
    <t>E_EnergyFlows'!$E$221</t>
  </si>
  <si>
    <t>E_EnergyFlows'!$E$222</t>
  </si>
  <si>
    <t>E_EnergyFlows'!$E$223</t>
  </si>
  <si>
    <t>E_EnergyFlows'!$E$224</t>
  </si>
  <si>
    <t>E_EnergyFlows'!$E$230</t>
  </si>
  <si>
    <t>E_EnergyFlows'!$D$235</t>
  </si>
  <si>
    <t>E_EnergyFlows'!$D$237</t>
  </si>
  <si>
    <t>E_EnergyFlows'!$D$238</t>
  </si>
  <si>
    <t>E_EnergyFlows'!$D$239</t>
  </si>
  <si>
    <t>E_EnergyFlows'!$E$241</t>
  </si>
  <si>
    <t>E_EnergyFlows'!$E$243</t>
  </si>
  <si>
    <t>E_EnergyFlows'!$E$245</t>
  </si>
  <si>
    <t>E_EnergyFlows'!$E$246</t>
  </si>
  <si>
    <t>E_EnergyFlows'!$E$260</t>
  </si>
  <si>
    <t>E_EnergyFlows'!$E$261</t>
  </si>
  <si>
    <t>E_EnergyFlows'!$E$262</t>
  </si>
  <si>
    <t>E_EnergyFlows'!$E$263</t>
  </si>
  <si>
    <t>E_EnergyFlows'!$E$264</t>
  </si>
  <si>
    <t>E_EnergyFlows'!$E$265</t>
  </si>
  <si>
    <t>E_EnergyFlows'!$E$268</t>
  </si>
  <si>
    <t>E_EnergyFlows'!$E$269</t>
  </si>
  <si>
    <t>E_EnergyFlows'!$E$271</t>
  </si>
  <si>
    <t>E_EnergyFlows'!$E$273</t>
  </si>
  <si>
    <t>E_EnergyFlows'!$E$280</t>
  </si>
  <si>
    <t>E_EnergyFlows'!$E$87; 'E_EnergyFlows'!$E$162; 'E_EnergyFlows'!$E$191; 'E_EnergyFlows'!$E$272; 'E_EnergyFlows'!$E$281</t>
  </si>
  <si>
    <t>A_InstallationData'!$F$295; 'E_EnergyFlows'!$E$98; 'E_EnergyFlows'!$E$274; 'E_EnergyFlows'!$E$282</t>
  </si>
  <si>
    <t>E_EnergyFlows'!$E$288</t>
  </si>
  <si>
    <t>E_EnergyFlows'!$E$289</t>
  </si>
  <si>
    <t>E_EnergyFlows'!$E$291</t>
  </si>
  <si>
    <t>E_EnergyFlows'!$E$292</t>
  </si>
  <si>
    <t>E_EnergyFlows'!$E$293</t>
  </si>
  <si>
    <t>E_EnergyFlows'!$E$306</t>
  </si>
  <si>
    <t>E_EnergyFlows'!$E$307</t>
  </si>
  <si>
    <t>E_EnergyFlows'!$E$308</t>
  </si>
  <si>
    <t>E_EnergyFlows'!$E$311</t>
  </si>
  <si>
    <t>E_EnergyFlows'!$E$316</t>
  </si>
  <si>
    <t>E_EnergyFlows'!$E$317</t>
  </si>
  <si>
    <t>E_EnergyFlows'!$E$319</t>
  </si>
  <si>
    <t>E_EnergyFlows'!$E$320</t>
  </si>
  <si>
    <t>E_EnergyFlows'!$E$321</t>
  </si>
  <si>
    <t>E_EnergyFlows'!$E$333</t>
  </si>
  <si>
    <t>E_EnergyFlows'!$E$93; 'E_EnergyFlows'!$E$102; 'E_EnergyFlows'!$E$145; 'E_EnergyFlows'!$E$258; 'E_EnergyFlows'!$E$266; 'E_EnergyFlows'!$E$278; 'E_EnergyFlows'!$E$286; 'E_EnergyFlows'!$E$304; 'E_EnergyFlows'!$E$314; 'E_EnergyFlows'!$E$334</t>
  </si>
  <si>
    <t>E_EnergyFlows'!$E$336</t>
  </si>
  <si>
    <t>E_EnergyFlows'!$E$337</t>
  </si>
  <si>
    <t>E_EnergyFlows'!$E$338</t>
  </si>
  <si>
    <t>E_EnergyFlows'!$E$339</t>
  </si>
  <si>
    <t>E_EnergyFlows'!$G$4; 'E_EnergyFlows'!$D$341</t>
  </si>
  <si>
    <t>E_EnergyFlows'!$D$343</t>
  </si>
  <si>
    <t>E_EnergyFlows'!$E$345</t>
  </si>
  <si>
    <t>E_EnergyFlows'!$E$346</t>
  </si>
  <si>
    <t>E_EnergyFlows'!$E$348</t>
  </si>
  <si>
    <t>E_EnergyFlows'!$E$349</t>
  </si>
  <si>
    <t>E_EnergyFlows'!$E$351</t>
  </si>
  <si>
    <t>E_EnergyFlows'!$E$352</t>
  </si>
  <si>
    <t>E_EnergyFlows'!$E$354</t>
  </si>
  <si>
    <t>E_EnergyFlows'!$E$355</t>
  </si>
  <si>
    <t>E_EnergyFlows'!$E$357</t>
  </si>
  <si>
    <t>E_EnergyFlows'!$E$358</t>
  </si>
  <si>
    <t>E_EnergyFlows'!$E$360</t>
  </si>
  <si>
    <t>E_EnergyFlows'!$E$361</t>
  </si>
  <si>
    <t>E_EnergyFlows'!$E$363</t>
  </si>
  <si>
    <t>E_EnergyFlows'!$E$364</t>
  </si>
  <si>
    <t>E_EnergyFlows'!$E$366</t>
  </si>
  <si>
    <t>E_EnergyFlows'!$E$367</t>
  </si>
  <si>
    <t>E_EnergyFlows'!$E$368</t>
  </si>
  <si>
    <t>F_ProductBM'!$B$2</t>
  </si>
  <si>
    <t>F_ProductBM'!$D$7</t>
  </si>
  <si>
    <t>F_ProductBM'!$E$9</t>
  </si>
  <si>
    <t>E_EnergyFlows'!$E$56; 'F_ProductBM'!$E$14</t>
  </si>
  <si>
    <t>F_ProductBM'!$F$16</t>
  </si>
  <si>
    <t>F_ProductBM'!$F$17</t>
  </si>
  <si>
    <t>F_ProductBM'!$E$20</t>
  </si>
  <si>
    <t>F_ProductBM'!$E$21</t>
  </si>
  <si>
    <t>F_ProductBM'!$E$22</t>
  </si>
  <si>
    <t>F_ProductBM'!$E$23</t>
  </si>
  <si>
    <t>F_ProductBM'!$E$31</t>
  </si>
  <si>
    <t>F_ProductBM'!$E$36</t>
  </si>
  <si>
    <t>F_ProductBM'!$E$37</t>
  </si>
  <si>
    <t>F_ProductBM'!$E$38</t>
  </si>
  <si>
    <t>F_ProductBM'!$E$47</t>
  </si>
  <si>
    <t>F_ProductBM'!$E$48</t>
  </si>
  <si>
    <t>F_ProductBM'!$E$49</t>
  </si>
  <si>
    <t>F_ProductBM'!$E$50</t>
  </si>
  <si>
    <t>F_ProductBM'!$E$54</t>
  </si>
  <si>
    <t>F_ProductBM'!$E$59</t>
  </si>
  <si>
    <t>F_ProductBM'!$E$93</t>
  </si>
  <si>
    <t>F_ProductBM'!$F$94</t>
  </si>
  <si>
    <t>F_ProductBM'!$F$95</t>
  </si>
  <si>
    <t>F_ProductBM'!$F$96</t>
  </si>
  <si>
    <t>F_ProductBM'!$F$97</t>
  </si>
  <si>
    <t>F_ProductBM'!$F$98</t>
  </si>
  <si>
    <t>F_ProductBM'!$F$99</t>
  </si>
  <si>
    <t>F_ProductBM'!$F$100</t>
  </si>
  <si>
    <t>F_ProductBM'!$E$105</t>
  </si>
  <si>
    <t>F_ProductBM'!$E$106</t>
  </si>
  <si>
    <t>F_ProductBM'!$E$115</t>
  </si>
  <si>
    <t>F_ProductBM'!$E$116</t>
  </si>
  <si>
    <t>F_ProductBM'!$E$117</t>
  </si>
  <si>
    <t>F_ProductBM'!$E$118</t>
  </si>
  <si>
    <t>F_ProductBM'!$E$119</t>
  </si>
  <si>
    <t>F_ProductBM'!$E$121</t>
  </si>
  <si>
    <t>F_ProductBM'!$E$148</t>
  </si>
  <si>
    <t>F_ProductBM'!$E$149</t>
  </si>
  <si>
    <t>F_ProductBM'!$E$155</t>
  </si>
  <si>
    <t>F_ProductBM'!$E$156</t>
  </si>
  <si>
    <t>F_ProductBM'!$E$157</t>
  </si>
  <si>
    <t>F_ProductBM'!$E$158</t>
  </si>
  <si>
    <t>F_ProductBM'!$E$164</t>
  </si>
  <si>
    <t>F_ProductBM'!$E$174</t>
  </si>
  <si>
    <t>F_ProductBM'!$E$176</t>
  </si>
  <si>
    <t>F_ProductBM'!$E$185</t>
  </si>
  <si>
    <t>F_ProductBM'!$E$194</t>
  </si>
  <si>
    <t>F_ProductBM'!$E$195</t>
  </si>
  <si>
    <t>F_ProductBM'!$E$196</t>
  </si>
  <si>
    <t>F_ProductBM'!$E$205</t>
  </si>
  <si>
    <t>F_ProductBM'!$E$204; 'F_ProductBM'!$E$213</t>
  </si>
  <si>
    <t>F_ProductBM'!$E$214</t>
  </si>
  <si>
    <t>F_ProductBM'!$E$222</t>
  </si>
  <si>
    <t>F_ProductBM'!$E$223</t>
  </si>
  <si>
    <t>F_ProductBM'!$E$228</t>
  </si>
  <si>
    <t>F_ProductBM'!$E$229</t>
  </si>
  <si>
    <t>F_ProductBM'!$E$230</t>
  </si>
  <si>
    <t>F_ProductBM'!$E$234</t>
  </si>
  <si>
    <t>F_ProductBM'!$E$235</t>
  </si>
  <si>
    <t>F_ProductBM'!$E$247</t>
  </si>
  <si>
    <t>F_ProductBM'!$E$25; 'F_ProductBM'!$E$258; 'F_ProductBM'!$E$438; 'F_ProductBM'!$E$618; 'F_ProductBM'!$E$798; 'F_ProductBM'!$E$978; 'F_ProductBM'!$E$1158; 'F_ProductBM'!$E$1338; 'F_ProductBM'!$E$1518; 'F_ProductBM'!$E$1698</t>
  </si>
  <si>
    <t>F_ProductBM'!$E$27; 'F_ProductBM'!$E$260; 'F_ProductBM'!$E$440; 'F_ProductBM'!$E$620; 'F_ProductBM'!$E$800; 'F_ProductBM'!$E$980; 'F_ProductBM'!$E$1160; 'F_ProductBM'!$E$1340; 'F_ProductBM'!$E$1520; 'F_ProductBM'!$E$1700</t>
  </si>
  <si>
    <t>F_ProductBM'!$E$28; 'F_ProductBM'!$E$261; 'F_ProductBM'!$E$441; 'F_ProductBM'!$E$621; 'F_ProductBM'!$E$801; 'F_ProductBM'!$E$981; 'F_ProductBM'!$E$1161; 'F_ProductBM'!$E$1341; 'F_ProductBM'!$E$1521; 'F_ProductBM'!$E$1701</t>
  </si>
  <si>
    <t>F_ProductBM'!$E$30; 'F_ProductBM'!$E$263; 'F_ProductBM'!$E$443; 'F_ProductBM'!$E$623; 'F_ProductBM'!$E$803; 'F_ProductBM'!$E$983; 'F_ProductBM'!$E$1163; 'F_ProductBM'!$E$1343; 'F_ProductBM'!$E$1523; 'F_ProductBM'!$E$1703</t>
  </si>
  <si>
    <t>F_ProductBM'!$D$33; 'F_ProductBM'!$D$265; 'F_ProductBM'!$D$445; 'F_ProductBM'!$D$625; 'F_ProductBM'!$D$805; 'F_ProductBM'!$D$985; 'F_ProductBM'!$D$1165; 'F_ProductBM'!$D$1345; 'F_ProductBM'!$D$1525; 'F_ProductBM'!$D$1705</t>
  </si>
  <si>
    <t>F_ProductBM'!$E$35; 'F_ProductBM'!$E$267; 'F_ProductBM'!$E$447; 'F_ProductBM'!$E$627; 'F_ProductBM'!$E$807; 'F_ProductBM'!$E$987; 'F_ProductBM'!$E$1167; 'F_ProductBM'!$E$1347; 'F_ProductBM'!$E$1527; 'F_ProductBM'!$E$1707</t>
  </si>
  <si>
    <t>F_ProductBM'!$E$41; 'F_ProductBM'!$E$270; 'F_ProductBM'!$E$450; 'F_ProductBM'!$E$630; 'F_ProductBM'!$E$810; 'F_ProductBM'!$E$990; 'F_ProductBM'!$E$1170; 'F_ProductBM'!$E$1350; 'F_ProductBM'!$E$1530; 'F_ProductBM'!$E$1710</t>
  </si>
  <si>
    <t>F_ProductBM'!$E$44; 'F_ProductBM'!$E$273; 'F_ProductBM'!$E$453; 'F_ProductBM'!$E$633; 'F_ProductBM'!$E$813; 'F_ProductBM'!$E$993; 'F_ProductBM'!$E$1173; 'F_ProductBM'!$E$1353; 'F_ProductBM'!$E$1533; 'F_ProductBM'!$E$1713</t>
  </si>
  <si>
    <t>F_ProductBM'!$E$46; 'F_ProductBM'!$E$275; 'F_ProductBM'!$E$455; 'F_ProductBM'!$E$635; 'F_ProductBM'!$E$815; 'F_ProductBM'!$E$995; 'F_ProductBM'!$E$1175; 'F_ProductBM'!$E$1355; 'F_ProductBM'!$E$1535; 'F_ProductBM'!$E$1715</t>
  </si>
  <si>
    <t>F_ProductBM'!$E$52; 'F_ProductBM'!$E$278; 'F_ProductBM'!$E$458; 'F_ProductBM'!$E$638; 'F_ProductBM'!$E$818; 'F_ProductBM'!$E$998; 'F_ProductBM'!$E$1178; 'F_ProductBM'!$E$1358; 'F_ProductBM'!$E$1538; 'F_ProductBM'!$E$1718</t>
  </si>
  <si>
    <t>F_ProductBM'!$E$53; 'F_ProductBM'!$E$279; 'F_ProductBM'!$E$459; 'F_ProductBM'!$E$639; 'F_ProductBM'!$E$819; 'F_ProductBM'!$E$999; 'F_ProductBM'!$E$1179; 'F_ProductBM'!$E$1359; 'F_ProductBM'!$E$1539; 'F_ProductBM'!$E$1719</t>
  </si>
  <si>
    <t>F_ProductBM'!$E$280; 'F_ProductBM'!$E$460; 'F_ProductBM'!$E$640; 'F_ProductBM'!$E$820; 'F_ProductBM'!$E$1000; 'F_ProductBM'!$E$1180; 'F_ProductBM'!$E$1360; 'F_ProductBM'!$E$1540; 'F_ProductBM'!$E$1720</t>
  </si>
  <si>
    <t>F_ProductBM'!$E$58; 'F_ProductBM'!$E$284; 'F_ProductBM'!$E$464; 'F_ProductBM'!$E$644; 'F_ProductBM'!$E$824; 'F_ProductBM'!$E$1004; 'F_ProductBM'!$E$1184; 'F_ProductBM'!$E$1364; 'F_ProductBM'!$E$1544; 'F_ProductBM'!$E$1724</t>
  </si>
  <si>
    <t>F_ProductBM'!$E$64; 'F_ProductBM'!$E$288; 'F_ProductBM'!$E$468; 'F_ProductBM'!$E$648; 'F_ProductBM'!$E$828; 'F_ProductBM'!$E$1008; 'F_ProductBM'!$E$1188; 'F_ProductBM'!$E$1368; 'F_ProductBM'!$E$1548; 'F_ProductBM'!$E$1728</t>
  </si>
  <si>
    <t>F_ProductBM'!$F$66; 'F_ProductBM'!$F$290; 'F_ProductBM'!$F$470; 'F_ProductBM'!$F$650; 'F_ProductBM'!$F$830; 'F_ProductBM'!$F$1010; 'F_ProductBM'!$F$1190; 'F_ProductBM'!$F$1370; 'F_ProductBM'!$F$1550; 'F_ProductBM'!$F$1730</t>
  </si>
  <si>
    <t>F_ProductBM'!$E$91; 'F_ProductBM'!$E$310; 'F_ProductBM'!$E$490; 'F_ProductBM'!$E$670; 'F_ProductBM'!$E$850; 'F_ProductBM'!$E$1030; 'F_ProductBM'!$E$1210; 'F_ProductBM'!$E$1390; 'F_ProductBM'!$E$1570; 'F_ProductBM'!$E$1750</t>
  </si>
  <si>
    <t>F_ProductBM'!$E$101; 'F_ProductBM'!$E$312; 'F_ProductBM'!$E$492; 'F_ProductBM'!$E$672; 'F_ProductBM'!$E$852; 'F_ProductBM'!$E$1032; 'F_ProductBM'!$E$1212; 'F_ProductBM'!$E$1392; 'F_ProductBM'!$E$1572; 'F_ProductBM'!$E$1752</t>
  </si>
  <si>
    <t>F_ProductBM'!$E$113; 'F_ProductBM'!$E$320; 'F_ProductBM'!$E$500; 'F_ProductBM'!$E$680; 'F_ProductBM'!$E$860; 'F_ProductBM'!$E$1040; 'F_ProductBM'!$E$1220; 'F_ProductBM'!$E$1400; 'F_ProductBM'!$E$1580; 'F_ProductBM'!$E$1760</t>
  </si>
  <si>
    <t>F_ProductBM'!$E$120; 'F_ProductBM'!$E$321; 'F_ProductBM'!$E$501; 'F_ProductBM'!$E$681; 'F_ProductBM'!$E$861; 'F_ProductBM'!$E$1041; 'F_ProductBM'!$E$1221; 'F_ProductBM'!$E$1401; 'F_ProductBM'!$E$1581; 'F_ProductBM'!$E$1761</t>
  </si>
  <si>
    <t>F_ProductBM'!$E$122; 'F_ProductBM'!$E$323; 'F_ProductBM'!$E$503; 'F_ProductBM'!$E$683; 'F_ProductBM'!$E$863; 'F_ProductBM'!$E$1043; 'F_ProductBM'!$E$1223; 'F_ProductBM'!$E$1403; 'F_ProductBM'!$E$1583; 'F_ProductBM'!$E$1763</t>
  </si>
  <si>
    <t>F_ProductBM'!$E$134; 'F_ProductBM'!$E$335; 'F_ProductBM'!$E$515; 'F_ProductBM'!$E$695; 'F_ProductBM'!$E$875; 'F_ProductBM'!$E$1055; 'F_ProductBM'!$E$1235; 'F_ProductBM'!$E$1415; 'F_ProductBM'!$E$1595; 'F_ProductBM'!$E$1775</t>
  </si>
  <si>
    <t>F_ProductBM'!$E$125; 'F_ProductBM'!$E$137; 'F_ProductBM'!$E$326; 'F_ProductBM'!$E$338; 'F_ProductBM'!$E$506; 'F_ProductBM'!$E$518; 'F_ProductBM'!$E$686; 'F_ProductBM'!$E$698; 'F_ProductBM'!$E$866; 'F_ProductBM'!$E$878; 'F_ProductBM'!$E$1046; 'F_ProductBM'!$E$1058; 'F_ProductBM'!$E$1226; 'F_ProductBM'!$E$1238; 'F_ProductBM'!$E$1406; 'F_ProductBM'!$E$1418; 'F_ProductBM'!$E$1586; 'F_ProductBM'!$E$1598; 'F_ProductBM'!$E$1766; 'F_ProductBM'!$E$1778</t>
  </si>
  <si>
    <t>F_ProductBM'!$E$126; 'F_ProductBM'!$E$138; 'F_ProductBM'!$E$327; 'F_ProductBM'!$E$339; 'F_ProductBM'!$E$507; 'F_ProductBM'!$E$519; 'F_ProductBM'!$E$687; 'F_ProductBM'!$E$699; 'F_ProductBM'!$E$867; 'F_ProductBM'!$E$879; 'F_ProductBM'!$E$1047; 'F_ProductBM'!$E$1059; 'F_ProductBM'!$E$1227; 'F_ProductBM'!$E$1239; 'F_ProductBM'!$E$1407; 'F_ProductBM'!$E$1419; 'F_ProductBM'!$E$1587; 'F_ProductBM'!$E$1599; 'F_ProductBM'!$E$1767; 'F_ProductBM'!$E$1779</t>
  </si>
  <si>
    <t>F_ProductBM'!$E$127; 'F_ProductBM'!$E$139; 'F_ProductBM'!$E$328; 'F_ProductBM'!$E$340; 'F_ProductBM'!$E$508; 'F_ProductBM'!$E$520; 'F_ProductBM'!$E$688; 'F_ProductBM'!$E$700; 'F_ProductBM'!$E$868; 'F_ProductBM'!$E$880; 'F_ProductBM'!$E$1048; 'F_ProductBM'!$E$1060; 'F_ProductBM'!$E$1228; 'F_ProductBM'!$E$1240; 'F_ProductBM'!$E$1408; 'F_ProductBM'!$E$1420; 'F_ProductBM'!$E$1588; 'F_ProductBM'!$E$1600; 'F_ProductBM'!$E$1768; 'F_ProductBM'!$E$1780</t>
  </si>
  <si>
    <t>F_ProductBM'!$E$128; 'F_ProductBM'!$E$140; 'F_ProductBM'!$E$329; 'F_ProductBM'!$E$341; 'F_ProductBM'!$E$509; 'F_ProductBM'!$E$521; 'F_ProductBM'!$E$689; 'F_ProductBM'!$E$701; 'F_ProductBM'!$E$869; 'F_ProductBM'!$E$881; 'F_ProductBM'!$E$1049; 'F_ProductBM'!$E$1061; 'F_ProductBM'!$E$1229; 'F_ProductBM'!$E$1241; 'F_ProductBM'!$E$1409; 'F_ProductBM'!$E$1421; 'F_ProductBM'!$E$1589; 'F_ProductBM'!$E$1601; 'F_ProductBM'!$E$1769; 'F_ProductBM'!$E$1781</t>
  </si>
  <si>
    <t>F_ProductBM'!$E$129; 'F_ProductBM'!$E$141; 'F_ProductBM'!$E$330; 'F_ProductBM'!$E$342; 'F_ProductBM'!$E$510; 'F_ProductBM'!$E$522; 'F_ProductBM'!$E$690; 'F_ProductBM'!$E$702; 'F_ProductBM'!$E$870; 'F_ProductBM'!$E$882; 'F_ProductBM'!$E$1050; 'F_ProductBM'!$E$1062; 'F_ProductBM'!$E$1230; 'F_ProductBM'!$E$1242; 'F_ProductBM'!$E$1410; 'F_ProductBM'!$E$1422; 'F_ProductBM'!$E$1590; 'F_ProductBM'!$E$1602; 'F_ProductBM'!$E$1770; 'F_ProductBM'!$E$1782</t>
  </si>
  <si>
    <t>F_ProductBM'!$E$130; 'F_ProductBM'!$E$142; 'F_ProductBM'!$E$331; 'F_ProductBM'!$E$343; 'F_ProductBM'!$E$511; 'F_ProductBM'!$E$523; 'F_ProductBM'!$E$691; 'F_ProductBM'!$E$703; 'F_ProductBM'!$E$871; 'F_ProductBM'!$E$883; 'F_ProductBM'!$E$1051; 'F_ProductBM'!$E$1063; 'F_ProductBM'!$E$1231; 'F_ProductBM'!$E$1243; 'F_ProductBM'!$E$1411; 'F_ProductBM'!$E$1423; 'F_ProductBM'!$E$1591; 'F_ProductBM'!$E$1603; 'F_ProductBM'!$E$1771; 'F_ProductBM'!$E$1783</t>
  </si>
  <si>
    <t>F_ProductBM'!$E$131; 'F_ProductBM'!$E$143; 'F_ProductBM'!$E$332; 'F_ProductBM'!$E$344; 'F_ProductBM'!$E$512; 'F_ProductBM'!$E$524; 'F_ProductBM'!$E$692; 'F_ProductBM'!$E$704; 'F_ProductBM'!$E$872; 'F_ProductBM'!$E$884; 'F_ProductBM'!$E$1052; 'F_ProductBM'!$E$1064; 'F_ProductBM'!$E$1232; 'F_ProductBM'!$E$1244; 'F_ProductBM'!$E$1412; 'F_ProductBM'!$E$1424; 'F_ProductBM'!$E$1592; 'F_ProductBM'!$E$1604; 'F_ProductBM'!$E$1772; 'F_ProductBM'!$E$1784</t>
  </si>
  <si>
    <t>F_ProductBM'!$E$132; 'F_ProductBM'!$E$144; 'F_ProductBM'!$E$333; 'F_ProductBM'!$E$345; 'F_ProductBM'!$E$513; 'F_ProductBM'!$E$525; 'F_ProductBM'!$E$693; 'F_ProductBM'!$E$705; 'F_ProductBM'!$E$873; 'F_ProductBM'!$E$885; 'F_ProductBM'!$E$1053; 'F_ProductBM'!$E$1065; 'F_ProductBM'!$E$1233; 'F_ProductBM'!$E$1245; 'F_ProductBM'!$E$1413; 'F_ProductBM'!$E$1425; 'F_ProductBM'!$E$1593; 'F_ProductBM'!$E$1605; 'F_ProductBM'!$E$1773; 'F_ProductBM'!$E$1785</t>
  </si>
  <si>
    <t>F_ProductBM'!$E$146; 'F_ProductBM'!$E$347; 'F_ProductBM'!$E$527; 'F_ProductBM'!$E$707; 'F_ProductBM'!$E$887; 'F_ProductBM'!$E$1067; 'F_ProductBM'!$E$1247; 'F_ProductBM'!$E$1427; 'F_ProductBM'!$E$1607; 'F_ProductBM'!$E$1787</t>
  </si>
  <si>
    <t>F_ProductBM'!$E$153; 'F_ProductBM'!$E$351; 'F_ProductBM'!$E$531; 'F_ProductBM'!$E$711; 'F_ProductBM'!$E$891; 'F_ProductBM'!$E$1071; 'F_ProductBM'!$E$1251; 'F_ProductBM'!$E$1431; 'F_ProductBM'!$E$1611; 'F_ProductBM'!$E$1791</t>
  </si>
  <si>
    <t>F_ProductBM'!$E$159; 'F_ProductBM'!$E$353; 'F_ProductBM'!$E$533; 'F_ProductBM'!$E$713; 'F_ProductBM'!$E$893; 'F_ProductBM'!$E$1073; 'F_ProductBM'!$E$1253; 'F_ProductBM'!$E$1433; 'F_ProductBM'!$E$1613; 'F_ProductBM'!$E$1793</t>
  </si>
  <si>
    <t>F_ProductBM'!$E$163; 'F_ProductBM'!$E$357; 'F_ProductBM'!$E$537; 'F_ProductBM'!$E$717; 'F_ProductBM'!$E$897; 'F_ProductBM'!$E$1077; 'F_ProductBM'!$E$1257; 'F_ProductBM'!$E$1437; 'F_ProductBM'!$E$1617; 'F_ProductBM'!$E$1797</t>
  </si>
  <si>
    <t>F_ProductBM'!$E$167; 'F_ProductBM'!$E$361; 'F_ProductBM'!$E$541; 'F_ProductBM'!$E$721; 'F_ProductBM'!$E$901; 'F_ProductBM'!$E$1081; 'F_ProductBM'!$E$1261; 'F_ProductBM'!$E$1441; 'F_ProductBM'!$E$1621; 'F_ProductBM'!$E$1801</t>
  </si>
  <si>
    <t>F_ProductBM'!$E$171; 'F_ProductBM'!$E$365; 'F_ProductBM'!$E$545; 'F_ProductBM'!$E$725; 'F_ProductBM'!$E$905; 'F_ProductBM'!$E$1085; 'F_ProductBM'!$E$1265; 'F_ProductBM'!$E$1445; 'F_ProductBM'!$E$1625; 'F_ProductBM'!$E$1805</t>
  </si>
  <si>
    <t>F_ProductBM'!$E$173; 'F_ProductBM'!$E$367; 'F_ProductBM'!$E$547; 'F_ProductBM'!$E$727; 'F_ProductBM'!$E$907; 'F_ProductBM'!$E$1087; 'F_ProductBM'!$E$1267; 'F_ProductBM'!$E$1447; 'F_ProductBM'!$E$1627; 'F_ProductBM'!$E$1807</t>
  </si>
  <si>
    <t>F_ProductBM'!$E$175; 'F_ProductBM'!$E$369; 'F_ProductBM'!$E$549; 'F_ProductBM'!$E$729; 'F_ProductBM'!$E$909; 'F_ProductBM'!$E$1089; 'F_ProductBM'!$E$1269; 'F_ProductBM'!$E$1449; 'F_ProductBM'!$E$1629; 'F_ProductBM'!$E$1809</t>
  </si>
  <si>
    <t>F_ProductBM'!$E$179; 'F_ProductBM'!$E$372; 'F_ProductBM'!$E$552; 'F_ProductBM'!$E$732; 'F_ProductBM'!$E$912; 'F_ProductBM'!$E$1092; 'F_ProductBM'!$E$1272; 'F_ProductBM'!$E$1452; 'F_ProductBM'!$E$1632; 'F_ProductBM'!$E$1812</t>
  </si>
  <si>
    <t>F_ProductBM'!$E$184; 'F_ProductBM'!$E$377; 'F_ProductBM'!$E$557; 'F_ProductBM'!$E$737; 'F_ProductBM'!$E$917; 'F_ProductBM'!$E$1097; 'F_ProductBM'!$E$1277; 'F_ProductBM'!$E$1457; 'F_ProductBM'!$E$1637; 'F_ProductBM'!$E$1817</t>
  </si>
  <si>
    <t>F_ProductBM'!$E$188; 'F_ProductBM'!$E$380; 'F_ProductBM'!$E$560; 'F_ProductBM'!$E$740; 'F_ProductBM'!$E$920; 'F_ProductBM'!$E$1100; 'F_ProductBM'!$E$1280; 'F_ProductBM'!$E$1460; 'F_ProductBM'!$E$1640; 'F_ProductBM'!$E$1820</t>
  </si>
  <si>
    <t>F_ProductBM'!$E$193; 'F_ProductBM'!$E$385; 'F_ProductBM'!$E$565; 'F_ProductBM'!$E$745; 'F_ProductBM'!$E$925; 'F_ProductBM'!$E$1105; 'F_ProductBM'!$E$1285; 'F_ProductBM'!$E$1465; 'F_ProductBM'!$E$1645; 'F_ProductBM'!$E$1825</t>
  </si>
  <si>
    <t>F_ProductBM'!$E$198; 'F_ProductBM'!$E$388; 'F_ProductBM'!$E$568; 'F_ProductBM'!$E$748; 'F_ProductBM'!$E$928; 'F_ProductBM'!$E$1108; 'F_ProductBM'!$E$1288; 'F_ProductBM'!$E$1468; 'F_ProductBM'!$E$1648; 'F_ProductBM'!$E$1828</t>
  </si>
  <si>
    <t>F_ProductBM'!$E$203; 'F_ProductBM'!$E$393; 'F_ProductBM'!$E$573; 'F_ProductBM'!$E$753; 'F_ProductBM'!$E$933; 'F_ProductBM'!$E$1113; 'F_ProductBM'!$E$1293; 'F_ProductBM'!$E$1473; 'F_ProductBM'!$E$1653; 'F_ProductBM'!$E$1833</t>
  </si>
  <si>
    <t>F_ProductBM'!$E$207; 'F_ProductBM'!$E$396; 'F_ProductBM'!$E$576; 'F_ProductBM'!$E$756; 'F_ProductBM'!$E$936; 'F_ProductBM'!$E$1116; 'F_ProductBM'!$E$1296; 'F_ProductBM'!$E$1476; 'F_ProductBM'!$E$1656; 'F_ProductBM'!$E$1836</t>
  </si>
  <si>
    <t>F_ProductBM'!$E$212; 'F_ProductBM'!$E$401; 'F_ProductBM'!$E$581; 'F_ProductBM'!$E$761; 'F_ProductBM'!$E$941; 'F_ProductBM'!$E$1121; 'F_ProductBM'!$E$1301; 'F_ProductBM'!$E$1481; 'F_ProductBM'!$E$1661; 'F_ProductBM'!$E$1841</t>
  </si>
  <si>
    <t>F_ProductBM'!$E$216; 'F_ProductBM'!$E$404; 'F_ProductBM'!$E$584; 'F_ProductBM'!$E$764; 'F_ProductBM'!$E$944; 'F_ProductBM'!$E$1124; 'F_ProductBM'!$E$1304; 'F_ProductBM'!$E$1484; 'F_ProductBM'!$E$1664; 'F_ProductBM'!$E$1844</t>
  </si>
  <si>
    <t>D_Emissions'!$E$234; 'D_Emissions'!$E$283; 'F_ProductBM'!$E$180; 'F_ProductBM'!$E$189; 'F_ProductBM'!$E$199; 'F_ProductBM'!$E$208; 'F_ProductBM'!$E$217; 'F_ProductBM'!$E$373; 'F_ProductBM'!$E$381; 'F_ProductBM'!$E$389; 'F_ProductBM'!$E$397; 'F_ProductBM'!$E$405; 'F_ProductBM'!$E$553; 'F_ProductBM'!$E$561; 'F_ProductBM'!$E$569; 'F_ProductBM'!$E$577; 'F_ProductBM'!$E$585; 'F_ProductBM'!$E$733; 'F_ProductBM'!$E$741; 'F_ProductBM'!$E$749; 'F_ProductBM'!$E$757; 'F_ProductBM'!$E$765; 'F_ProductBM'!$E$913; 'F_ProductBM'!$E$921; 'F_ProductBM'!$E$929; 'F_ProductBM'!$E$937; 'F_ProductBM'!$E$945; 'F_ProductBM'!$E$1093; 'F_ProductBM'!$E$1101; 'F_ProductBM'!$E$1109; 'F_ProductBM'!$E$1117; 'F_ProductBM'!$E$1125; 'F_ProductBM'!$E$1273; 'F_ProductBM'!$E$1281; 'F_ProductBM'!$E$1289; 'F_ProductBM'!$E$1297; 'F_ProductBM'!$E$1305; 'F_ProductBM'!$E$1453; 'F_ProductBM'!$E$1461; 'F_ProductBM'!$E$1469; 'F_ProductBM'!$E$1477; 'F_ProductBM'!$E$1485; 'F_ProductBM'!$E$1633; 'F_ProductBM'!$E$1641; 'F_ProductBM'!$E$1649; 'F_ProductBM'!$E$1657; 'F_ProductBM'!$E$1665; 'F_ProductBM'!$E$1813; 'F_ProductBM'!$E$1821; 'F_ProductBM'!$E$1829; 'F_ProductBM'!$E$1837; 'F_ProductBM'!$E$1845</t>
  </si>
  <si>
    <t>D_Emissions'!$E$115; 'D_Emissions'!$E$124; 'D_Emissions'!$E$168; 'D_Emissions'!$E$173; 'F_ProductBM'!$E$221; 'F_ProductBM'!$E$409; 'F_ProductBM'!$E$589; 'F_ProductBM'!$E$769; 'F_ProductBM'!$E$949; 'F_ProductBM'!$E$1129; 'F_ProductBM'!$E$1309; 'F_ProductBM'!$E$1489; 'F_ProductBM'!$E$1669; 'F_ProductBM'!$E$1849</t>
  </si>
  <si>
    <t>F_ProductBM'!$E$233; 'F_ProductBM'!$E$416; 'F_ProductBM'!$E$596; 'F_ProductBM'!$E$776; 'F_ProductBM'!$E$956; 'F_ProductBM'!$E$1136; 'F_ProductBM'!$E$1316; 'F_ProductBM'!$E$1496; 'F_ProductBM'!$E$1676; 'F_ProductBM'!$E$1856</t>
  </si>
  <si>
    <t>F_ProductBM'!$E$236; 'F_ProductBM'!$E$417; 'F_ProductBM'!$E$597; 'F_ProductBM'!$E$777; 'F_ProductBM'!$E$957; 'F_ProductBM'!$E$1137; 'F_ProductBM'!$E$1317; 'F_ProductBM'!$E$1497; 'F_ProductBM'!$E$1677; 'F_ProductBM'!$E$1857</t>
  </si>
  <si>
    <t>F_ProductBM'!$E$238; 'F_ProductBM'!$E$419; 'F_ProductBM'!$E$599; 'F_ProductBM'!$E$779; 'F_ProductBM'!$E$959; 'F_ProductBM'!$E$1139; 'F_ProductBM'!$E$1319; 'F_ProductBM'!$E$1499; 'F_ProductBM'!$E$1679; 'F_ProductBM'!$E$1859</t>
  </si>
  <si>
    <t>F_ProductBM'!$E$242; 'F_ProductBM'!$E$423; 'F_ProductBM'!$E$603; 'F_ProductBM'!$E$783; 'F_ProductBM'!$E$963; 'F_ProductBM'!$E$1143; 'F_ProductBM'!$E$1323; 'F_ProductBM'!$E$1503; 'F_ProductBM'!$E$1683; 'F_ProductBM'!$E$1863</t>
  </si>
  <si>
    <t>F_ProductBM'!$E$246; 'F_ProductBM'!$E$427; 'F_ProductBM'!$E$607; 'F_ProductBM'!$E$787; 'F_ProductBM'!$E$967; 'F_ProductBM'!$E$1147; 'F_ProductBM'!$E$1327; 'F_ProductBM'!$E$1507; 'F_ProductBM'!$E$1687; 'F_ProductBM'!$E$1867</t>
  </si>
  <si>
    <t>G_Fall-back'!$B$2</t>
  </si>
  <si>
    <t>G_Fall-back'!$D$6</t>
  </si>
  <si>
    <t>G_Fall-back'!$E$8</t>
  </si>
  <si>
    <t>F_ProductBM'!$D$11; 'G_Fall-back'!$D$10</t>
  </si>
  <si>
    <t>G_Fall-back'!$E$14</t>
  </si>
  <si>
    <t>F_ProductBM'!$E$15; 'G_Fall-back'!$E$15</t>
  </si>
  <si>
    <t>G_Fall-back'!$F$16</t>
  </si>
  <si>
    <t>G_Fall-back'!$F$17</t>
  </si>
  <si>
    <t>G_Fall-back'!$E$21</t>
  </si>
  <si>
    <t>F_ProductBM'!$E$24; 'G_Fall-back'!$E$22</t>
  </si>
  <si>
    <t>G_Fall-back'!$F$31</t>
  </si>
  <si>
    <t>G_Fall-back'!$F$32</t>
  </si>
  <si>
    <t>F_ProductBM'!$E$60; 'G_Fall-back'!$E$33</t>
  </si>
  <si>
    <t>F_ProductBM'!$E$61; 'F_ProductBM'!$E$285; 'F_ProductBM'!$E$465; 'F_ProductBM'!$E$645; 'F_ProductBM'!$E$825; 'F_ProductBM'!$E$1005; 'F_ProductBM'!$E$1185; 'F_ProductBM'!$E$1365; 'F_ProductBM'!$E$1545; 'F_ProductBM'!$E$1725; 'G_Fall-back'!$E$34</t>
  </si>
  <si>
    <t>F_ProductBM'!$E$62; 'F_ProductBM'!$E$286; 'F_ProductBM'!$E$466; 'F_ProductBM'!$E$646; 'F_ProductBM'!$E$826; 'F_ProductBM'!$E$1006; 'F_ProductBM'!$E$1186; 'F_ProductBM'!$E$1366; 'F_ProductBM'!$E$1546; 'F_ProductBM'!$E$1726; 'G_Fall-back'!$E$35</t>
  </si>
  <si>
    <t>G_Fall-back'!$E$36</t>
  </si>
  <si>
    <t>G_Fall-back'!$E$37</t>
  </si>
  <si>
    <t>F_ProductBM'!$E$84; 'G_Fall-back'!$E$71</t>
  </si>
  <si>
    <t>F_ProductBM'!$E$85; 'G_Fall-back'!$E$72</t>
  </si>
  <si>
    <t>F_ProductBM'!$E$86; 'G_Fall-back'!$E$73</t>
  </si>
  <si>
    <t>F_ProductBM'!$E$87; 'G_Fall-back'!$E$74</t>
  </si>
  <si>
    <t>F_ProductBM'!$E$89; 'F_ProductBM'!$E$308; 'F_ProductBM'!$E$488; 'F_ProductBM'!$E$668; 'F_ProductBM'!$E$848; 'F_ProductBM'!$E$1028; 'F_ProductBM'!$E$1208; 'F_ProductBM'!$E$1388; 'F_ProductBM'!$E$1568; 'F_ProductBM'!$E$1748; 'G_Fall-back'!$E$75</t>
  </si>
  <si>
    <t>G_Fall-back'!$E$79</t>
  </si>
  <si>
    <t>G_Fall-back'!$F$81</t>
  </si>
  <si>
    <t>G_Fall-back'!$F$82</t>
  </si>
  <si>
    <t>G_Fall-back'!$F$83</t>
  </si>
  <si>
    <t>G_Fall-back'!$F$84</t>
  </si>
  <si>
    <t>G_Fall-back'!$E$89</t>
  </si>
  <si>
    <t>G_Fall-back'!$E$90</t>
  </si>
  <si>
    <t>F_ProductBM'!$E$107; 'G_Fall-back'!$E$91</t>
  </si>
  <si>
    <t>G_Fall-back'!$E$92</t>
  </si>
  <si>
    <t>G_Fall-back'!$E$93</t>
  </si>
  <si>
    <t>F_ProductBM'!$E$108; 'F_ProductBM'!$E$177; 'F_ProductBM'!$E$186; 'G_Fall-back'!$E$94</t>
  </si>
  <si>
    <t>G_Fall-back'!$E$103</t>
  </si>
  <si>
    <t>G_Fall-back'!$E$104</t>
  </si>
  <si>
    <t>G_Fall-back'!$E$110</t>
  </si>
  <si>
    <t>G_Fall-back'!$F$111</t>
  </si>
  <si>
    <t>G_Fall-back'!$F$112</t>
  </si>
  <si>
    <t>G_Fall-back'!$F$113</t>
  </si>
  <si>
    <t>G_Fall-back'!$F$114</t>
  </si>
  <si>
    <t>G_Fall-back'!$F$115</t>
  </si>
  <si>
    <t>G_Fall-back'!$E$116</t>
  </si>
  <si>
    <t>G_Fall-back'!$E$117</t>
  </si>
  <si>
    <t>F_ProductBM'!$E$352; 'F_ProductBM'!$E$532; 'F_ProductBM'!$E$712; 'F_ProductBM'!$E$892; 'F_ProductBM'!$E$1072; 'F_ProductBM'!$E$1252; 'F_ProductBM'!$E$1432; 'F_ProductBM'!$E$1612; 'F_ProductBM'!$E$1792; 'G_Fall-back'!$E$118</t>
  </si>
  <si>
    <t>G_Fall-back'!$G$39; 'G_Fall-back'!$G$157</t>
  </si>
  <si>
    <t>G_Fall-back'!$I$39; 'G_Fall-back'!$I$157</t>
  </si>
  <si>
    <t>G_Fall-back'!$E$188</t>
  </si>
  <si>
    <t>G_Fall-back'!$E$96; 'G_Fall-back'!$E$195</t>
  </si>
  <si>
    <t>G_Fall-back'!$E$20; 'G_Fall-back'!$E$149; 'G_Fall-back'!$E$238</t>
  </si>
  <si>
    <t>G_Fall-back'!$G$246</t>
  </si>
  <si>
    <t>G_Fall-back'!$E$247; 'G_Fall-back'!$E$248; 'G_Fall-back'!$E$249; 'G_Fall-back'!$E$250; 'G_Fall-back'!$E$251; 'G_Fall-back'!$E$252; 'G_Fall-back'!$E$253; 'G_Fall-back'!$E$254; 'G_Fall-back'!$E$255; 'G_Fall-back'!$E$256</t>
  </si>
  <si>
    <t>G_Fall-back'!$E$277</t>
  </si>
  <si>
    <t>G_Fall-back'!$E$193; 'G_Fall-back'!$E$282</t>
  </si>
  <si>
    <t>G_Fall-back'!$E$287</t>
  </si>
  <si>
    <t>G_Fall-back'!$E$202; 'G_Fall-back'!$E$291</t>
  </si>
  <si>
    <t>G_Fall-back'!$E$108; 'G_Fall-back'!$E$206; 'G_Fall-back'!$E$295</t>
  </si>
  <si>
    <t>G_Fall-back'!$E$207; 'G_Fall-back'!$E$296</t>
  </si>
  <si>
    <t>G_Fall-back'!$E$119; 'G_Fall-back'!$E$208; 'G_Fall-back'!$E$297</t>
  </si>
  <si>
    <t>G_Fall-back'!$E$123; 'G_Fall-back'!$E$212; 'G_Fall-back'!$E$301</t>
  </si>
  <si>
    <t>G_Fall-back'!$E$127; 'G_Fall-back'!$E$216; 'G_Fall-back'!$E$305</t>
  </si>
  <si>
    <t>G_Fall-back'!$E$131; 'G_Fall-back'!$E$220; 'G_Fall-back'!$E$309</t>
  </si>
  <si>
    <t>G_Fall-back'!$E$135; 'G_Fall-back'!$E$224; 'G_Fall-back'!$E$313</t>
  </si>
  <si>
    <t>G_Fall-back'!$E$139; 'G_Fall-back'!$E$228; 'G_Fall-back'!$E$317</t>
  </si>
  <si>
    <t>F_ProductBM'!$E$92; 'F_ProductBM'!$E$114; 'F_ProductBM'!$E$147; 'G_Fall-back'!$E$78; 'G_Fall-back'!$E$369</t>
  </si>
  <si>
    <t>G_Fall-back'!$E$370</t>
  </si>
  <si>
    <t>G_Fall-back'!$E$371</t>
  </si>
  <si>
    <t>G_Fall-back'!$E$376</t>
  </si>
  <si>
    <t>G_Fall-back'!$E$377</t>
  </si>
  <si>
    <t>F_ProductBM'!$E$154; 'G_Fall-back'!$E$109; 'G_Fall-back'!$E$387</t>
  </si>
  <si>
    <t>G_Fall-back'!$E$388</t>
  </si>
  <si>
    <t>G_Fall-back'!$E$327; 'G_Fall-back'!$E$398</t>
  </si>
  <si>
    <t>G_Fall-back'!$E$29; 'G_Fall-back'!$E$334; 'G_Fall-back'!$E$405</t>
  </si>
  <si>
    <t>G_Fall-back'!$F$30; 'G_Fall-back'!$F$335; 'G_Fall-back'!$F$406</t>
  </si>
  <si>
    <t>G_Fall-back'!$F$336; 'G_Fall-back'!$F$407</t>
  </si>
  <si>
    <t>G_Fall-back'!$E$39; 'G_Fall-back'!$E$157; 'G_Fall-back'!$E$246; 'G_Fall-back'!$E$338; 'G_Fall-back'!$E$409</t>
  </si>
  <si>
    <t>F_ProductBM'!$D$80; 'F_ProductBM'!$D$304; 'F_ProductBM'!$D$484; 'F_ProductBM'!$D$664; 'F_ProductBM'!$D$844; 'F_ProductBM'!$D$1024; 'F_ProductBM'!$D$1204; 'F_ProductBM'!$D$1384; 'F_ProductBM'!$D$1564; 'F_ProductBM'!$D$1744; 'G_Fall-back'!$D$67; 'G_Fall-back'!$D$185; 'G_Fall-back'!$D$274; 'G_Fall-back'!$D$366; 'G_Fall-back'!$D$437</t>
  </si>
  <si>
    <t>G_Fall-back'!$E$77; 'G_Fall-back'!$E$187; 'G_Fall-back'!$E$276; 'G_Fall-back'!$E$368; 'G_Fall-back'!$E$439</t>
  </si>
  <si>
    <t>G_Fall-back'!$E$440</t>
  </si>
  <si>
    <t>F_ProductBM'!$E$104; 'F_ProductBM'!$E$315; 'F_ProductBM'!$E$495; 'F_ProductBM'!$E$675; 'F_ProductBM'!$E$855; 'F_ProductBM'!$E$1035; 'F_ProductBM'!$E$1215; 'F_ProductBM'!$E$1395; 'F_ProductBM'!$E$1575; 'F_ProductBM'!$E$1755; 'G_Fall-back'!$E$88; 'G_Fall-back'!$E$192; 'G_Fall-back'!$E$281; 'G_Fall-back'!$E$375; 'G_Fall-back'!$E$444</t>
  </si>
  <si>
    <t>G_Fall-back'!$E$445</t>
  </si>
  <si>
    <t>G_Fall-back'!$E$379; 'G_Fall-back'!$E$447</t>
  </si>
  <si>
    <t>G_Fall-back'!$E$380; 'G_Fall-back'!$E$448</t>
  </si>
  <si>
    <t>G_Fall-back'!$E$99; 'G_Fall-back'!$E$198; 'G_Fall-back'!$E$382; 'G_Fall-back'!$E$450</t>
  </si>
  <si>
    <t>G_Fall-back'!$E$100; 'G_Fall-back'!$E$199; 'G_Fall-back'!$E$383; 'G_Fall-back'!$E$451</t>
  </si>
  <si>
    <t>G_Fall-back'!$E$386; 'G_Fall-back'!$E$454</t>
  </si>
  <si>
    <t>G_Fall-back'!$E$471</t>
  </si>
  <si>
    <t>G_Fall-back'!$E$51; 'G_Fall-back'!$E$169; 'G_Fall-back'!$E$258; 'G_Fall-back'!$E$350; 'G_Fall-back'!$E$421; 'G_Fall-back'!$E$485</t>
  </si>
  <si>
    <t>F_ProductBM'!$E$19; 'F_ProductBM'!$E$257; 'F_ProductBM'!$E$437; 'F_ProductBM'!$E$617; 'F_ProductBM'!$E$797; 'F_ProductBM'!$E$977; 'F_ProductBM'!$E$1157; 'F_ProductBM'!$E$1337; 'F_ProductBM'!$E$1517; 'F_ProductBM'!$E$1697; 'G_Fall-back'!$E$19; 'G_Fall-back'!$E$148; 'G_Fall-back'!$E$237; 'G_Fall-back'!$E$326; 'G_Fall-back'!$E$397; 'G_Fall-back'!$E$463; 'G_Fall-back'!$E$506</t>
  </si>
  <si>
    <t>G_Fall-back'!$E$464; 'G_Fall-back'!$E$507</t>
  </si>
  <si>
    <t>G_Fall-back'!$E$23; 'G_Fall-back'!$E$150; 'G_Fall-back'!$E$239; 'G_Fall-back'!$E$328; 'G_Fall-back'!$E$399; 'G_Fall-back'!$E$465; 'G_Fall-back'!$E$508</t>
  </si>
  <si>
    <t>F_ProductBM'!$D$56; 'F_ProductBM'!$D$282; 'F_ProductBM'!$D$462; 'F_ProductBM'!$D$642; 'F_ProductBM'!$D$822; 'F_ProductBM'!$D$1002; 'F_ProductBM'!$D$1182; 'F_ProductBM'!$D$1362; 'F_ProductBM'!$D$1542; 'F_ProductBM'!$D$1722; 'G_Fall-back'!$D$26; 'G_Fall-back'!$D$153; 'G_Fall-back'!$D$242; 'G_Fall-back'!$D$331; 'G_Fall-back'!$D$402; 'G_Fall-back'!$D$468; 'G_Fall-back'!$D$511</t>
  </si>
  <si>
    <t>G_Fall-back'!$E$28; 'G_Fall-back'!$E$155; 'G_Fall-back'!$E$244; 'G_Fall-back'!$E$333; 'G_Fall-back'!$E$404; 'G_Fall-back'!$E$470; 'G_Fall-back'!$E$513</t>
  </si>
  <si>
    <t>G_Fall-back'!$E$473; 'G_Fall-back'!$E$515</t>
  </si>
  <si>
    <t>G_Fall-back'!$E$527</t>
  </si>
  <si>
    <t>G_Fall-back'!$G$338; 'G_Fall-back'!$E$352; 'G_Fall-back'!$G$409; 'G_Fall-back'!$E$423; 'G_Fall-back'!$H$473; 'G_Fall-back'!$E$487; 'G_Fall-back'!$H$515; 'G_Fall-back'!$E$529</t>
  </si>
  <si>
    <t>F_ProductBM'!$E$77; 'F_ProductBM'!$E$301; 'F_ProductBM'!$E$481; 'F_ProductBM'!$E$661; 'F_ProductBM'!$E$841; 'F_ProductBM'!$E$1021; 'F_ProductBM'!$E$1201; 'F_ProductBM'!$E$1381; 'F_ProductBM'!$E$1561; 'F_ProductBM'!$E$1741; 'G_Fall-back'!$E$64; 'G_Fall-back'!$E$182; 'G_Fall-back'!$E$271; 'G_Fall-back'!$E$363; 'G_Fall-back'!$E$434; 'G_Fall-back'!$E$498; 'G_Fall-back'!$E$540</t>
  </si>
  <si>
    <t>H_SpecialBM'!$B$2</t>
  </si>
  <si>
    <t>H_SpecialBM'!$D$7</t>
  </si>
  <si>
    <t>H_SpecialBM'!$D$9</t>
  </si>
  <si>
    <t>H_SpecialBM'!$D$11</t>
  </si>
  <si>
    <t>H_SpecialBM'!$E$13</t>
  </si>
  <si>
    <t>H_SpecialBM'!$E$14</t>
  </si>
  <si>
    <t>H_SpecialBM'!$E$23</t>
  </si>
  <si>
    <t>H_SpecialBM'!$F$26</t>
  </si>
  <si>
    <t>H_SpecialBM'!$F$28</t>
  </si>
  <si>
    <t>H_SpecialBM'!$E$32</t>
  </si>
  <si>
    <t>H_SpecialBM'!$E$33</t>
  </si>
  <si>
    <t>H_SpecialBM'!$E$34</t>
  </si>
  <si>
    <t>H_SpecialBM'!$E$35</t>
  </si>
  <si>
    <t>H_SpecialBM'!$E$36</t>
  </si>
  <si>
    <t>H_SpecialBM'!$E$37</t>
  </si>
  <si>
    <t>H_SpecialBM'!$E$38</t>
  </si>
  <si>
    <t>H_SpecialBM'!$E$39</t>
  </si>
  <si>
    <t>H_SpecialBM'!$E$40</t>
  </si>
  <si>
    <t>H_SpecialBM'!$E$41</t>
  </si>
  <si>
    <t>H_SpecialBM'!$E$42</t>
  </si>
  <si>
    <t>H_SpecialBM'!$E$43</t>
  </si>
  <si>
    <t>H_SpecialBM'!$E$44</t>
  </si>
  <si>
    <t>H_SpecialBM'!$E$45</t>
  </si>
  <si>
    <t>H_SpecialBM'!$E$46</t>
  </si>
  <si>
    <t>H_SpecialBM'!$E$47</t>
  </si>
  <si>
    <t>H_SpecialBM'!$E$48</t>
  </si>
  <si>
    <t>H_SpecialBM'!$E$49</t>
  </si>
  <si>
    <t>H_SpecialBM'!$E$50</t>
  </si>
  <si>
    <t>H_SpecialBM'!$E$51</t>
  </si>
  <si>
    <t>H_SpecialBM'!$E$52</t>
  </si>
  <si>
    <t>H_SpecialBM'!$E$53</t>
  </si>
  <si>
    <t>H_SpecialBM'!$E$54</t>
  </si>
  <si>
    <t>H_SpecialBM'!$E$55</t>
  </si>
  <si>
    <t>H_SpecialBM'!$E$56</t>
  </si>
  <si>
    <t>H_SpecialBM'!$E$57</t>
  </si>
  <si>
    <t>H_SpecialBM'!$E$58</t>
  </si>
  <si>
    <t>H_SpecialBM'!$E$65</t>
  </si>
  <si>
    <t>H_SpecialBM'!$E$66</t>
  </si>
  <si>
    <t>H_SpecialBM'!$E$67</t>
  </si>
  <si>
    <t>H_SpecialBM'!$E$68</t>
  </si>
  <si>
    <t>H_SpecialBM'!$E$70</t>
  </si>
  <si>
    <t>H_SpecialBM'!$E$71</t>
  </si>
  <si>
    <t>H_SpecialBM'!$E$72</t>
  </si>
  <si>
    <t>H_SpecialBM'!$E$73</t>
  </si>
  <si>
    <t>H_SpecialBM'!$E$74</t>
  </si>
  <si>
    <t>H_SpecialBM'!$E$75</t>
  </si>
  <si>
    <t>H_SpecialBM'!$E$76</t>
  </si>
  <si>
    <t>H_SpecialBM'!$E$77</t>
  </si>
  <si>
    <t>H_SpecialBM'!$E$78</t>
  </si>
  <si>
    <t>H_SpecialBM'!$E$79</t>
  </si>
  <si>
    <t>H_SpecialBM'!$E$80</t>
  </si>
  <si>
    <t>H_SpecialBM'!$E$81</t>
  </si>
  <si>
    <t>H_SpecialBM'!$E$82</t>
  </si>
  <si>
    <t>H_SpecialBM'!$E$83</t>
  </si>
  <si>
    <t>H_SpecialBM'!$E$84</t>
  </si>
  <si>
    <t>H_SpecialBM'!$E$85</t>
  </si>
  <si>
    <t>H_SpecialBM'!$E$86</t>
  </si>
  <si>
    <t>H_SpecialBM'!$E$87</t>
  </si>
  <si>
    <t>H_SpecialBM'!$E$89</t>
  </si>
  <si>
    <t>H_SpecialBM'!$E$90</t>
  </si>
  <si>
    <t>H_SpecialBM'!$E$91</t>
  </si>
  <si>
    <t>H_SpecialBM'!$E$92</t>
  </si>
  <si>
    <t>H_SpecialBM'!$E$95</t>
  </si>
  <si>
    <t>H_SpecialBM'!$D$101</t>
  </si>
  <si>
    <t>H_SpecialBM'!$E$103</t>
  </si>
  <si>
    <t>H_SpecialBM'!$E$110</t>
  </si>
  <si>
    <t>H_SpecialBM'!$E$111</t>
  </si>
  <si>
    <t>H_SpecialBM'!$E$113</t>
  </si>
  <si>
    <t>H_SpecialBM'!$E$116</t>
  </si>
  <si>
    <t>H_SpecialBM'!$F$117</t>
  </si>
  <si>
    <t>H_SpecialBM'!$F$118</t>
  </si>
  <si>
    <t>H_SpecialBM'!$F$119</t>
  </si>
  <si>
    <t>H_SpecialBM'!$F$120</t>
  </si>
  <si>
    <t>H_SpecialBM'!$E$125</t>
  </si>
  <si>
    <t>H_SpecialBM'!$E$126</t>
  </si>
  <si>
    <t>H_SpecialBM'!$E$129</t>
  </si>
  <si>
    <t>H_SpecialBM'!$D$135</t>
  </si>
  <si>
    <t>H_SpecialBM'!$E$137</t>
  </si>
  <si>
    <t>H_SpecialBM'!$E$144</t>
  </si>
  <si>
    <t>H_SpecialBM'!$E$145</t>
  </si>
  <si>
    <t>H_SpecialBM'!$E$147</t>
  </si>
  <si>
    <t>H_SpecialBM'!$E$115; 'H_SpecialBM'!$E$149</t>
  </si>
  <si>
    <t>H_SpecialBM'!$E$150</t>
  </si>
  <si>
    <t>H_SpecialBM'!$F$151</t>
  </si>
  <si>
    <t>H_SpecialBM'!$F$152</t>
  </si>
  <si>
    <t>H_SpecialBM'!$F$153</t>
  </si>
  <si>
    <t>H_SpecialBM'!$F$154</t>
  </si>
  <si>
    <t>H_SpecialBM'!$E$122; 'H_SpecialBM'!$E$156</t>
  </si>
  <si>
    <t>H_SpecialBM'!$E$123; 'H_SpecialBM'!$E$157</t>
  </si>
  <si>
    <t>H_SpecialBM'!$E$159</t>
  </si>
  <si>
    <t>H_SpecialBM'!$E$160</t>
  </si>
  <si>
    <t>H_SpecialBM'!$E$163</t>
  </si>
  <si>
    <t>H_SpecialBM'!$D$169</t>
  </si>
  <si>
    <t>H_SpecialBM'!$E$171</t>
  </si>
  <si>
    <t>H_SpecialBM'!$E$178</t>
  </si>
  <si>
    <t>H_SpecialBM'!$E$179</t>
  </si>
  <si>
    <t>H_SpecialBM'!$E$181</t>
  </si>
  <si>
    <t>H_SpecialBM'!$E$183</t>
  </si>
  <si>
    <t>H_SpecialBM'!$E$184</t>
  </si>
  <si>
    <t>H_SpecialBM'!$F$185</t>
  </si>
  <si>
    <t>H_SpecialBM'!$F$186</t>
  </si>
  <si>
    <t>H_SpecialBM'!$F$187</t>
  </si>
  <si>
    <t>H_SpecialBM'!$E$188</t>
  </si>
  <si>
    <t>H_SpecialBM'!$E$193</t>
  </si>
  <si>
    <t>H_SpecialBM'!$E$194</t>
  </si>
  <si>
    <t>H_SpecialBM'!$E$197</t>
  </si>
  <si>
    <t>H_SpecialBM'!$D$199</t>
  </si>
  <si>
    <t>H_SpecialBM'!$E$201</t>
  </si>
  <si>
    <t>H_SpecialBM'!$E$202</t>
  </si>
  <si>
    <t>H_SpecialBM'!$E$203</t>
  </si>
  <si>
    <t>H_SpecialBM'!$E$205</t>
  </si>
  <si>
    <t>H_SpecialBM'!$E$206</t>
  </si>
  <si>
    <t>H_SpecialBM'!$E$207</t>
  </si>
  <si>
    <t>H_SpecialBM'!$G$207</t>
  </si>
  <si>
    <t>H_SpecialBM'!$E$190; 'H_SpecialBM'!$E$209</t>
  </si>
  <si>
    <t>H_SpecialBM'!$E$191; 'H_SpecialBM'!$E$210</t>
  </si>
  <si>
    <t>H_SpecialBM'!$E$212</t>
  </si>
  <si>
    <t>H_SpecialBM'!$E$213</t>
  </si>
  <si>
    <t>H_SpecialBM'!$E$215</t>
  </si>
  <si>
    <t>H_SpecialBM'!$D$219</t>
  </si>
  <si>
    <t>H_SpecialBM'!$D$221</t>
  </si>
  <si>
    <t>H_SpecialBM'!$E$223</t>
  </si>
  <si>
    <t>H_SpecialBM'!$E$224</t>
  </si>
  <si>
    <t>H_SpecialBM'!$E$21; 'H_SpecialBM'!$E$231</t>
  </si>
  <si>
    <t>H_SpecialBM'!$E$22; 'H_SpecialBM'!$E$232</t>
  </si>
  <si>
    <t>H_SpecialBM'!$E$233</t>
  </si>
  <si>
    <t>H_SpecialBM'!$E$24; 'H_SpecialBM'!$E$234</t>
  </si>
  <si>
    <t>H_SpecialBM'!$F$25; 'H_SpecialBM'!$F$235</t>
  </si>
  <si>
    <t>H_SpecialBM'!$F$27; 'H_SpecialBM'!$F$236</t>
  </si>
  <si>
    <t>H_SpecialBM'!$E$29; 'H_SpecialBM'!$E$237</t>
  </si>
  <si>
    <t>H_SpecialBM'!$E$31; 'H_SpecialBM'!$E$239</t>
  </si>
  <si>
    <t>H_SpecialBM'!$G$31; 'H_SpecialBM'!$G$239</t>
  </si>
  <si>
    <t>H_SpecialBM'!$H$31; 'H_SpecialBM'!$H$239</t>
  </si>
  <si>
    <t>H_SpecialBM'!$E$240</t>
  </si>
  <si>
    <t>H_SpecialBM'!$E$59; 'H_SpecialBM'!$E$241</t>
  </si>
  <si>
    <t>H_SpecialBM'!$E$61; 'H_SpecialBM'!$E$242</t>
  </si>
  <si>
    <t>H_SpecialBM'!$E$60; 'H_SpecialBM'!$E$243</t>
  </si>
  <si>
    <t>H_SpecialBM'!$E$63; 'H_SpecialBM'!$E$244</t>
  </si>
  <si>
    <t>H_SpecialBM'!$E$64; 'H_SpecialBM'!$E$245</t>
  </si>
  <si>
    <t>H_SpecialBM'!$E$62; 'H_SpecialBM'!$E$246</t>
  </si>
  <si>
    <t>H_SpecialBM'!$E$69; 'H_SpecialBM'!$E$247</t>
  </si>
  <si>
    <t>H_SpecialBM'!$E$249</t>
  </si>
  <si>
    <t>H_SpecialBM'!$E$250</t>
  </si>
  <si>
    <t>H_SpecialBM'!$E$251</t>
  </si>
  <si>
    <t>H_SpecialBM'!$E$252</t>
  </si>
  <si>
    <t>H_SpecialBM'!$E$255</t>
  </si>
  <si>
    <t>H_SpecialBM'!$D$261</t>
  </si>
  <si>
    <t>H_SpecialBM'!$E$263</t>
  </si>
  <si>
    <t>H_SpecialBM'!$E$265</t>
  </si>
  <si>
    <t>H_SpecialBM'!$E$271</t>
  </si>
  <si>
    <t>H_SpecialBM'!$E$272</t>
  </si>
  <si>
    <t>H_SpecialBM'!$E$275</t>
  </si>
  <si>
    <t>H_SpecialBM'!$E$279</t>
  </si>
  <si>
    <t>H_SpecialBM'!$E$283</t>
  </si>
  <si>
    <t>H_SpecialBM'!$E$284</t>
  </si>
  <si>
    <t>H_SpecialBM'!$E$288</t>
  </si>
  <si>
    <t>H_SpecialBM'!$D$294</t>
  </si>
  <si>
    <t>H_SpecialBM'!$E$296</t>
  </si>
  <si>
    <t>H_SpecialBM'!$E$298</t>
  </si>
  <si>
    <t>H_SpecialBM'!$E$304</t>
  </si>
  <si>
    <t>H_SpecialBM'!$E$305</t>
  </si>
  <si>
    <t>H_SpecialBM'!$E$273; 'H_SpecialBM'!$E$306</t>
  </si>
  <si>
    <t>H_SpecialBM'!$E$308</t>
  </si>
  <si>
    <t>H_SpecialBM'!$E$277; 'H_SpecialBM'!$E$310</t>
  </si>
  <si>
    <t>H_SpecialBM'!$E$278; 'H_SpecialBM'!$E$311</t>
  </si>
  <si>
    <t>H_SpecialBM'!$E$312</t>
  </si>
  <si>
    <t>H_SpecialBM'!$E$281; 'H_SpecialBM'!$E$314</t>
  </si>
  <si>
    <t>H_SpecialBM'!$E$316</t>
  </si>
  <si>
    <t>H_SpecialBM'!$E$317</t>
  </si>
  <si>
    <t>H_SpecialBM'!$E$285; 'H_SpecialBM'!$E$318</t>
  </si>
  <si>
    <t>H_SpecialBM'!$E$321</t>
  </si>
  <si>
    <t>H_SpecialBM'!$D$325</t>
  </si>
  <si>
    <t>H_SpecialBM'!$D$327</t>
  </si>
  <si>
    <t>H_SpecialBM'!$E$329</t>
  </si>
  <si>
    <t>H_SpecialBM'!$E$15; 'H_SpecialBM'!$E$104; 'H_SpecialBM'!$E$138; 'H_SpecialBM'!$E$172; 'H_SpecialBM'!$E$225; 'H_SpecialBM'!$E$264; 'H_SpecialBM'!$E$297; 'H_SpecialBM'!$E$330</t>
  </si>
  <si>
    <t>H_SpecialBM'!$E$336</t>
  </si>
  <si>
    <t>H_SpecialBM'!$E$337</t>
  </si>
  <si>
    <t>H_SpecialBM'!$E$338</t>
  </si>
  <si>
    <t>H_SpecialBM'!$E$340</t>
  </si>
  <si>
    <t>H_SpecialBM'!$E$341</t>
  </si>
  <si>
    <t>H_SpecialBM'!$E$342</t>
  </si>
  <si>
    <t>H_SpecialBM'!$E$343</t>
  </si>
  <si>
    <t>H_SpecialBM'!$E$344</t>
  </si>
  <si>
    <t>H_SpecialBM'!$E$346</t>
  </si>
  <si>
    <t>H_SpecialBM'!$E$347</t>
  </si>
  <si>
    <t>H_SpecialBM'!$E$93; 'H_SpecialBM'!$E$127; 'H_SpecialBM'!$E$161; 'H_SpecialBM'!$E$195; 'H_SpecialBM'!$E$253; 'H_SpecialBM'!$E$286; 'H_SpecialBM'!$E$319; 'H_SpecialBM'!$E$348</t>
  </si>
  <si>
    <t>H_SpecialBM'!$E$350</t>
  </si>
  <si>
    <t>H_SpecialBM'!$D$354</t>
  </si>
  <si>
    <t>H_SpecialBM'!$D$356</t>
  </si>
  <si>
    <t>H_SpecialBM'!$E$358</t>
  </si>
  <si>
    <t>H_SpecialBM'!$E$359</t>
  </si>
  <si>
    <t>H_SpecialBM'!$F$360</t>
  </si>
  <si>
    <t>H_SpecialBM'!$F$361</t>
  </si>
  <si>
    <t>H_SpecialBM'!$F$362</t>
  </si>
  <si>
    <t>H_SpecialBM'!$F$363</t>
  </si>
  <si>
    <t>H_SpecialBM'!$E$17; 'H_SpecialBM'!$E$106; 'H_SpecialBM'!$E$140; 'H_SpecialBM'!$E$174; 'H_SpecialBM'!$E$227; 'H_SpecialBM'!$E$267; 'H_SpecialBM'!$E$300; 'H_SpecialBM'!$E$332; 'H_SpecialBM'!$E$365</t>
  </si>
  <si>
    <t>H_SpecialBM'!$E$18; 'H_SpecialBM'!$E$107; 'H_SpecialBM'!$E$141; 'H_SpecialBM'!$E$175; 'H_SpecialBM'!$E$228; 'H_SpecialBM'!$E$268; 'H_SpecialBM'!$E$301; 'H_SpecialBM'!$E$333; 'H_SpecialBM'!$E$366</t>
  </si>
  <si>
    <t>H_SpecialBM'!$E$369</t>
  </si>
  <si>
    <t>H_SpecialBM'!$E$370</t>
  </si>
  <si>
    <t>F_ProductBM'!$E$39; 'F_ProductBM'!$E$51; 'F_ProductBM'!$E$268; 'F_ProductBM'!$E$277; 'F_ProductBM'!$E$448; 'F_ProductBM'!$E$457; 'F_ProductBM'!$E$628; 'F_ProductBM'!$E$637; 'F_ProductBM'!$E$808; 'F_ProductBM'!$E$817; 'F_ProductBM'!$E$988; 'F_ProductBM'!$E$997; 'F_ProductBM'!$E$1168; 'F_ProductBM'!$E$1177; 'F_ProductBM'!$E$1348; 'F_ProductBM'!$E$1357; 'F_ProductBM'!$E$1528; 'F_ProductBM'!$E$1537; 'F_ProductBM'!$E$1708; 'F_ProductBM'!$E$1717; 'H_SpecialBM'!$E$371</t>
  </si>
  <si>
    <t>H_SpecialBM'!$E$373</t>
  </si>
  <si>
    <t>H_SpecialBM'!$E$374</t>
  </si>
  <si>
    <t>F_ProductBM'!$E$43; 'F_ProductBM'!$E$272; 'F_ProductBM'!$E$452; 'F_ProductBM'!$E$632; 'F_ProductBM'!$E$812; 'F_ProductBM'!$E$992; 'F_ProductBM'!$E$1172; 'F_ProductBM'!$E$1352; 'F_ProductBM'!$E$1532; 'F_ProductBM'!$E$1712; 'G_Fall-back'!$E$85; 'G_Fall-back'!$E$189; 'G_Fall-back'!$E$278; 'G_Fall-back'!$E$372; 'G_Fall-back'!$E$441; 'H_SpecialBM'!$E$375</t>
  </si>
  <si>
    <t>H_SpecialBM'!$E$376</t>
  </si>
  <si>
    <t>I_MSspecific'!$A$1</t>
  </si>
  <si>
    <t>I_MSspecific'!$C$5</t>
  </si>
  <si>
    <t>I_MSspecific'!$C$7</t>
  </si>
  <si>
    <t>b_Guidelines &amp; conditions'!$B$92; 'A_InstallationData'!$D$322; 'D_Emissions'!$D$300; 'E_EnergyFlows'!$D$371; 'F_ProductBM'!$D$1874; 'G_Fall-back'!$D$543; 'H_SpecialBM'!$D$382; 'I_MSspecific'!$C$30</t>
  </si>
  <si>
    <t>J_Comments'!$A$1</t>
  </si>
  <si>
    <t>a_Contents'!$I$1; 'b_Guidelines &amp; conditions'!$H$1; 'A_InstallationData'!$K$2; 'B+C_Emissions_Y1'!$J$2; 'B+C_Emissions_Y2'!$J$2; 'B+C_Emissions_Y3'!$J$2; 'B+C_Emissions_Y4'!$J$2; 'B+C_Emissions_Y5'!$J$2; 'D_Emissions'!$K$2; 'E_EnergyFlows'!$K$2; 'F_ProductBM'!$K$2; 'G_Fall-back'!$K$2; 'H_SpecialBM'!$K$2; 'I_MSspecific'!$J$1; 'J_Comments'!$J$1</t>
  </si>
  <si>
    <t>a_Contents'!$K$1; 'b_Guidelines &amp; conditions'!$J$1; 'A_InstallationData'!$M$2; 'B+C_Emissions_Y1'!$L$2; 'B+C_Emissions_Y2'!$L$2; 'B+C_Emissions_Y3'!$L$2; 'B+C_Emissions_Y4'!$L$2; 'B+C_Emissions_Y5'!$L$2; 'D_Emissions'!$M$2; 'E_EnergyFlows'!$M$2; 'F_ProductBM'!$M$2; 'G_Fall-back'!$M$2; 'H_SpecialBM'!$M$2; 'I_MSspecific'!$L$1; 'J_Comments'!$L$1</t>
  </si>
  <si>
    <t>J_Comments'!$C$5</t>
  </si>
  <si>
    <t>J_Comments'!$C$7</t>
  </si>
  <si>
    <t>J_Comments'!$C$9</t>
  </si>
  <si>
    <t>J_Comments'!$C$10</t>
  </si>
  <si>
    <t>J_Comments'!$C$11</t>
  </si>
  <si>
    <t>J_Comments'!$C$12</t>
  </si>
  <si>
    <t>J_Comments'!$C$13</t>
  </si>
  <si>
    <t>J_Comments'!$C$14</t>
  </si>
  <si>
    <t>J_Comments'!$C$16</t>
  </si>
  <si>
    <t>J_Comments'!$C$24</t>
  </si>
  <si>
    <t>J_Comments'!$C$32</t>
  </si>
  <si>
    <t>J_Comments'!$C$33</t>
  </si>
  <si>
    <t>A_InstallationData'!$D$233; 'A_InstallationData'!$D$258; 'A_InstallationData'!$E$295; 'A_InstallationData'!$E$310; 'J_Comments'!$C$35</t>
  </si>
  <si>
    <t>J_Comments'!$D$35</t>
  </si>
  <si>
    <t>J_Comments'!$H$35</t>
  </si>
  <si>
    <t>J_Comments'!$K$35</t>
  </si>
  <si>
    <t>J_Comments'!$C$43</t>
  </si>
  <si>
    <t>J_Comments'!$C$17; 'J_Comments'!$C$25; 'J_Comments'!$C$44</t>
  </si>
  <si>
    <t>J_Comments'!$D$19; 'J_Comments'!$D$27; 'J_Comments'!$D$46</t>
  </si>
  <si>
    <t>J_Comments'!$F$19; 'J_Comments'!$F$27; 'J_Comments'!$F$46</t>
  </si>
  <si>
    <t>J_Comments'!$C$57</t>
  </si>
  <si>
    <t>J_Comments'!$C$59</t>
  </si>
  <si>
    <t>K_Summary'!$B$2</t>
  </si>
  <si>
    <t>a_Contents'!$B$1; 'b_Guidelines &amp; conditions'!$B$1; 'A_InstallationData'!$E$2; 'B+C_Emissions_Y1'!$E$2; 'B+C_Emissions_Y2'!$E$2; 'B+C_Emissions_Y3'!$E$2; 'B+C_Emissions_Y4'!$E$2; 'B+C_Emissions_Y5'!$E$2; 'D_Emissions'!$E$2; 'E_EnergyFlows'!$E$2; 'F_ProductBM'!$E$2; 'G_Fall-back'!$E$2; 'H_SpecialBM'!$E$2; 'I_MSspecific'!$D$1; 'J_Comments'!$D$1; 'K_Summary'!$E$2</t>
  </si>
  <si>
    <t>b_Guidelines &amp; conditions'!$D$1; 'A_InstallationData'!$G$2; 'B+C_Emissions_Y1'!$F$2; 'B+C_Emissions_Y2'!$F$2; 'B+C_Emissions_Y3'!$F$2; 'B+C_Emissions_Y4'!$F$2; 'B+C_Emissions_Y5'!$F$2; 'D_Emissions'!$G$2; 'E_EnergyFlows'!$G$2; 'F_ProductBM'!$G$2; 'G_Fall-back'!$G$2; 'H_SpecialBM'!$G$2; 'I_MSspecific'!$F$1; 'J_Comments'!$F$1; 'K_Summary'!$G$2</t>
  </si>
  <si>
    <t>b_Guidelines &amp; conditions'!$F$1; 'A_InstallationData'!$I$2; 'B+C_Emissions_Y1'!$H$2; 'B+C_Emissions_Y2'!$H$2; 'B+C_Emissions_Y3'!$H$2; 'B+C_Emissions_Y4'!$H$2; 'B+C_Emissions_Y5'!$H$2; 'D_Emissions'!$I$2; 'E_EnergyFlows'!$I$2; 'F_ProductBM'!$I$2; 'G_Fall-back'!$I$2; 'H_SpecialBM'!$I$2; 'I_MSspecific'!$H$1; 'J_Comments'!$H$1; 'K_Summary'!$I$2</t>
  </si>
  <si>
    <t>a_Contents'!$B$2; 'b_Guidelines &amp; conditions'!$B$2; 'A_InstallationData'!$E$3; 'B+C_Emissions_Y1'!$E$3; 'B+C_Emissions_Y2'!$E$3; 'B+C_Emissions_Y3'!$E$3; 'B+C_Emissions_Y4'!$E$3; 'B+C_Emissions_Y5'!$E$3; 'D_Emissions'!$E$3; 'E_EnergyFlows'!$E$3; 'F_ProductBM'!$E$3; 'G_Fall-back'!$E$3; 'H_SpecialBM'!$E$3; 'I_MSspecific'!$D$2; 'J_Comments'!$D$2; 'K_Summary'!$E$3</t>
  </si>
  <si>
    <t>K_Summary'!$I$3</t>
  </si>
  <si>
    <t>K_Summary'!$K$3</t>
  </si>
  <si>
    <t>K_Summary'!$M$3</t>
  </si>
  <si>
    <t>a_Contents'!$B$3; 'b_Guidelines &amp; conditions'!$B$3; 'A_InstallationData'!$E$4; 'D_Emissions'!$E$4; 'E_EnergyFlows'!$E$4; 'F_ProductBM'!$E$4; 'G_Fall-back'!$E$4; 'H_SpecialBM'!$E$4; 'I_MSspecific'!$D$3; 'J_Comments'!$D$3; 'K_Summary'!$E$4</t>
  </si>
  <si>
    <t>K_Summary'!$G$4</t>
  </si>
  <si>
    <t>K_Summary'!$D$6</t>
  </si>
  <si>
    <t>K_Summary'!$G$3; 'K_Summary'!$D$8</t>
  </si>
  <si>
    <t>K_Summary'!$D$10</t>
  </si>
  <si>
    <t>K_Summary'!$E$12</t>
  </si>
  <si>
    <t>K_Summary'!$K$12</t>
  </si>
  <si>
    <t>A_InstallationData'!$E$12; 'K_Summary'!$E$13</t>
  </si>
  <si>
    <t>A_InstallationData'!$G$57; 'K_Summary'!$E$14</t>
  </si>
  <si>
    <t>K_Summary'!$E$15</t>
  </si>
  <si>
    <t>K_Summary'!$E$17</t>
  </si>
  <si>
    <t>K_Summary'!$K$17</t>
  </si>
  <si>
    <t>K_Summary'!$E$18</t>
  </si>
  <si>
    <t>K_Summary'!$K$18</t>
  </si>
  <si>
    <t>K_Summary'!$E$19</t>
  </si>
  <si>
    <t>K_Summary'!$K$19</t>
  </si>
  <si>
    <t>K_Summary'!$K$20</t>
  </si>
  <si>
    <t>K_Summary'!$E$21</t>
  </si>
  <si>
    <t>K_Summary'!$K$21</t>
  </si>
  <si>
    <t>A_InstallationData'!$E$111; 'K_Summary'!$E$23</t>
  </si>
  <si>
    <t>K_Summary'!$D$31</t>
  </si>
  <si>
    <t>K_Summary'!$E$32</t>
  </si>
  <si>
    <t>K_Summary'!$I$32</t>
  </si>
  <si>
    <t>K_Summary'!$L$32</t>
  </si>
  <si>
    <t>K_Summary'!$D$44</t>
  </si>
  <si>
    <t>K_Summary'!$D$46</t>
  </si>
  <si>
    <t>K_Summary'!$E$48</t>
  </si>
  <si>
    <t>K_Summary'!$K$48</t>
  </si>
  <si>
    <t>K_Summary'!$E$49</t>
  </si>
  <si>
    <t>K_Summary'!$K$49</t>
  </si>
  <si>
    <t>K_Summary'!$E$54</t>
  </si>
  <si>
    <t>K_Summary'!$D$56</t>
  </si>
  <si>
    <t>K_Summary'!$E$58</t>
  </si>
  <si>
    <t>K_Summary'!$D$60</t>
  </si>
  <si>
    <t>K_Summary'!$D$62</t>
  </si>
  <si>
    <t>K_Summary'!$D$74</t>
  </si>
  <si>
    <t>K_Summary'!$E$76</t>
  </si>
  <si>
    <t>K_Summary'!$E$77</t>
  </si>
  <si>
    <t>G_Fall-back'!$F$80; 'K_Summary'!$F$78</t>
  </si>
  <si>
    <t>K_Summary'!$F$79</t>
  </si>
  <si>
    <t>K_Summary'!$F$80</t>
  </si>
  <si>
    <t>K_Summary'!$F$81</t>
  </si>
  <si>
    <t>K_Summary'!$F$82</t>
  </si>
  <si>
    <t>K_Summary'!$F$83</t>
  </si>
  <si>
    <t>K_Summary'!$F$84</t>
  </si>
  <si>
    <t>K_Summary'!$F$85</t>
  </si>
  <si>
    <t>K_Summary'!$F$86</t>
  </si>
  <si>
    <t>K_Summary'!$E$87</t>
  </si>
  <si>
    <t>K_Summary'!$F$88</t>
  </si>
  <si>
    <t>K_Summary'!$F$89</t>
  </si>
  <si>
    <t>K_Summary'!$E$90</t>
  </si>
  <si>
    <t>K_Summary'!$E$91</t>
  </si>
  <si>
    <t>K_Summary'!$E$92</t>
  </si>
  <si>
    <t>K_Summary'!$E$110</t>
  </si>
  <si>
    <t>K_Summary'!$D$132</t>
  </si>
  <si>
    <t>K_Summary'!$E$134</t>
  </si>
  <si>
    <t>K_Summary'!$E$159</t>
  </si>
  <si>
    <t>K_Summary'!$E$136; 'K_Summary'!$E$161</t>
  </si>
  <si>
    <t>K_Summary'!$E$141; 'K_Summary'!$E$166</t>
  </si>
  <si>
    <t>K_Summary'!$E$146; 'K_Summary'!$E$171</t>
  </si>
  <si>
    <t>K_Summary'!$E$149; 'K_Summary'!$E$174</t>
  </si>
  <si>
    <t>K_Summary'!$E$150; 'K_Summary'!$E$175</t>
  </si>
  <si>
    <t>K_Summary'!$E$152; 'K_Summary'!$E$177</t>
  </si>
  <si>
    <t>K_Summary'!$D$184</t>
  </si>
  <si>
    <t>D_Emissions'!$E$221; 'D_Emissions'!$E$273; 'K_Summary'!$E$190; 'K_Summary'!$E$202</t>
  </si>
  <si>
    <t>D_Emissions'!$E$228; 'D_Emissions'!$E$278; 'K_Summary'!$E$191; 'K_Summary'!$E$203</t>
  </si>
  <si>
    <t>D_Emissions'!$E$242; 'D_Emissions'!$E$292; 'K_Summary'!$E$193; 'K_Summary'!$E$205</t>
  </si>
  <si>
    <t>K_Summary'!$D$210</t>
  </si>
  <si>
    <t>K_Summary'!$E$220</t>
  </si>
  <si>
    <t>K_Summary'!$D$237</t>
  </si>
  <si>
    <t>K_Summary'!$D$339</t>
  </si>
  <si>
    <t>K_Summary'!$D$444</t>
  </si>
  <si>
    <t>K_Summary'!$D$446</t>
  </si>
  <si>
    <t>K_Summary'!$D$448</t>
  </si>
  <si>
    <t>K_Summary'!$F$449</t>
  </si>
  <si>
    <t>K_Summary'!$F$450</t>
  </si>
  <si>
    <t>K_Summary'!$F$451</t>
  </si>
  <si>
    <t>K_Summary'!$D$452</t>
  </si>
  <si>
    <t>K_Summary'!$F$452</t>
  </si>
  <si>
    <t>K_Summary'!$F$453</t>
  </si>
  <si>
    <t>K_Summary'!$F$454</t>
  </si>
  <si>
    <t>K_Summary'!$F$455</t>
  </si>
  <si>
    <t>K_Summary'!$F$456</t>
  </si>
  <si>
    <t>K_Summary'!$F$457</t>
  </si>
  <si>
    <t>K_Summary'!$F$458</t>
  </si>
  <si>
    <t>K_Summary'!$F$459</t>
  </si>
  <si>
    <t>K_Summary'!$F$460</t>
  </si>
  <si>
    <t>K_Summary'!$F$461</t>
  </si>
  <si>
    <t>K_Summary'!$F$462</t>
  </si>
  <si>
    <t>K_Summary'!$F$463</t>
  </si>
  <si>
    <t>K_Summary'!$F$464</t>
  </si>
  <si>
    <t>K_Summary'!$F$465</t>
  </si>
  <si>
    <t>K_Summary'!$D$467</t>
  </si>
  <si>
    <t>K_Summary'!$D$457; 'K_Summary'!$G$473; 'K_Summary'!$G$533; 'K_Summary'!$G$593; 'K_Summary'!$G$653; 'K_Summary'!$G$713; 'K_Summary'!$G$773; 'K_Summary'!$G$833; 'K_Summary'!$G$893; 'K_Summary'!$G$953; 'K_Summary'!$G$1013</t>
  </si>
  <si>
    <t>K_Summary'!$D$458; 'K_Summary'!$H$473; 'K_Summary'!$H$533; 'K_Summary'!$H$593; 'K_Summary'!$H$653; 'K_Summary'!$H$713; 'K_Summary'!$H$773; 'K_Summary'!$H$833; 'K_Summary'!$H$893; 'K_Summary'!$H$953; 'K_Summary'!$H$1013</t>
  </si>
  <si>
    <t>K_Summary'!$E$474; 'K_Summary'!$E$534; 'K_Summary'!$E$594; 'K_Summary'!$E$654; 'K_Summary'!$E$714; 'K_Summary'!$E$774; 'K_Summary'!$E$834; 'K_Summary'!$E$894; 'K_Summary'!$E$954; 'K_Summary'!$E$1014</t>
  </si>
  <si>
    <t>F_ProductBM'!$E$124; 'F_ProductBM'!$E$325; 'F_ProductBM'!$E$505; 'F_ProductBM'!$E$685; 'F_ProductBM'!$E$865; 'F_ProductBM'!$E$1045; 'F_ProductBM'!$E$1225; 'F_ProductBM'!$E$1405; 'F_ProductBM'!$E$1585; 'F_ProductBM'!$E$1765; 'K_Summary'!$E$491; 'K_Summary'!$E$551; 'K_Summary'!$E$611; 'K_Summary'!$E$671; 'K_Summary'!$E$731; 'K_Summary'!$E$791; 'K_Summary'!$E$851; 'K_Summary'!$E$911; 'K_Summary'!$E$971; 'K_Summary'!$E$1031</t>
  </si>
  <si>
    <t>F_ProductBM'!$E$136; 'F_ProductBM'!$E$337; 'F_ProductBM'!$E$517; 'F_ProductBM'!$E$697; 'F_ProductBM'!$E$877; 'F_ProductBM'!$E$1057; 'F_ProductBM'!$E$1237; 'F_ProductBM'!$E$1417; 'F_ProductBM'!$E$1597; 'F_ProductBM'!$E$1777; 'K_Summary'!$E$492; 'K_Summary'!$E$552; 'K_Summary'!$E$612; 'K_Summary'!$E$672; 'K_Summary'!$E$732; 'K_Summary'!$E$792; 'K_Summary'!$E$852; 'K_Summary'!$E$912; 'K_Summary'!$E$972; 'K_Summary'!$E$1032</t>
  </si>
  <si>
    <t>F_ProductBM'!$E$151; 'F_ProductBM'!$E$349; 'F_ProductBM'!$E$529; 'F_ProductBM'!$E$709; 'F_ProductBM'!$E$889; 'F_ProductBM'!$E$1069; 'F_ProductBM'!$E$1249; 'F_ProductBM'!$E$1429; 'F_ProductBM'!$E$1609; 'F_ProductBM'!$E$1789; 'K_Summary'!$E$493; 'K_Summary'!$E$553; 'K_Summary'!$E$613; 'K_Summary'!$E$673; 'K_Summary'!$E$733; 'K_Summary'!$E$793; 'K_Summary'!$E$853; 'K_Summary'!$E$913; 'K_Summary'!$E$973; 'K_Summary'!$E$1033</t>
  </si>
  <si>
    <t>F_ProductBM'!$E$160; 'F_ProductBM'!$E$354; 'F_ProductBM'!$E$534; 'F_ProductBM'!$E$714; 'F_ProductBM'!$E$894; 'F_ProductBM'!$E$1074; 'F_ProductBM'!$E$1254; 'F_ProductBM'!$E$1434; 'F_ProductBM'!$E$1614; 'F_ProductBM'!$E$1794; 'G_Fall-back'!$E$120; 'G_Fall-back'!$E$124; 'G_Fall-back'!$E$128; 'G_Fall-back'!$E$132; 'G_Fall-back'!$E$136; 'G_Fall-back'!$E$209; 'G_Fall-back'!$E$213; 'G_Fall-back'!$E$217; 'G_Fall-back'!$E$221; 'G_Fall-back'!$E$225; 'G_Fall-back'!$E$298; 'G_Fall-back'!$E$302; 'G_Fall-back'!$E$306; 'G_Fall-back'!$E$310; 'G_Fall-back'!$E$314; 'K_Summary'!$E$495; 'K_Summary'!$E$555; 'K_Summary'!$E$615; 'K_Summary'!$E$675; 'K_Summary'!$E$735; 'K_Summary'!$E$795; 'K_Summary'!$E$855; 'K_Summary'!$E$915; 'K_Summary'!$E$975; 'K_Summary'!$E$1035</t>
  </si>
  <si>
    <t>F_ProductBM'!$E$358; 'F_ProductBM'!$E$538; 'F_ProductBM'!$E$718; 'F_ProductBM'!$E$898; 'F_ProductBM'!$E$1078; 'F_ProductBM'!$E$1258; 'F_ProductBM'!$E$1438; 'F_ProductBM'!$E$1618; 'F_ProductBM'!$E$1798; 'K_Summary'!$E$498; 'K_Summary'!$E$558; 'K_Summary'!$E$618; 'K_Summary'!$E$678; 'K_Summary'!$E$738; 'K_Summary'!$E$798; 'K_Summary'!$E$858; 'K_Summary'!$E$918; 'K_Summary'!$E$978; 'K_Summary'!$E$1038</t>
  </si>
  <si>
    <t>F_ProductBM'!$E$165; 'F_ProductBM'!$E$359; 'F_ProductBM'!$E$539; 'F_ProductBM'!$E$719; 'F_ProductBM'!$E$899; 'F_ProductBM'!$E$1079; 'F_ProductBM'!$E$1259; 'F_ProductBM'!$E$1439; 'F_ProductBM'!$E$1619; 'F_ProductBM'!$E$1799; 'K_Summary'!$E$499; 'K_Summary'!$E$559; 'K_Summary'!$E$619; 'K_Summary'!$E$679; 'K_Summary'!$E$739; 'K_Summary'!$E$799; 'K_Summary'!$E$859; 'K_Summary'!$E$919; 'K_Summary'!$E$979; 'K_Summary'!$E$1039</t>
  </si>
  <si>
    <t>F_ProductBM'!$E$169; 'F_ProductBM'!$E$363; 'F_ProductBM'!$E$543; 'F_ProductBM'!$E$723; 'F_ProductBM'!$E$903; 'F_ProductBM'!$E$1083; 'F_ProductBM'!$E$1263; 'F_ProductBM'!$E$1443; 'F_ProductBM'!$E$1623; 'F_ProductBM'!$E$1803; 'K_Summary'!$E$502; 'K_Summary'!$E$562; 'K_Summary'!$E$622; 'K_Summary'!$E$682; 'K_Summary'!$E$742; 'K_Summary'!$E$802; 'K_Summary'!$E$862; 'K_Summary'!$E$922; 'K_Summary'!$E$982; 'K_Summary'!$E$1042</t>
  </si>
  <si>
    <t>F_ProductBM'!$E$181; 'F_ProductBM'!$E$374; 'F_ProductBM'!$E$554; 'F_ProductBM'!$E$734; 'F_ProductBM'!$E$914; 'F_ProductBM'!$E$1094; 'F_ProductBM'!$E$1274; 'F_ProductBM'!$E$1454; 'F_ProductBM'!$E$1634; 'F_ProductBM'!$E$1814; 'K_Summary'!$E$504; 'K_Summary'!$E$564; 'K_Summary'!$E$624; 'K_Summary'!$E$684; 'K_Summary'!$E$744; 'K_Summary'!$E$804; 'K_Summary'!$E$864; 'K_Summary'!$E$924; 'K_Summary'!$E$984; 'K_Summary'!$E$1044</t>
  </si>
  <si>
    <t>F_ProductBM'!$E$182; 'F_ProductBM'!$E$375; 'F_ProductBM'!$E$555; 'F_ProductBM'!$E$735; 'F_ProductBM'!$E$915; 'F_ProductBM'!$E$1095; 'F_ProductBM'!$E$1275; 'F_ProductBM'!$E$1455; 'F_ProductBM'!$E$1635; 'F_ProductBM'!$E$1815; 'K_Summary'!$E$505; 'K_Summary'!$E$565; 'K_Summary'!$E$625; 'K_Summary'!$E$685; 'K_Summary'!$E$745; 'K_Summary'!$E$805; 'K_Summary'!$E$865; 'K_Summary'!$E$925; 'K_Summary'!$E$985; 'K_Summary'!$E$1045</t>
  </si>
  <si>
    <t>F_ProductBM'!$E$190; 'F_ProductBM'!$E$382; 'F_ProductBM'!$E$562; 'F_ProductBM'!$E$742; 'F_ProductBM'!$E$922; 'F_ProductBM'!$E$1102; 'F_ProductBM'!$E$1282; 'F_ProductBM'!$E$1462; 'F_ProductBM'!$E$1642; 'F_ProductBM'!$E$1822; 'K_Summary'!$E$506; 'K_Summary'!$E$566; 'K_Summary'!$E$626; 'K_Summary'!$E$686; 'K_Summary'!$E$746; 'K_Summary'!$E$806; 'K_Summary'!$E$866; 'K_Summary'!$E$926; 'K_Summary'!$E$986; 'K_Summary'!$E$1046</t>
  </si>
  <si>
    <t>F_ProductBM'!$E$191; 'F_ProductBM'!$E$383; 'F_ProductBM'!$E$563; 'F_ProductBM'!$E$743; 'F_ProductBM'!$E$923; 'F_ProductBM'!$E$1103; 'F_ProductBM'!$E$1283; 'F_ProductBM'!$E$1463; 'F_ProductBM'!$E$1643; 'F_ProductBM'!$E$1823; 'G_Fall-back'!$E$288; 'K_Summary'!$E$507; 'K_Summary'!$E$567; 'K_Summary'!$E$627; 'K_Summary'!$E$687; 'K_Summary'!$E$747; 'K_Summary'!$E$807; 'K_Summary'!$E$867; 'K_Summary'!$E$927; 'K_Summary'!$E$987; 'K_Summary'!$E$1047</t>
  </si>
  <si>
    <t>F_ProductBM'!$E$200; 'F_ProductBM'!$E$390; 'F_ProductBM'!$E$570; 'F_ProductBM'!$E$750; 'F_ProductBM'!$E$930; 'F_ProductBM'!$E$1110; 'F_ProductBM'!$E$1290; 'F_ProductBM'!$E$1470; 'F_ProductBM'!$E$1650; 'F_ProductBM'!$E$1830; 'K_Summary'!$E$508; 'K_Summary'!$E$568; 'K_Summary'!$E$628; 'K_Summary'!$E$688; 'K_Summary'!$E$748; 'K_Summary'!$E$808; 'K_Summary'!$E$868; 'K_Summary'!$E$928; 'K_Summary'!$E$988; 'K_Summary'!$E$1048</t>
  </si>
  <si>
    <t>F_ProductBM'!$E$201; 'F_ProductBM'!$E$391; 'F_ProductBM'!$E$571; 'F_ProductBM'!$E$751; 'F_ProductBM'!$E$931; 'F_ProductBM'!$E$1111; 'F_ProductBM'!$E$1291; 'F_ProductBM'!$E$1471; 'F_ProductBM'!$E$1651; 'F_ProductBM'!$E$1831; 'K_Summary'!$E$509; 'K_Summary'!$E$569; 'K_Summary'!$E$629; 'K_Summary'!$E$689; 'K_Summary'!$E$749; 'K_Summary'!$E$809; 'K_Summary'!$E$869; 'K_Summary'!$E$929; 'K_Summary'!$E$989; 'K_Summary'!$E$1049</t>
  </si>
  <si>
    <t>F_ProductBM'!$E$209; 'F_ProductBM'!$E$398; 'F_ProductBM'!$E$578; 'F_ProductBM'!$E$758; 'F_ProductBM'!$E$938; 'F_ProductBM'!$E$1118; 'F_ProductBM'!$E$1298; 'F_ProductBM'!$E$1478; 'F_ProductBM'!$E$1658; 'F_ProductBM'!$E$1838; 'K_Summary'!$E$510; 'K_Summary'!$E$570; 'K_Summary'!$E$630; 'K_Summary'!$E$690; 'K_Summary'!$E$750; 'K_Summary'!$E$810; 'K_Summary'!$E$870; 'K_Summary'!$E$930; 'K_Summary'!$E$990; 'K_Summary'!$E$1050</t>
  </si>
  <si>
    <t>F_ProductBM'!$E$210; 'F_ProductBM'!$E$399; 'F_ProductBM'!$E$579; 'F_ProductBM'!$E$759; 'F_ProductBM'!$E$939; 'F_ProductBM'!$E$1119; 'F_ProductBM'!$E$1299; 'F_ProductBM'!$E$1479; 'F_ProductBM'!$E$1659; 'F_ProductBM'!$E$1839; 'K_Summary'!$E$511; 'K_Summary'!$E$571; 'K_Summary'!$E$631; 'K_Summary'!$E$691; 'K_Summary'!$E$751; 'K_Summary'!$E$811; 'K_Summary'!$E$871; 'K_Summary'!$E$931; 'K_Summary'!$E$991; 'K_Summary'!$E$1051</t>
  </si>
  <si>
    <t>F_ProductBM'!$E$218; 'F_ProductBM'!$E$406; 'F_ProductBM'!$E$586; 'F_ProductBM'!$E$766; 'F_ProductBM'!$E$946; 'F_ProductBM'!$E$1126; 'F_ProductBM'!$E$1306; 'F_ProductBM'!$E$1486; 'F_ProductBM'!$E$1666; 'F_ProductBM'!$E$1846; 'K_Summary'!$E$512; 'K_Summary'!$E$572; 'K_Summary'!$E$632; 'K_Summary'!$E$692; 'K_Summary'!$E$752; 'K_Summary'!$E$812; 'K_Summary'!$E$872; 'K_Summary'!$E$932; 'K_Summary'!$E$992; 'K_Summary'!$E$1052</t>
  </si>
  <si>
    <t>F_ProductBM'!$E$219; 'F_ProductBM'!$E$407; 'F_ProductBM'!$E$587; 'F_ProductBM'!$E$767; 'F_ProductBM'!$E$947; 'F_ProductBM'!$E$1127; 'F_ProductBM'!$E$1307; 'F_ProductBM'!$E$1487; 'F_ProductBM'!$E$1667; 'F_ProductBM'!$E$1847; 'K_Summary'!$E$513; 'K_Summary'!$E$573; 'K_Summary'!$E$633; 'K_Summary'!$E$693; 'K_Summary'!$E$753; 'K_Summary'!$E$813; 'K_Summary'!$E$873; 'K_Summary'!$E$933; 'K_Summary'!$E$993; 'K_Summary'!$E$1053</t>
  </si>
  <si>
    <t>F_ProductBM'!$E$42; 'F_ProductBM'!$E$271; 'F_ProductBM'!$E$451; 'F_ProductBM'!$E$631; 'F_ProductBM'!$E$811; 'F_ProductBM'!$E$991; 'F_ProductBM'!$E$1171; 'F_ProductBM'!$E$1351; 'F_ProductBM'!$E$1531; 'F_ProductBM'!$E$1711; 'K_Summary'!$E$515; 'K_Summary'!$E$575; 'K_Summary'!$E$635; 'K_Summary'!$E$695; 'K_Summary'!$E$755; 'K_Summary'!$E$815; 'K_Summary'!$E$875; 'K_Summary'!$E$935; 'K_Summary'!$E$995; 'K_Summary'!$E$1055</t>
  </si>
  <si>
    <t>F_ProductBM'!$E$225; 'F_ProductBM'!$E$411; 'F_ProductBM'!$E$591; 'F_ProductBM'!$E$771; 'F_ProductBM'!$E$951; 'F_ProductBM'!$E$1131; 'F_ProductBM'!$E$1311; 'F_ProductBM'!$E$1491; 'F_ProductBM'!$E$1671; 'F_ProductBM'!$E$1851; 'K_Summary'!$E$516; 'K_Summary'!$E$576; 'K_Summary'!$E$636; 'K_Summary'!$E$696; 'K_Summary'!$E$756; 'K_Summary'!$E$816; 'K_Summary'!$E$876; 'K_Summary'!$E$936; 'K_Summary'!$E$996; 'K_Summary'!$E$1056</t>
  </si>
  <si>
    <t>F_ProductBM'!$E$227; 'F_ProductBM'!$E$413; 'F_ProductBM'!$E$593; 'F_ProductBM'!$E$773; 'F_ProductBM'!$E$953; 'F_ProductBM'!$E$1133; 'F_ProductBM'!$E$1313; 'F_ProductBM'!$E$1493; 'F_ProductBM'!$E$1673; 'F_ProductBM'!$E$1853; 'K_Summary'!$E$518; 'K_Summary'!$E$578; 'K_Summary'!$E$638; 'K_Summary'!$E$698; 'K_Summary'!$E$758; 'K_Summary'!$E$818; 'K_Summary'!$E$878; 'K_Summary'!$E$938; 'K_Summary'!$E$998; 'K_Summary'!$E$1058</t>
  </si>
  <si>
    <t>K_Summary'!$E$520; 'K_Summary'!$E$580; 'K_Summary'!$E$640; 'K_Summary'!$E$700; 'K_Summary'!$E$760; 'K_Summary'!$E$820; 'K_Summary'!$E$880; 'K_Summary'!$E$940; 'K_Summary'!$E$1000; 'K_Summary'!$E$1060</t>
  </si>
  <si>
    <t>K_Summary'!$E$523; 'K_Summary'!$E$583; 'K_Summary'!$E$643; 'K_Summary'!$E$703; 'K_Summary'!$E$763; 'K_Summary'!$E$823; 'K_Summary'!$E$883; 'K_Summary'!$E$943; 'K_Summary'!$E$1003; 'K_Summary'!$E$1063</t>
  </si>
  <si>
    <t>E_EnergyFlows'!$E$84; 'G_Fall-back'!$E$102; 'G_Fall-back'!$E$105; 'G_Fall-back'!$E$201; 'G_Fall-back'!$E$203; 'G_Fall-back'!$E$290; 'G_Fall-back'!$E$292; 'K_Summary'!$E$1087; 'K_Summary'!$E$1127; 'K_Summary'!$E$1167</t>
  </si>
  <si>
    <t>K_Summary'!$E$1098; 'K_Summary'!$E$1138; 'K_Summary'!$E$1178</t>
  </si>
  <si>
    <t>F_ProductBM'!$E$161; 'F_ProductBM'!$E$355; 'F_ProductBM'!$E$535; 'F_ProductBM'!$E$715; 'F_ProductBM'!$E$895; 'F_ProductBM'!$E$1075; 'F_ProductBM'!$E$1255; 'F_ProductBM'!$E$1435; 'F_ProductBM'!$E$1615; 'F_ProductBM'!$E$1795; 'G_Fall-back'!$E$121; 'G_Fall-back'!$E$210; 'G_Fall-back'!$E$299; 'K_Summary'!$E$496; 'K_Summary'!$E$556; 'K_Summary'!$E$616; 'K_Summary'!$E$676; 'K_Summary'!$E$736; 'K_Summary'!$E$796; 'K_Summary'!$E$856; 'K_Summary'!$E$916; 'K_Summary'!$E$976; 'K_Summary'!$E$1036; 'K_Summary'!$E$1099; 'K_Summary'!$E$1139; 'K_Summary'!$E$1179</t>
  </si>
  <si>
    <t>K_Summary'!$E$1100; 'K_Summary'!$E$1140; 'K_Summary'!$E$1180</t>
  </si>
  <si>
    <t>G_Fall-back'!$E$125; 'G_Fall-back'!$E$214; 'G_Fall-back'!$E$303; 'K_Summary'!$E$1101; 'K_Summary'!$E$1141; 'K_Summary'!$E$1181</t>
  </si>
  <si>
    <t>K_Summary'!$E$1102; 'K_Summary'!$E$1142; 'K_Summary'!$E$1182</t>
  </si>
  <si>
    <t>G_Fall-back'!$E$129; 'G_Fall-back'!$E$218; 'G_Fall-back'!$E$307; 'K_Summary'!$E$1103; 'K_Summary'!$E$1143; 'K_Summary'!$E$1183</t>
  </si>
  <si>
    <t>K_Summary'!$E$1104; 'K_Summary'!$E$1144; 'K_Summary'!$E$1184</t>
  </si>
  <si>
    <t>G_Fall-back'!$E$133; 'G_Fall-back'!$E$222; 'G_Fall-back'!$E$311; 'K_Summary'!$E$1105; 'K_Summary'!$E$1145; 'K_Summary'!$E$1185</t>
  </si>
  <si>
    <t>K_Summary'!$E$1106; 'K_Summary'!$E$1146; 'K_Summary'!$E$1186</t>
  </si>
  <si>
    <t>G_Fall-back'!$E$137; 'G_Fall-back'!$E$226; 'G_Fall-back'!$E$315; 'K_Summary'!$E$1107; 'K_Summary'!$E$1147; 'K_Summary'!$E$1187</t>
  </si>
  <si>
    <t>F_ProductBM'!$E$110; 'F_ProductBM'!$E$317; 'F_ProductBM'!$E$497; 'F_ProductBM'!$E$677; 'F_ProductBM'!$E$857; 'F_ProductBM'!$E$1037; 'F_ProductBM'!$E$1217; 'F_ProductBM'!$E$1397; 'F_ProductBM'!$E$1577; 'F_ProductBM'!$E$1757; 'G_Fall-back'!$E$284; 'K_Summary'!$E$487; 'K_Summary'!$E$547; 'K_Summary'!$E$607; 'K_Summary'!$E$667; 'K_Summary'!$E$727; 'K_Summary'!$E$787; 'K_Summary'!$E$847; 'K_Summary'!$E$907; 'K_Summary'!$E$967; 'K_Summary'!$E$1027; 'K_Summary'!$E$1091; 'K_Summary'!$E$1093; 'K_Summary'!$E$1131; 'K_Summary'!$E$1133; 'K_Summary'!$E$1171; 'K_Summary'!$E$1173; 'K_Summary'!$E$1209; 'K_Summary'!$E$1211; 'K_Summary'!$E$1238; 'K_Summary'!$E$1240</t>
  </si>
  <si>
    <t>F_ProductBM'!$E$111; 'F_ProductBM'!$E$318; 'F_ProductBM'!$E$498; 'F_ProductBM'!$E$678; 'F_ProductBM'!$E$858; 'F_ProductBM'!$E$1038; 'F_ProductBM'!$E$1218; 'F_ProductBM'!$E$1398; 'F_ProductBM'!$E$1578; 'F_ProductBM'!$E$1758; 'G_Fall-back'!$E$97; 'G_Fall-back'!$E$196; 'G_Fall-back'!$E$285; 'K_Summary'!$E$488; 'K_Summary'!$E$548; 'K_Summary'!$E$608; 'K_Summary'!$E$668; 'K_Summary'!$E$728; 'K_Summary'!$E$788; 'K_Summary'!$E$848; 'K_Summary'!$E$908; 'K_Summary'!$E$968; 'K_Summary'!$E$1028; 'K_Summary'!$E$1092; 'K_Summary'!$E$1094; 'K_Summary'!$E$1132; 'K_Summary'!$E$1134; 'K_Summary'!$E$1172; 'K_Summary'!$E$1174; 'K_Summary'!$E$1210; 'K_Summary'!$E$1212; 'K_Summary'!$E$1239; 'K_Summary'!$E$1241</t>
  </si>
  <si>
    <t>F_ProductBM'!$E$40; 'F_ProductBM'!$E$269; 'F_ProductBM'!$E$449; 'F_ProductBM'!$E$629; 'F_ProductBM'!$E$809; 'F_ProductBM'!$E$989; 'F_ProductBM'!$E$1169; 'F_ProductBM'!$E$1349; 'F_ProductBM'!$E$1529; 'F_ProductBM'!$E$1709; 'H_SpecialBM'!$E$372; 'K_Summary'!$E$490; 'K_Summary'!$E$550; 'K_Summary'!$E$610; 'K_Summary'!$E$670; 'K_Summary'!$E$730; 'K_Summary'!$E$790; 'K_Summary'!$E$850; 'K_Summary'!$E$910; 'K_Summary'!$E$970; 'K_Summary'!$E$1030; 'K_Summary'!$E$1096; 'K_Summary'!$E$1136; 'K_Summary'!$E$1176; 'K_Summary'!$E$1214; 'K_Summary'!$E$1243</t>
  </si>
  <si>
    <t>F_ProductBM'!$E$168; 'F_ProductBM'!$E$362; 'F_ProductBM'!$E$542; 'F_ProductBM'!$E$722; 'F_ProductBM'!$E$902; 'F_ProductBM'!$E$1082; 'F_ProductBM'!$E$1262; 'F_ProductBM'!$E$1442; 'F_ProductBM'!$E$1622; 'F_ProductBM'!$E$1802; 'G_Fall-back'!$E$385; 'G_Fall-back'!$E$453; 'K_Summary'!$E$501; 'K_Summary'!$E$561; 'K_Summary'!$E$621; 'K_Summary'!$E$681; 'K_Summary'!$E$741; 'K_Summary'!$E$801; 'K_Summary'!$E$861; 'K_Summary'!$E$921; 'K_Summary'!$E$981; 'K_Summary'!$E$1041; 'K_Summary'!$E$1216; 'K_Summary'!$E$1245</t>
  </si>
  <si>
    <t>K_Summary'!$D$449; 'K_Summary'!$H$471; 'K_Summary'!$H$531; 'K_Summary'!$H$591; 'K_Summary'!$H$651; 'K_Summary'!$H$711; 'K_Summary'!$H$771; 'K_Summary'!$H$831; 'K_Summary'!$H$891; 'K_Summary'!$H$951; 'K_Summary'!$H$1011; 'K_Summary'!$H$1073; 'K_Summary'!$H$1113; 'K_Summary'!$H$1153; 'K_Summary'!$H$1193; 'K_Summary'!$H$1222; 'K_Summary'!$H$1251; 'K_Summary'!$H$1271</t>
  </si>
  <si>
    <t>K_Summary'!$D$451; 'K_Summary'!$J$471; 'K_Summary'!$J$531; 'K_Summary'!$J$591; 'K_Summary'!$J$651; 'K_Summary'!$J$711; 'K_Summary'!$J$771; 'K_Summary'!$J$831; 'K_Summary'!$J$891; 'K_Summary'!$J$951; 'K_Summary'!$J$1011; 'K_Summary'!$I$1073; 'K_Summary'!$I$1113; 'K_Summary'!$I$1153; 'K_Summary'!$I$1193; 'K_Summary'!$I$1222; 'K_Summary'!$I$1251; 'K_Summary'!$I$1271</t>
  </si>
  <si>
    <t>K_Summary'!$D$453; 'K_Summary'!$L$471; 'K_Summary'!$L$531; 'K_Summary'!$L$591; 'K_Summary'!$L$651; 'K_Summary'!$L$711; 'K_Summary'!$L$771; 'K_Summary'!$L$831; 'K_Summary'!$L$891; 'K_Summary'!$L$951; 'K_Summary'!$L$1011; 'K_Summary'!$J$1073; 'K_Summary'!$J$1113; 'K_Summary'!$J$1153; 'K_Summary'!$J$1193; 'K_Summary'!$J$1222; 'K_Summary'!$J$1251; 'K_Summary'!$J$1271</t>
  </si>
  <si>
    <t>K_Summary'!$D$454; 'K_Summary'!$L$473; 'K_Summary'!$L$533; 'K_Summary'!$L$593; 'K_Summary'!$L$653; 'K_Summary'!$L$713; 'K_Summary'!$L$773; 'K_Summary'!$L$833; 'K_Summary'!$L$893; 'K_Summary'!$L$953; 'K_Summary'!$L$1013; 'K_Summary'!$K$1073; 'K_Summary'!$K$1113; 'K_Summary'!$K$1153; 'K_Summary'!$K$1193; 'K_Summary'!$K$1222; 'K_Summary'!$K$1251; 'K_Summary'!$K$1271</t>
  </si>
  <si>
    <t>K_Summary'!$M$471; 'K_Summary'!$M$531; 'K_Summary'!$M$591; 'K_Summary'!$M$651; 'K_Summary'!$M$711; 'K_Summary'!$M$771; 'K_Summary'!$M$831; 'K_Summary'!$M$891; 'K_Summary'!$M$951; 'K_Summary'!$M$1011; 'K_Summary'!$M$1073; 'K_Summary'!$M$1113; 'K_Summary'!$M$1153; 'K_Summary'!$M$1193; 'K_Summary'!$M$1222; 'K_Summary'!$M$1251; 'K_Summary'!$M$1271</t>
  </si>
  <si>
    <t>K_Summary'!$E$477; 'K_Summary'!$E$537; 'K_Summary'!$E$597; 'K_Summary'!$E$657; 'K_Summary'!$E$717; 'K_Summary'!$E$777; 'K_Summary'!$E$837; 'K_Summary'!$E$897; 'K_Summary'!$E$957; 'K_Summary'!$E$1017; 'K_Summary'!$E$1079; 'K_Summary'!$E$1119; 'K_Summary'!$E$1159; 'K_Summary'!$E$1199; 'K_Summary'!$E$1228; 'K_Summary'!$E$1257; 'K_Summary'!$E$1277</t>
  </si>
  <si>
    <t>K_Summary'!$D$461; 'K_Summary'!$N$477; 'K_Summary'!$N$537; 'K_Summary'!$N$597; 'K_Summary'!$N$657; 'K_Summary'!$N$717; 'K_Summary'!$N$777; 'K_Summary'!$N$837; 'K_Summary'!$N$897; 'K_Summary'!$N$957; 'K_Summary'!$N$1017; 'K_Summary'!$N$1079; 'K_Summary'!$N$1119; 'K_Summary'!$N$1159; 'K_Summary'!$N$1199; 'K_Summary'!$N$1228; 'K_Summary'!$N$1257; 'K_Summary'!$N$1277</t>
  </si>
  <si>
    <t>K_Summary'!$E$478; 'K_Summary'!$E$538; 'K_Summary'!$E$598; 'K_Summary'!$E$658; 'K_Summary'!$E$718; 'K_Summary'!$E$778; 'K_Summary'!$E$838; 'K_Summary'!$E$898; 'K_Summary'!$E$958; 'K_Summary'!$E$1018; 'K_Summary'!$E$1080; 'K_Summary'!$E$1120; 'K_Summary'!$E$1160; 'K_Summary'!$E$1200; 'K_Summary'!$E$1229; 'K_Summary'!$E$1258; 'K_Summary'!$E$1278</t>
  </si>
  <si>
    <t>K_Summary'!$D$462; 'K_Summary'!$I$480; 'K_Summary'!$I$540; 'K_Summary'!$I$600; 'K_Summary'!$I$660; 'K_Summary'!$I$720; 'K_Summary'!$I$780; 'K_Summary'!$I$840; 'K_Summary'!$I$900; 'K_Summary'!$I$960; 'K_Summary'!$I$1020; 'K_Summary'!$I$1082; 'K_Summary'!$I$1122; 'K_Summary'!$I$1162; 'K_Summary'!$I$1202; 'K_Summary'!$I$1231; 'K_Summary'!$I$1260; 'K_Summary'!$I$1280</t>
  </si>
  <si>
    <t>K_Summary'!$D$464; 'K_Summary'!$K$480; 'K_Summary'!$K$540; 'K_Summary'!$K$600; 'K_Summary'!$K$660; 'K_Summary'!$K$720; 'K_Summary'!$K$780; 'K_Summary'!$K$840; 'K_Summary'!$K$900; 'K_Summary'!$K$960; 'K_Summary'!$K$1020; 'K_Summary'!$K$1082; 'K_Summary'!$K$1122; 'K_Summary'!$K$1162; 'K_Summary'!$K$1202; 'K_Summary'!$K$1231; 'K_Summary'!$K$1260; 'K_Summary'!$K$1280</t>
  </si>
  <si>
    <t>K_Summary'!$D$465; 'K_Summary'!$M$480; 'K_Summary'!$M$540; 'K_Summary'!$M$600; 'K_Summary'!$M$660; 'K_Summary'!$M$720; 'K_Summary'!$M$780; 'K_Summary'!$M$840; 'K_Summary'!$M$900; 'K_Summary'!$M$960; 'K_Summary'!$M$1020; 'K_Summary'!$M$1082; 'K_Summary'!$M$1122; 'K_Summary'!$M$1162; 'K_Summary'!$M$1202; 'K_Summary'!$M$1231; 'K_Summary'!$M$1260; 'K_Summary'!$M$1280</t>
  </si>
  <si>
    <t>K_Summary'!$E$485; 'K_Summary'!$E$545; 'K_Summary'!$E$605; 'K_Summary'!$E$665; 'K_Summary'!$E$725; 'K_Summary'!$E$785; 'K_Summary'!$E$845; 'K_Summary'!$E$905; 'K_Summary'!$E$965; 'K_Summary'!$E$1025; 'K_Summary'!$E$1089; 'K_Summary'!$E$1129; 'K_Summary'!$E$1169; 'K_Summary'!$E$1207; 'K_Summary'!$E$1236; 'K_Summary'!$E$1265; 'K_Summary'!$E$1285</t>
  </si>
  <si>
    <t>K_Summary'!$D$1288</t>
  </si>
  <si>
    <t>K_Summary'!$E$1290</t>
  </si>
  <si>
    <t>K_Summary'!$F$1291</t>
  </si>
  <si>
    <t>K_Summary'!$F$1292</t>
  </si>
  <si>
    <t>K_Summary'!$F$1293</t>
  </si>
  <si>
    <t>K_Summary'!$E$1294</t>
  </si>
  <si>
    <t>K_Summary'!$F$1295</t>
  </si>
  <si>
    <t>K_Summary'!$F$1296</t>
  </si>
  <si>
    <t>K_Summary'!$F$1297</t>
  </si>
  <si>
    <t>K_Summary'!$F$1298</t>
  </si>
  <si>
    <t>K_Summary'!$F$1299</t>
  </si>
  <si>
    <t>K_Summary'!$F$1300</t>
  </si>
  <si>
    <t>K_Summary'!$F$1301</t>
  </si>
  <si>
    <t>K_Summary'!$D$1303</t>
  </si>
  <si>
    <t>K_Summary'!$D$1305</t>
  </si>
  <si>
    <t>K_Summary'!$E$1306</t>
  </si>
  <si>
    <t>K_Summary'!$E$1307</t>
  </si>
  <si>
    <t>K_Summary'!$E$1309</t>
  </si>
  <si>
    <t>K_Summary'!$E$1310</t>
  </si>
  <si>
    <t>K_Summary'!$E$1311</t>
  </si>
  <si>
    <t>K_Summary'!$E$1312</t>
  </si>
  <si>
    <t>K_Summary'!$E$1314</t>
  </si>
  <si>
    <t>K_Summary'!$E$1316</t>
  </si>
  <si>
    <t>K_Summary'!$E$1317</t>
  </si>
  <si>
    <t>K_Summary'!$E$1318</t>
  </si>
  <si>
    <t>K_Summary'!$E$1320</t>
  </si>
  <si>
    <t>K_Summary'!$D$1342</t>
  </si>
  <si>
    <t>K_Summary'!$E$1344</t>
  </si>
  <si>
    <t>K_Summary'!$E$1347</t>
  </si>
  <si>
    <t>K_Summary'!$E$1349</t>
  </si>
  <si>
    <t>K_Summary'!$E$1350</t>
  </si>
  <si>
    <t>K_Summary'!$E$1351</t>
  </si>
  <si>
    <t>K_Summary'!$E$1353</t>
  </si>
  <si>
    <t>K_Summary'!$E$1356</t>
  </si>
  <si>
    <t>K_Summary'!$E$1357</t>
  </si>
  <si>
    <t>K_Summary'!$E$1358</t>
  </si>
  <si>
    <t>K_Summary'!$E$1354; 'K_Summary'!$E$1360</t>
  </si>
  <si>
    <t>K_Summary'!$E$1362</t>
  </si>
  <si>
    <t>K_Summary'!$E$1363</t>
  </si>
  <si>
    <t>E_EnergyFlows'!$E$247; 'E_EnergyFlows'!$E$322; 'J_Comments'!$F$35; 'K_Summary'!$D$1322; 'K_Summary'!$D$1365</t>
  </si>
  <si>
    <t>K_Summary'!$D$1340; 'K_Summary'!$D$1383</t>
  </si>
  <si>
    <t>K_Summary'!$E$1385</t>
  </si>
  <si>
    <t>B+C_Emissions_Y1'!$E$101; 'B+C_Emissions_Y1'!$E$115; 'B+C_Emissions_Y1'!$E$130; 'B+C_Emissions_Y2'!$E$101; 'B+C_Emissions_Y2'!$E$115; 'B+C_Emissions_Y2'!$E$130; 'B+C_Emissions_Y3'!$E$101; 'B+C_Emissions_Y3'!$E$115; 'B+C_Emissions_Y3'!$E$130; 'B+C_Emissions_Y4'!$E$101; 'B+C_Emissions_Y4'!$E$115; 'B+C_Emissions_Y4'!$E$130; 'B+C_Emissions_Y5'!$E$101; 'B+C_Emissions_Y5'!$E$115; 'B+C_Emissions_Y5'!$E$130; 'EUwideConstants'!$A$1</t>
  </si>
  <si>
    <t>EUwideConstants'!$B$1</t>
  </si>
  <si>
    <t>EUwideConstants'!$C$1</t>
  </si>
  <si>
    <t>EUwideConstants'!$B$8</t>
  </si>
  <si>
    <t>EUwideConstants'!$C$8</t>
  </si>
  <si>
    <t>EUwideConstants'!$B$9</t>
  </si>
  <si>
    <t>EUwideConstants'!$B$10</t>
  </si>
  <si>
    <t>EUwideConstants'!$B$12</t>
  </si>
  <si>
    <t>EUwideConstants'!$B$13</t>
  </si>
  <si>
    <t>EUwideConstants'!$B$14</t>
  </si>
  <si>
    <t>EUwideConstants'!$B$15</t>
  </si>
  <si>
    <t>EUwideConstants'!$B$16</t>
  </si>
  <si>
    <t>EUwideConstants'!$B$17</t>
  </si>
  <si>
    <t>EUwideConstants'!$B$18</t>
  </si>
  <si>
    <t>EUwideConstants'!$B$40</t>
  </si>
  <si>
    <t>A_InstallationData'!$F$278; 'EUwideConstants'!$B$44</t>
  </si>
  <si>
    <t>A_InstallationData'!$F$279; 'EUwideConstants'!$C$44</t>
  </si>
  <si>
    <t>A_InstallationData'!$F$280; 'EUwideConstants'!$D$44</t>
  </si>
  <si>
    <t>A_InstallationData'!$F$281; 'EUwideConstants'!$E$44</t>
  </si>
  <si>
    <t>A_InstallationData'!$F$287; 'E_EnergyFlows'!$I$3; 'E_EnergyFlows'!$D$51; 'E_EnergyFlows'!$E$226; 'EUwideConstants'!$B$45</t>
  </si>
  <si>
    <t>EUwideConstants'!$D$45</t>
  </si>
  <si>
    <t>EUwideConstants'!$E$45</t>
  </si>
  <si>
    <t>EUwideConstants'!$B$46</t>
  </si>
  <si>
    <t>A_InstallationData'!$F$288; 'EUwideConstants'!$C$45; 'EUwideConstants'!$C$46</t>
  </si>
  <si>
    <t>EUwideConstants'!$B$47</t>
  </si>
  <si>
    <t>EUwideConstants'!$C$47</t>
  </si>
  <si>
    <t>EUwideConstants'!$B$48</t>
  </si>
  <si>
    <t>EUwideConstants'!$F$49</t>
  </si>
  <si>
    <t>EUwideConstants'!$B$49; 'EUwideConstants'!$B$50</t>
  </si>
  <si>
    <t>EUwideConstants'!$C$49; 'EUwideConstants'!$C$50</t>
  </si>
  <si>
    <t>EUwideConstants'!$D$49; 'EUwideConstants'!$D$50</t>
  </si>
  <si>
    <t>EUwideConstants'!$E$49; 'EUwideConstants'!$E$50</t>
  </si>
  <si>
    <t>EUwideConstants'!$C$51</t>
  </si>
  <si>
    <t>EUwideConstants'!$D$51</t>
  </si>
  <si>
    <t>EUwideConstants'!$E$51</t>
  </si>
  <si>
    <t>EUwideConstants'!$F$51</t>
  </si>
  <si>
    <t>EUwideConstants'!$G$51</t>
  </si>
  <si>
    <t>EUwideConstants'!$H$51</t>
  </si>
  <si>
    <t>EUwideConstants'!$I$51</t>
  </si>
  <si>
    <t>EUwideConstants'!$J$51</t>
  </si>
  <si>
    <t>EUwideConstants'!$B$56</t>
  </si>
  <si>
    <t>EUwideConstants'!$B$57</t>
  </si>
  <si>
    <t>EUwideConstants'!$B$59</t>
  </si>
  <si>
    <t>EUwideConstants'!$C$59</t>
  </si>
  <si>
    <t>EUwideConstants'!$C$62</t>
  </si>
  <si>
    <t>EUwideConstants'!$B$68</t>
  </si>
  <si>
    <t>EUwideConstants'!$B$69</t>
  </si>
  <si>
    <t>EUwideConstants'!$B$70</t>
  </si>
  <si>
    <t>EUwideConstants'!$B$71</t>
  </si>
  <si>
    <t>EUwideConstants'!$B$89</t>
  </si>
  <si>
    <t>EUwideConstants'!$B$90</t>
  </si>
  <si>
    <t>EUwideConstants'!$B$91</t>
  </si>
  <si>
    <t>EUwideConstants'!$B$92</t>
  </si>
  <si>
    <t>EUwideConstants'!$B$93</t>
  </si>
  <si>
    <t>EUwideConstants'!$B$95</t>
  </si>
  <si>
    <t>EUwideConstants'!$B$96</t>
  </si>
  <si>
    <t>EUwideConstants'!$C$96</t>
  </si>
  <si>
    <t>EUwideConstants'!$D$96</t>
  </si>
  <si>
    <t>EUwideConstants'!$E$96</t>
  </si>
  <si>
    <t>EUwideConstants'!$F$96</t>
  </si>
  <si>
    <t>EUwideConstants'!$G$96</t>
  </si>
  <si>
    <t>EUwideConstants'!$H$96</t>
  </si>
  <si>
    <t>EUwideConstants'!$I$96</t>
  </si>
  <si>
    <t>EUwideConstants'!$J$96</t>
  </si>
  <si>
    <t>EUwideConstants'!$K$96</t>
  </si>
  <si>
    <t>EUwideConstants'!$L$96</t>
  </si>
  <si>
    <t>EUwideConstants'!$M$96</t>
  </si>
  <si>
    <t>EUwideConstants'!$N$96</t>
  </si>
  <si>
    <t>EUwideConstants'!$O$96</t>
  </si>
  <si>
    <t>EUwideConstants'!$P$96</t>
  </si>
  <si>
    <t>EUwideConstants'!$Q$96</t>
  </si>
  <si>
    <t>EUwideConstants'!$R$96</t>
  </si>
  <si>
    <t>EUwideConstants'!$S$96</t>
  </si>
  <si>
    <t>EUwideConstants'!$T$96</t>
  </si>
  <si>
    <t>EUwideConstants'!$U$96</t>
  </si>
  <si>
    <t>EUwideConstants'!$V$96</t>
  </si>
  <si>
    <t>EUwideConstants'!$W$96</t>
  </si>
  <si>
    <t>EUwideConstants'!$X$96</t>
  </si>
  <si>
    <t>EUwideConstants'!$Y$96</t>
  </si>
  <si>
    <t>EUwideConstants'!$Z$96</t>
  </si>
  <si>
    <t>EUwideConstants'!$AA$96</t>
  </si>
  <si>
    <t>EUwideConstants'!$AB$96</t>
  </si>
  <si>
    <t>EUwideConstants'!$AC$96</t>
  </si>
  <si>
    <t>EUwideConstants'!$AD$96</t>
  </si>
  <si>
    <t>EUwideConstants'!$AE$96</t>
  </si>
  <si>
    <t>EUwideConstants'!$AF$96</t>
  </si>
  <si>
    <t>EUwideConstants'!$M$97</t>
  </si>
  <si>
    <t>EUwideConstants'!$AF$97</t>
  </si>
  <si>
    <t>EUwideConstants'!$B$97; 'EUwideConstants'!$B$98</t>
  </si>
  <si>
    <t>EUwideConstants'!$C$97; 'EUwideConstants'!$C$98</t>
  </si>
  <si>
    <t>EUwideConstants'!$D$97; 'EUwideConstants'!$D$98</t>
  </si>
  <si>
    <t>EUwideConstants'!$E$97; 'EUwideConstants'!$E$98</t>
  </si>
  <si>
    <t>EUwideConstants'!$F$97; 'EUwideConstants'!$F$98</t>
  </si>
  <si>
    <t>EUwideConstants'!$G$97; 'EUwideConstants'!$G$98</t>
  </si>
  <si>
    <t>EUwideConstants'!$H$97; 'EUwideConstants'!$H$98</t>
  </si>
  <si>
    <t>EUwideConstants'!$I$97; 'EUwideConstants'!$I$98</t>
  </si>
  <si>
    <t>EUwideConstants'!$J$97; 'EUwideConstants'!$J$98</t>
  </si>
  <si>
    <t>EUwideConstants'!$K$97; 'EUwideConstants'!$K$98</t>
  </si>
  <si>
    <t>EUwideConstants'!$L$97; 'EUwideConstants'!$L$98</t>
  </si>
  <si>
    <t>EUwideConstants'!$M$98</t>
  </si>
  <si>
    <t>EUwideConstants'!$N$97; 'EUwideConstants'!$N$98</t>
  </si>
  <si>
    <t>EUwideConstants'!$O$97; 'EUwideConstants'!$O$98</t>
  </si>
  <si>
    <t>EUwideConstants'!$P$97; 'EUwideConstants'!$P$98</t>
  </si>
  <si>
    <t>EUwideConstants'!$Q$97; 'EUwideConstants'!$Q$98</t>
  </si>
  <si>
    <t>EUwideConstants'!$R$97; 'EUwideConstants'!$R$98</t>
  </si>
  <si>
    <t>EUwideConstants'!$S$97; 'EUwideConstants'!$S$98</t>
  </si>
  <si>
    <t>EUwideConstants'!$T$97; 'EUwideConstants'!$T$98</t>
  </si>
  <si>
    <t>EUwideConstants'!$U$97; 'EUwideConstants'!$U$98</t>
  </si>
  <si>
    <t>EUwideConstants'!$V$97; 'EUwideConstants'!$V$98</t>
  </si>
  <si>
    <t>EUwideConstants'!$W$97; 'EUwideConstants'!$W$98</t>
  </si>
  <si>
    <t>EUwideConstants'!$X$97; 'EUwideConstants'!$X$98</t>
  </si>
  <si>
    <t>EUwideConstants'!$Y$97; 'EUwideConstants'!$Y$98</t>
  </si>
  <si>
    <t>EUwideConstants'!$Z$97; 'EUwideConstants'!$Z$98</t>
  </si>
  <si>
    <t>EUwideConstants'!$AA$97; 'EUwideConstants'!$AA$98</t>
  </si>
  <si>
    <t>EUwideConstants'!$AB$97; 'EUwideConstants'!$AB$98</t>
  </si>
  <si>
    <t>EUwideConstants'!$AC$97; 'EUwideConstants'!$AC$98</t>
  </si>
  <si>
    <t>EUwideConstants'!$AD$97; 'EUwideConstants'!$AD$98</t>
  </si>
  <si>
    <t>EUwideConstants'!$AE$97; 'EUwideConstants'!$AE$98</t>
  </si>
  <si>
    <t>EUwideConstants'!$AF$98</t>
  </si>
  <si>
    <t>EUwideConstants'!$B$99</t>
  </si>
  <si>
    <t>EUwideConstants'!$B$100</t>
  </si>
  <si>
    <t>EUwideConstants'!$B$101</t>
  </si>
  <si>
    <t>EUwideConstants'!$B$102</t>
  </si>
  <si>
    <t>EUwideConstants'!$B$103</t>
  </si>
  <si>
    <t>EUwideConstants'!$B$104</t>
  </si>
  <si>
    <t>EUwideConstants'!$B$105</t>
  </si>
  <si>
    <t>EUwideConstants'!$B$106</t>
  </si>
  <si>
    <t>EUwideConstants'!$B$107</t>
  </si>
  <si>
    <t>EUwideConstants'!$B$108</t>
  </si>
  <si>
    <t>EUwideConstants'!$B$109</t>
  </si>
  <si>
    <t>EUwideConstants'!$B$110</t>
  </si>
  <si>
    <t>EUwideConstants'!$B$111</t>
  </si>
  <si>
    <t>EUwideConstants'!$B$112</t>
  </si>
  <si>
    <t>EUwideConstants'!$B$113</t>
  </si>
  <si>
    <t>EUwideConstants'!$B$114</t>
  </si>
  <si>
    <t>EUwideConstants'!$B$115</t>
  </si>
  <si>
    <t>EUwideConstants'!$B$116</t>
  </si>
  <si>
    <t>EUwideConstants'!$B$117</t>
  </si>
  <si>
    <t>EUwideConstants'!$B$118</t>
  </si>
  <si>
    <t>EUwideConstants'!$B$119</t>
  </si>
  <si>
    <t>EUwideConstants'!$B$120</t>
  </si>
  <si>
    <t>EUwideConstants'!$B$121</t>
  </si>
  <si>
    <t>EUwideConstants'!$B$122</t>
  </si>
  <si>
    <t>EUwideConstants'!$B$123</t>
  </si>
  <si>
    <t>; 'EUwideConstants'!$B$124</t>
  </si>
  <si>
    <t>EUwideConstants'!$B$125</t>
  </si>
  <si>
    <t>EUwideConstants'!$B$164</t>
  </si>
  <si>
    <t>A_InstallationData'!$N$160; 'EUwideConstants'!$C$164</t>
  </si>
  <si>
    <t>EUwideConstants'!$D$164</t>
  </si>
  <si>
    <t>EUwideConstants'!$A$168</t>
  </si>
  <si>
    <t>EUwideConstants'!$H$170</t>
  </si>
  <si>
    <t>EUwideConstants'!$H$171</t>
  </si>
  <si>
    <t>EUwideConstants'!$H$172</t>
  </si>
  <si>
    <t>EUwideConstants'!$H$173</t>
  </si>
  <si>
    <t>EUwideConstants'!$H$174</t>
  </si>
  <si>
    <t>EUwideConstants'!$H$175</t>
  </si>
  <si>
    <t>EUwideConstants'!$H$176</t>
  </si>
  <si>
    <t>EUwideConstants'!$H$177</t>
  </si>
  <si>
    <t>EUwideConstants'!$H$178</t>
  </si>
  <si>
    <t>EUwideConstants'!$H$179</t>
  </si>
  <si>
    <t>EUwideConstants'!$H$180</t>
  </si>
  <si>
    <t>EUwideConstants'!$H$181</t>
  </si>
  <si>
    <t>EUwideConstants'!$H$182</t>
  </si>
  <si>
    <t>EUwideConstants'!$H$183</t>
  </si>
  <si>
    <t>EUwideConstants'!$H$184</t>
  </si>
  <si>
    <t>EUwideConstants'!$H$185</t>
  </si>
  <si>
    <t>EUwideConstants'!$H$186</t>
  </si>
  <si>
    <t>EUwideConstants'!$H$187</t>
  </si>
  <si>
    <t>EUwideConstants'!$H$188</t>
  </si>
  <si>
    <t>EUwideConstants'!$H$189</t>
  </si>
  <si>
    <t>EUwideConstants'!$H$190</t>
  </si>
  <si>
    <t>EUwideConstants'!$H$191</t>
  </si>
  <si>
    <t>EUwideConstants'!$H$192</t>
  </si>
  <si>
    <t>EUwideConstants'!$H$193</t>
  </si>
  <si>
    <t>EUwideConstants'!$H$194</t>
  </si>
  <si>
    <t>EUwideConstants'!$H$195</t>
  </si>
  <si>
    <t>EUwideConstants'!$H$196</t>
  </si>
  <si>
    <t>EUwideConstants'!$H$197</t>
  </si>
  <si>
    <t>EUwideConstants'!$A$199</t>
  </si>
  <si>
    <t>EUwideConstants'!$B$169; 'EUwideConstants'!$A$200</t>
  </si>
  <si>
    <t>EUwideConstants'!$A$169; 'EUwideConstants'!$B$200</t>
  </si>
  <si>
    <t>EUwideConstants'!$E$200</t>
  </si>
  <si>
    <t>EUwideConstants'!$I$200</t>
  </si>
  <si>
    <t>EUwideConstants'!$J$200</t>
  </si>
  <si>
    <t>EUwideConstants'!$K$200</t>
  </si>
  <si>
    <t>EUwideConstants'!$L$200</t>
  </si>
  <si>
    <t>EUwideConstants'!$E$201</t>
  </si>
  <si>
    <t>EUwideConstants'!$E$202</t>
  </si>
  <si>
    <t>EUwideConstants'!$E$203</t>
  </si>
  <si>
    <t>EUwideConstants'!$E$204</t>
  </si>
  <si>
    <t>EUwideConstants'!$E$205</t>
  </si>
  <si>
    <t>EUwideConstants'!$E$206</t>
  </si>
  <si>
    <t>EUwideConstants'!$E$207</t>
  </si>
  <si>
    <t>EUwideConstants'!$E$208</t>
  </si>
  <si>
    <t>EUwideConstants'!$E$209</t>
  </si>
  <si>
    <t>EUwideConstants'!$E$210</t>
  </si>
  <si>
    <t>EUwideConstants'!$E$211</t>
  </si>
  <si>
    <t>H_SpecialBM'!$D$99; 'EUwideConstants'!$E$212</t>
  </si>
  <si>
    <t>EUwideConstants'!$I$212</t>
  </si>
  <si>
    <t>H_SpecialBM'!$D$133; 'EUwideConstants'!$E$213</t>
  </si>
  <si>
    <t>EUwideConstants'!$I$213</t>
  </si>
  <si>
    <t>EUwideConstants'!$E$214</t>
  </si>
  <si>
    <t>EUwideConstants'!$E$215</t>
  </si>
  <si>
    <t>EUwideConstants'!$E$216</t>
  </si>
  <si>
    <t>EUwideConstants'!$E$217</t>
  </si>
  <si>
    <t>EUwideConstants'!$E$218</t>
  </si>
  <si>
    <t>EUwideConstants'!$E$219</t>
  </si>
  <si>
    <t>EUwideConstants'!$E$220</t>
  </si>
  <si>
    <t>EUwideConstants'!$E$221</t>
  </si>
  <si>
    <t>EUwideConstants'!$E$222</t>
  </si>
  <si>
    <t>EUwideConstants'!$E$223</t>
  </si>
  <si>
    <t>EUwideConstants'!$E$224</t>
  </si>
  <si>
    <t>EUwideConstants'!$E$225</t>
  </si>
  <si>
    <t>EUwideConstants'!$E$226</t>
  </si>
  <si>
    <t>EUwideConstants'!$E$227</t>
  </si>
  <si>
    <t>EUwideConstants'!$E$228</t>
  </si>
  <si>
    <t>EUwideConstants'!$E$229</t>
  </si>
  <si>
    <t>EUwideConstants'!$I$227; 'EUwideConstants'!$I$228; 'EUwideConstants'!$I$229</t>
  </si>
  <si>
    <t>EUwideConstants'!$E$230</t>
  </si>
  <si>
    <t>EUwideConstants'!$E$231</t>
  </si>
  <si>
    <t>EUwideConstants'!$E$232</t>
  </si>
  <si>
    <t>EUwideConstants'!$E$233</t>
  </si>
  <si>
    <t>EUwideConstants'!$E$234</t>
  </si>
  <si>
    <t>EUwideConstants'!$E$235</t>
  </si>
  <si>
    <t>EUwideConstants'!$E$236</t>
  </si>
  <si>
    <t>EUwideConstants'!$E$237</t>
  </si>
  <si>
    <t>EUwideConstants'!$F$227; 'EUwideConstants'!$F$228; 'EUwideConstants'!$F$229; 'EUwideConstants'!$F$230; 'EUwideConstants'!$F$231; 'EUwideConstants'!$F$232; 'EUwideConstants'!$F$233; 'EUwideConstants'!$F$235; 'EUwideConstants'!$F$236; 'EUwideConstants'!$F$237</t>
  </si>
  <si>
    <t>EUwideConstants'!$E$238</t>
  </si>
  <si>
    <t>EUwideConstants'!$E$239</t>
  </si>
  <si>
    <t>EUwideConstants'!$I$239</t>
  </si>
  <si>
    <t>EUwideConstants'!$E$240</t>
  </si>
  <si>
    <t>EUwideConstants'!$E$241</t>
  </si>
  <si>
    <t>H_SpecialBM'!$D$167; 'EUwideConstants'!$E$242</t>
  </si>
  <si>
    <t>EUwideConstants'!$I$242</t>
  </si>
  <si>
    <t>EUwideConstants'!$E$243</t>
  </si>
  <si>
    <t>EUwideConstants'!$F$201; 'EUwideConstants'!$F$243</t>
  </si>
  <si>
    <t>EUwideConstants'!$I$201; 'EUwideConstants'!$I$243</t>
  </si>
  <si>
    <t>EUwideConstants'!$E$244</t>
  </si>
  <si>
    <t>EUwideConstants'!$E$245</t>
  </si>
  <si>
    <t>EUwideConstants'!$E$246</t>
  </si>
  <si>
    <t>EUwideConstants'!$I$246</t>
  </si>
  <si>
    <t>EUwideConstants'!$E$247</t>
  </si>
  <si>
    <t>EUwideConstants'!$I$247</t>
  </si>
  <si>
    <t>EUwideConstants'!$E$248</t>
  </si>
  <si>
    <t>EUwideConstants'!$E$249</t>
  </si>
  <si>
    <t>H_SpecialBM'!$E$189; 'H_SpecialBM'!$E$208; 'H_SpecialBM'!$D$259; 'EUwideConstants'!$E$250</t>
  </si>
  <si>
    <t>EUwideConstants'!$I$250</t>
  </si>
  <si>
    <t>H_SpecialBM'!$D$292; 'EUwideConstants'!$E$251</t>
  </si>
  <si>
    <t>EUwideConstants'!$I$251</t>
  </si>
  <si>
    <t>EUwideConstants'!$E$252</t>
  </si>
  <si>
    <t>EUwideConstants'!$A$254</t>
  </si>
  <si>
    <t>K_Summary'!$D$450; 'K_Summary'!$K$471; 'K_Summary'!$K$531; 'K_Summary'!$K$591; 'K_Summary'!$K$651; 'K_Summary'!$K$711; 'K_Summary'!$K$771; 'K_Summary'!$K$831; 'K_Summary'!$K$891; 'K_Summary'!$K$951; 'K_Summary'!$K$1011; 'K_Summary'!$L$1073; 'K_Summary'!$L$1113; 'K_Summary'!$L$1153; 'K_Summary'!$L$1193; 'K_Summary'!$L$1222; 'K_Summary'!$L$1251; 'K_Summary'!$L$1271; 'EUwideConstants'!$C$200; 'EUwideConstants'!$C$255</t>
  </si>
  <si>
    <t>EUwideConstants'!$D$200; 'EUwideConstants'!$D$255</t>
  </si>
  <si>
    <t>EUwideConstants'!$E$255</t>
  </si>
  <si>
    <t>K_Summary'!$H$188; 'K_Summary'!$H$340; 'EUwideConstants'!$B$11; 'EUwideConstants'!$F$200; 'EUwideConstants'!$F$255</t>
  </si>
  <si>
    <t>EUwideConstants'!$G$200; 'EUwideConstants'!$G$255</t>
  </si>
  <si>
    <t>EUwideConstants'!$H$200; 'EUwideConstants'!$H$255</t>
  </si>
  <si>
    <t>EUwideConstants'!$I$255</t>
  </si>
  <si>
    <t>EUwideConstants'!$M$200; 'EUwideConstants'!$M$255</t>
  </si>
  <si>
    <t>EUwideConstants'!$R$200; 'EUwideConstants'!$Q$255</t>
  </si>
  <si>
    <t>EUwideConstants'!$Q$200; 'EUwideConstants'!$R$255</t>
  </si>
  <si>
    <t>EUwideConstants'!$S$200; 'EUwideConstants'!$S$255</t>
  </si>
  <si>
    <t>EUwideConstants'!$E$256</t>
  </si>
  <si>
    <t>EUwideConstants'!$E$257</t>
  </si>
  <si>
    <t>EUwideConstants'!$E$258</t>
  </si>
  <si>
    <t>EUwideConstants'!$E$259</t>
  </si>
  <si>
    <t>EUwideConstants'!$E$260</t>
  </si>
  <si>
    <t>EUwideConstants'!$E$261</t>
  </si>
  <si>
    <t>EUwideConstants'!$E$262</t>
  </si>
  <si>
    <t>avg16-17|21-22</t>
  </si>
  <si>
    <t>Published version</t>
  </si>
  <si>
    <t>https://ec.europa.eu/clima/policies/ets/allowances_en#tab-0-1</t>
  </si>
  <si>
    <t>Obszar nawigacji:</t>
  </si>
  <si>
    <t>Następny arkusz</t>
  </si>
  <si>
    <t>Podsumowanie</t>
  </si>
  <si>
    <t>Początek arkusza</t>
  </si>
  <si>
    <t>Koniec arkusza</t>
  </si>
  <si>
    <t>RAPORT DOTYCZĄCY DANYCH PODSTAWOWYCH w odniesieniu do IV etapu EU ETS</t>
  </si>
  <si>
    <t>SPIS TREŚCI</t>
  </si>
  <si>
    <t>Wersja językowa:</t>
  </si>
  <si>
    <t>Nazwa dokumentu:</t>
  </si>
  <si>
    <t>Informacje o dokumencie:</t>
  </si>
  <si>
    <t>Nazwa instalacji:</t>
  </si>
  <si>
    <t>Niepowtarzalny identyfikator instalacji:</t>
  </si>
  <si>
    <t>Odpowiedni okres odniesienia</t>
  </si>
  <si>
    <t>W przypadku gdy właściwy organ wymaga od Państwa złożenia podpisanego sprawozdania w wersji papierowej, proszę złożyć podpis poniżej:</t>
  </si>
  <si>
    <t>Data</t>
  </si>
  <si>
    <t>Imię, nazwisko i podpis
osoby prawnie odpowiedzialnej</t>
  </si>
  <si>
    <t>Spis treści</t>
  </si>
  <si>
    <t>Poprzedni arkusz</t>
  </si>
  <si>
    <t>WYTYCZNE I WARUNKI</t>
  </si>
  <si>
    <t>Ogólne informacje o formularzu</t>
  </si>
  <si>
    <t>Dyrektywa 2003/87/WE, ostatnio zmieniona dyrektywą (UE) 2018/410 (zwana dalej „dyrektywą w sprawie EU ETS”), zawiera wymóg, zgodnie z którym państwa członkowskie muszą przydzielać instalacjom bezpłatne uprawnienia na podstawie w pełni zharmonizowanych w całej Wspólnocie zasad (art. 10a ust. 1). Dyrektywa jest dostępna pod adresem:</t>
  </si>
  <si>
    <t>Te zasady przydziału bezpłatnych uprawnień (zwane dalej „FAR” – ang. free allocation rules) są zawarte w rozporządzeniu delegowanym Komisji (UE) 2019/331 z dnia 19 grudnia 2018 r. w sprawie ustanowienia przejściowych zasad dotyczących zharmonizowanego przydziału bezpłatnych uprawnień do emisji w całej Unii na podstawie art. 10a dyrektywy 2003/87/WE Parlamentu Europejskiego i Rady. Są dostępne pod adresem:</t>
  </si>
  <si>
    <t>Zasadniczym elementem FAR jest gromadzenie danych przez państwa członkowskie w celu zebrania od prowadzących instalacje wszystkich istotnych informacji potrzebnych a) państwom członkowskim do obliczania wstępnego przydziału bezpłatnych uprawnień oraz b) Komisji do aktualizacji wartości wskaźników.</t>
  </si>
  <si>
    <t>Niniejszy dokument stanowi formularz na potrzeby gromadzenia danych sporządzony w imieniu Komisji przez jej konsultantów (Umweltbundesamt GmbH Austria i SQ Consult).</t>
  </si>
  <si>
    <t xml:space="preserve">Opinie wyrażone w niniejszym dokumencie odzwierciedlają opinie autorów, lecz niekoniecznie opinie Komisji Europejskiej. </t>
  </si>
  <si>
    <t>Jest to pierwsza opublikowana (ostateczna) wersja z dnia 4 marca 2019 r.</t>
  </si>
  <si>
    <t>Jak korzystać z niniejszego dokumentu</t>
  </si>
  <si>
    <t>Należy włączyć autosumowanie (które znajduje się w menu „Formuły”).</t>
  </si>
  <si>
    <t>Zaleca się przejrzenie najpierw całego dokumentu od początku do końca. Istnieje kilka funkcji, które poprowadzą Państwa przez cały formularz i które zależą od wprowadzonych wcześniej danych, takich jak zmiana koloru komórek, w przypadku gdy wprowadzenie danych nie jest konieczne (zob. kody kolorów poniżej). Niekiedy jednak przed przejściem do następnego etapu należy najpierw kontynuować wprowadzanie danych w kolejnym arkuszu (np. „H_specialBM” wymaga wprowadzenia danych przed sfinalizowaniem „F-ProductBM”, w przypadku gdy ma zastosowanie załącznik III do FAR).</t>
  </si>
  <si>
    <t>Szczególnie ważne jest wypełnienie arkusza „A_InstallationData” części A.II.2 (wybrany okres odniesienia) i A.III (definicja podinstalacji). Podanie w tym miejscu niepoprawnych informacji może spowodować błędne wyniki obliczeń lub brak możliwości prawidłowego wprowadzenia danych dotyczących podinstalacji.</t>
  </si>
  <si>
    <t>Jeśli zachodzi potrzeba podania wartości zerowej, należy ją wpisać, a nie zostawiać pustą komórkę. W przypadku pustej komórki właściwy organ (CA) nie wie, czy wartość nie została podana, jest nieistotna czy nieznana. Zawsze należy podawać wartości potrzebne do obliczeń (szczególnie zero, gdyż niektóre formuły nie podają wyników, dopóki nie zostaną wypełnione wymagane komórki).</t>
  </si>
  <si>
    <t>W kilku polach można wybrać spośród określonych z góry danych. Aby dokonać wyboru z listy rozwijanej, należy kliknąć strzałkę widoczną na prawej krawędzi komórki albo wybrać komórkę, a następnie nacisnąć „Alt+strzałka w dół”. Niektóre pola umożliwiają wpisywanie własnego tekstu, nawet jeśli istnieje przy nich lista rozwijana. Tak jest w przypadku, gdy listy rozwijane zawierają puste pozycje.</t>
  </si>
  <si>
    <t>Jeśli wprowadzone dane są niekompletne, pojawi się komunikat o błędzie. Należy jednak pamiętać, że niepojawienie się komunikatu o błędzie nie gwarantuje poprawnych obliczeń, ponieważ nie zawsze możliwe jest sprawdzenie kompletności danych. Jeśli w zielonym polu nie pojawi się żaden wynik, można przyjąć, że nadal brakuje niektórych danych.</t>
  </si>
  <si>
    <t>Należy zwrócić szczególną uwagę na zgodność danych z wyświetlanymi jednostkami.</t>
  </si>
  <si>
    <t>Komunikaty o błędzie są często bardzo krótkie z uwagi na niewielką ilość miejsca. Do najważniejszych należą:</t>
  </si>
  <si>
    <t>Oznacza, że dane nie wystarczą do wykonania obliczenia (np. w danym roku brakuje współczynnika emisji).</t>
  </si>
  <si>
    <t>Wybrane jednostki są niespójne, a obliczenia wykonane na ich podstawie dadzą błędne wyniki.</t>
  </si>
  <si>
    <t>W tym obliczeniu nie są dozwolone wartości ujemne.</t>
  </si>
  <si>
    <t>To są odniesienia do części dokumentu. Oznacza to, że w odnośnych częściach brakuje danych.</t>
  </si>
  <si>
    <t>Kody kolorów i czcionki:</t>
  </si>
  <si>
    <t>Czarny wytłuszczony tekst:</t>
  </si>
  <si>
    <t>Jest to tekst określający dane, których wprowadzenie jest obowiązkowe.</t>
  </si>
  <si>
    <t>Mniejszy tekst kursywą:</t>
  </si>
  <si>
    <t xml:space="preserve">Ten tekst zawiera dodatkowe wyjaśnienia. </t>
  </si>
  <si>
    <t>Żółte pola oznaczają dane, których wprowadzenie jest obowiązkowe. Jeśli jednak dany temat nie dotyczy instalacji, nie trzeba wprowadzać danych.</t>
  </si>
  <si>
    <t>Jasnożółte pola wskazują, że wprowadzenie danych nie jest obowiązkowe.</t>
  </si>
  <si>
    <t>Zielone pola ukazują automatycznie obliczone wyniki. Czerwony tekst pokazuje komunikaty o błędzie (brakujące dane itp.).</t>
  </si>
  <si>
    <t>Zacienione pola wskazują, że w tym miejscu nie trzeba wpisywać danych, ponieważ zostały one już wprowadzone w innym polu.</t>
  </si>
  <si>
    <t>Państwa członkowskie powinny wypełnić szare zacienione pola przed opublikowaniem własnych wersji formularza.</t>
  </si>
  <si>
    <t>Jasnoszare pola służą do nawigacji i wstawiania hiperłączy.</t>
  </si>
  <si>
    <t>Panele nawigacyjne w górnej części każdego arkusza zawierają hiperłącza umożliwiające szybki dostęp do poszczególnych miejsc wprowadzania danych. Pierwszy wiersz („Spis treści”, „Poprzedni arkusz”, „Następny arkusz”, „Podsumowanie”) oraz punkty „Początek arkusza” i „Koniec arkusza” są takie same we wszystkich arkuszach. W zależności od arkusza dodawane są kolejne pozycje menu. Jeśli kolor tła któregoś obszaru hiperłącza zmieni się na czerwony, oznacza to, że w tej części brakuje danych.</t>
  </si>
  <si>
    <t>Niniejszy formularz zabezpieczono przed wprowadzaniem danych, z wyjątkiem żółtych pól. W celu zapewnienia przejrzystości nie ustanowiono jednak hasła. Pozwala to na pełne przeglądanie wszystkich formuł. Podczas korzystania z niniejszego dokumentu w celu wprowadzania danych zaleca się stosowanie zabezpieczenia. Arkusze powinny być chronione przez cały czas, z wyjątkiem momentu sprawdzenia poprawności formuł. Zaleca się wykonanie tego w oddzielnym dokumencie.</t>
  </si>
  <si>
    <t>Aby zabezpieczyć formuły przed niezamierzonymi zmianami, które zwykle prowadzą do błędnych lub mylących wyników,
niezmiernie ważne jest, by NIE UŻYWAĆ funkcji WYTNIJ I WKLEJ.
Jeśli chcą Państwo przenieść dane, należy najpierw je SKOPIOWAĆ i WKLEIĆ, a następnie usunąć niepotrzebne dane we wcześniejszym (błędnym) miejscu.</t>
  </si>
  <si>
    <t>Pola z danymi nie zostały zoptymalizowane pod względem formatowania liczb i innych typów formatowania. Zabezpieczenie arkusza zostało jednak ograniczone, aby umożliwić Państwu korzystanie z własnych formatów. W szczególności mogą Państwo wybrać liczbę wyświetlanych miejsc po przecinku. Liczba miejsc po przecinku zasadniczo nie jest związana z dokładnością obliczenia. Zasadniczo należy wyłączyć opcję Excela „Dokładność jak wyświetlono”. Więcej informacji na ten temat można uzyskać, korzystając z funkcji „Pomoc” w programie MS Excel.</t>
  </si>
  <si>
    <t>ZASTRZEŻENIE: Wszystkie formuły opracowano dokładnie i starannie. Nie można jednak całkowicie wykluczyć ryzyka błędów.
Jak już wcześniej wspomniano, zapewniono pełną przejrzystość w celu sprawdzenia poprawności obliczeń. Ani autorzy niniejszego dokumentu, ani Komisja Europejska nie ponoszą odpowiedzialności za ewentualne szkody wynikające z nieprawidłowych lub mylących wyników obliczeń.
Pełną odpowiedzialność za przekazanie poprawnych danych właściwemu organowi ponosi użytkownik niniejszego dokumentu (tzn. prowadzący instalację objętą EU ETS).</t>
  </si>
  <si>
    <t>Informacje dotyczące państwa członkowskiego:</t>
  </si>
  <si>
    <t>Niniejsze sprawozdanie należy przekazać właściwemu organowi na poniższy adres:</t>
  </si>
  <si>
    <t>Źródła informacji:</t>
  </si>
  <si>
    <t>Strony internetowe UE:</t>
  </si>
  <si>
    <t>Przepisy UE:</t>
  </si>
  <si>
    <t xml:space="preserve">http://eur-lex.europa.eu/pl/index.htm </t>
  </si>
  <si>
    <t>Ogólne informacje dotyczące systemu EU ETS:</t>
  </si>
  <si>
    <t>https://ec.europa.eu/clima/policies/ets_pl</t>
  </si>
  <si>
    <t>Inne strony internetowe:</t>
  </si>
  <si>
    <t>&lt;podaje państwo członkowskie&gt;</t>
  </si>
  <si>
    <t>Pomoc techniczna:</t>
  </si>
  <si>
    <t>&lt;podaje państwo członkowskie, jeśli dotyczy&gt;</t>
  </si>
  <si>
    <t>Szczegółowe wytyczne przekazywane przez państwo członkowskie:</t>
  </si>
  <si>
    <t xml:space="preserve">&lt;&lt;&lt; Proszę kliknąć tutaj, aby przejść do kolejnego arkusza &gt;&gt;&gt; </t>
  </si>
  <si>
    <t>A. Dane dotyczące instalacji</t>
  </si>
  <si>
    <t>Identyfikator instalacji</t>
  </si>
  <si>
    <t>Osoby wyznaczone do kontaktów</t>
  </si>
  <si>
    <t>Weryfikator</t>
  </si>
  <si>
    <t>Dodatkowe informacje</t>
  </si>
  <si>
    <t>Kwalifikowalność</t>
  </si>
  <si>
    <t>Okres odniesienia</t>
  </si>
  <si>
    <t>Podinstalacje</t>
  </si>
  <si>
    <t>Połączenia techniczne</t>
  </si>
  <si>
    <t>Arkusz „InstallationData” (Dane dotyczące instalacji) – OGÓLNE INFORMACJE O NINIEJSZYM SPRAWOZDANIU</t>
  </si>
  <si>
    <t>Dane identyfikacje instalacji</t>
  </si>
  <si>
    <t>Informacje ogólne:</t>
  </si>
  <si>
    <t>Nazwa powinna być taka sama jak nazwa używana w korespondencji z właściwym organem.</t>
  </si>
  <si>
    <t>Państwo członkowskie, w którym znajduje się instalacja:</t>
  </si>
  <si>
    <t>„Państwo członkowskie” oznacza: państwo uczestniczące w EU ETS, tj. państwa członkowskie UE oraz Islandię, Norwegię i Liechtenstein.</t>
  </si>
  <si>
    <t>Czy ta instalacja była już wcześniej objęta EU ETS?</t>
  </si>
  <si>
    <t>Niepowtarzalny identyfikator nadany przez właściwy organ:</t>
  </si>
  <si>
    <t>W przypadku instalacji, których wcześniej nie uwzględniono w EU ETS, prowadzący instalacje proszeni są o skontaktowanie się z właściwym organem w celu otrzymania takiego identyfikatora.</t>
  </si>
  <si>
    <t xml:space="preserve">Właściwe organy muszą zapewnić dostępność niepowtarzalnego identyfikatora przed przekazaniem Komisji Europejskiej jakichkolwiek danych. </t>
  </si>
  <si>
    <t>Kod identyfikacyjny instalacji w rejestrze:</t>
  </si>
  <si>
    <t>Jest to zwykle liczba naturalna, tzn. kod inny niż identyfikator zezwolenia stosowany w rejestrze (EUTL).</t>
  </si>
  <si>
    <t>Niepowtarzalny identyfikator zgłaszany Komisji:</t>
  </si>
  <si>
    <t>Informacje dotyczące zezwolenia na emisję gazów cieplarnianych:</t>
  </si>
  <si>
    <t>W tym miejscu proszę podać informacje dotyczące zezwolenia na emisję gazów cieplarnianych (=zezwolenie wydane zgodnie z art. 5 i 6 dyrektywy w sprawie EU ETS).</t>
  </si>
  <si>
    <t>Jeśli właściwy organ posiada już taką informację, Państwa członkowskie mogą potraktować jej podanie jako nieobowiązkowe.</t>
  </si>
  <si>
    <t>Nazwa właściwego organu:</t>
  </si>
  <si>
    <t>Pierwsze zezwolenie na emisję gazów cieplarnianych uzyskane w momencie objęcia instalacji systemem ETS po raz pierwszy:</t>
  </si>
  <si>
    <t>Numer identyfikacyjny zezwolenia:</t>
  </si>
  <si>
    <t>Data wydania:</t>
  </si>
  <si>
    <t>Ostatnia aktualizacja zezwolenia (w stosownych przypadkach):</t>
  </si>
  <si>
    <t>Data rozpoczęcia działalności instalacji:</t>
  </si>
  <si>
    <t>Dane te są istotne wyłącznie w przypadku, gdy instalacja jako całość zaczęła działać po dniu 1 stycznia 2014 r.</t>
  </si>
  <si>
    <t>Instalacja ta jest instalacją dotychczas działającą:</t>
  </si>
  <si>
    <t>Instalacja jest instalacją dotychczas działającą, jeżeli po raz pierwszy uzyskała zezwolenie na emisję gazów cieplarnianych najpóźniej w dniu:</t>
  </si>
  <si>
    <t>30 czerwca 2019 r. w odniesieniu do okresu 2021–2025, na który przydzielane są uprawnienia, lub</t>
  </si>
  <si>
    <t>30 czerwca 2024 r. w odniesieniu do okresu 2026–2030.</t>
  </si>
  <si>
    <t>Wszystkie instalacje, które nie są instalacjami dotychczas działającymi według powyższych kryteriów, właściwy organ uznaje za „nowe instalacje”.</t>
  </si>
  <si>
    <t xml:space="preserve">Nowe instalacje nie są zgłaszane Komisji na mocy krajowych środków wykonawczych na podstawie art. 11 dyrektywy w sprawie EU ETS. </t>
  </si>
  <si>
    <t xml:space="preserve">W związku z powyższym niniejszy formularz nie jest przeznaczony dla nowych instalacji. </t>
  </si>
  <si>
    <t>Dane dotyczące prowadzącego instalację:</t>
  </si>
  <si>
    <t>„Prowadzący instalację” oznacza każdą osobę [fizyczną lub prawną], która prowadzi lub kontroluje instalację lub, w przypadku gdy jest to przewidziane w ustawodawstwie krajowym, której powierzono decydujące uprawnienia ekonomiczne dotyczące technicznego funkcjonowania instalacji.</t>
  </si>
  <si>
    <t>Nazwa prowadzącego instalację:</t>
  </si>
  <si>
    <t>Ulica, numer:</t>
  </si>
  <si>
    <t>Kod pocztowy:</t>
  </si>
  <si>
    <t>Miejscowość:</t>
  </si>
  <si>
    <t>Państwo:</t>
  </si>
  <si>
    <t>Imię i nazwisko upoważnionego przedstawiciela:</t>
  </si>
  <si>
    <t>E-mail:</t>
  </si>
  <si>
    <t>Telefon:</t>
  </si>
  <si>
    <t>Faks:</t>
  </si>
  <si>
    <t>Adres instalacji:</t>
  </si>
  <si>
    <t>Osoby wyznaczone do kontaktów:</t>
  </si>
  <si>
    <t>W tym miejscu proszę wskazać osoby, z którymi właściwy organ może kontaktować się w razie pytań dotyczących niniejszego sprawozdania, w tym jego weryfikacji.</t>
  </si>
  <si>
    <t>Upoważniony przedstawiciel prowadzącego instalację odpowiedzialny za tę instalację:</t>
  </si>
  <si>
    <t>Imię i nazwisko:</t>
  </si>
  <si>
    <t>Główna osoba wyznaczona do kontaktów w kwestiach technicznych odnoszących się do danych dotyczących instalacji, jeżeli jest inna niż w lit. a):</t>
  </si>
  <si>
    <t>Weryfikator wyznaczony do niniejszego raportu dotyczącego danych podstawowych:</t>
  </si>
  <si>
    <t>Imię, nazwisko i adres weryfikatora niniejszego raportu dotyczącego danych podstawowych:</t>
  </si>
  <si>
    <t>Nazwa przedsiębiorstwa:</t>
  </si>
  <si>
    <t>Upoważniony przedstawiciel weryfikatora:</t>
  </si>
  <si>
    <t>Wyznaczona osoba powinna znać treść niniejszego raportu. Najlepiej, aby był to główny weryfikator wyznaczony do niniejszego raportu.</t>
  </si>
  <si>
    <t>Numer telefonu:</t>
  </si>
  <si>
    <t>Informacje dotyczące akredytacji weryfikatora:</t>
  </si>
  <si>
    <t>Akredytujące państwo członkowskie:</t>
  </si>
  <si>
    <t>Nazwa krajowej jednostki akredytującej:</t>
  </si>
  <si>
    <t>Numer rejestracyjny wydany przez jednostkę akredytującą:</t>
  </si>
  <si>
    <t>Dalsze informacje dotyczące instalacji:</t>
  </si>
  <si>
    <t>Działania zgodnie z załącznikiem I do dyrektywy w sprawie EU ETS:</t>
  </si>
  <si>
    <t>Informacje te są istotne dla właściwych organów, ponieważ mogły zaistnieć zmiany w porównaniu z poprzednimi etapami ETS.</t>
  </si>
  <si>
    <t>W miarę możliwości należy uporządkować listę według emisji bezpośrednich, zaczynając od działania powodującego najwyższe emisje bezpośrednie.</t>
  </si>
  <si>
    <t>Numer</t>
  </si>
  <si>
    <t>Nazwa działania (załącznik I do dyrektywy w sprawie EU ETS)</t>
  </si>
  <si>
    <t>Pod jakim kodem NACE Państwa przedsiębiorstwo zgłosiło wartość dodaną na potrzeby statystyki strukturalnej dotyczącej przedsiębiorstw?</t>
  </si>
  <si>
    <t>Jeśli nie mają Państwo pewności, jakie wartości należy podać, proszę skontaktować się z właściwym krajowym urzędem statystycznym.</t>
  </si>
  <si>
    <t xml:space="preserve">Klasyfikację NACE Rev. 2.0 można znaleźć pod adresem: </t>
  </si>
  <si>
    <t>http://ec.europa.eu/eurostat/ramon/nomenclatures/index.cfm?TargetUrl=LST_CLS_DLD&amp;StrNom=NACE_REV2&amp;StrLanguageCode=EN&amp;StrLayoutCode=HIERARCHIChttp://ec.europa.eu/eurostat/ramon/nomenclatures/index.cfm?TargetUrl=LST_CLS_DLD&amp;StrNom=NACE_REV2&amp;StrLanguageCode=EN&amp;StrLayoutCode=HIERARCHIC</t>
  </si>
  <si>
    <t>Kody NACE należy wpisywać w formacie 4-cyfrowym („nnnn”), tj. bez kropek ani innych separatorów.</t>
  </si>
  <si>
    <t>W przypadku niewpisania dokładnie 4 cyfr otrzymają Państwo komunikat o błędzie.</t>
  </si>
  <si>
    <t>Kod NACE zgłaszany zgodnie z klasyfikacją NACE Rev. 2:</t>
  </si>
  <si>
    <t>Proszę podać kod identyfikacyjny instalacji w EPRTR (w stosownych przypadkach):</t>
  </si>
  <si>
    <t>EPRTR to Europejski Rejestr Uwalniania i Transferu Zanieczyszczeń.</t>
  </si>
  <si>
    <t>Informacja ta jest potrzebna właściwym organom do przeprowadzenia kontroli spójności oraz zestawienia źródeł informacji dotyczących środowiska.</t>
  </si>
  <si>
    <t>Kwalifikowalność do wyłączenia na podstawie art. 27 dyrektywy w sprawie EU ETS</t>
  </si>
  <si>
    <t>Na podstawie art. 27 dyrektywy w sprawie EU ETS następujące rodzaje instalacji mogą zostać wyłączone z EU ETS, jeżeli zastosują równoważne środki:</t>
  </si>
  <si>
    <t>instalacje, w których przypadku zgłoszone właściwemu organowi emisje, z pominięciem emisji z biomasy, w każdym z ostatnich trzech lat wynosiły mniej niż 25 000 ton ekwiwalentu dwutlenku węgla i które podczas spalania mają nominalną moc cieplną poniżej 35 MW.</t>
  </si>
  <si>
    <t>W przypadku gromadzenia danych w 2019 r. te trzy lata to 2016–2018. W przypadku gromadzenia danych w 2024 r. te trzy lata to 2021–2023.</t>
  </si>
  <si>
    <t>Instalacje, które są szpitalami.</t>
  </si>
  <si>
    <t>Czy instalacja emitowała mniej niż 25 000 ton, a jej nominalna moc cieplna wynosi poniżej 35 MW?</t>
  </si>
  <si>
    <t>Czy instalacja jest szpitalem?</t>
  </si>
  <si>
    <t>Instalacja kwalifikuje się do wyłączenia na podstawie art. 27 dyrektywy w sprawie EU ETS:</t>
  </si>
  <si>
    <t>Kwalifikowalność do wyłączenia na podstawie art. 27a dyrektywy w sprawie EU ETS</t>
  </si>
  <si>
    <t>Na podstawie art. 27a dyrektywy w sprawie EU ETS państwa członkowskie mogą, po konsultacji z prowadzącym instalację, wyłączyć z EU ETS następujące rodzaje instalacji:</t>
  </si>
  <si>
    <t>instalacje, w których przypadku zgłoszone właściwemu organowi emisje, z pominięciem emisji z biomasy, w każdym z ostatnich trzech lat nie przekraczały 2 500 ton ekwiwalentu dwutlenku węgla;</t>
  </si>
  <si>
    <t>jednostki rezerwowe lub zapasowe, które pracowały mniej niż 300 godzin rocznie w każdym z trzech lat,</t>
  </si>
  <si>
    <t>Czy instalacja emitowała mniej niż 2 500 ton ekwiwalentu CO2 rocznie?</t>
  </si>
  <si>
    <t>Czy w instalacji są jednostki rezerwowe lub zapasowe, które pracowały nie więcej niż 300 godzin rocznie?</t>
  </si>
  <si>
    <t>Instalacja lub jej części kwalifikują się do wyłączenia na podstawie art. 27a dyrektywy w sprawie EU ETS:</t>
  </si>
  <si>
    <t>Roczne emisje z trzech poprzednich lat do celów kontroli wiarygodności danych podanych w lit. d) powyżej</t>
  </si>
  <si>
    <t>Następujące dane są pobierane automatycznie z arkusza „D_Emissions”.</t>
  </si>
  <si>
    <t>Wartość maksymalna</t>
  </si>
  <si>
    <t>Roczne emisje do celów kontroli wiarygodności:</t>
  </si>
  <si>
    <t>Czy instalacja została włączona?</t>
  </si>
  <si>
    <t>Proszę podać informacje, jeżeli instalacja nie prowadzi żadnego działania spośród działań przewidzianych w załączniku I do dyrektywy w sprawie EU ETS, ale została jednostronnie włączona przez państwo członkowskie na podstawie art. 24 tej dyrektywy.</t>
  </si>
  <si>
    <t>Informacje o niniejszym raporcie dotyczącym danych podstawowych</t>
  </si>
  <si>
    <t>Kwalifikowalność do przydziału bezpłatnych uprawnień:</t>
  </si>
  <si>
    <t>Czy instalacja jest wytwórcą energii elektrycznej zgodnie z art. 3 lit. u) dyrektywy?</t>
  </si>
  <si>
    <t>Art. 3 lit. u) stanowi: „wytwórca energii elektrycznej” oznacza instalację, która od dnia 1 stycznia 2005 r. włącznie wytwarzała energię elektryczną przeznaczoną do sprzedaży osobom trzecim i w której nie prowadzi się innych działań wymienionych w załączniku I niż „spalanie paliw”.</t>
  </si>
  <si>
    <t>Komisja przedstawiła wytyczne w sprawie identyfikowania wytwórców energii elektrycznej.</t>
  </si>
  <si>
    <t>Czy instalacja jest instalacją służącą do wychwytywania CO2, transportu CO2 lub składowania CO2?</t>
  </si>
  <si>
    <t>Instalację tę uznaje się za objętą art. 10a ust. 3 dyrektywy w sprawie EU ETS:</t>
  </si>
  <si>
    <t xml:space="preserve">Jeśli na pytanie a) lub b) udzielono odpowiedzi twierdzącej, odpowiedź na pytanie c) jest automatycznie twierdząca. </t>
  </si>
  <si>
    <t>Współczynnik liniowy, o którym mowa w art. 10a ust. 4 dyrektywy, stosuje się do przydziałów dla instalacji objętych art. 10a ust. 3 dyrektywy z wyjątkiem każdego roku, w którym te przydziały są dostosowywane w sposób jednolity zgodnie z art. 10a ust. 5 dyrektywy (zob. również art. 16 ust. 8 FAR).</t>
  </si>
  <si>
    <t>Czy instalacja wytwarza ciepło, które nie jest wykorzystywane do produkcji energii elektrycznej?</t>
  </si>
  <si>
    <t>Potwierdzenie niekwalifikowalności do przydziału bezpłatnych uprawnień:</t>
  </si>
  <si>
    <t>Jeśli odpowiedź na pytanie a) lub b) jest twierdząca, a na pytanie d) – przecząca, instalacja nie kwalifikuje się do przydziału bezpłatnych uprawnień na podstawie art. 10a dyrektywy w sprawie EU ETS. Jeśli dotyczy to Państwa instalacji, proszę to potwierdzić w tym miejscu:</t>
  </si>
  <si>
    <t>Ważne uwagi:</t>
  </si>
  <si>
    <t>Jeśli instalacja nie kwalifikuje się do przydziału bezpłatnych uprawnień na podstawie art. 10a dyrektywy w sprawie EU ETS, nie ma obowiązku podawania dalszych danych w kolejnych arkuszach. Obowiązkowo należy wypełnić tylko ten arkusz („A_InstallationData”).</t>
  </si>
  <si>
    <t>Jeśli nie jest wymagane zgłaszanie dalszych danych, nie ma również potrzeby weryfikacji niniejszego raportu.</t>
  </si>
  <si>
    <t>Niniejszy raport, w szczególności odpowiedzi udzielone w lit. a)–f), nie ma wpływu na ewentualne przydziały bezpłatnych uprawnień na podstawie art. 10c dyrektywy w sprawie EU ETS („możliwość przejściowego przydziału bezpłatnych uprawnień na modernizację sektora energetycznego”).</t>
  </si>
  <si>
    <t>Wniosek o przydział bezpłatnych uprawnień:</t>
  </si>
  <si>
    <t>Jeśli obie odpowiedzi na pytania a) i b) są przeczące lub jeśli odpowiedź na pytanie d) jest twierdząca, instalacja może być uznana za kwalifikującą się do przydziału bezpłatnych uprawnień na podstawie art. 10a dyrektywy w sprawie EU ETS. Jeśli dotyczy to Państwa instalacji, proszę w tym miejscu potwierdzić, że wnoszą Państwo o przydział bezpłatnych uprawnień na podstawie art. 10a:</t>
  </si>
  <si>
    <t>Zgoda na wykorzystanie danych zawartych w tym dokumencie:</t>
  </si>
  <si>
    <t>Dane zawarte w tym dokumencie zostaną wykorzystane przez właściwy organ do określenia przydziału bezpłatnych uprawnień na podstawie art. 10a dyrektywy w sprawie EU ETS oraz przez Komisję Europejską do aktualizacji wartości wskaźników emisyjności. Ponadto dane te zostaną zgłoszone Komisji Europejskiej w części lub w całości, na jej wniosek, w celu zbadania krajowych środków wykonawczych zgodnie z art. 11 ust. 1 dyrektywy w sprawie EU ETS.</t>
  </si>
  <si>
    <t>Jeżeli prowadzący instalację potwierdzi informacje podane w lit. e) lub f) powyżej, automatycznie przyjmuje się, że potwierdza również zgodę na wykorzystanie danych zawartych w niniejszym dokumencie.</t>
  </si>
  <si>
    <t>Wybrany okres odniesienia</t>
  </si>
  <si>
    <t>Proszę wybrać okres odniesienia dla niniejszego raportu:</t>
  </si>
  <si>
    <t>Jest to okres odniesienia zgodnie z art. 2 ust. 14 FAR.</t>
  </si>
  <si>
    <t>Lata, w których działała instalacja:</t>
  </si>
  <si>
    <t>Zgodnie z art. 15 ust. 7 akapit pierwszy FAR, w celu określenia średnich historycznych poziomów działalności uwzględnia się jedynie lata kalendarzowe, w których instalacja działała przez co najmniej jeden dzień.</t>
  </si>
  <si>
    <t>W tabeli poniżej proszę podać dla każdego roku, czy instalacja działała przez co najmniej jeden dzień w roku kalendarzowym. Nie należy zostawiać niewypełnionych żółtych komórek.</t>
  </si>
  <si>
    <t>Proszę potwierdzić:</t>
  </si>
  <si>
    <t>Instalacja działała w tym roku:</t>
  </si>
  <si>
    <t>Komunikaty o błędach:</t>
  </si>
  <si>
    <t>Wykaz podinstalacji</t>
  </si>
  <si>
    <t>Podinstalacje objęte wskaźnikiem emisyjności dla produktów</t>
  </si>
  <si>
    <t>W tym miejscu proszę wybrać podinstalacje objęte wskaźnikiem emisyjności dla produktów związane z Państwa instalacją, jeśli takie występują:</t>
  </si>
  <si>
    <t>Dla każdego rodzaju produktu można wybrać tylko jedną podinstalację. Podobne produkty, które są objęte tym samym wskaźnikiem emisyjności dla produktów w załączniku I do FAR, są ujmowane zbiorczo.</t>
  </si>
  <si>
    <t>Każda nazwa podinstalacji może pojawić się tylko raz. W przeciwnym razie niektóre części niniejszego formularza nie będą działały prawidłowo.</t>
  </si>
  <si>
    <t>W drugiej żółtej kolumnie należy podać dla każdej podinstalacji datę rozpoczęcia normalnej działalności zgodnie z art. 2 pkt 12 FAR. Informacje te są istotne do zidentyfikowania, które lata należy uwzględnić w celu określenia historycznego poziomu działalności zgodnie z art. 15 ust. 7 w arkuszach F i G. Dane te są istotne wyłącznie w przypadku, gdy podinstalacja jako całość zaczęła działać po dniu 1 stycznia 2014 r.</t>
  </si>
  <si>
    <t>Należy zauważyć, że poprawne wprowadzenie danych w tym miejscu ma kluczowe znaczenie przy wprowadzaniu wszystkich kolejnych danych dotyczących podinstalacji.</t>
  </si>
  <si>
    <t>Nr</t>
  </si>
  <si>
    <t>Rodzaj produktu</t>
  </si>
  <si>
    <t>Rozpoczęcie działalności</t>
  </si>
  <si>
    <t>narażenie na ryzyko CL?</t>
  </si>
  <si>
    <t>Podinstalacje, dla których wprowadzono rozwiązania rezerwowe (fall-back)</t>
  </si>
  <si>
    <t>W tym miejscu proszę wskazać podinstalacje związane z Państwa instalacją, dla których wprowadzono rozwiązania rezerwowe (fall-back) (jeśli takie występują):</t>
  </si>
  <si>
    <t>Dla każdego rodzaju rozwiązania rezerwowego (fall-back) mogą istnieć maksymalnie dwie podinstalacje: jedna narażona na znaczne ryzyko ucieczki emisji, druga – nienarażona.</t>
  </si>
  <si>
    <t>W drodze wyjątku od tej zasady w odniesieniu do mierzalnego ciepła określa się trzecią podinstalację sieci ciepłowniczej.</t>
  </si>
  <si>
    <t>Proszę dokonać wyboru dla każdego rodzaju podinstalacji, niezależnie od tego, czy dotyczy to Państwa instalacji. Nie należy zostawiać niewypełnionych żółtych pól.</t>
  </si>
  <si>
    <t xml:space="preserve">Należy zauważyć, że zgodnie z art. 10 ust. 3 FAR można przyznać wyłączenie z wymogu dostarczenia danych pozwalających na rozróżnienie ze względu na narażenie na ryzyko ucieczki emisji („CL” i „nie-CL”). </t>
  </si>
  <si>
    <t>Wyłączenie to ma zastosowanie, jeśli co najmniej 95% czynników produkcji, produktów i emisji ma ten sam status – „CL” lub „nie-CL”.</t>
  </si>
  <si>
    <t>Rodzaj podinstalacji</t>
  </si>
  <si>
    <t>dotyczy?</t>
  </si>
  <si>
    <t>Wykaz powiązań technicznych</t>
  </si>
  <si>
    <t>W tym miejscu proszę podać informacje istotne dla identyfikacji technicznych połączeń z Państwa instalacją:</t>
  </si>
  <si>
    <t>Informacje te są potrzebne właściwemu organowi do zapewnienia spójności przekazywanych danych oraz zapobiegania podwójnemu liczeniu danych dotyczących przydziałów.</t>
  </si>
  <si>
    <t>Istotne są tylko te przypadki, w których przenoszone są mierzalne ciepło, gazy odlotowe albo „przenoszony CO2” określony w w rozporządzeniu w sprawie monitorowania i raportowania.</t>
  </si>
  <si>
    <t>„Wprowadzanie” w tym kontekście oznacza, że coś jest wprowadzane w granice instalacji, której dotyczy niniejszy raport, zaś „wyprowadzanie” oznacza, że coś wydostaje się poza te granice.</t>
  </si>
  <si>
    <t>Przepływy materiału lub energii między podinstalacjami nie mają tutaj znaczenia, z wyjątkiem ciepła pochodzącego z produkcji kwasu azotowego.</t>
  </si>
  <si>
    <t>W kolumnie „Rodzaj odbiorcy” można wybrać spośród następujących opcji:</t>
  </si>
  <si>
    <t>Instalacja objęta ETS</t>
  </si>
  <si>
    <t>Instalacja nieobjęta ETS</t>
  </si>
  <si>
    <t>Instalacja produkująca kwas azotowy</t>
  </si>
  <si>
    <t>Sieć dystrybucji ciepła</t>
  </si>
  <si>
    <t>Przypadek szczególny: Produkcja kwasu azotowego:</t>
  </si>
  <si>
    <t>Proszę wybrać tę opcję, aby wskazać, że Państwa instalacja wykorzystuje ciepło pochodzące z produkcji kwasu azotowego.</t>
  </si>
  <si>
    <t>Proszę zgłosić ten fakt również wówczas, gdy produkcja kwasu azotowego stanowi część działalności Państwa instalacji, nie zaś tylko w przypadku gdy Państwa instalacja jest podłączona do takiej instalacji.</t>
  </si>
  <si>
    <t>Informacja ta jest istotna w odniesieniu do bilansu ciepła (arkusz „E_EnergyFlows” część II).</t>
  </si>
  <si>
    <t>Dostępne warianty rodzajów połączeń:</t>
  </si>
  <si>
    <t>Mierzalne ciepło</t>
  </si>
  <si>
    <t>Gazy odlotowe</t>
  </si>
  <si>
    <t>Przenoszony CO2</t>
  </si>
  <si>
    <t>Produkty pośrednie objęte wskaźnikami emisyjności dla produktów (pkt 1.6 i pkt 3.1 lit. l) załącznika IV do FAR)</t>
  </si>
  <si>
    <t>Warianty kierunku przepływu (z perspektywy instalacji, której dotyczy niniejszy raport):</t>
  </si>
  <si>
    <t>Wprowadzanie (do tej instalacji)</t>
  </si>
  <si>
    <t>Wyprowadzanie (z tej instalacji)</t>
  </si>
  <si>
    <t>Nazwa instalacji lub podmiotu</t>
  </si>
  <si>
    <t>Rodzaj podmiotu</t>
  </si>
  <si>
    <t>Rodzaj połączenia</t>
  </si>
  <si>
    <t>Kierunek przepływu</t>
  </si>
  <si>
    <t>W stosownych przypadkach w tym miejscu należy podać dalsze informacje dotyczące tych połączonych instalacji:</t>
  </si>
  <si>
    <t>Identyfikator instalacji jest obowiązkowy, jeżeli połączona instalacja jest objęta EU ETS i jeżeli została już objęta systemem EU ETS przed dniem 30 czerwca 2019 r. w odniesieniu do pierwszego okresu, na który przydzielane są uprawnienia, a przed dniem 30 czerwca 2024 r. w odniesieniu do drugiego takiego okresu.</t>
  </si>
  <si>
    <t>W przypadku podmiotów nieobjętych EU ETS dane kontaktowe są obowiązkowe, ale numer identyfikacyjny w rejestrze nie jest wymagany.</t>
  </si>
  <si>
    <t>Identyfikator instalacji stosowany w rejestrze</t>
  </si>
  <si>
    <t>Imię i nazwisko osoby wyznaczonej do kontaktów</t>
  </si>
  <si>
    <t>Adres e-mail</t>
  </si>
  <si>
    <t>Numer telefonu</t>
  </si>
  <si>
    <t>Dane roczne dotyczące emisji B+C</t>
  </si>
  <si>
    <t>Strumienie materiałów wsadowych (z wyłączeniem PFC)</t>
  </si>
  <si>
    <t>Strumienie materiałów wsadowych w przypadku PFC</t>
  </si>
  <si>
    <t>Źródła emisji (CEMS)</t>
  </si>
  <si>
    <t>Rozwiązania rezerwowe (fall-back)</t>
  </si>
  <si>
    <t>Arkusz „Annual Emissions Data” (Dane roczne dotyczące emisji) w odniesieniu do roku:</t>
  </si>
  <si>
    <t>Ogólne wytyczne na temat danych dotyczących strumienia materiałów wsadowych</t>
  </si>
  <si>
    <t>Państwo członkowskie zwykle wymaga obowiązkowego podania szczegółowych danych dotyczących strumienia materiałów wsadowych:</t>
  </si>
  <si>
    <t>Jeżeli wartość tej komórki to „Fałsz”, wpisy w tym miejscu nie są obowiązkowe i przedstawiają jedynie całkowite roczne emisje w części D.I.</t>
  </si>
  <si>
    <t>Strumienie materiałów wsadowych i źródła emisji</t>
  </si>
  <si>
    <t>Poniższe tabele są identyczne jak w arkuszu „Accounting” (Rachunkowość) w przedstawionym przez Komisję formularzu rocznego raportu na temat wielkości emisji.</t>
  </si>
  <si>
    <t>W związku z tym dane do każdej tabeli można skopiować z formularza rocznego raportu na temat wielkości emisji bez późniejszych wpisów, a także znaleźć tam dodatkowe wskazówki.</t>
  </si>
  <si>
    <t>Jeżeli formularz Komisji nie jest stosowany w danym państwie członkowskim lub woleliby Państwo wprowadzić dane ręcznie, każda tabela zawiera przykładowe dane na górze (białe pola).</t>
  </si>
  <si>
    <t>Proszę zwrócić uwagę, że w tym arkuszu nie są dokonywane żadne obliczenia. W związku z tym należy poprawnie wpisywać sumy w kolumnach AU do AY, ponieważ dane te będą wykorzystywane w kolejnych polach niniejszego formularza!</t>
  </si>
  <si>
    <t>Strumienie materiałów wsadowych (z wyłączeniem emisji PFC)</t>
  </si>
  <si>
    <t>Metoda</t>
  </si>
  <si>
    <t>Nazwa strumienia materiałów wsadowych</t>
  </si>
  <si>
    <t>Dane dotyczące działalności (AD)</t>
  </si>
  <si>
    <t>Jednostka AD</t>
  </si>
  <si>
    <t>Wartość opałowa (NCV)</t>
  </si>
  <si>
    <t>Jednostka NCV</t>
  </si>
  <si>
    <t>Współczynnik emisji (EF)</t>
  </si>
  <si>
    <t>Jednostka EF</t>
  </si>
  <si>
    <t>Zawartość węgla</t>
  </si>
  <si>
    <t>Jednostka zawartości węgla</t>
  </si>
  <si>
    <t>Współczynnik utleniania (OxF)</t>
  </si>
  <si>
    <t>Jednostka OxF</t>
  </si>
  <si>
    <t>Współczynnik konwersji</t>
  </si>
  <si>
    <t>Jednostka współczynnika konwersji</t>
  </si>
  <si>
    <t>Zawartość biomasy (BioC)</t>
  </si>
  <si>
    <t>Jednostka BioC</t>
  </si>
  <si>
    <t>BioC niezrówn.</t>
  </si>
  <si>
    <t>Jednostka BioC niezrówn.</t>
  </si>
  <si>
    <t>Średnie godzinowe stężenie gazów cieplarnianych (GHG)</t>
  </si>
  <si>
    <t>Jednostka godzinowego stężenia GHG</t>
  </si>
  <si>
    <t>Godziny działania</t>
  </si>
  <si>
    <t>Jednostka godzin działania</t>
  </si>
  <si>
    <t>Przepływ spalin (średnia)</t>
  </si>
  <si>
    <t>Jednostka przepływu spalin (średnia)</t>
  </si>
  <si>
    <t>Przepływ spalin (łącznie)</t>
  </si>
  <si>
    <t>Jednostka przepływu spalin (łącznie)</t>
  </si>
  <si>
    <t>Roczna ilość GHG</t>
  </si>
  <si>
    <t>Jednostka rocznej ilości GHG</t>
  </si>
  <si>
    <t>Współczynnik ocieplenia globalnego GWP (tCO2e/t)</t>
  </si>
  <si>
    <t>A: Częstotliwość</t>
  </si>
  <si>
    <t>A: Czas trwania</t>
  </si>
  <si>
    <t>A: SEF (CF4)</t>
  </si>
  <si>
    <t>Emisje CF4 (t CF4)</t>
  </si>
  <si>
    <t>Emisje C2F6 (t C2F6)</t>
  </si>
  <si>
    <t>Emisje CF4 (t CO2e)</t>
  </si>
  <si>
    <t>Emisje C2F6 (t CO2e)</t>
  </si>
  <si>
    <t>Całkowita wydajność, %</t>
  </si>
  <si>
    <t>Kopalne CO2e (t)</t>
  </si>
  <si>
    <t>CO2e z biomasy (t)</t>
  </si>
  <si>
    <t>CO2e z biomasy niezrówn. (t)</t>
  </si>
  <si>
    <t>Zawartość energii (kopalne), TJ</t>
  </si>
  <si>
    <t>Zawartość energii (biomasa), TJ</t>
  </si>
  <si>
    <t>Przykł. 1</t>
  </si>
  <si>
    <t>Spalanie</t>
  </si>
  <si>
    <t>Ciężki olej opałowy</t>
  </si>
  <si>
    <t>Przykł. 2</t>
  </si>
  <si>
    <t>Emisje procesowe</t>
  </si>
  <si>
    <t>Glina</t>
  </si>
  <si>
    <t>Przykł. 3</t>
  </si>
  <si>
    <t>Bilans masowy</t>
  </si>
  <si>
    <t>Stal</t>
  </si>
  <si>
    <t>Nazwa</t>
  </si>
  <si>
    <t>Przykł.</t>
  </si>
  <si>
    <t>Emisje PFC</t>
  </si>
  <si>
    <t>Elektrolizer Prebake (CWPB); Anoda typu A</t>
  </si>
  <si>
    <t>Źródła emisji (metody oparte na pomiarach)</t>
  </si>
  <si>
    <t>Kwas azotowy, linia 1</t>
  </si>
  <si>
    <t>h/rok</t>
  </si>
  <si>
    <t>1000Nm3/rok</t>
  </si>
  <si>
    <t>Przenoszenie CO2</t>
  </si>
  <si>
    <t>Przenoszenie do instalacji objętej EU ETS X</t>
  </si>
  <si>
    <t>D. Emissions</t>
  </si>
  <si>
    <t>Emisje i energia wejściowa</t>
  </si>
  <si>
    <t>Przypisywanie emisji</t>
  </si>
  <si>
    <t>Kogeneracja (1)</t>
  </si>
  <si>
    <t>Kogeneracja (2)</t>
  </si>
  <si>
    <t>Gazy odlotowe (1)</t>
  </si>
  <si>
    <t>Gazy odlotowe (2)</t>
  </si>
  <si>
    <t>Arkusz „Emissions” (Emisje) – PRZYPISYWANIE EMISJI</t>
  </si>
  <si>
    <t>Całkowite bezpośrednie emisje gazów cieplarnianych i energia wejściowa z paliw</t>
  </si>
  <si>
    <t>Niniejsza część zawiera zestawienie danych dotyczących emisji i wartości opałowej z pięciu arkuszy „B+C_EmissionsY1 to Y5”. W przypadku gdy państwo członkowskie dopuszcza wprowadzanie danych zbiorczych zamiast wypełniania tych pięciu arkuszy, należy podać odpowiednie informacje w części 2 poniżej.</t>
  </si>
  <si>
    <t>Więcej informacji znajduje się w uwagach ogólnych na początku arkusza B.</t>
  </si>
  <si>
    <t>Dane obliczane automatycznie na poziomie instalacji</t>
  </si>
  <si>
    <t>Dane wyświetlane w tym miejscu to automatyczne podsumowanie danych umieszczonych w arkuszach B+C.</t>
  </si>
  <si>
    <t>Dane na poziomie instalacji:</t>
  </si>
  <si>
    <t>Całkowite emisje CO2</t>
  </si>
  <si>
    <t>Emisje pochodzące z biomasy</t>
  </si>
  <si>
    <t>Całkowite emisje N2O</t>
  </si>
  <si>
    <t>Całkowite emisje PFC</t>
  </si>
  <si>
    <t>Suma emisji bezpośrednich</t>
  </si>
  <si>
    <t>Wyprowadzony przenoszony CO2</t>
  </si>
  <si>
    <t>Całkowite emisje bezpośrednie instalacji</t>
  </si>
  <si>
    <t>Łączna energia wejściowa z paliw</t>
  </si>
  <si>
    <t>Dane należy wprowadzić, w przypadku gdy państwo członkowskie dopuszcza podawanie danych zbiorczych na poziomie instalacji</t>
  </si>
  <si>
    <t>Jeżeli zgodnie z częścią B.I. mają Państwo prawo podać całkowite emisje zamiast szczegółowych danych dotyczących strumienia materiałów wsadowych, wprowadzenie danych w tej części jest obowiązkowe.</t>
  </si>
  <si>
    <t>W takim przypadku proszę wpisać poniżej zgodnie z zasadami określonymi w MRR:</t>
  </si>
  <si>
    <t>Całkowite emisje CO2: zweryfikowane emisje CO2 ze strumieni materiałów wsadowych i źródeł emisji, w tym z biomasy niezrównoważonej</t>
  </si>
  <si>
    <t>Emisje pochodzące z biomasy: emisje pochodzące z biomasy zrównoważonej albo biomasy, do której nie stosuje się kryteriów zrównoważonego rozwoju, tak jakby były niezerowe</t>
  </si>
  <si>
    <t>Całkowite emisje N2O ze źródeł emisji</t>
  </si>
  <si>
    <t>Całkowite emisje PFC z produkcji pierwotnego aluminium</t>
  </si>
  <si>
    <t>Przenoszona ilość CO2 wyprowadzonego z instalacji, podana jako wartości ujemne</t>
  </si>
  <si>
    <t>Całkowita energia wejściowa z paliw, w tym z biomasy i gazów odlotowych</t>
  </si>
  <si>
    <t>Wynik danych na poziomie instalacji wykorzystywany w arkuszach „D_Emissions” i „E_EnergyFlows”:</t>
  </si>
  <si>
    <t>W przypadku gdy dane są wyświetlane w punktach 1 ORAZ 2, wykorzystane zostaną dane z punktu 2, ponieważ nie ma możliwości sprawdzenia kompletności danych w arkuszach B+C.</t>
  </si>
  <si>
    <t>Wszelkie wartości sprzeczne są zaznaczane za pomocą czerwonych cyfr w tabeli poniżej.</t>
  </si>
  <si>
    <t>Odpowiedzialność za unikanie sprzecznych wpisów spoczywa wyłącznie na prowadzącym instalację.</t>
  </si>
  <si>
    <t>Przypisywanie emisji do podinstalacji</t>
  </si>
  <si>
    <t>Całkowite emisje na poziomie instalacji (informacje pobrane z części D.I.3)</t>
  </si>
  <si>
    <t>Przypisywanie do podinstalacji</t>
  </si>
  <si>
    <t xml:space="preserve">Przypisania emisji do podinstalacji należy dokonać w arkuszach F i G dla każdej podinstalacji. </t>
  </si>
  <si>
    <t>Tabelę podsumowującą przypisane emisje można znaleźć w arkuszu podsumowania (zob. link poniżej).</t>
  </si>
  <si>
    <t>Narzędzie dotyczące kogeneracji</t>
  </si>
  <si>
    <t>Czy jednostki kogeneracji (CHP) dotyczą Państwa instalacji?</t>
  </si>
  <si>
    <t>Jest to narzędzie do przypisywania paliw i emisji w CHP w celu aktualizacji wartości wskaźników zgodnie z rozdziałem 8 załącznika VII.</t>
  </si>
  <si>
    <t>Proszę ustawić wartość tej komórki na „Fałsz”, jeżeli w Państwa instalacji nie ma odpowiedniej CHP. W takim przypadku narzędzie nie jest przydatne i zostanie wyszarzone.</t>
  </si>
  <si>
    <t>Proszę zauważyć, że emisje związane z ciepłem wprowadzonym mogą również dotyczyć niektórych podinstalacji. W przypadku gdy takie ciepło wprowadzone jest produkowane z CHP w innych instalacjach, narzędzie to może być również przydatne, jeżeli znane są dalsze informacje na temat odpowiednich danych od dostawcy.</t>
  </si>
  <si>
    <t>Narzędzie to występuje w niniejszym formularzu dwukrotnie, a każde narzędzie należy stosować wyłącznie w odniesieniu do jednej CHP. Jeżeli dotyczy to większej liczby CHP, w celu dostarczenia istotnych informacji można wykorzystać odrębny formularz.</t>
  </si>
  <si>
    <t>Okresy, w których CHP działa wyłącznie w trybie wytwarzania ciepła lub energii elektrycznej (tj. w okresach, w których wyprodukowano tylko jeden z dwóch produktów), należy wykluczyć, a paliwa i emisje przypisać oddzielnie zgodnie z przepisami pkt 10.1.2 i 10.1.3 załącznika VII.</t>
  </si>
  <si>
    <t>Narzędzie do obliczania emisji, które można przypisać do produkcji ciepła w jednostkach kogeneracji (CHP)</t>
  </si>
  <si>
    <t>Łączna ilość wsadu paliwa do jednostek CHP</t>
  </si>
  <si>
    <t>W tym miejscu proszę podać roczny wsad paliwa do jednostki CHP.</t>
  </si>
  <si>
    <t>Wsad paliwa do CHP</t>
  </si>
  <si>
    <t>Ciepło wytworzone przez CHP</t>
  </si>
  <si>
    <t>Jest to łączna ilość ciepła wytworzonego przez CHP.</t>
  </si>
  <si>
    <t>Energia elektryczna wytworzona przez CHP</t>
  </si>
  <si>
    <t>Jest to łączna ilość energii elektrycznej (lub, w stosownych przypadkach, energii mechanicznej) wytworzonej przez CHP.</t>
  </si>
  <si>
    <t>Całkowite emisje z CHP</t>
  </si>
  <si>
    <t>Wartości należy podać z rozróżnieniem emisji pochodzących z wsadu paliwa i z oczyszczania spalin.</t>
  </si>
  <si>
    <t>Z wsadu paliwa do CHP</t>
  </si>
  <si>
    <t>Z oczyszczania spalin</t>
  </si>
  <si>
    <t>Całkowite emisje</t>
  </si>
  <si>
    <t>Domyślne sprawności:</t>
  </si>
  <si>
    <t>Ciepło:</t>
  </si>
  <si>
    <t>Energia elektryczna:</t>
  </si>
  <si>
    <t>Sprawność dla ciepła i energii elektrycznej</t>
  </si>
  <si>
    <t>Wartości te są bezwymiarowe i automatycznie obliczane na podstawie danych zawartych w lit. a)–c) powyżej.</t>
  </si>
  <si>
    <t>Jeżeli nie zostaną wprowadzone żadne wartości poza całkowitymi emisjami w lit. d) powyżej, w tym miejscu zostaną zastosowane domyślne sprawności podane w lit. e). Należy zauważyć, że jest to dozwolone jedynie w przypadku, gdy przedstawią Państwo dowody na to, że ustalenie sprawności jest technicznie niewykonalne lub pociągałoby za sobą nieracjonalne koszty, a wartości oparte na dokumentacji technicznej (wartości projektowe) instalacji także nie są dostępne.</t>
  </si>
  <si>
    <t>Wytwarzanie ciepła</t>
  </si>
  <si>
    <t>Wytwarzanie energii elektrycznej</t>
  </si>
  <si>
    <t>Sprawności referencyjne</t>
  </si>
  <si>
    <t xml:space="preserve">Są to sprawność referencyjna wytwarzania ciepła w kotłach autonomicznych oraz sprawność referencyjna wytwarzania energii elektrycznej bez kogeneracji. </t>
  </si>
  <si>
    <t>W odniesieniu do sprawności referencyjnych należy stosować odpowiednie wartości dla poszczególnych paliw określone w rozporządzeniu delegowanym Komisji (UE) 2015/2402 bez zastosowania współczynników korekcyjnych związanych z warunkami klimatycznymi, określonych w załączniku III, oraz z uniknięciem strat sieciowych, określonych w załączniku IV do tego rozporządzenia. Rozporządzenie to jest dostępne pod następującym adresem:</t>
  </si>
  <si>
    <t>https://eur-lex.europa.eu/eli/reg_del/2015/2402/oj?locale=pl</t>
  </si>
  <si>
    <t>Domyślne sprawności poniżej odnoszą się do jednostek CHP zasilanych gazem ziemnym, wytwarzających energię elektryczną i ciepłą wodę.</t>
  </si>
  <si>
    <t>Emisje, które można przypisać do wytwarzania ciepła przez CHP</t>
  </si>
  <si>
    <t>Jest to wynik końcowy zastosowania tego narzędzia. Wartości wyświetlone w tym miejscu należy podać w arkuszach F lub G dla emisji, które można przypisać do odpowiedniej podinstalacji.</t>
  </si>
  <si>
    <t>Wynik końcowy może na przykład obejmować emisje, które można przypisać, a które należy wziąć pod uwagę w przypadku całkowitych emisji bezpośrednich lub wykorzystania współczynnika emisji w odniesieniu do jakiegokolwiek mierzalnego ciepła wprowadzonego.</t>
  </si>
  <si>
    <t>Wyniki obliczeń można uznać za prawidłowe tylko wówczas, gdy w częściach powyżej podano kompletne i spójne dane.</t>
  </si>
  <si>
    <t>Emisje, które można przypisać do wytworzonego ciepła</t>
  </si>
  <si>
    <t>Współczynnik emisji, ciepło</t>
  </si>
  <si>
    <t>Wsad paliwa, który można przypisać do wytwarzania ciepła i energii elektrycznej</t>
  </si>
  <si>
    <t>Jest to wynik końcowy zastosowania tego narzędzia. Wartości wyświetlone w tym miejscu należy wpisać w odpowiednich częściach arkuszy E, F i G.</t>
  </si>
  <si>
    <t>Wsad paliwa do wytworzenia ciepła</t>
  </si>
  <si>
    <t>Wsad paliwa do wytworzenia energii elektrycznej</t>
  </si>
  <si>
    <t>Narzędzie dotyczące gazów odlotowych</t>
  </si>
  <si>
    <t>Czy instalacja zużywa gazy odlotowe wytworzone poza granicami wskaźnika emisyjności dla produktów?</t>
  </si>
  <si>
    <t>Zgodnie z definicją podaną w art. 2 pkt 10 i 11 FAR (palne) gazy odlotowe wykraczające poza granice wskaźników emisyjności dla produktów są uznawane za emisje procesowe.</t>
  </si>
  <si>
    <t>W przypadku gazów odlotowych ilość CO2 równą ilości gazu ziemnego, wykorzystywaną jako „technicznie możliwą do wykorzystania zawartość energii”, odejmuje się od całkowitych emisji procesowych.</t>
  </si>
  <si>
    <t>Ilość emisji procesowych bez tego odjęcia określa się poniżej jako „nieskorygowane emisje procesowe”.</t>
  </si>
  <si>
    <t>Do ustalenia „technicznie możliwej do wykorzystania zawartości energii” potrzebne są następujące informacje:</t>
  </si>
  <si>
    <t>ilość gazów odlotowych wykorzystanych do wytwarzania energii elektrycznej i wytwarzania mierzalnego lub innego rodzaju ciepła poza podinstalacjami objętymi wskaźnikiem emisyjności dla produktów, lub wyprowadzonych poza instalację;</t>
  </si>
  <si>
    <t>opcjonalnie (w celu weryfikacji spójności) należy podać emisje procesowe związane z tymi ilościami gazów odlotowych;</t>
  </si>
  <si>
    <t>wartość opałowa gazów odlotowych;</t>
  </si>
  <si>
    <t>założenia dotyczące poszczególnych poziomów wydajności przy wykorzystaniu gazów odlotowych i gazu ziemnego. Założenia te są następujące: wydajność wytwarzania energii elektrycznej z wykorzystaniem gazu ziemnego wynosi 52,5%, a z wykorzystaniem gazów odlotowych – 35%;</t>
  </si>
  <si>
    <t>współczynnik emisji gazu ziemnego: 56,1 t CO2/TJ.</t>
  </si>
  <si>
    <t>Niniejsze „narzędzie dotyczące gazów odlotowych” pojawia się dwukrotnie w niniejszym formularzu, ponieważ obie potencjalne podinstalacje można uwzględnić w jednej instalacji lub mogą pojawić się różne gazy odlotowe.</t>
  </si>
  <si>
    <t>Narzędzie do obliczania ilości emisji procesowych, jeśli gazy odlotowe są wytwarzane poza wskaźnikiem emisyjności dla produktów</t>
  </si>
  <si>
    <t>Niniejsza część dotyczy tego rodzaju podinstalacji wytwarzającej emisje procesowe:</t>
  </si>
  <si>
    <t>W tym miejscu proszę wybrać, do której z dwóch podinstalacji wytwarzających emisje procesowe odnoszą się dane w niniejszym narzędziu.</t>
  </si>
  <si>
    <t>Do ustalenia właściwej podinstalacji istotne jest wytwarzanie, a nie wykorzystanie gazów odlotowych.</t>
  </si>
  <si>
    <t>Proszę potwierdzić, czy gazy odlotowe dotyczą tej podinstalacji:</t>
  </si>
  <si>
    <t>Rodzaj gazu odlotowego:</t>
  </si>
  <si>
    <t>Proszę opisać gaz odlotowy oraz proces, w którym jest on wytwarzany. Powyżej należy wpisać nazwę strumienia gazu, a poniżej – podać krótki opis procesu.</t>
  </si>
  <si>
    <t>Jeżeli Państwa instalacji dotyczą różne rodzaje gazów odlotowych, proszę przedstawić szczegóły w oddzielnych plikach, wykorzystując niniejsze narzędzie do bardziej złożonych przypadków.</t>
  </si>
  <si>
    <t>Całkowite emisje procesowe przed odjęciem ekwiwalentu technicznie możliwej do wykorzystania zawartości energii:</t>
  </si>
  <si>
    <t>Ilość ta musi być zgodna ze statusem ucieczki emisji wybranym w lit. a) powyżej.</t>
  </si>
  <si>
    <t>Nieskorygowane emisje procesowe</t>
  </si>
  <si>
    <t>Oszacowanie emisji gazów odlotowych</t>
  </si>
  <si>
    <t>Opcjonalnie i wyłącznie do celów weryfikacji spójności proszę podać szacunkową ilość emisji związanych z wykorzystanymi lub wyprowadzonymi gazami odlotowymi.</t>
  </si>
  <si>
    <t>Ilość ta musi być zgodna z ilością gazów odlotowych w lit. f) poniżej.</t>
  </si>
  <si>
    <t>Emisje z gazów odlotowych</t>
  </si>
  <si>
    <t>poza wskaźnikami emisyjności dla produktów</t>
  </si>
  <si>
    <t>Ilość gazów odlotowych wytworzonych poza podinstalacjami objętymi wskaźnikiem emisyjności dla produktów, w tym do celów wyprowadzenia:</t>
  </si>
  <si>
    <t>Dotyczy wyłącznie gazów odlotowych wykorzystywanych do wytwarzania ciepła lub energii elektrycznej. Jeżeli gazy odlotowe są spalane na pochodniach, należy podać tylko ilość odnoszącą się do spalania na pochodniach dla zapewnienia bezpieczeństwa.</t>
  </si>
  <si>
    <t>Jako jednostkę można wybrać tony albo 1000 Nm3 (metry sześcienne w warunkach standardowych). Jednostki muszą być zgodne z poniższymi jednostkami dotyczącymi wartości opałowej.</t>
  </si>
  <si>
    <t>Ilość gazów odlotowych rocznie</t>
  </si>
  <si>
    <t>Wartość opałowa gazów odlotowych</t>
  </si>
  <si>
    <t>Jako jednostkę można wybrać GJ/t albo GJ/1000 Nm3. Jednostki muszą być zgodne z jednostkami, w których podano powyższe ilości.</t>
  </si>
  <si>
    <t>Wartość opałowa</t>
  </si>
  <si>
    <t>Niezbędne założenia:</t>
  </si>
  <si>
    <t>Sprawność referencyjna wytwarzania energii elektrycznej:</t>
  </si>
  <si>
    <t>z wykorzystaniem gazu ziemnego:</t>
  </si>
  <si>
    <t>z wykorzystaniem gazów odlotowych:</t>
  </si>
  <si>
    <t>Współczynnik emisji dotyczący gazu ziemnego:</t>
  </si>
  <si>
    <t>Emisje, które należy odjąć przy uwzględnieniu technicznie możliwej do wykorzystania zawartości energii:</t>
  </si>
  <si>
    <t>Ilości te są automatycznie obliczane na podstawie liczb wprowadzonych powyżej. Wzór opisano w wytycznych nr 8.</t>
  </si>
  <si>
    <t>Odjęcie z tytułu gazów odlotowych</t>
  </si>
  <si>
    <t>Emisje procesowe obliczone z uwzględnieniem korekty gazów odlotowych (=d-i)</t>
  </si>
  <si>
    <t>Jest to wynik końcowy zastosowania tego narzędzia. Wartości wyświetlone w tym miejscu należy wpisać w arkuszu G dla odpowiedniej podinstalacji wytwarzającej emisje procesowe.</t>
  </si>
  <si>
    <t>W przypadku gdy wynik jest ujemny, ustala się go na zero.</t>
  </si>
  <si>
    <t>Wynik zastosowania narzędzia dotyczącego gazów odlotowych:</t>
  </si>
  <si>
    <t>E. Energy flows</t>
  </si>
  <si>
    <t>Przypisanie paliw</t>
  </si>
  <si>
    <t>Ciepło (wynik końcowy)</t>
  </si>
  <si>
    <t>Energia elektryczna</t>
  </si>
  <si>
    <t>Arkusz „EnergyFlows” (Przepływy energii) – DANE DOTYCZĄCE ENERGII WEJŚCIOWEJ, MIERZALNEGO CIEPŁA I ENERGII ELEKTRYCZNEJ</t>
  </si>
  <si>
    <t>Energia wejściowa z paliw</t>
  </si>
  <si>
    <t>Przegląd i podział na kategorie wykorzystania</t>
  </si>
  <si>
    <t>Energia wejściowa z paliw, cała instalacja (informacje pobrane z arkusza „D_Emissions” część I):</t>
  </si>
  <si>
    <t>Metoda wprowadzania:</t>
  </si>
  <si>
    <t>Metodę wprowadzania wartości można wybrać w tabeli w lit. c) poniżej. Dostępne warianty to: „wartości bezwzględne” (należy podać TJ/rok) lub „wartości procentowe”.</t>
  </si>
  <si>
    <t>Aby szybko wprowadzić dane w prostych przypadkach, gdy większość wpisów to „100%” lub zero, lepszym wyborem będą wartości procentowe.</t>
  </si>
  <si>
    <t>Podział wsadu paliwa ze względu na rodzaj wykorzystania</t>
  </si>
  <si>
    <t>W tabeli poniżej proszę podać ilość energii zużytej dla każdego rodzaju wykorzystania lub – w zależności od danych w lit. b) – wartość procentową wartości z lit. a).</t>
  </si>
  <si>
    <t>Wsad paliwa do wskaźnika emisyjności dla produktów to suma bezpośredniego wsadu paliwa i wsadu paliwa do mierzalnego ciepła zużytego przez podinstalację.</t>
  </si>
  <si>
    <t>Wsad paliwa do wytworzenia mierzalnego ciepła niewykorzystanego na potrzeby wskaźnika emisyjności dla produktów ani wytworzenia energii elektrycznej</t>
  </si>
  <si>
    <t>Wsad paliwa do podinstalacji objętych wskaźnikiem emisyjności opartym na paliwie</t>
  </si>
  <si>
    <t>W celu przypisania wsadu paliwa do kogeneracji (CHP) do wytworzenia mierzalnego ciepła i energii elektrycznej należy zastosować „narzędzie dotyczące CHP” w części D.III.</t>
  </si>
  <si>
    <t xml:space="preserve">Szczególną uwagę należy zwrócić na przypisanie energii wejściowej do obu podinstalacji, które są istotne do celów przydziału: </t>
  </si>
  <si>
    <t>Podinstalacja objęta wskaźnikiem emisyjności opartym na paliwie „CL” (narażona na znaczące ryzyko ucieczki emisji) oraz „nie-CL” (nienarażona na ryzyko ucieczki emisji)</t>
  </si>
  <si>
    <t>Do celów kontroli pozostała część (100% minus całość czynników produkcji) jest wyświetlana w wierszu na dole. Odnosi się to do energii wejściowej, która nie kwalifikuje się do przydziału.</t>
  </si>
  <si>
    <t>Rodzaj wykorzystania wsadu paliwa</t>
  </si>
  <si>
    <t>Wsad paliwa do podinstalacji objętych wskaźnikiem emisyjności dla produktów</t>
  </si>
  <si>
    <t>Wsad paliwa do wytworzenia mierzalnego ciepła</t>
  </si>
  <si>
    <t>Pozostała część</t>
  </si>
  <si>
    <t>Do celów kontroli wprowadzane dane są tutaj wyświetlane w jednostce, której Państwo nie wybrali do celów wprowadzania danych:</t>
  </si>
  <si>
    <t>Pełny bilans mierzalnego ciepła w instalacji</t>
  </si>
  <si>
    <t>Czy instalacja posiada podinstalację objętą wskaźnikiem emisyjności opartym na cieple czy też podinstalację sieci ciepłowniczej?</t>
  </si>
  <si>
    <t>Nazwa podinstalacji objętej wskaźnikiem emisyjności dla produktów jest wyświetlana automatycznie na podstawie danych wprowadzonych w arkuszu „A_InstallationData”.</t>
  </si>
  <si>
    <t>Jeżeli w tym miejscu pojawi się tekst „PRAWDA”, wpisy w tej części są istotne w każdym przypadku. Na poniższe pytanie należy odpowiedzieć jedynie w przypadku, gdy żadna z tych podinstalacji nie jest istotna.</t>
  </si>
  <si>
    <t>Czy jakiekolwiek przepływy mierzalnego ciepła są wytwarzane lub zużywane w instalacji, wprowadzane do instalacji lub z niej wyprowadzane?</t>
  </si>
  <si>
    <t>Wszystkie dane dotyczące ciepła powinny odnosić się do „ilości netto mierzalnego ciepła” (tj. zawartości ciepła przepływu ciepła do użytkownika pomniejszonej o zawartość ciepła przepływu powrotnego).</t>
  </si>
  <si>
    <t>Opis zastosowanej metody obliczeniowej:</t>
  </si>
  <si>
    <t>Jeżeli oba rodzaje wsadu ciepła są istotne, „kwalifikujący się” (wytworzony samodzielnie lub wprowadzony z instalacji objętych EU ETS) oraz „niekwalifikujący się” (wprowadzony z instalacji lub podmiotów nieobjętych EU ETS lub wytworzony z podinstalacji wytwarzającej kwas azotowy), ORAZ jeżeli ma miejsce wykorzystanie obu rodzajów ciepła, tj. „kwalifikujące się” (wykorzystanie wewnętrzne lub wyprowadzenie do instalacji nieobjętych EU ETS) oraz „niekwalifikujące się” (wyprowadzenie do instalacji objętych EU ETS), konieczne jest wyodrębnienie kwalifikujących się i niekwalifikujących się przypadków.</t>
  </si>
  <si>
    <t>Do celów tego wyodrębnienia proponuje się hierarchię metod:</t>
  </si>
  <si>
    <t>Jeżeli ilość ciepła można wyodrębnić w sposób wyraźny (z uwagi na jasno określone powiązania w sieci ciepłowniczej lub poziomy ciśnienia pary itp.), ilości ciepła kwalifikującego się i niekwalifikującego się należy zgłosić zgodnie z rzeczywistym stanem rzeczy.</t>
  </si>
  <si>
    <t>Jeżeli nie jest to możliwe, wszystkie rodzaje wykorzystania są rozpatrywane według stosunku czynników produkcji (wsady z systemu ETS: łączne wsady), jak określono powyżej.</t>
  </si>
  <si>
    <t>Do celów niniejszego formularza zastosowano następujące podejście etapowe:</t>
  </si>
  <si>
    <t>Osobno oblicza się bilans zużycia „kwalifikującego się” i „niekwalifikującego się” ciepła.</t>
  </si>
  <si>
    <t>W przypadku wytwarzania energii elektrycznej zużycie ciepła dzieli się według stosunku wyświetlanego w lit. f), chyba że ilość ciepła z niekwalifikujących się źródeł jest ręcznie wprowadzana w lit. g) ppkt (iii).</t>
  </si>
  <si>
    <t>Całkowitą ilość zmierzonego ciepła w przypadku wskaźników emisyjności dla produktów podaje się w lit. g) poniżej. Ilość „niekwalifikującego się” ciepła przyjmuje się jako sumę wsadów każdej podinstalacji wprowadzonych w arkuszu „F_ProductBM” lit. f) ppkt (iii) (podaną poniżej w lit. h) ppkt (xii)).</t>
  </si>
  <si>
    <t>Wyprowadzanie ciepła do instalacji objętych EU ETS (lit. i) poniżej) należy zawsze uznawać za ciepło z kwalifikujących się źródeł, ponieważ konsument ciepła nie będzie posiadał informacji na temat kwalifikowalności ciepła wytworzonego na wcześniejszym etapie. W związku z tym, aby uniknąć podwójnego liczenia, ciepło należy odjąć od kwalifikującej się ilości w tej instalacji. Ograniczenie tej ilości powinna stanowić suma dostępnego „kwalifikującego się” ciepła z instalacji.</t>
  </si>
  <si>
    <t>Na podstawie pozostałej ilości mierzalnego ciepła należy ustalić, ile ciepła zużywa się w instalacji (z wyjątkiem ciepła na potrzeby wytwarzania energii elektrycznej oraz podinstalacji objętych wskaźnikiem emisyjności dla produktów). Górną granicę stanowi ilość „kwalifikującego się” ciepła pozostającego po zakończeniu wcześniejszych etapów.</t>
  </si>
  <si>
    <t>Po odjęciu ciepła od dostępnej ilości obliczany jest nowy „współczynnik kwalifikowalności” (lit. k)).</t>
  </si>
  <si>
    <t>Następnie pozostałą kwalifikującą się ilość można przypisać do obu podinstalacji objętych wskaźnikiem emisyjności opartym na cieple.</t>
  </si>
  <si>
    <t>Wsady ciepła</t>
  </si>
  <si>
    <t>Całkowita ilość netto mierzalnego ciepła wytworzonego w instalacji:</t>
  </si>
  <si>
    <t>Należy zauważyć, że ciepło wytworzone z podinstalacji wytwarzających kwas azotowy podaje się w lit. c) jako „wprowadzenie z instalacji nieobjętych EU ETS”.</t>
  </si>
  <si>
    <t>Wytworzone mierzalne ciepło</t>
  </si>
  <si>
    <t>Mierzalne ciepło wprowadzone z instalacji objętych EU ETS:</t>
  </si>
  <si>
    <t>Nazwy instalacji na rozwijanej liście pobrano z części A.IV. W związku z tym należy upewnić się, że wprowadzili tam Państwo kompletne dane.</t>
  </si>
  <si>
    <t>Nazwa instalacji</t>
  </si>
  <si>
    <t>Suma częściowa</t>
  </si>
  <si>
    <t>Mierzalne ciepło wprowadzone z instalacji i od podmiotów nieobjętych EU ETS (niekwalifikujące się do objęcia wskaźnikiem emisyjności opartym na cieple):</t>
  </si>
  <si>
    <t xml:space="preserve">Pozycja ta obejmuje podinstalacje wytwarzające kwas azotowy (jako nazwę instalacji należy wybrać „W instalacji”, jeśli wytwarzanie kwasu azotowego jest częścią tej instalacji). </t>
  </si>
  <si>
    <t>Należy pamiętać, że dane wprowadzone w tym miejscu trzeba sprawdzić w celu uniknięcia podwójnego liczenia z odliczeniami w ramach podinstalacji objętych wskaźnikiem emisyjności dla produktów (zob. arkusz „F_ProductBM”).</t>
  </si>
  <si>
    <t>Mierzalne ciepło wytworzone z energii elektrycznej</t>
  </si>
  <si>
    <t>Pozycja ta obejmuje ciepło z wszelkich pomp elektrycznych, kotłów elektrycznych itp. Tę ilość ciepła należy włączyć do danych podanych w lit. c) powyżej. Uwzględniono je w tym miejscu jedynie w celu zachowania kompletności, ale ponieważ jest to ciepło niekwalifikujące się, nie zostało ono ujęte w poniższym bilansie.</t>
  </si>
  <si>
    <t>Ciepło z energii elektrycznej</t>
  </si>
  <si>
    <t>Suma mierzalnego ciepła dostępnego w instalacji (=a+b+c)</t>
  </si>
  <si>
    <t>Całkowite mierzalne ciepło</t>
  </si>
  <si>
    <t>Stosunek „ciepła objętego EU ETS” do „całkowitego ciepła”</t>
  </si>
  <si>
    <t>„Ciepło objęte EU ETS” to ciepło wytworzone przez instalację plus ciepło wprowadzone z instalacji objętych EU ETS (=a+b).</t>
  </si>
  <si>
    <t xml:space="preserve">Całkowite ciepło to ciepło objęte EU ETS plus ciepło wprowadzone od podmiotów nieobjętych EU ETS i z instalacji nieobjętych EU ETS (=a+b+c). </t>
  </si>
  <si>
    <t>Stosunek wsadu ciepła (a+b) / (a+b+c):</t>
  </si>
  <si>
    <t>Ciepło niekwalifikujące się do podinstalacji o wskaźniku emisyjności opartym na cieple</t>
  </si>
  <si>
    <t>Przed określeniem ilości ciepła wchodzącego w zakres podinstalacji objętych wskaźnikiem emisyjności opartym na cieple należy ustalić ilość niekwalifikującą się do tego celu.</t>
  </si>
  <si>
    <t>Na pierwszym etapie uwzględnia się ilości ciepła niekwalifikujące się do przydziału bezpłatnych uprawnień w instalacji.</t>
  </si>
  <si>
    <t xml:space="preserve">Jest to ilość ciepła wykorzystanego do wytworzenia energii elektrycznej oraz ciepła zużytego w podinstalacjach objętych wskaźnikiem emisyjności dla produktów. </t>
  </si>
  <si>
    <t>Mierzalne ciepło zużyte do wytworzenia energii elektrycznej w ramach instalacji (niekwalifikujące się do objęcia wskaźnikiem emisyjności opartym na cieple):</t>
  </si>
  <si>
    <t>Domyślnie przyjmuje się, że całkowita ilość ciepła wykorzystanego do wytworzenia energii elektrycznej dzieli się na kwalifikujące się i niekwalifikujące się wsady na podstawie stosunku obliczonego w lit. f).</t>
  </si>
  <si>
    <t>Jeżeli jednak dostępne są dokładniejsze informacje (np. w przypadku gdy można dokonać rozróżnienia pary z różnych źródeł na podstawie różnych poziomów ciśnienia itp.), poniżej można podać alternatywne ilości ciepła „niekwalifikującego się”. Jeżeli ilość ta przekracza ilość podaną w lit. c) ppkt (iv), do dalszych obliczeń wykorzystuje się dostępną ilość maksymalną.</t>
  </si>
  <si>
    <t>Ciepło wykorzystane do wytworzenia energii elektrycznej</t>
  </si>
  <si>
    <t>Ilość ciepła ze źródeł nieobjętych EU ETS</t>
  </si>
  <si>
    <t>Ręczna zmiana w ppkt (ii)</t>
  </si>
  <si>
    <t>Mierzalne ciepło zużyte do celów podinstalacji objętych wskaźnikiem emisyjności dla produktów w ramach instalacji (niekwalifikujące się do objęcia wskaźnikiem emisyjności opartym na cieple):</t>
  </si>
  <si>
    <t>Zgodnie z art. 21 FAR ekwiwalent dwutlenku węgla dotyczący wprowadzania ciepła nieobjętego EU ETS odejmuje się od wstępnych przydziałów uprawnień dla wskaźników emisyjności dla produktów. Dane niezbędne do dokonania tej korekty to dane dotyczące każdej podinstalacji wprowadzone w arkuszu „F_ProductBM” lit. d).</t>
  </si>
  <si>
    <t>W związku z tym w tym miejscu dane są poddawane kontroli wiarygodności.</t>
  </si>
  <si>
    <t>Wartości podane w arkuszu „F_ProductBM”:</t>
  </si>
  <si>
    <t>Kontrola wiarygodności:</t>
  </si>
  <si>
    <t>W stosownych przypadkach po uzupełnieniu arkusza „F_ProductBM” proszę ponownie sprawdzić treść tej części w celu wyeliminowania danych, których nie można uznać za wiarygodne.</t>
  </si>
  <si>
    <t>Najlepszą proponowaną metodą uzupełniania tej części jest wprowadzenie odpowiednich danych najpierw w arkuszu „F_ProductBM”, a dopiero potem przejście do lit. i) poniżej.</t>
  </si>
  <si>
    <t>Ciepło nieobjęte EU ETS podane w arkuszu „F_ProductBM” w stosunku do całkowitej ilości ciepła dla wszystkich wskaźników emisyjności dla produktów:</t>
  </si>
  <si>
    <t>Ppkt (xii) w odniesieniu do ppkt (xi):</t>
  </si>
  <si>
    <t>Ciepło nieobjęte EU ETS podane w arkuszu „F_ProductBM” w stosunku do całkowitej ilości wprowadzeń ciepła nieobjętego ETS podanej powyżej w lit. c):</t>
  </si>
  <si>
    <t>Ppkt (xii) w odniesieniu do lit. c) powyżej:</t>
  </si>
  <si>
    <t>Ciepło wyprowadzone do instalacji objętych EU ETS (niekwalifikujące się do objęcia wskaźnikiem emisyjności opartym na cieple):</t>
  </si>
  <si>
    <t>Ta ilość ciepła jest przydzielana konsumentowi ciepła.</t>
  </si>
  <si>
    <t>Całkowite ciepło wyprowadzone do instalacji objętych EU ETS</t>
  </si>
  <si>
    <t>Podinstalacje objęte wskaźnikiem emisyjności opartym na cieple i podinstalacje sieci ciepłowniczej:</t>
  </si>
  <si>
    <t>Suma częściowa: pozostałe całkowite mierzalne ciepło, potencjalnie należące do podinstalacji objętych wskaźnikiem emisyjności opartym na cieple (=e-g-h-i):</t>
  </si>
  <si>
    <t>Suma częściowa:</t>
  </si>
  <si>
    <t>Ilość tę można podzielić na „kwalifikujące się” i „niekwalifikujące się” ciepło (na podstawie jego pochodzenia, zob. wprowadzenie do tej części powyżej).</t>
  </si>
  <si>
    <t>Następnie dokonuje się korekty współczynnika określonego w lit. e), uwzględniając pozostałą ilość kwalifikującego się i niekwalifikującego się ciepła. Współczynnik ten wykorzystuje się w lit. m).</t>
  </si>
  <si>
    <t>kwalifikujące się na podstawie pochodzenia:</t>
  </si>
  <si>
    <t>niekwalifikujące się na podstawie pochodzenia:</t>
  </si>
  <si>
    <t>Współczynnik kwalifikowalności dla pozostałej ilości ciepła obliczonej w lit. j):</t>
  </si>
  <si>
    <t>skorygowany współczynnik kwalifikowalności (=j).ii / j).i):</t>
  </si>
  <si>
    <t>Ilość mierzalnego ciepła netto zużytego przez instalację i kwalifikującego się do objęcia wskaźnikiem emisyjności opartym na cieple:</t>
  </si>
  <si>
    <t>Jest to zużycie w instalacji, z wyjątkiem zużycia w celach wymienionych w lit. g) i h).</t>
  </si>
  <si>
    <t>Ciepło zużyte w instalacji</t>
  </si>
  <si>
    <t>Ciepło wyprowadzone do instalacji lub podmiotów nieobjętych EU ETS (np. sieci ciepłowniczych):</t>
  </si>
  <si>
    <t>Nazwa podmiotu lub instalacji otrzymujących ciepło</t>
  </si>
  <si>
    <t>Całkowite ciepło wyprowadzone poza EU ETS:</t>
  </si>
  <si>
    <t>Straty ciepła (=j-l-m)</t>
  </si>
  <si>
    <t>Ze względu na kompletność bilansu ciepła w tabeli poniżej przedstawiono obliczone straty ciepła (tj. ilość ciepła nieujętą w lit. g, h, k, l i m).</t>
  </si>
  <si>
    <t>Jeśli wyświetlają się wartości ujemne, oznacza to, że poziomy zużycia ciepła wprowadzone powyżej przekraczają ilość ciepła dostępnego z wytwarzania i wprowadzania.</t>
  </si>
  <si>
    <t>Straty ciepła (obliczone)</t>
  </si>
  <si>
    <t>Straty ciepła (ułamek dostępnego ciepła =e)</t>
  </si>
  <si>
    <t>Całkowita ilość ciepła potencjalnie stanowiącego część podinstalacji objętych wskaźnikiem emisyjności opartym na cieple lub podinstalacji sieci ciepłowniczej (=l+m):</t>
  </si>
  <si>
    <t>Wszystkie podinstalacje objęte wskaźnikiem emisyjności opartym na cieple:</t>
  </si>
  <si>
    <t>Wynik końcowy: Ilość ciepła przypadająca na podinstalacje objęte wskaźnikiem emisyjności opartym na cieple lub podinstalacje sieci ciepłowniczej</t>
  </si>
  <si>
    <t>Wynik oblicza się jako iloczyn danych w lit. o) i skorygowanego wskaźnika kwalifikowalności określonego w lit. k).</t>
  </si>
  <si>
    <t>Maksymalna dopuszczalna wartość jest to kwalifikująca się ilość określona w lit. j) ppkt (ii).</t>
  </si>
  <si>
    <t>Ciepło kwalifikujące się do podinstalacji objętych wskaźnikiem emisyjności opartym na cieple</t>
  </si>
  <si>
    <t>Podział na podinstalacje – metoda wprowadzania danych:</t>
  </si>
  <si>
    <t>Metodę wprowadzania wartości można wybrać w tabeli w lit. r) poniżej. Dostępne warianty to: „wartości bezwzględne” (należy podać TJ/rok) lub „wartości procentowe”.</t>
  </si>
  <si>
    <t>Przypisanie podinstalacji cieplnych do poziomów narażenia na ryzyko ucieczki emisji:</t>
  </si>
  <si>
    <t>W tym miejscu proszę podać ilość mierzalnego ciepła zużytego przez każdą podinstalację, przy czym 100% odnosi się do sumy obliczonej w lit. p) powyżej.</t>
  </si>
  <si>
    <t>Podinstalacja objęta wskaźnikiem emisyjności opartym na cieple „CL” (narażona na znaczące ryzyko ucieczki emisji), „nie-CL” (nienarażona na ryzyko ucieczki emisji; obejmuje ciepło wyprowadzone do instalacji i podmiotów nieobjętych EU ETS, ale nie do sieci ciepłowniczych) oraz podinstalacja sieci ciepłowniczej „nie-CL”.</t>
  </si>
  <si>
    <t>Dane te są automatycznie wykorzystywane ponownie w arkuszu „G_Fall-back”. Wprowadzenie ich w tym miejscu jest zatem obowiązkowe w przypadku korzystania z tego narzędzia.</t>
  </si>
  <si>
    <t>Liczby wymagające sprawdzenia:</t>
  </si>
  <si>
    <t>Bilans gazów odlotowych</t>
  </si>
  <si>
    <t>Pełny bilans gazów odlotowych w instalacji</t>
  </si>
  <si>
    <t>Bilans ten jest wykorzystywany głównie na potrzeby weryfikacji spójności między powiązanymi wpisami dokonanymi w „narzędziu dotyczącym gazów odlotowych” w części D.IV oraz bilansów gazów odlotowych na poziomie podinstalacji w arkuszach F i G.</t>
  </si>
  <si>
    <t>W miarę możliwości poniższe części są automatycznie uzupełniane danymi wprowadzonymi w tych częściach.</t>
  </si>
  <si>
    <t>Czy jakiekolwiek gazy odlotowe są wytwarzane lub zużywane w instalacji, wprowadzane do instalacji lub z niej wyprowadzane?</t>
  </si>
  <si>
    <t>Jeśli wartość tej komórki to „Fałsz”, wpisy w tym miejscu nie mają znaczenia i można przejść do następnego punktu poniżej.</t>
  </si>
  <si>
    <t>Gazy odlotowe wytworzone w granicach systemowych podinstalacji objętej wskaźnikiem emisyjności dla produktów</t>
  </si>
  <si>
    <t>Informacje pobrano z części F. lit) l ppkt (v). Jeżeli dotyczy, należy upewnić się, że wprowadzili tam Państwo kompletne dane.</t>
  </si>
  <si>
    <t>Podinstalacja</t>
  </si>
  <si>
    <t>Gazy odlotowe wytworzone poza granicami systemowymi podinstalacji objętej wskaźnikiem emisyjności dla produktów</t>
  </si>
  <si>
    <t>Informacje pobrano z części D.IV.Jeżeli dotyczy, należy upewnić się, że wprowadzili tam Państwo kompletne dane.</t>
  </si>
  <si>
    <t>Należy zauważyć, że dane tam wprowadzone mogą odnosić się do gazów odlotowych wytworzonych w innych instalacjach, z których są one wprowadzane.</t>
  </si>
  <si>
    <t>z części D.IV.</t>
  </si>
  <si>
    <t>Gazy odlotowe 1</t>
  </si>
  <si>
    <t>Gazy odlotowe 2</t>
  </si>
  <si>
    <t>Suma gazów odlotowych (=a+b)</t>
  </si>
  <si>
    <t>Gazy odlotowe wytworzone</t>
  </si>
  <si>
    <t>Gazy odlotowe wprowadzane z innych instalacji lub od innych podmiotów</t>
  </si>
  <si>
    <t>Proszę upewnić się, że nie dochodzi do podwójnego liczenia z wartościami w lit. b), jeżeli uwzględniono tam wprowadzane ilości.</t>
  </si>
  <si>
    <t>Gazy odlotowe wyprowadzone do innych instalacji lub podmiotów</t>
  </si>
  <si>
    <t>Suma gazów odlotowych dostępnych w instalacji (=c+d-e)</t>
  </si>
  <si>
    <t>Dostępne gazy odlotowe</t>
  </si>
  <si>
    <t>Gazy odlotowe zużyte w podinstalacjach objętych wskaźnikiem emisyjności dla produktów</t>
  </si>
  <si>
    <t>Informacje pobrano z części F lit) l ppkt viii. Jeżeli dotyczy, należy upewnić się, że wprowadzili tam Państwo kompletne dane.</t>
  </si>
  <si>
    <t>Rodzaj podinstalacji objętej wskaźnikiem emisyjności dla produktów</t>
  </si>
  <si>
    <t>Gazy odlotowe zużyte w podinstalacjach, dla których wprowadzono rozwiązania rezerwowe (fall-back)</t>
  </si>
  <si>
    <t>Informacje pobrano z odpowiednich wpisów w arkuszu „G_Fall-back”. Jeżeli dotyczy, należy upewnić się, że wprowadzili tam Państwo kompletne dane.</t>
  </si>
  <si>
    <t>Rodzaj podinstalacji, dla której wprowadzono rozwiązania rezerwowe (fall-back)</t>
  </si>
  <si>
    <t>Podinstalacja sieci ciepłowniczej, „nie-CL”</t>
  </si>
  <si>
    <t>Ilość gazów odlotowych zużytych do wytworzenia energii elektrycznej</t>
  </si>
  <si>
    <t>Gazy odlotowe wykorzystane do wytworzenia energii elektrycznej</t>
  </si>
  <si>
    <t>Ilość gazów odlotowych spalonych na pochodniach w innych celach niż spalanie na pochodniach dla zapewnienia bezpieczeństwa</t>
  </si>
  <si>
    <t>W przypadku podinstalacji objętych wskaźnikiem emisyjności dla produktów informacje są pobierane automatycznie z wpisów w arkuszu „F_ProductBM”.</t>
  </si>
  <si>
    <t>W tym miejscu należy wprowadzić dane dotyczące gazów odlotowych wytworzonych poza podinstalacjami objętymi wskaźnikiem emisyjności dla produktów, spalanych na pochodniach w innych celach niż dla zapewnienia bezpieczeństwa.</t>
  </si>
  <si>
    <t>wytworzone poza podinstalacjami objętymi wskaźnikiem emisyjności dla produktów</t>
  </si>
  <si>
    <t>Kontrola wiarygodności</t>
  </si>
  <si>
    <t>Celem jest sprawdzenie kompletności bilansu gazów odlotowych. Jeżeli wynik jest inny niż zero, należy sprawdzić, czy w podanych wyżej wartościach nie występują niespójności.</t>
  </si>
  <si>
    <t>Różnica (obliczona)</t>
  </si>
  <si>
    <t>Różnica (jako ułamek f)</t>
  </si>
  <si>
    <t>Pełny bilans energii elektrycznej w instalacji</t>
  </si>
  <si>
    <t>Czy w instalacji wytwarzana jest energia elektryczna?</t>
  </si>
  <si>
    <t>Należy zauważyć, że pytanie to odnosi się do wszystkich instalacji i nie dotyczy bezpośrednio tego, czy instalacja jest „wytwórcą energii elektrycznej” w rozumieniu art. 3 lit. u) dyrektywy w sprawie EU ETS. Jeżeli wartość tej komórki to „Fałsz”, wpisy w kolejnych polach nie są obowiązkowe.</t>
  </si>
  <si>
    <t>Całkowita ilość netto energii elektrycznej wytworzonej w instalacji</t>
  </si>
  <si>
    <t>Inne wytwarzanie energii elektrycznej obejmuje np. energię wodną, wiatrową, słoneczną, z turbin rozprężnych i innych procesów nieobjętych EU ETS.</t>
  </si>
  <si>
    <t>Energia elektryczna netto wytworzona z paliw</t>
  </si>
  <si>
    <t>Inna wytworzona energia elektryczna</t>
  </si>
  <si>
    <t>Całkowita energia elektryczna wprowadzana z sieci lub z innych instalacji</t>
  </si>
  <si>
    <t>Wprowadzana energia elektryczna</t>
  </si>
  <si>
    <t>Całkowita energia elektryczna wyprowadzona do sieci lub innych instalacji</t>
  </si>
  <si>
    <t>Wyprowadzona energia elektryczna</t>
  </si>
  <si>
    <t>Całkowita energia elektryczna dostępna do wykorzystania w instalacji (=b+c-d)</t>
  </si>
  <si>
    <t>Energia elektryczna możliwa do wykorzystania</t>
  </si>
  <si>
    <t>Całkowita energia elektryczna zużyta w instalacji</t>
  </si>
  <si>
    <t>Energia elektryczna zużyta w instalacji</t>
  </si>
  <si>
    <t>Kontrola wiarygodności: Suma wejściowej energii elektrycznej w arkuszu „F_ProductBM” do celów wymiany energii elektrycznej</t>
  </si>
  <si>
    <t>Energia elektryczna podana jako zamienna</t>
  </si>
  <si>
    <t>Należy porównać z lit. f)</t>
  </si>
  <si>
    <t>F. Product BM</t>
  </si>
  <si>
    <t>Arkusz „ProductBM” (Wskaźnik emisyjności dla produktów) – DANE DOTYCZĄCE PODINSTALACJI ODNOSZĄCE SIĘ DO WSKAŹNIKÓW EMISYJNOŚCI DLA PRODUKTÓW</t>
  </si>
  <si>
    <t>Powyższy pasek nawigacyjny zawiera wyłącznie łącza do odpowiednich podinstalacji wymienionych w części A.III.1.</t>
  </si>
  <si>
    <t>Historyczne poziomy działalności oraz zdezagregowane dane szczegółowe dotyczące produkcji</t>
  </si>
  <si>
    <t>Niniejszy arkusz służy dwóm następującym celom:</t>
  </si>
  <si>
    <t>zgromadzeniu danych niezbędnych do określenia ilości przydziału bezpłatnych uprawnień podinstalacjom objętym wskaźnikiem emisyjności dla produktów;</t>
  </si>
  <si>
    <t>zgromadzeniu danych niezbędnych do określenia współczynników poprawy wartości wskaźników emisyjności dla produktów.</t>
  </si>
  <si>
    <t>Historyczne poziomy działalności</t>
  </si>
  <si>
    <t>W tym punkcie należy podać „główne poziomy działalności”, tj. dane, które są bezpośrednio wykorzystywane do obliczenia przydziału.</t>
  </si>
  <si>
    <t xml:space="preserve">Zazwyczaj są to dane dotyczące wytwarzania produktu, np. tony szarego klinkieru cementowego lub tony butli szklanych, jak określono w załączniku I do FAR. </t>
  </si>
  <si>
    <t>Jeśli jednak w lit. b) pojawia się komunikat, należy użyć odpowiedniego narzędzia do obliczeń. Uzyskane wyniki są automatycznie kopiowane do tabeli w ppkt (ii).</t>
  </si>
  <si>
    <t>Na podstawie daty rozpoczęcia normalnej działalności wpisanej w części A.III zostanie automatycznie ustalony fakt, czy podinstalacja ta działała mniej niż rok w okresie odniesienia. W takim przypadku historyczny poziom działalności zostanie ustalony na podstawie pierwszego roku kalendarzowego po rozpoczęciu normalnej działalności, zgodnie z art. 15 ust. 7 akapit trzeci.</t>
  </si>
  <si>
    <t>Powiązane wpisy są wymagane w kolumnie dla tego roku, tj. 2019 albo 2020. Ponieważ jednak w momencie przedłożenia krajowych środków wykonawczych roczna produkcja dla tego roku nie będzie znana, wpisów w tym miejscu można dokonać dopiero na późniejszym etapie.</t>
  </si>
  <si>
    <t>Roczne poziomy działalności:</t>
  </si>
  <si>
    <t>Z arkusza „H_SpecialBM”:</t>
  </si>
  <si>
    <t>Wartości użyte do obliczenia:</t>
  </si>
  <si>
    <t>Szczególne wymogi w zakresie raportowania:</t>
  </si>
  <si>
    <t>Niektóre wskaźniki emisyjności dla produktów wymagają podania szczególnych informacji (np. wartości CWT). W stosownym przypadku w tym miejscu pojawi się automatycznie wygenerowany komunikat.</t>
  </si>
  <si>
    <t>Dodatkowe współczynniki korygujące</t>
  </si>
  <si>
    <t>Zamienność paliw i energii elektrycznej:</t>
  </si>
  <si>
    <t>W stosownym przypadku w tym miejscu pojawi się automatycznie wygenerowany komunikat z prośbą o wprowadzenie danych niezbędnych do uwzględnienia zamienności paliw i energii elektrycznej.</t>
  </si>
  <si>
    <t>Zgodnie z art. 22 FAR niezbędne są dane dotyczące „emisji bezpośrednich”, ilości netto „wprowadzanego ciepła” oraz „odpowiedniego zużycia energii elektrycznej”.</t>
  </si>
  <si>
    <t>Całkowite emisje bezpośrednie są zazwyczaj identyczne z wartościami podanymi w lit. g) poniżej. W szczególności w przypadku stosowania gazów odlotowych konieczne może być jednak dokonanie dalszych korekt, w związku z czym należy wziąć pod uwagę wskazówki zawarte w lit. g). Ilość netto ciepła wprowadzanego jest automatycznie pobierana z lit. k) poniżej.</t>
  </si>
  <si>
    <t>Parametr</t>
  </si>
  <si>
    <t>Emisje bezpośrednie</t>
  </si>
  <si>
    <t>Ciepło wprowadzone netto</t>
  </si>
  <si>
    <t>Odpowiednie zużycie energii elektrycznej</t>
  </si>
  <si>
    <t>Całkowite emisje bezpośrednie</t>
  </si>
  <si>
    <t>Emisje pośrednie</t>
  </si>
  <si>
    <t>Ciepło wprowadzone z instalacji lub od podmiotów nieobjętych EU ETS:</t>
  </si>
  <si>
    <t>Zgodnie z art. 21 FAR należy odjąć ilość emisji od wstępnej rocznej liczby uprawnień do emisji przydzielanych dla podinstalacji objętych wskaźnikiem emisyjności dla produktów.</t>
  </si>
  <si>
    <t>Jest to ilość mierzalnego ciepła wprowadzonego z instalacji (w tym wszelkiego ciepła z podinstalacji wytwarzających kwas azotowy) lub od podmiotów nieobjętych EU ETS, pomnożona przez wskaźnik emisyjności oparty na cieple.</t>
  </si>
  <si>
    <t>Proszę w tym miejscu podać odpowiednie wartości. Wartości te powinny być zgodne z sumami częściowymi wprowadzania z instalacji i od podmiotów nieobjętych EU ETS w części E.II lit. c) w arkuszu „E_Energy flows”.</t>
  </si>
  <si>
    <t>Dane te muszą być również zgodne z sumą wprowadzonego mierzalnego ciepła netto podaną w lit. k) ppkt (i) poniżej.</t>
  </si>
  <si>
    <t>Mierzalne ciepło wprowadzone z instalacji lub od podmiotów nieobjętych EU ETS:</t>
  </si>
  <si>
    <t>Weryfikacja spójności z arkuszem „E_Energy flows”:</t>
  </si>
  <si>
    <t>Weryfikacja spójności z lit. k) ppkt (i):</t>
  </si>
  <si>
    <t>Szczegółowe dane dotyczące produkcji</t>
  </si>
  <si>
    <t>Identyfikacja produktów wchodzących w zakres tej podinstalacji objętej wskaźnikiem emisyjności dla produktów</t>
  </si>
  <si>
    <t>Wskaźnik emisyjności dla produktów może obejmować kilka podobnych produktów (lub grup produktów). W niektórych przypadkach do celów przydziału uprawnień mogą mieć znaczenie produkty pośrednie. W tym miejscu należy określić odpowiednie produkty w celu umożliwienia właściwemu organowi sprawdzenia, czy są przestrzegane granice określone dla tego wskaźnika emisyjności dla produktów.</t>
  </si>
  <si>
    <t>Kody PRODCOM należy wpisywać w formacie „nnnnnnnn”, tj. bez kropek ani innych separatorów. Tylko w przypadku, gdy kody PRODCOM nie są dostępne, należy podać co najmniej 4-cyfrowy kod NACE w formacie „nnnn”.</t>
  </si>
  <si>
    <t>Wykaz kodów PRODCOM 2010 jest dostępny pod adresem:</t>
  </si>
  <si>
    <t>http://ec.europa.eu/eurostat/ramon/nomenclatures/index.cfm?TargetUrl=LST_CLS_DLD&amp;StrNom=PRD_2010&amp;StrLanguageCode=EN&amp;StrLayoutCode=HIERARCHIChttp://ec.europa.eu/eurostat/ramon/nomenclatures/index.cfm?TargetUrl=LST_CLS_DLD&amp;StrNom=PRD_2010&amp;StrLanguageCode=EN&amp;StrLayoutCode=HIERARCHIC</t>
  </si>
  <si>
    <t>Poszczególne poziomy wytwarzanych produktów wchodzących w zakres tej podinstalacji objętej wskaźnikiem emisyjności dla produktów</t>
  </si>
  <si>
    <t>Nazwa produktu lub grupy produktów</t>
  </si>
  <si>
    <t>Suma poziomów produkcji</t>
  </si>
  <si>
    <t>Dane wymagane do określenia współczynnika poprawy wskaźników zgodnie z art. 10a ust. 2 dyrektywy w sprawie EU ETS</t>
  </si>
  <si>
    <t>Niniejsza podsekcja obejmuje przypisywanie emisji związanych ze strumieniami materiałów wsadowych, źródłami emisji, wprowadzaniem i wyprowadzaniem mierzalnego ciepła i gazów odlotowych, w tym stratami ciepła zgodnie z pkt 10 załącznika VII do FAR.</t>
  </si>
  <si>
    <t xml:space="preserve">Należy zauważyć, że chociaż w odniesieniu do każdego z poniższych punktów przedstawiono pewne wskazówki, trzeba zapoznać się z dodatkowymi informacjami w wytycznych nr 5 („Monitorowanie i raportowanie w odniesieniu do FAR”), które zawierają również przykłady. </t>
  </si>
  <si>
    <t xml:space="preserve">Wytyczne są dostępne pod adresem: </t>
  </si>
  <si>
    <t>Po dokonaniu poniższych wpisów emisje, które można przypisać, są obliczane w części K.III.2 arkusza podsumowania.</t>
  </si>
  <si>
    <t>Emisje, które można bezpośrednio przypisać (DirEm* (plan monitorowania strumieni materiałów wsadowych)) do tej podinstalacji</t>
  </si>
  <si>
    <t>Podane tu dane wpłyną na emisje, które można przypisać, zgodnie z pkt 10.1.1 załącznika VII do FAR.</t>
  </si>
  <si>
    <t>W tym miejscu proszę podać emisje, które można bezpośrednio przypisać (DirEm* (plan monitorowania strumieni materiałów wsadowych)) do tej podinstalacji, uwzględniając następujące przepisy:</t>
  </si>
  <si>
    <t>„Emisje, które można bezpośrednio przypisać” są monitorowane zgodnie z planem monitorowania zatwierdzonym na podstawie MRR, tj. z uwzględnieniem emisji z metodyki opartej na obliczeniach (z wykorzystaniem strumieni materiałów wsadowych), metodyki opartej na pomiarach (CEMS), a także metod nieuwzględniających poziomów dokładności („fall-back”).</t>
  </si>
  <si>
    <t>W kilku sytuacjach jednak „emisje, które można bezpośrednio przypisać” w tej części nie są identyczne z emisjami zgłaszanymi na podstawie MRR. Takie sytuacje dotyczą np. strumieni materiałów wsadowych stosowanych do wytwarzania mierzalnego ciepła, gazów odlotowych itp. Innymi słowy, należy zachować ostrożność przy wypełnianiu poniższych części, aby ściśle przestrzegać instrukcji w celu uniknięcia podwójnego liczenia lub pominięć.</t>
  </si>
  <si>
    <t xml:space="preserve">Mierzalne ciepło: w przypadku gdy ciepło jest wytwarzane wyłącznie dla jednej podinstalacji, emisje w tym miejscu można przypisać bezpośrednio, wykorzystując emisje z paliwa. </t>
  </si>
  <si>
    <t>W każdym przypadku, w którym paliwa wykorzystuje się do wytwarzania mierzalnego ciepła jako „wsadu” do więcej niż jednej podinstalacji, w której zużywane jest ciepło (co obejmuje sytuacje związane z wprowadzaniem z innych instalacji i wyprowadzaniem do innych instalacji), paliw nie należy uwzględniać w „emisjach, które można bezpośrednio przypisać” z podinstalacji, tylko w lit. k) poniżej.</t>
  </si>
  <si>
    <t>„Wsady” obejmują mierzalne ciepło z jednostki na miejscu (np. głównej elektrowni w instalacji lub bardziej złożonej sieci parowej z kilkoma jednostkami wytwarzającymi ciepło), które dostarczają ciepło do więcej niż jednej podinstalacji. W takim przypadku emisji również nie należy przypisywać w tym miejscu, tylko w lit. k) ppkt (i) poniżej.</t>
  </si>
  <si>
    <t>Mierzalne ciepło wyprowadzone: w przypadku gdy takie ciepło jest odzyskiwane z procesu i wyprowadzane, w tym miejscu nie należy dokonywać żadnych korekt. Odliczenie z tytułu powiązanych emisji zostanie dokonane na podstawie wpisów w lit. k) ppkt (v) poniżej.</t>
  </si>
  <si>
    <t>Gazy odlotowe: emisji z gazów odlotowych, które są WPROWADZANE z innych instalacji lub podinstalacji i zużywane w tej podinstalacji, nie należy uwzględniać w tym miejscu, tylko w lit. l) poniżej.</t>
  </si>
  <si>
    <t>Emisje, które można bezpośrednio przypisać (DirEm*)</t>
  </si>
  <si>
    <t>Wsad paliwa do tej podinstalacji oraz odpowiedni współczynnik emisji</t>
  </si>
  <si>
    <t>Zgodnie z wymogami określonymi w pkt 2.4 lit. a) załącznika IV do FAR należy podać całkowity wsad paliwa do podinstalacji i odpowiedni ważony współczynnik emisji, biorąc pod uwagę powiązaną zawartość energii w każdym paliwie, którą uwzględniono w liczbie podanej w lit. g), stosując te same granice systemowe co w przypadku lit. g).</t>
  </si>
  <si>
    <t>Zgodnie z MRR termin „paliwo” należy rozumieć jako każdy strumień materiałów wsadowych, który jest palny i dla którego można określić wartość opałową. Ważony współczynnik emisji odpowiada skumulowanym emisjom z paliw podzielonym przez całkowitą zawartość energii.</t>
  </si>
  <si>
    <t>W stosownych przypadkach ważony współczynnik emisji powinien ponadto uwzględniać emisje pochodzące z odpowiedniego oczyszczania spalin.</t>
  </si>
  <si>
    <t>Podane tu dane wykorzystuje się jedynie do weryfikacji spójności i nie mają one bezpośredniego wpływu ani na emisje, które można przypisać, ani na przydział.</t>
  </si>
  <si>
    <t>Wsad paliwa</t>
  </si>
  <si>
    <t>Ważony współczynnik emisji</t>
  </si>
  <si>
    <t>Dalsze wewnętrzne strumienie materiałów wsadowych wprowadzane do tej podinstalacji lub z niej wyprowadzane</t>
  </si>
  <si>
    <t>Należy zauważyć, że w celu uniknięcia luk w danych lub podwójnego liczenia wszystkie strumienie materiałów wsadowych należy wymienić w tym miejscu wyłącznie wówczas, gdy nie zostały jeszcze uwzględnione w emisjach bezpośrednich w lit. g) powyżej. Emisji związanych z gazami odlotowymi NIE należy wymieniać w tym miejscu, tylko w lit. l) poniżej.</t>
  </si>
  <si>
    <t>W tym miejscu należy podać informacje dotyczące wewnętrznych strumieni materiałów wsadowych, które są przekazywane między podinstalacjami, tj. wprowadzane do tej instalacji lub z niej wyprowadzane.</t>
  </si>
  <si>
    <t>Na przykład jeżeli jest to podinstalacja „koksownicza” w zintegrowanej hucie żelaza i stali, emisje związane z zużyciem koksu mają miejsce w wielkich piecach i nie należy ich przypisywać do tej podinstalacji (tj. podinstalacji „koksowniczej”). Część emisji zostanie jednak ujęta w lit. g) powyżej, ponieważ węgiel trafiający do pieca koksowniczego będzie jednym ze strumieni materiałów wsadowych przypisanych w tamtym miejscu w pierwszej kolejności.</t>
  </si>
  <si>
    <t>Aby uniknąć podwójnego liczenia, należy wprowadzić korektę w odniesieniu do koksu opuszczającego podinstalację koksowniczą jako wychodzącego „wewnętrznego strumienia materiałów wsadowych”. Korekty dokonuje się za pomocą ujemnej wartości liczby dotyczącej ilości koksu w przypadku „wyprowadzania”. Aby uzyskać pełny bilans emisji węgla wprowadzanego do podinstalacji koksowniczej, emisje związane z wykorzystywaniem gazu koksowniczego (= gazu odlotowego) zostały już uwzględnione w lit. g) powyżej (jako włączone do emisji z węgla) w zakresie, w jakim gaz jest wykorzystywany w tej podinstalacji. Korekt służących uwzględnieniu wyprowadzonych ilości gazów odlotowych nie należy dokonywać w tym miejscu, tylko w lit. l) ppkt (xx) poniżej.</t>
  </si>
  <si>
    <t>Jeżeli natomiast jest to podinstalacja objęta wskaźnikiem emisyjności opartym na ciekłym metalu w zintegrowanej hucie żelaza i stali, koks należy wymienić w tym miejscu jako wchodzący/wprowadzany „wewnętrzny” strumień materiałów wsadowych o dodatnich ilościach.</t>
  </si>
  <si>
    <t>Czy tej podinstalacji dotyczy więcej wprowadzonych lub wyprowadzonych wewnętrznych strumieni materiałów wsadowych?</t>
  </si>
  <si>
    <t>Jeżeli występują więcej niż dwa wprowadzone lub wyprowadzone strumienie materiałów wsadowych, te strumienie materiałów wsadowych należy zgrupować i podać ich odpowiednie nazwy.</t>
  </si>
  <si>
    <t>Nazwa dalszych strumieni materiałów wsadowych – 1:</t>
  </si>
  <si>
    <t>Dalsze strumienie materiałów wsadowych – 1:</t>
  </si>
  <si>
    <t>Ilość wprowadzona lub wyprowadzona</t>
  </si>
  <si>
    <t>Wartość opałowa netto (NCV) (jeśli dotyczy)</t>
  </si>
  <si>
    <t>Zawartość węgla (% masy)</t>
  </si>
  <si>
    <t>Zawartość biomasy (jako frakcja węgla)</t>
  </si>
  <si>
    <t>Emisje (kopalne, obliczone)</t>
  </si>
  <si>
    <t>Nota uzupełniająca: Emisje pochodzące z biomasy</t>
  </si>
  <si>
    <t>Zawartość energii (obliczona)</t>
  </si>
  <si>
    <t>Komunikaty o błędach (emisje)</t>
  </si>
  <si>
    <t>Nazwa dalszych strumieni materiałów wsadowych – 2:</t>
  </si>
  <si>
    <t>Dalsze strumienie materiałów wsadowych – 2:</t>
  </si>
  <si>
    <t>Ilość gazów cieplarnianych wprowadzonych lub wyprowadzonych w charakterze materiałów wsadowych</t>
  </si>
  <si>
    <t>Zgodnie z wymogami określonymi w pkt. 3.1 lit. k) i l) załącznika IV do FAR w tym miejscu należy podać ilość przenoszonego dwutlenku węgla wprowadzonego z innych podinstalacji, instalacji lub od innych podmiotów lub do nich wyprowadzonego zgodnie z zasadami określonymi w MRR.</t>
  </si>
  <si>
    <t>Wyprowadzone ilości należy podać jako wartości ujemne i powinny one odpowiadać CO2, który jest wyprowadzony, lecz nie uwolniony do atmosfery przez tę podinstalację.</t>
  </si>
  <si>
    <t>Wprowadzone lub wyprowadzone gazy cieplarniane</t>
  </si>
  <si>
    <t>Mierzalne ciepło wprowadzone do tej podinstalacji i z niej wyprowadzone</t>
  </si>
  <si>
    <t>Podane tu dane wpłyną na emisje, które można przypisać, zgodnie z pkt 10.1.2 i 10.1.3 załącznika VII do FAR.</t>
  </si>
  <si>
    <t>Pozycja ta obejmuje całkowitą ilość ciepła wytworzonego w (pod)instalacjach objętych EU ETS lub w instalacjach lub u podmiotów nieobjętych EU ETS, wprowadzonego z takich (pod)instalacji lub od takich podmiotów albo wyprowadzonego do takich (pod)instalacji lub podmiotów. Właściwe współczynniki emisji związane z ciepłem powinny uwzględniać przepisy zawarte w pkt 8 i 10 załącznika VII do FAR, w szczególności w jego pkt 10.1.2 i 10.1.3.</t>
  </si>
  <si>
    <t>Emisje związane z mierzalnym ciepłem wytworzonym na miejscu w jednostkach obsługujących więcej niż jedną podinstalację należy również wprowadzić w tym miejscu w pozycji „wprowadzenia” zamiast bezpośrednio przypisywać emisje przy użyciu współczynnika emisji z paliwa z lit. g) powyżej. To samo odnosi się do wszelkiego ciepła „wprowadzonego” z innych podinstalacji.</t>
  </si>
  <si>
    <t xml:space="preserve">W przypadku gdy ciepło jest wytwarzane wyłącznie dla jednej podinstalacji, a odpowiadające mu poziomy emisji wprowadzono w lit. g) powyżej, odpowiednich ilości nie należy podawać w tym miejscu jako wprowadzenia, aby uniknąć podwójnego liczenia. </t>
  </si>
  <si>
    <t>W celu przypisania emisji z kogeneracji (CHP) do wytwarzania ciepła należy zastosować „narzędzie dotyczące CHP” w części D.III. niniejszego formularza.</t>
  </si>
  <si>
    <t>Całkowite ciepło wprowadzone</t>
  </si>
  <si>
    <t>Właściwy współczynnik emisji (ciepło wprowadzone)</t>
  </si>
  <si>
    <t>Szczególne wprowadzenie ciepła</t>
  </si>
  <si>
    <t>Ciepło wprowadzone netto z podinstalacji wytwarzającej masę celulozową</t>
  </si>
  <si>
    <t>Ciepło wprowadzone netto z podinstalacji wytwarzającej kwas azotowy</t>
  </si>
  <si>
    <t>Całkowite ciepło wyprowadzone</t>
  </si>
  <si>
    <t>Ciepło wyprowadzone netto</t>
  </si>
  <si>
    <t>Właściwy współczynnik emisji (ciepło wyprowadzone)</t>
  </si>
  <si>
    <t>Bilans gazów odlotowych dla tej podinstalacji</t>
  </si>
  <si>
    <t>Czy gazy odlotowe dotyczą tej podinstalacji?</t>
  </si>
  <si>
    <t>Jeśli wartość tej komórki to „Fałsz”, cała część zostanie wyszarzona i można kontynuować wypełnianie kolejnych punktów poniżej.</t>
  </si>
  <si>
    <t>Rodzaje wytworzonych gazów odlotowych:</t>
  </si>
  <si>
    <t>Jako jednostkę można wybrać tony albo 1000 Nm3. Jednostki muszą być zgodne z jednostkami NCV i EF poniżej.</t>
  </si>
  <si>
    <t>Ilości wytworzone</t>
  </si>
  <si>
    <t>Właściwy współczynnik emisji (gazy odlotowe wytworzone)</t>
  </si>
  <si>
    <t>Rodzaje zużytych gazów odlotowych:</t>
  </si>
  <si>
    <t>Pozycja ta obejmuje wszystkie rodzaje gazów odlotowych zużytych w tej podinstalacji do celów wytworzenia mierzalnego ciepła, niemierzalnego ciepła (w tym spalania na pochodniach dla zapewnienia bezpieczeństwa) lub energii mechanicznej (innej niż przeznaczona do wytwarzania energii elektrycznej). Ilości spalone na pochodniach poza spalaniem na pochodniach dla zapewnienia bezpieczeństwa należy podać w poniższym punkcie.</t>
  </si>
  <si>
    <t>Ilości zużyte</t>
  </si>
  <si>
    <t>Gazy odlotowe zużyte</t>
  </si>
  <si>
    <t>Właściwy współczynnik emisji (gazy odlotowe zużyte)</t>
  </si>
  <si>
    <t>Rodzaje gazów odlotowych spalonych na pochodniach:</t>
  </si>
  <si>
    <t>Pozycja ta obejmuje wszystkie rodzaje gazów odlotowych ostatecznie spalonych na pochodniach w innych celach niż spalanie na pochodniach dla zapewnienia bezpieczeństwa zarówno wewnątrz tej podinstalacji, jak i poza nią.</t>
  </si>
  <si>
    <t>Podane tu dane wykorzystuje się jedynie do weryfikacji spójności i nie mają one żadnego bezpośredniego wpływu na emisje, które można przypisać.</t>
  </si>
  <si>
    <t>Od 2026 r. przydziały w odniesieniu do spalania gazów odlotowych na pochodniach poza spalaniem na pochodniach dla zapewnienia bezpieczeństwa zostaną jednak zmniejszone.</t>
  </si>
  <si>
    <t>Ilości spalone na pochodniach</t>
  </si>
  <si>
    <t>Gazy odlotowe spalone na pochodniach</t>
  </si>
  <si>
    <t>Właściwy współczynnik emisji (gazy odlotowe spalone na pochodniach)</t>
  </si>
  <si>
    <t>Rodzaje gazów odlotowych wprowadzonych:</t>
  </si>
  <si>
    <t>Podane tu dane wpłyną na emisje, które można przypisać, zgodnie z pkt 10.1.5 załącznika VII do FAR.</t>
  </si>
  <si>
    <t>Pozycja ta obejmuje wszystkie rodzaje gazów odlotowych wytworzonych poza granicami systemowymi tej podinstalacji, ale wprowadzonych do tej podinstalacji i zużytych do wytworzenia mierzalnego ciepła, niemierzalnego ciepła (w tym spalania na pochodniach dla zapewnienia bezpieczeństwa) lub energii mechanicznej (innej niż przeznaczona do wytwarzania energii elektrycznej).</t>
  </si>
  <si>
    <t>Ilości wprowadzone</t>
  </si>
  <si>
    <t>Gazy odlotowe wprowadzone</t>
  </si>
  <si>
    <t>Właściwy współczynnik emisji (gazy odlotowe wprowadzone)</t>
  </si>
  <si>
    <t>Rodzaje wyprowadzonych gazów odlotowych:</t>
  </si>
  <si>
    <t>Pozycja ta obejmuje wszystkie rodzaje gazów odlotowych wytworzonych w granicach systemowych tej podinstalacji i wyprowadzonych z tej podinstalacji do jakiejkolwiek innej podinstalacji, jak również do wszelkich innych instalacji lub podmiotów.</t>
  </si>
  <si>
    <t>Ilości wyprowadzone</t>
  </si>
  <si>
    <t>Gazy odlotowe wyprowadzone</t>
  </si>
  <si>
    <t>Właściwy współczynnik emisji (gazy odlotowe wyprowadzone)</t>
  </si>
  <si>
    <t>Podane tu dane wpłyną na emisje, które można przypisać, zgodnie z rozdziałem 10 załącznika VII do FAR.</t>
  </si>
  <si>
    <t>Pozycja ta obejmuje energię elektryczną wytwarzaną bezpośrednio w tej podinstalacji zgodnie z wymogami określonymi w pkt 3.1 lit. i) załącznika IV do FAR. Informacji dotyczących energii elektrycznej wytwarzanej za pomocą pośredniego mierzalnego ciepła nie należy podawać w tym miejscu, tylko w lit. k) ppkt (v) powyżej dotyczącym wyprowadzania mierzalnego ciepła.</t>
  </si>
  <si>
    <t>Energia elektryczna wytworzona</t>
  </si>
  <si>
    <t>Całkowita ilość wyprodukowanej masy celulozowej</t>
  </si>
  <si>
    <t>Zgodnie z załącznikiem IV pkt 2.7 lit. k) należy podać całkowitą ilość masy celulozowej wyprodukowanej w podinstalacjach objętych wskaźnikiem emisyjności dla produktów, produkujących krótkowłóknistą masę celulozową siarczanową, długowłóknistą masę celulozową siarczanową, masę termomechaniczną i mechaniczną, masę celulozową uzyskaną metodą siarczynową.</t>
  </si>
  <si>
    <t>Część ta zostanie wyszarzona, jeżeli dana podinstalacja nie produkuje masy celulozowej. W takim przypadku należy przejść do kolejnych punktów poniżej.</t>
  </si>
  <si>
    <t>Podane tu dane będą istotne dla aktualizacji wskaźnika dotyczącego masy celulozowej.</t>
  </si>
  <si>
    <t>Wprowadzanie lub wyprowadzanie produktów pośrednich objętych wskaźnikami emisyjności dla produktów</t>
  </si>
  <si>
    <t>Aby podczas ustalania aktualizowanych wskaźników uniknąć podwójnego liczenia lub braków w przypisanych emisjach, zgodnie z pkt 2.7 lit. d) załącznika IV do FAR należy zgłaszać wszelkie wprowadzanie lub wyprowadzanie produktów pośrednich objętych dowolnym ze wskaźników emisyjności dla produktów wymienionych w załączniku I do FAR.</t>
  </si>
  <si>
    <t>Podane tu dane mogą być istotne dla aktualizacji właściwego wskaźnika.</t>
  </si>
  <si>
    <t>Czy ma miejsce jakiekolwiek wprowadzanie lub wyprowadzanie produktów pośrednich objętych wskaźnikami emisyjności dla produktów?</t>
  </si>
  <si>
    <t>Ilości wprowadzone:</t>
  </si>
  <si>
    <t>Ilości wyprowadzone:</t>
  </si>
  <si>
    <t>Opis produktów pośrednich wprowadzonych lub wyprowadzonych</t>
  </si>
  <si>
    <t>Proszę przedstawić krótki opis procesu produkcyjnego w odniesieniu do produktów pośrednich wprowadzonych lub wyprowadzonych.</t>
  </si>
  <si>
    <t>Weryfikacja spójności z lit. n):</t>
  </si>
  <si>
    <t>W celu przypisania emisji z kogeneracji (CHP) do wytwarzania ciepła należy zastosować „narzędzie dotyczące CHP” w części D.III.</t>
  </si>
  <si>
    <t>Ciepło wprowadzone netto z masy celulozowej</t>
  </si>
  <si>
    <t>G. Fall-back</t>
  </si>
  <si>
    <t>Arkusz „Fall-back” (Podinstalacje, dla których wprowadzono rozwiązania rezerwowe) – DANE DOTYCZĄCE PODINSTALACJI ODNOSZĄCE SIĘ DO PODINSTALACJI REZERWOWYCH</t>
  </si>
  <si>
    <t>Powyższy pasek nawigacyjny zawiera wyłącznie łącza do podinstalacji wybranych jako te, których to „dotyczy” w części A.III.2.</t>
  </si>
  <si>
    <t>Nazwa podinstalacji rezerwowej jest automatycznie wyświetlana z ogólnej listy możliwych instalacji, dla których wprowadzono rozwiązania rezerwowe (fall-back).</t>
  </si>
  <si>
    <t>dane niezbędne do określenia ilości przydziału bezpłatnych uprawnień podinstalacjom objętym wskaźnikiem rezerwowym (fall-back)</t>
  </si>
  <si>
    <t>dane niezbędne do określenia współczynników poprawy wartości wskaźników rezerwowych (fall-back)</t>
  </si>
  <si>
    <t>Następujące dane są pobierane automatycznie z arkusza „E_EnergyFlows” część E.II lit. r).W związku z tym wprowadzenie danych jest tam obowiązkowe.</t>
  </si>
  <si>
    <t>Na podstawie daty rozpoczęcia normalnej działalności wpisanej w części A.III zostanie automatycznie ustalony fakt, czy podinstalacja ta działała mniej niż rok w okresie odniesienia. W takim przypadku historyczny poziom działalności zostanie ustalony na podstawie pierwszego roku kalendarzowego po rozpoczęciu normalnej działalności, zgodnie z art. 15 ust. 7 akapit trzeci FAR.</t>
  </si>
  <si>
    <t>Główny poziom działalności:</t>
  </si>
  <si>
    <t>Identyfikacja odpowiednich produktów i usług związanych z tą podinstalacją</t>
  </si>
  <si>
    <t>W tym miejscu proszę podać, do jakich procesów produkcji lub usług odnosi się ta podinstalacja. Procesy te mogą być następujące:</t>
  </si>
  <si>
    <t>Wytwarzanie produktów nieobjętych wskaźnikami emisyjności dla produktów w instalacji (proszę podać typy produktów);</t>
  </si>
  <si>
    <t>wytwarzanie energii mechanicznej, ogrzewanie lub chłodzenie (wszystkie zastosowania poza wytwarzaniem energii elektrycznej);</t>
  </si>
  <si>
    <t>wyprowadzanie ciepła do instalacji lub innych podmiotów (innych niż sieć ciepłownicza). W takim przypadku proszę wskazać wykorzystanie ciepła w takiej instalacji lub u takiego odbiorcy (jeśli jest znane).</t>
  </si>
  <si>
    <t>Kody według NACE mogą być użyte zamiast kodów PRODCOM, jeśli w jednej grupie NACE zawiera się kilka podobnych produktów.</t>
  </si>
  <si>
    <t>Jeśli ciepło jest wyprowadzane, można wybrać powiązaną instalację lub podmiot zgodnie z arkuszem „A_InstallationData” część IV.</t>
  </si>
  <si>
    <t>Rodzaj wykorzystania</t>
  </si>
  <si>
    <t>W instalacji czy wyprowadzanie?</t>
  </si>
  <si>
    <t>Nazwa produktu lub wyprowadzanie ciepła inne niż „do sieci ciepłowniczej”</t>
  </si>
  <si>
    <t>Poziomy produkcji:</t>
  </si>
  <si>
    <t>Emisje, które można bezpośrednio przypisać (DirEm*) do tej podinstalacji</t>
  </si>
  <si>
    <t>W tym miejscu proszę podać emisje bezpośrednie, uwzględniając następujące przepisy:</t>
  </si>
  <si>
    <t>Emisje bezpośrednie monitoruje się zgodnie z planem monitorowania zatwierdzonym na podstawie MRR, tj. z uwzględnieniem emisji z metodyki opartej na obliczeniach (z wykorzystaniem strumieni materiałów wsadowych), metodyki opartej na pomiarach (CEMS), a także metod nieuwzględniających poziomów dokładności („fall-back”).</t>
  </si>
  <si>
    <t>W kilku sytuacjach jednak „emisje bezpośrednie” w tej części nie są identyczne z emisjami zgłaszanymi na podstawie MRR. Takie sytuacje dotyczą np. strumieni materiałów wsadowych stosowanych do wytwarzania mierzalnego ciepła, gazów odlotowych itp. Innymi słowy, poniższe części należy wypełnić, ściśle przestrzegając instrukcji w celu uniknięcia podwójnego liczenia lub pominięć.</t>
  </si>
  <si>
    <t xml:space="preserve">Mierzalne ciepło: w przypadku gdy ciepło jest wytwarzane wyłącznie dla tej podinstalacji, emisje można w tym przypadku przypisać bezpośrednio, wykorzystując emisje z paliwa. </t>
  </si>
  <si>
    <t>W każdym przypadku, w którym paliwa wykorzystuje się do wytwarzania mierzalnego ciepła zużywanego w więcej niż jednej podinstalacji (np. głównej elektrowni w instalacji lub bardziej złożonej sieci parowej z kilkoma jednostkami wytwarzającymi ciepło), paliw nie należy uwzględniać w emisjach bezpośrednich z podinstalacji, tylko w lit. f) poniżej.</t>
  </si>
  <si>
    <t>Gazy odlotowe: emisji związanych z mierzalnym ciepłem wytworzonym z gazów odlotowych wprowadzonych z innych instalacji lub podinstalacji i zużytych w tej podinstalacji nie należy uwzględniać w tym miejscu, tylko w lit. f) ppkt (xiii) poniżej.</t>
  </si>
  <si>
    <t>Zgodnie z wymogami określonymi w pkt 2.4 lit. a) załącznika IV do FAR proszę podać całkowity wsad paliwa i odpowiedni ważony współczynnik emisji, biorąc pod uwagę powiązaną zawartość energii w każdym paliwie.</t>
  </si>
  <si>
    <t>Zgodnie z MRR termin „paliwo” należy rozumieć jako każdy strumień materiałów wsadowych, który jest palny i dla którego można określić wartość opałową. Ważony współczynnik emisji odpowiada skumulowanym emisjom z paliw, w tym paliw wykorzystywanych do wytwarzania mierzalnego ciepła, podzielonym przez całkowitą zawartość energii.</t>
  </si>
  <si>
    <t>Wsad paliwa z gazów odlotowych obejmuje odpowiadającą mu energię wejściową przeznaczoną do wytwarzania mierzalnego ciepła wykorzystywanego przez tę podinstalację.</t>
  </si>
  <si>
    <t>Podane tu wartości wykorzystuje się do obliczania bilansu gazów odlotowych w części E.III lit. h).</t>
  </si>
  <si>
    <t>Całkowity wsad paliwa</t>
  </si>
  <si>
    <t>Wsad paliwa z gazów odlotowych</t>
  </si>
  <si>
    <t>Właściwy współczynnik emisji (gazy odlotowe)</t>
  </si>
  <si>
    <t xml:space="preserve">Proszę tu podać wytworzone mierzalne ciepło zgodnie z pkt 3.2 lit. a) załącznika IV do FAR. </t>
  </si>
  <si>
    <t>Wartość ta różni się zazwyczaj od poziomu działalności podinstalacji, o którym mowa w lit. a) powyżej, ponieważ uwzględnia straty ciepła oprócz ilości netto mierzalnego ciepła zużytego lub wyprowadzonego do podmiotów nieobjętych EU ETS, a także pomija wprowadzenia ciepła, które należy podać w lit. f) poniżej.</t>
  </si>
  <si>
    <t>Mierzalne ciepło wprowadzone</t>
  </si>
  <si>
    <t>Poniżej proszę podać ilość mierzalnego ciepła wprowadzonego z każdego z następujących źródeł:</t>
  </si>
  <si>
    <t>Ciepło wprowadzone netto (z innych źródeł): obejmuje ciepło wprowadzone z innych instalacji lub – w przypadku gdy mierzalne ciepło jest zużywane przez więcej niż jedną podinstalację – ciepło wytworzone na miejscu i zużyte w tej podinstalacji. Nie należy w tym miejscu uwzględniać mierzalnego ciepła wprowadzonego z jakiejkolwiek podinstalacji objętej wskaźnikiem emisyjności dla produktów, produkcji masy celulozowej, mierzalnego ciepła odzyskanego z podinstalacji objętych wskaźnikiem emisyjności opartym na paliwie lub z gazów odlotowych, ponieważ na te wartości przeznaczono odrębne pola.</t>
  </si>
  <si>
    <t>Ciepło z podinstalacji objętych wskaźnikiem emisyjności dla produktów: obejmuje mierzalne ciepło wyprowadzone z podinstalacji objętych wskaźnikiem emisyjności dla produktów, z wyjątkiem mierzalnego ciepła z podinstalacji produkujących masę celulozową lub kwas azotowy.</t>
  </si>
  <si>
    <t>Ciepło z masy celulozowej: obejmuje ciepło wprowadzone z podinstalacji produkujących masę celulozową.</t>
  </si>
  <si>
    <t>Ciepło z podinstalacji objętych wskaźnikiem emisyjności opartym na paliwie: obejmuje mierzalne ciepło odzyskane z ciepła odpadowego z podinstalacji objętych wskaźnikiem emisyjności opartym na paliwie.</t>
  </si>
  <si>
    <t>Ciepło z gazów odlotowych: obejmuje mierzalne ciepło wytworzone z gazów odlotowych.</t>
  </si>
  <si>
    <t>Nie uwzględnia się w tym miejscu żadnego wprowadzania ciepła z „niekwalifikujących się” źródeł, tj. instalacji nieobjętych EU ETS, ani ciepła wytworzonego w podinstalacjach produkujących kwas azotowy.</t>
  </si>
  <si>
    <t>Właściwe współczynniki emisji związane z ciepłem powinny uwzględniać przepisy zawarte w pkt 8 i 10 załącznika VII do FAR, w szczególności w jego pkt 10.1.2 i 10.1.3.</t>
  </si>
  <si>
    <t>Ciepło wprowadzone netto (z innych źródeł):</t>
  </si>
  <si>
    <t>Ciepło z podinstalacji objętych wskaźnikiem emisyjności dla produktów</t>
  </si>
  <si>
    <t>Właściwy współczynnik emisji (z podinstalacji objętych wskaźnikiem emisyjności dla produktów)</t>
  </si>
  <si>
    <t>Ciepło z masy celulozowej</t>
  </si>
  <si>
    <t>Właściwy współczynnik emisji (z masy celulozowej)</t>
  </si>
  <si>
    <t>Ciepło z podinstalacji objętych wskaźnikiem emisyjności opartym na paliwie</t>
  </si>
  <si>
    <t>Właściwy współczynnik emisji (z podinstalacji objętych wskaźnikiem emisyjności opartym na paliwie)</t>
  </si>
  <si>
    <t>Ciepło z gazów odlotowych</t>
  </si>
  <si>
    <t>Właściwy współczynnik emisji (z gazów odlotowych)</t>
  </si>
  <si>
    <t>Całkowite ciepło wprowadzone netto</t>
  </si>
  <si>
    <t>Szczegółowe instrukcje dotyczące wprowadzania danych w tym polu znajdują się w pkt 1 lit. c) powyżej.</t>
  </si>
  <si>
    <t>Szczegółowe instrukcje dotyczące wprowadzania danych w tym polu znajdują się w pkt 1 lit. d) powyżej.</t>
  </si>
  <si>
    <t>Szczegółowe instrukcje dotyczące wprowadzania danych w tym polu znajdują się w pkt 1 lit. e) powyżej.</t>
  </si>
  <si>
    <t>Szczegółowe instrukcje dotyczące wprowadzania danych w tym polu znajdują się w pkt 1 lit. f) powyżej.</t>
  </si>
  <si>
    <t>Lokalna sieć ciepłownicza</t>
  </si>
  <si>
    <t>Sieć ciepłownicza</t>
  </si>
  <si>
    <t>Następujące dane są pobierane automatycznie z arkusza „E_EnergyFlows”, część E.I lit. c).W związku z tym wprowadzenie danych jest tam obowiązkowe.</t>
  </si>
  <si>
    <t>Nazwa produktu lub rodzaj usługi</t>
  </si>
  <si>
    <t>Proszę tu podać emisje bezpośrednie monitorowane zgodnie z planem monitorowania zatwierdzonym na podstawie MRR, tj. z uwzględnieniem emisji z metodyki opartej na obliczeniach (z wykorzystaniem strumieni materiałów wsadowych), metodyki opartej na pomiarach (CEMS), a także metod nieuwzględniających poziomów dokładności („fall-back”);</t>
  </si>
  <si>
    <t>Emisji ze spalania gazów odlotowych nie należy jednak uwzględniać w tym miejscu, tylko w lit. d) ppkt (iii) poniżej.</t>
  </si>
  <si>
    <t>Wartości określone w ppkt (i) i (ii) są generowane automatycznie w oparciu o wpisy w lit. a) i c) powyżej.</t>
  </si>
  <si>
    <t>W ppkt (iii) oraz (iv) należy podać odpowiednio wsad paliwa z gazów odlotowych i odpowiadający mu współczynnik emisji.</t>
  </si>
  <si>
    <t>Wsad paliwa podany w lit. a)</t>
  </si>
  <si>
    <t>Ważony współczynnik emisji (=c./d.)</t>
  </si>
  <si>
    <t>Właściwy współczynnik emisji (wyprowadzanie ciepła)</t>
  </si>
  <si>
    <t>Dotyczy to wszelkiego odzyskanego ciepła odpadowego, które kwalifikuje się do wykorzystania w podinstalacji objętej wskaźnikiem emisyjności opartym na cieple lub w podinstalacji sieci ciepłowniczej.</t>
  </si>
  <si>
    <t>Szczegółowe instrukcje dotyczące wprowadzania danych w tym polu znajdują się w pkt 4 lit. c) powyżej.</t>
  </si>
  <si>
    <t>Szczegółowe instrukcje dotyczące wprowadzania danych w tym polu znajdują się w pkt 4 lit. d) powyżej.</t>
  </si>
  <si>
    <t>Wpisane tu wartości powinny uwzględniać kwalifikujące się emisje z jakichkolwiek gazów odlotowych, jak określono w części D.IV.</t>
  </si>
  <si>
    <t>Ten rodzaj podinstalacji zawsze odnosi się do wytwarzania produktów nieobjętych wskaźnikami emisyjności dla produktów w ramach instalacji.</t>
  </si>
  <si>
    <t>Rodzaj emisji procesowej</t>
  </si>
  <si>
    <t>Podział poziomów produkcji:</t>
  </si>
  <si>
    <t>H. Special BM</t>
  </si>
  <si>
    <t>Arkusz „SpecialBM” (Szczególne wskaźniki emisyjności) – SZCZEGÓLNE DANE DOTYCZĄCE NIEKTÓRYCH WSKAŹNIKÓW EMISYJNOŚCI DLA PRODUKTÓW</t>
  </si>
  <si>
    <t>CWT (Produkty rafineryjne)</t>
  </si>
  <si>
    <t>Narzędzie do obliczania historycznych poziomów działalności dla podinstalacji rafineryjnych</t>
  </si>
  <si>
    <t>Narzędzie to pomaga określić historyczne poziomy działalności dla wskaźnika dotyczącego rafinerii (pkt 1 załącznika III do FAR).</t>
  </si>
  <si>
    <t>W przypadku wskaźnika dotyczącego związków aromatycznych, który również wykorzystuje CWT, należy użyć poniższego specjalnego narzędzia CWT dla związków aromatycznych (część V niniejszego arkusza).</t>
  </si>
  <si>
    <t>Wynik zastosowania tego narzędzia jest automatycznie kopiowany do arkusza „F_ProductBM”, wiersz „a) ppkt (ii)” odpowiedniej podinstalacji.</t>
  </si>
  <si>
    <t>Zastosowanie tego narzędzia w Państwa instalacji:</t>
  </si>
  <si>
    <t>Ten komunikat jest automatycznie generowany na podstawie Państwa wpisów w arkuszu „A_InstallationData” część A.III.1.</t>
  </si>
  <si>
    <t>Dane dotyczące wielkości przerobu w CWT</t>
  </si>
  <si>
    <t>W tym miejscu należy podać dane dotyczące rocznej wielkości przerobu poszczególnych funkcji CWT.</t>
  </si>
  <si>
    <t>Definicja i granice poszczególnych funkcji CWT są podane w pkt 1 załącznika II do FAR.</t>
  </si>
  <si>
    <t>W odniesieniu do podstawy stosuje się następujące skróty:</t>
  </si>
  <si>
    <t>Świeży surowiec zasilający netto</t>
  </si>
  <si>
    <t>Surowiec zasilający do reaktora (w tym z odzysku)</t>
  </si>
  <si>
    <t>Produkt</t>
  </si>
  <si>
    <t>Produkcja gazu syntezowego w przypadku jednostek POX</t>
  </si>
  <si>
    <t>Ważna uwaga: Zgodnie z załącznikiem II do FAR jednostkami, które należy podać, są wielkości przerobu wyrażone w kilotonach.</t>
  </si>
  <si>
    <t>Funkcja CWT</t>
  </si>
  <si>
    <t>Podstawa (kt/a)</t>
  </si>
  <si>
    <t>Współczynnik CWT</t>
  </si>
  <si>
    <t>Atmosferyczna destylacja surowca</t>
  </si>
  <si>
    <t xml:space="preserve">Destylacja próżniowa </t>
  </si>
  <si>
    <t xml:space="preserve">Odasfaltowanie rozpuszczalnikiem </t>
  </si>
  <si>
    <t xml:space="preserve">Krakowanie wstępne </t>
  </si>
  <si>
    <t>Kraking termiczny</t>
  </si>
  <si>
    <t xml:space="preserve">Opóźnione koksowanie </t>
  </si>
  <si>
    <t xml:space="preserve">Koksowanie fluidalne </t>
  </si>
  <si>
    <t xml:space="preserve">Kalcynacja koksu </t>
  </si>
  <si>
    <t>Fluidalny kraking katalityczny</t>
  </si>
  <si>
    <t xml:space="preserve">Pozostały kraking katalityczny </t>
  </si>
  <si>
    <t xml:space="preserve">Hydrokraking destylatu / oleju napędowego </t>
  </si>
  <si>
    <t xml:space="preserve">Hydrokraking pozostałości </t>
  </si>
  <si>
    <t>Hydrorafinacja benzyny ciężkiej / benzyny</t>
  </si>
  <si>
    <t xml:space="preserve">Hydrorafinacja nafty / oleju napędowego </t>
  </si>
  <si>
    <t xml:space="preserve">Głęboka rafinacja pozostałości </t>
  </si>
  <si>
    <t>Hydrorafinacja próżniowego oleju napędowego</t>
  </si>
  <si>
    <t xml:space="preserve">Produkcja wodoru </t>
  </si>
  <si>
    <t>Reformowanie katalityczne</t>
  </si>
  <si>
    <t xml:space="preserve">Alkilacja </t>
  </si>
  <si>
    <t>Izomeryzacja C4</t>
  </si>
  <si>
    <t>Izomeryzacja C5/C6</t>
  </si>
  <si>
    <t xml:space="preserve">Wytwarzanie związków tlenowych </t>
  </si>
  <si>
    <t xml:space="preserve">Produkcja propylenu </t>
  </si>
  <si>
    <t>Produkcja asfaltu</t>
  </si>
  <si>
    <t>Mieszanie asfaltu zmodyfikowanego polimerowo</t>
  </si>
  <si>
    <t>Odzyskiwanie siarki</t>
  </si>
  <si>
    <t>Ekstrakcja rozpuszczalnikowa związków aromatycznych</t>
  </si>
  <si>
    <t>Hydrodealkilacja</t>
  </si>
  <si>
    <t>TDP/TDA</t>
  </si>
  <si>
    <t>Produkcja cykloheksanu</t>
  </si>
  <si>
    <t>Izomeryzacja ksylenu</t>
  </si>
  <si>
    <t>Produkcja paraksylenu</t>
  </si>
  <si>
    <t>Produkcja metaksylenu</t>
  </si>
  <si>
    <t>Produkcja bezwodnika ftalowego</t>
  </si>
  <si>
    <t>Produkcja bezwodnika maleinowego</t>
  </si>
  <si>
    <t>Produkcja etylobenzenu</t>
  </si>
  <si>
    <t>Produkcja kumenu</t>
  </si>
  <si>
    <t>Produkcja fenolu</t>
  </si>
  <si>
    <t>Ekstrakcja rozpuszczalnikowa olejów smarowych</t>
  </si>
  <si>
    <t>Odparafinowywanie rozpuszczalnikowe olejów smarowych</t>
  </si>
  <si>
    <t>Katalityczna izomeryzacja parafin</t>
  </si>
  <si>
    <t xml:space="preserve">Hydrokraker olejów smarowych </t>
  </si>
  <si>
    <t xml:space="preserve">Odolejanie parafin </t>
  </si>
  <si>
    <t xml:space="preserve">Hydrorafinacja olejów smarowych / parafin </t>
  </si>
  <si>
    <t>Głęboka rafinacja rozpuszczalnikami</t>
  </si>
  <si>
    <t>Frakcjonowanie rozpuszczalnikowe</t>
  </si>
  <si>
    <t>Sito molekularne do wydzielania parafin C10+</t>
  </si>
  <si>
    <t>Częściowe utlenianie resztkowych surowców zasilających (POX) na paliwo</t>
  </si>
  <si>
    <t>Częściowe utlenianie resztkowych surowców zasilających (POX) do produkcji wodoru lub metanolu</t>
  </si>
  <si>
    <t>Metanol z gazu syntezowego</t>
  </si>
  <si>
    <t>Rozdział powietrza</t>
  </si>
  <si>
    <t>Frakcjonowanie zakupionego kondensatu gazu ziemnego</t>
  </si>
  <si>
    <t>Oczyszczanie spalin</t>
  </si>
  <si>
    <t>Oczyszczanie i sprężanie gazu opałowego przeznaczonego na sprzedaż</t>
  </si>
  <si>
    <t>Odsalanie wody morskiej</t>
  </si>
  <si>
    <t>Wynik: Poziomy działalności dla wskaźnika dotyczącego rafinerii wyrażone w CWT</t>
  </si>
  <si>
    <t>W tym miejscu oblicza się poziom działalności rafinerii według wzoru podanego w pkt 1 załącznika III do FAR (przed określeniem średniej wartości).</t>
  </si>
  <si>
    <t>Ważna uwaga: Powyższe dane należy podawać w kilotonach, ale wskaźnik jest wyrażany w t CO2/CWT, przy czym CWT jest wyrażona w tonach.</t>
  </si>
  <si>
    <t>W związku z tym poniższe wyniki mnoży się przez 1000, co nie jest wyraźnie wskazane w pkt 1 załącznika III do FAR.</t>
  </si>
  <si>
    <t>Wynik zastosowania tego narzędzia jest wykorzystywany w arkuszu „F_ProductBM” wiersz „a) lit. (ii)” odpowiedniej podinstalacji, na którego podstawie obliczana jest średnia.</t>
  </si>
  <si>
    <t>Poziom działalności rafinerii</t>
  </si>
  <si>
    <t>Wapno</t>
  </si>
  <si>
    <t>Narzędzie do obliczania historycznych poziomów działalności dla podinstalacji wapna</t>
  </si>
  <si>
    <t>Narzędzie to pomaga określić historyczne poziomy działalności dla wskaźnika dotyczącego wapna (pkt 2 załącznika III do FAR)</t>
  </si>
  <si>
    <t>Nieskorygowana produkcja wapna:</t>
  </si>
  <si>
    <t>W tym miejscu proszę podać dane dotyczące rocznej produkcji, wyrażone w tonach wapna, bez korekty na potrzeby danych dotyczących składu:</t>
  </si>
  <si>
    <t>nieskorygowana produkcja wapna</t>
  </si>
  <si>
    <t>Dane dotyczące składu:</t>
  </si>
  <si>
    <t>Zgodnie z pkt 2 załącznika III do FAR wymagane są następujące dane:</t>
  </si>
  <si>
    <t>zawartość wolnego CaO w wyprodukowanym wapnie w poszczególnych latach okresu odniesienia wyrażona jako procent masy</t>
  </si>
  <si>
    <t>W przypadku braku danych na temat zawartości wolnego CaO stosuje się zachowawczy szacunek nie wyższy niż 85%.</t>
  </si>
  <si>
    <t>zawartość wolnego MgO w wyprodukowanym wapnie w poszczególnych latach okresu odniesienia wyrażona jako procent masy</t>
  </si>
  <si>
    <t>W przypadku braku danych na temat zawartości wolnego CaO stosuje się zachowawczy szacunek nie wyższy niż 0,5%.</t>
  </si>
  <si>
    <t>Zawartość CaO</t>
  </si>
  <si>
    <t>Zawartość MgO</t>
  </si>
  <si>
    <t>Wynik: Historyczne poziomy działalności w zakresie produkcji wapna wyrażone jako standardowe czyste wapno</t>
  </si>
  <si>
    <t>W tym miejscu oblicza się skorygowany poziom działalności w zakresie produkcji wapna według wzoru podanego w pkt 2 załącznika III do FAR (przed określeniem średniej wartości).</t>
  </si>
  <si>
    <t>produkcja standardowego czystego wapna</t>
  </si>
  <si>
    <t>Dolomit kalcynowany</t>
  </si>
  <si>
    <t>Narzędzie do obliczania historycznych poziomów działalności dla podinstalacji dolomitu kalcynowanego</t>
  </si>
  <si>
    <t>Narzędzie to pomaga określić historyczne poziomy działalności dla wskaźnika dotyczącego dolomitu kalcynowanego (pkt 3 załącznika III do FAR) Narzędzia nie należy używać w odniesieniu do dolomitu spiekanego.</t>
  </si>
  <si>
    <t>Nieskorygowana produkcja dolomitu kalcynowanego:</t>
  </si>
  <si>
    <t>W tym miejscu proszę podać dane dotyczące rocznej produkcji, wyrażone w tonach dolomitu kalcynowanego, bez korekty na potrzeby danych dotyczących składu:</t>
  </si>
  <si>
    <t>nieskorygowana produkcja dolomitu kalcynowanego</t>
  </si>
  <si>
    <t>Zgodnie z pkt 3 załącznika III do FAR wymagane są następujące dane:</t>
  </si>
  <si>
    <t>zawartość wolnego CaO w wyprodukowanym dolomicie kalcynowanym w poszczególnych latach okresu odniesienia wyrażona jako procent masy</t>
  </si>
  <si>
    <t>W przypadku braku danych na temat zawartości wolnego CaO stosuje się zachowawczy szacunek nie wyższy niż 52%.</t>
  </si>
  <si>
    <t>zawartość wolnego MgO w wyprodukowanym dolomicie kalcynowanym w poszczególnych latach okresu odniesienia wyrażona jako procent masy</t>
  </si>
  <si>
    <t>W przypadku braku danych na temat zawartości wolnego CaO stosuje się zachowawczy szacunek nie wyższy niż 33%.</t>
  </si>
  <si>
    <t>Wynik: Poziomy działalności w zakresie produkcji dolomitu kalcynowanego wyrażone jako standardowy czysty dolomit kalcynowany</t>
  </si>
  <si>
    <t>W tym miejscu oblicza się skorygowany poziom działalności w zakresie produkcji dolomitu kalcynowanego według wzoru podanego w pkt 3 załącznika III do FAR (przed określeniem średniej wartości).</t>
  </si>
  <si>
    <t>produkcja standardowego czystego dolomitu kalcynowanego</t>
  </si>
  <si>
    <t>Kraking parowy</t>
  </si>
  <si>
    <t>Narzędzie do obliczania historycznych poziomów działalności dla podinstalacji krakingu parowego</t>
  </si>
  <si>
    <t>Narzędzie to pomaga określić historyczne poziomy działalności dla wskaźnika dotyczącego krakingu parowego (pkt 4 załącznika III do FAR).</t>
  </si>
  <si>
    <t>Łączna produkcja chemikaliów o wysokich wartościach (HVC łącznie)</t>
  </si>
  <si>
    <t>W tym miejscu proszę podać dane dotyczące rocznej produkcji, wyrażone w tonach HVC (bez korekt)</t>
  </si>
  <si>
    <t>HVC łącznie</t>
  </si>
  <si>
    <t>Dane dotyczące dodatkowego surowca zasilającego:</t>
  </si>
  <si>
    <t>Zgodnie z pkt 4 załącznika III do FAR wymagane są następujące dane:</t>
  </si>
  <si>
    <t>historyczne dodatkowe ilości wodoru w poszczególnych latach okresu odniesienia, wyrażone w tonach wodoru</t>
  </si>
  <si>
    <t>historyczne dodatkowe ilości etylenu w poszczególnych latach okresu odniesienia, wyrażone w tonach etylenu</t>
  </si>
  <si>
    <t>historyczne dodatkowe ilości innych chemikaliów o wysokich wartościach innych niż wodór i etylen w poszczególnych latach okresu odniesienia, wyrażone w tonach HVC</t>
  </si>
  <si>
    <t>Dodatkowy surowiec zasilający</t>
  </si>
  <si>
    <t>Wodór</t>
  </si>
  <si>
    <t>Etylen</t>
  </si>
  <si>
    <t>Inne HVC</t>
  </si>
  <si>
    <t>Wynik: Poziomy działalności dla HVC netto</t>
  </si>
  <si>
    <t>W tym miejscu skorygowany poziom działalności (ilość HVC netto) jest obliczany według wzoru podanego w pkt 4 załącznika III do FAR (przed określeniem średniej wartości).</t>
  </si>
  <si>
    <t>Poziomy produkcji HVC netto</t>
  </si>
  <si>
    <t>Narzędzie dotyczące krakingu parowego, część 2: Wstępny przydział (art. 19 FAR)</t>
  </si>
  <si>
    <t>Narzędzie to pomaga w określeniu wstępnego przydziału uprawnień przydzielanych podinstalacji krakingu parowego (art. 19 FAR).</t>
  </si>
  <si>
    <t>Określa ono ilość, którą należy dodać do wstępnego przydziału rocznego po dokonaniu korekty w zakresie zamienności energii elektrycznej.</t>
  </si>
  <si>
    <t>Wymagane dane dotyczące historycznej produkcji wodoru, etylenu i innych HVC z dodatkowego surowca zasilającego, wyrażone w tonach, pobrane z części IV.1 lit. c) powyżej;</t>
  </si>
  <si>
    <t>Produkcja z dodatkowego surowca zasilającego:</t>
  </si>
  <si>
    <t>Te dane są automatycznie pobierane z części IV.1 lit. c) powyżej. Mnożniki są określone w art. 19 FAR.</t>
  </si>
  <si>
    <t>Produkcja z dodatkowego surowca zasilającego</t>
  </si>
  <si>
    <t>Mnożnik (t CO2 / t)</t>
  </si>
  <si>
    <t>Wynik: Ilość, którą należy dodać do całkowitego wstępnego przydziału uprawnień dla podinstalacji krakingu parowego:</t>
  </si>
  <si>
    <t>Obliczenie jest dokonywane według wzoru podanego w art. 19 FAR.</t>
  </si>
  <si>
    <t>Ilość na potrzeby korekty przydziału:</t>
  </si>
  <si>
    <t>CWT (Związki aromatyczne)</t>
  </si>
  <si>
    <t>Narzędzie do obliczania historycznych poziomów działalności dla podinstalacji związków aromatycznych</t>
  </si>
  <si>
    <t>Narzędzie to pomaga określić historyczne poziomy działalności dla wskaźnika dotyczącego związków aromatycznych (pkt 5 załącznika III do FAR).</t>
  </si>
  <si>
    <t>W przypadku wskaźnika dotyczącego rafinerii, który również wykorzystuje CWT, proszę użyć poniższego specjalnego narzędzia CWT dla rafinerii (część I niniejszego arkusza).</t>
  </si>
  <si>
    <t>Definicja i granice poszczególnych funkcji CWT są podane w pkt 2 załącznika II do FAR.</t>
  </si>
  <si>
    <t>Hydrorafinator do głębokiej rafinacji benzyny ciężkiej / oleju napędowego</t>
  </si>
  <si>
    <t>Wynik: Poziomy działalności dla wskaźnika dotyczącego związków aromatycznych wyrażone w CWT</t>
  </si>
  <si>
    <t>W tym miejscu poziom działalności dotyczący związków aromatycznych jest obliczany według wzoru podanego w pkt 5 załącznika III do FAR (przed określeniem średniej wartości).</t>
  </si>
  <si>
    <t>Ważna uwaga: Dane należy podawać w kilotonach, ale wskaźnik jest wyrażany w t CO2/CWT, przy czym CWT jest wyrażona w tonach.</t>
  </si>
  <si>
    <t>W związku z tym poniższe wyniki mnoży się przez 1000, co nie jest wyraźnie wskazane w pkt 5 załącznika III do FAR.</t>
  </si>
  <si>
    <t>Poziom działalności dotyczący związków aromatycznych</t>
  </si>
  <si>
    <t>Narzędzie do obliczania historycznych poziomów działalności dla podinstalacji wodoru</t>
  </si>
  <si>
    <t>Narzędzie to pomaga określić historyczne poziomy działalności dla wskaźnika dotyczącego wodoru (pkt 6 załącznika III do FAR).</t>
  </si>
  <si>
    <t>Proszę zwrócić uwagę, że wartości procentowe dotyczące zawartości wodoru powinny być wyrażone w Vol-%.</t>
  </si>
  <si>
    <t>Wielkość łącznej produkcji wodoru (nieskorygowana)</t>
  </si>
  <si>
    <t>W tym miejscu proszę podać dane dotyczące rocznej produkcji wodoru odnoszące się do historycznej zawartości wodoru w poszczególnych latach okresu odniesienia.</t>
  </si>
  <si>
    <t>Ze względu na bardzo duże wartości w przypadku stosowania jednostki m3, liczby należy podawać w 1000 Nm3 (normalne metry sześcienne w odniesieniu do 0°C i 101,325 kPa).</t>
  </si>
  <si>
    <t>Łączna produkcja wodoru</t>
  </si>
  <si>
    <t>Ułamek objętościowy produkcji wodoru VF (H2)</t>
  </si>
  <si>
    <t>W tym miejscu proszę podać historyczny ułamek objętościowy produkcji czystego wodoru w poszczególnych latach okresu odniesienia. Wartość ta jest wartością bezwymiarową.</t>
  </si>
  <si>
    <t xml:space="preserve">Mogą Państwo wpisać 95% jako „0,95” albo jako „95%”. </t>
  </si>
  <si>
    <t>Ułamek objętościowy produkcji wodoru</t>
  </si>
  <si>
    <t>Wynik: Poziomy działalności dla wodoru, wyrażone w tonach 100% H2</t>
  </si>
  <si>
    <t>W tym miejscu skorygowany poziom działalności (100% wodoru) jest obliczany według wzoru podanego w pkt 6 załącznika III do FAR (przed określeniem średniej wartości).</t>
  </si>
  <si>
    <t>Jeśli w wyniku zastosowania wzoru otrzymano wartość ujemną, należy ją zamienić na zero.</t>
  </si>
  <si>
    <t>Wodór (jako 100% czystego H2)</t>
  </si>
  <si>
    <t>Gaz syntezowy</t>
  </si>
  <si>
    <t>Narzędzie do obliczania historycznych poziomów działalności dla podinstalacji gazu syntezowego</t>
  </si>
  <si>
    <t>Narzędzie to pomaga określić historyczne poziomy działalności dla wskaźnika dotyczącego gazu syntezowego (pkt 7 załącznika III do FAR).</t>
  </si>
  <si>
    <t>Należy zwrócić uwagę, że wartości procentowe dotyczące zawartości wodoru powinny być wyrażone w Vol-%.</t>
  </si>
  <si>
    <t>Wielkość łącznej produkcji gazu syntezowego (nieskorygowana)</t>
  </si>
  <si>
    <t>W tym miejscu proszę podać dane dotyczące rocznej produkcji gazu syntezowego odnoszące się do historycznej zawartości wodoru w poszczególnych latach okresu odniesienia.</t>
  </si>
  <si>
    <t>Łączna produkcja gazu syntezowego</t>
  </si>
  <si>
    <t xml:space="preserve">Mogą Państwo wpisać 50% jako „0,50” albo jako „50%”. </t>
  </si>
  <si>
    <t>Wynik: Poziomy działalności dla gazu syntezowego, wyrażone w tonach z 47-proc. zawartością wodoru</t>
  </si>
  <si>
    <t>W tym miejscu skorygowany poziom działalności (w stosunku do 47% H2) jest obliczany według wzoru podanego w pkt 7 załącznika III do FAR (przed określeniem średniej wartości).</t>
  </si>
  <si>
    <t>Gaz syntezowy (47-proc. zawartość H2)</t>
  </si>
  <si>
    <t>Tlenek etylenu / glikole etylenowe</t>
  </si>
  <si>
    <t>Narzędzie do obliczania historycznych poziomów działalności dla podinstalacji tlenku etylenu / glikoli etylenowych</t>
  </si>
  <si>
    <t>Narzędzie to pomaga określić historyczne poziomy działalności dla wskaźnika dotyczącego tlenku etylenu / glikoli etylenowych (pkt 8 załącznika III do FAR).</t>
  </si>
  <si>
    <t>Dane dotyczące produkcji tlenku etylenu i glikoli etylenowych:</t>
  </si>
  <si>
    <t>W tym miejscu proszę podać dane dotyczące rocznej produkcji różnych produktów objętych tym wskaźnikiem w poszczególnych latach okresu odniesienia.</t>
  </si>
  <si>
    <t>Tabela przedstawia również wartości CF(EOE) wykorzystywane do obliczeń. CF(EOE) to współczynnik konwersji dla każdej substancji w stosunku do tlenku etylenu.</t>
  </si>
  <si>
    <t>Tlenek etylenu</t>
  </si>
  <si>
    <t>Glikol etylenowy</t>
  </si>
  <si>
    <t>Glikol dietylenowy</t>
  </si>
  <si>
    <t>Glikol trietylenowy</t>
  </si>
  <si>
    <t>Suma produktów</t>
  </si>
  <si>
    <t>Wynik: Poziomy działalności dla podinstalacji objętych wskaźnikiem emisyjności dla produktów tlenku etylenu / glikoli etylenowych:</t>
  </si>
  <si>
    <t>Historyczny poziom działalności wyrażony w tonach ekwiwalentów tlenku etylenu jest obliczany według wzoru podanego w pkt 8 załącznika III do FAR.</t>
  </si>
  <si>
    <t>Ekwiwalenty tlenku etylenu łącznie</t>
  </si>
  <si>
    <t>Monomer chlorku winylu (VCM)</t>
  </si>
  <si>
    <t>Narzędzie dotyczące monomeru chlorku winylu: Wstępny przydział (art. 20 FAR)</t>
  </si>
  <si>
    <t>Narzędzie to pomaga w określeniu wstępnego przydziału uprawnień przydzielanych podinstalacji monomeru chlorku winylu („VCM”) (art. 20 FAR).</t>
  </si>
  <si>
    <t>Wymagane są następujące dane:</t>
  </si>
  <si>
    <t>poziomy działalności zgodnie z danymi w arkuszu „ProductBM” lit. a), w zakresie odpowiedniej podinstalacji;</t>
  </si>
  <si>
    <t>emisje bezpośrednie przypisane do tej podinstalacji;</t>
  </si>
  <si>
    <t>ilość mierzalnego ciepła netto wprowadzonego przez tę podinstalację z innych instalacji objętych systemem EU ETS;</t>
  </si>
  <si>
    <t>emisje związane z produkcją wodoru: tj. historyczne zużycie ciepła ze spalania wodoru pomnożone przez wskaźnik emisyjności oparty na cieple.</t>
  </si>
  <si>
    <t>Dane dotyczące emisji:</t>
  </si>
  <si>
    <t>W tym miejscu proszę podać niezbędne dane określone powyżej.</t>
  </si>
  <si>
    <t>Mierzalne ciepło wprowadzone netto</t>
  </si>
  <si>
    <t>Zużycie ciepła ze spalania H2</t>
  </si>
  <si>
    <t>Emisje związane z produkcją wodoru</t>
  </si>
  <si>
    <t>I. MS specific</t>
  </si>
  <si>
    <t>Arkusz „MSspecific” (Dane właściwe dla danego państwa członkowskiego) – DODATKOWE WYMOGI DOTYCZĄCE DANYCH, USTANAWIANE PRZEZ PAŃSTWA CZŁONKOWSKIE</t>
  </si>
  <si>
    <t>Określa państwo członkowskie</t>
  </si>
  <si>
    <t>J. Comments</t>
  </si>
  <si>
    <t>Arkusz „Comments” (Uwagi) – UWAGI I DALSZE INFORMACJE</t>
  </si>
  <si>
    <t>Dokumenty uzupełniające do niniejszego raportu</t>
  </si>
  <si>
    <t>W tym miejscu proszę wymienić wszystkie dokumenty dołączone do niniejszego raportu</t>
  </si>
  <si>
    <t>Do niniejszego raportu należy dołączyć dokumenty dodatkowe. W miarę możliwości informacje te należy przedstawić w formie elektronicznej.</t>
  </si>
  <si>
    <t>Mogą Państwo podać informacje w pliku Microsoft Word, Excel lub Adobe Acrobat.</t>
  </si>
  <si>
    <t>W razie potrzeby proszę skontaktować się z Państwa właściwym organem i upewnić się, czy poza formatami wymienionymi powyżej dopuszcza się też inne.</t>
  </si>
  <si>
    <t xml:space="preserve">Przekazywane dokumenty dodatkowe powinny być jasno oznaczone. Poniżej należy podać nazwę pliku lub numer referencyjny. </t>
  </si>
  <si>
    <t xml:space="preserve">Zaleca się, by nie podawać informacji nieistotnych, gdyż może to opóźnić zatwierdzenie niniejszego sprawozdania. </t>
  </si>
  <si>
    <t>Plan metodyki monitorowania zgodnie z wymogami określonymi w art. 4 ust. 2 lit. b) FAR (obowiązkowo):</t>
  </si>
  <si>
    <t>Poniżej proszę podać nazwę pliku lub nazwy plików, jeśli są one w formie elektronicznej, bądź numer lub numery referencyjne dokumentów, jeśli są one w wersji papierowej.</t>
  </si>
  <si>
    <t>Nazwa / numer referencyjny pliku</t>
  </si>
  <si>
    <t>Opis dokumentu</t>
  </si>
  <si>
    <t>Sprawozdanie z weryfikacji zgodnie z wymogami określonymi w art. 4 ust. 2 lit. c) FAR (obowiązkowo):</t>
  </si>
  <si>
    <t>Uzasadnienie wszelkich luk w danych</t>
  </si>
  <si>
    <t>Art. 12 ust. 2 FAR wymaga uzasadnienia wszelkich luk w danych i opisania metody ich uzupełnienia.</t>
  </si>
  <si>
    <t>Zbiór danych, którego luka dotyczy (dane dotyczące działalności, współczynnik emisji, ciepło, energia elektryczna,...)</t>
  </si>
  <si>
    <t>Opis luki danych</t>
  </si>
  <si>
    <t>Uzasadnienie</t>
  </si>
  <si>
    <t>Inne dokumenty:</t>
  </si>
  <si>
    <t>Miejsce na wszelkiego rodzaje informacje dodatkowe</t>
  </si>
  <si>
    <t>W polu poniżej mogą Państwo podać wszelkie informacje, które nie nadają się do wprowadzenia w pozostałych arkuszach, lecz które – Państwa zdaniem – mogą być istotne dla właściwego organu</t>
  </si>
  <si>
    <t>K. Summary</t>
  </si>
  <si>
    <t>Dane dotyczące instalacji</t>
  </si>
  <si>
    <t>Okres odniesienia i kwalifikowalność</t>
  </si>
  <si>
    <t>Emisje i przepływy energii</t>
  </si>
  <si>
    <t>Dane dotyczące podinstalacji</t>
  </si>
  <si>
    <t>Wstępny przydział</t>
  </si>
  <si>
    <t>Arkusz „Summary” (Podsumowanie) – PRZEGLĄD NAJWAŻNIEJSZYCH DANYCH</t>
  </si>
  <si>
    <t>Informacje ogólne (część A.I):</t>
  </si>
  <si>
    <t>Identyfikator instalacji:</t>
  </si>
  <si>
    <t>Państwo członkowskie:</t>
  </si>
  <si>
    <t>Weryfikator (firma):</t>
  </si>
  <si>
    <t>Objęta wcześniej systemem EU ETS:</t>
  </si>
  <si>
    <t>Podmiot stanowiący niewielkie źródło emisji (art. 27):</t>
  </si>
  <si>
    <t>Instalacja dotychczas działająca:</t>
  </si>
  <si>
    <t>Szpital:</t>
  </si>
  <si>
    <t>Data rozpoczęcia:</t>
  </si>
  <si>
    <t>Podmiot stanowiący niewielkie źródło emisji (art. 27a):</t>
  </si>
  <si>
    <t>Jednostki &lt;300h:</t>
  </si>
  <si>
    <t>Kod NACE w 2010 r. (NACE rev 2):</t>
  </si>
  <si>
    <t>Numer identyfikacyjny EPRTR:</t>
  </si>
  <si>
    <t>Powiązania techniczne (część A.IV):</t>
  </si>
  <si>
    <t>Nazwa powiązania</t>
  </si>
  <si>
    <t>Identyfikator EUTL, w stosownych przypadkach</t>
  </si>
  <si>
    <t>Kwalifikacja do przydziału bezpłatnych uprawnień (część A.II.1):</t>
  </si>
  <si>
    <t>Wytwórca energii elektrycznej:</t>
  </si>
  <si>
    <t>Instalacja CCS:</t>
  </si>
  <si>
    <t>Instalacja objęta art. 10a ust.3 dyrektywy w sprawie EU ETS:</t>
  </si>
  <si>
    <t>Instalacje do produkcji ciepła:</t>
  </si>
  <si>
    <t>Instalacja kwalifikuje się do przydziału bezpłatnych uprawnień zgodnie z art. 10a dyrektywy w sprawie EU ETS:</t>
  </si>
  <si>
    <t>Lata odniesienia (część A.II.2)</t>
  </si>
  <si>
    <t>Lata, które należy uwzględnić:</t>
  </si>
  <si>
    <t>Dane wynikające z informacji wprowadzonych w części „Source streams” (Strumienie materiałów wsadowych) (arkusze B i C) lub z podsumowania dotyczącego emisji (część D.I)</t>
  </si>
  <si>
    <t>Przypisywanie emisji do podinstalacji (część D.II)</t>
  </si>
  <si>
    <t>Dane są automatycznie pobierane z odpowiednich wpisów w arkuszach F i G znajdujących się w jasnoniebieskich polach dotyczących poszczególnych podinstalacji.</t>
  </si>
  <si>
    <t>Emisje, które można przypisać, określa się w następujący sposób:</t>
  </si>
  <si>
    <t>Emisje związane z innymi wewnętrznymi strumieniami materiałów wsadowych</t>
  </si>
  <si>
    <t>Ilość gazów cieplarnianych wprowadzonych i wyprowadzonych w charakterze materiałów wsadowych</t>
  </si>
  <si>
    <t>Emisje związane z wprowadzonym ciepłem zgodnie z pkt 10.1.2 i 10.1.3 załącznika VII do FAR</t>
  </si>
  <si>
    <t>Emisje związane z wyprowadzonym ciepłem zgodnie z pkt 10.1.2 i 10.1.3 załącznika VII do FAR</t>
  </si>
  <si>
    <t>Emisje związane z wprowadzonymi gazami odlotowymi zgodnie z pkt 10.1.5 załącznika VII do FAR</t>
  </si>
  <si>
    <t>Emisje związane z wyprowadzonymi gazami odlotowymi zgodnie z pkt 10.1.5 załącznika VII do FAR obliczone przez odjęcie zawartości energii pomnożonej przez współczynnik emisji i domyślny współczynnik korygujący o wartości 0,667</t>
  </si>
  <si>
    <t>Emisje związane z odpowiednim zużyciem energii elektrycznej w odniesieniu do podinstalacji, w przypadku których znaczenie ma zamienność paliw i energii elektrycznej.</t>
  </si>
  <si>
    <t>Emisje związane z energią elektryczną wytwarzaną inaczej niż za pomocą mierzalnego ciepła.</t>
  </si>
  <si>
    <t>W niektórych przypadkach nie można na użytek projektu wstępnego przydziału obliczyć emisji, które można przypisać, ponieważ do obliczeń potrzebne są wartości wskaźnika emisyjności opartego na cieple lub wskaźnika emisyjności opartego na paliwie. W takim przypadku nie zostaną wyświetlone żadne wartości dotyczące emisji, które można przypisać, zgodnie ze wskazaniem „nie dotyczy”. Przypadki te obejmują:</t>
  </si>
  <si>
    <t>sytuacje, w których żaden współczynnik emisji dotyczący ciepła wprowadzonego lub wyprowadzonego nie ma zastosowania lub nie jest znany, tj. jeżeli nie wpisano takiej wartości. W takich przypadkach do obliczenia emisji, które można przypisać, stosuje się domyślne wartości oparte na wskaźniku emisyjności opartym na cieple, gdy już będą znane.</t>
  </si>
  <si>
    <t>sytuacje, w których wprowadza się gazy odlotowe. W tym przypadku wykorzystuje się wskaźnik emisyjności oparty na paliwie, gdy już będą znane.</t>
  </si>
  <si>
    <t>Wartość „pozostałe emisje” wyświetla się do celów kontroli. Obejmuje emisje związane z produkcją energii elektrycznej, spalania innego niż spalanie na pochodniach dla zapewnienia bezpieczeństwa oraz inne emisje, które nie prowadzą do przydziału bezpłatnych uprawnień.</t>
  </si>
  <si>
    <t>Jeżeli w odniesieniu do co najmniej jednej podinstalacji dla któregokolwiek roku wyświetla się „nie dotyczy”, również wartości dotyczące „pozostałych emisji” nie zostaną wyświetlone, aby nie wprowadzać zamieszania.</t>
  </si>
  <si>
    <t>Dane na poziomie podinstalacji:</t>
  </si>
  <si>
    <t>Kontrola: Pozostałe emisje</t>
  </si>
  <si>
    <t>Narzędzie kogeneracyjne – część D.III</t>
  </si>
  <si>
    <t>Narzędzie kogeneracyjne 1</t>
  </si>
  <si>
    <t>Bilans energii</t>
  </si>
  <si>
    <t>Emisje</t>
  </si>
  <si>
    <t>Sprawności</t>
  </si>
  <si>
    <t>Wytwarzanie ciepła (wartość referencyjna)</t>
  </si>
  <si>
    <t>Wytwarzanie energii elektrycznej (wartość referencyjna)</t>
  </si>
  <si>
    <t>Wyniki</t>
  </si>
  <si>
    <t>Narzędzie kogeneracyjne 2</t>
  </si>
  <si>
    <t>Narzędzie dotyczące gazów odlotowych (gazy odlotowe nieobjęte wskaźnikami emisyjności dla produktów) – część D.IV</t>
  </si>
  <si>
    <t>Jednostka</t>
  </si>
  <si>
    <t>Pobór energii z paliw – podział na kategorie wykorzystania (część E.I)</t>
  </si>
  <si>
    <t>Wsad paliwa do poszczególnych podinstalacji z arkuszy F i G:</t>
  </si>
  <si>
    <t>Obliczenie mierzalnego ciepła (część E.II)</t>
  </si>
  <si>
    <t>Podsumowanie dotyczące podinstalacji objętych wskaźnikiem opartym na cieple i podinstalacji sieci ciepłowniczej</t>
  </si>
  <si>
    <t>Dane dotyczące podinstalacji istotne dla rozdziału uprawnień i aktualizacji wskaźników</t>
  </si>
  <si>
    <t>Obliczanie orientacyjnej liczby uprawnień</t>
  </si>
  <si>
    <t>W tabelach poniżej stosuje się następujące skróty:</t>
  </si>
  <si>
    <t>narażenie na ryzyko ucieczki emisji</t>
  </si>
  <si>
    <t>Narażenie na ryzyko ucieczki emisji. „Prawda”, jeśli podinstalacja działa w sektorze uważanym za narażony na znaczące ryzyko ucieczki emisji.</t>
  </si>
  <si>
    <t>Nr wskaźnika</t>
  </si>
  <si>
    <t>Numer wskaźnika</t>
  </si>
  <si>
    <t>Rozpoczęcie</t>
  </si>
  <si>
    <t>Rozpoczęcie działania podinstalacji</t>
  </si>
  <si>
    <t>Wart. wskaźnika</t>
  </si>
  <si>
    <t>Wartość wskaźnika zgodnie z załącznikiem I do FAR. Do celów projektu wstępnego przydziału wykorzystuje się wartości albo orientacyjnego minimum, albo orientacyjnego maksimum, zgodnie z danymi dotyczącymi poszczególnych podinstalacji przedstawionymi w przeglądowej tabeli poniżej.</t>
  </si>
  <si>
    <t>Art. 15 ust. 7 akapit trzeci?</t>
  </si>
  <si>
    <t>Czy ma zastosowanie art. 15 ust. 7 akapit trzeci FAR (tj. czy podinstalacja działała krócej niż jeden rok w okresie odniesienia)?</t>
  </si>
  <si>
    <t>Art. 15 ust. 7 akapit trzeci – HPD</t>
  </si>
  <si>
    <t>Historyczny poziom działalności, jeżeli art. 15 ust. 7 akapit trzeci ma zastosowanie. Należy zauważyć, że wartość ta będzie znana dopiero po złożeniu pierwszego sprawozdania dotyczącego poziomu działalności.</t>
  </si>
  <si>
    <t>Czy zamienność energii elektrycznej i paliwa dotyczy tej podinstalacji?</t>
  </si>
  <si>
    <t>Współczynnik obliczeń pozwalający uwzględnić zamienność energii elektrycznej i paliwa zgodnie z art. 22 FAR</t>
  </si>
  <si>
    <t>ciepło nieobjęte systemem EU ETS</t>
  </si>
  <si>
    <t>Liczba, którą należy odjąć od wstępnej rocznej liczby uprawnień zgodnie z art. 21 FAR</t>
  </si>
  <si>
    <t>Liczba, którą należy odjąć od wstępnej rocznej liczby uprawnień w przypadku gazów odlotowych spalanych na pochodniach od 2026 r. zgodnie z art. 16 ust. 5 akapit drugi FAR</t>
  </si>
  <si>
    <t>Liczba, którą należy dodać do wstępnej rocznej liczby uprawnień przyznawanych podinstalacjom krakingu parowego zgodnie z art. 19 FAR</t>
  </si>
  <si>
    <t>Współczynnik obliczeń pozwalający uwzględnić emisje związane z produkcją wodoru w podinstalacjach monomeru chlorku winylu zgodnie z art. 20 FAR</t>
  </si>
  <si>
    <t>Średnia</t>
  </si>
  <si>
    <t>Średnia historycznych poziomów działalności w okresie odniesienia</t>
  </si>
  <si>
    <t>Wst. przydział rok 1 (min.)</t>
  </si>
  <si>
    <t>Wstępna roczna liczba uprawnień do emisji przydzielonych bezpłatnie w pierwszym roku okresu (lub jej projekt) zgodnie z art. 16 ust. 6 FAR, tj. po zastosowaniu współczynnika narażenia na ryzyko ucieczki emisji, ale przed zastosowaniem współczynnika liniowego lub międzysektorowego współczynnika korygującego.</t>
  </si>
  <si>
    <t>Wartość ta stanowi jedynie orientacyjne oszacowanie „minimalnego” wstępnego przydziału, uwzględniając najniższą wartość wskaźnika dla tej podinstalacji. Wartość ta jest zatem tylko orientacyjna i NIE NALEŻY jej rozumieć jako wstępnego ustalenia faktycznej liczby przydziałów bezpłatnych uprawnień, którą określi właściwy organ po uzyskaniu aktualnych wskaźników.</t>
  </si>
  <si>
    <t>Wst. przydział rok 1 (maks.)</t>
  </si>
  <si>
    <t>Wstępna roczna liczba uprawnień do emisji (lub jej projekt) przy uwzględnieniu najwyższej możliwej wartości wskaźnika dla tej podinstalacji. Zastosowanie ma takie samo zastrzeżenie, jak w przypadku wartości (min).</t>
  </si>
  <si>
    <t>Wst. przydział rok 1 (faktyczny)</t>
  </si>
  <si>
    <t>Faktyczna wstępna roczna liczba uprawnień do emisji przy uwzględnieniu faktycznej wartości wskaźnika dla tej podinstalacji. W przypadku początkowych KŚW wartość tę można określić dopiero na późniejszym etapie, po opublikowaniu wartości wskaźników dotyczących poszczególnych okresów, na które przydzielane są uprawnienia.</t>
  </si>
  <si>
    <t>Zastrzeżenie: Należy zauważyć, że wartości wstępnego przydziału są jedynie orientacyjne i uwzględniają minimalne i maksymalne wartości wskaźników, jak wyjaśniono powyżej. Jeżeli jednak wstępny przydział zależy również od wartości wskaźnika emisyjności opartego na cieple lub paliwie (np. ElExch-F lub ciepło nieobjęte systemem EU ETS), które podlegają zmianom w wyniku tego gromadzenia danych, wartość orientacyjna może nie odzwierciedlać nawet minimalnej ani maksymalnej wstępnej liczby uprawnień, lecz podlegać dalszej korekcie.</t>
  </si>
  <si>
    <t>Wart. wskaźnika (min./maks./faktyczna)</t>
  </si>
  <si>
    <t>Czynniki szczególne:</t>
  </si>
  <si>
    <t>Zgłoszony HPD (historyczny poziom działalności)</t>
  </si>
  <si>
    <t>Wartości wykorzystywane do obliczania zgłoszonego HPD:</t>
  </si>
  <si>
    <t>Całkowite przypisane emisje</t>
  </si>
  <si>
    <t>Wprowadzanie pośrednie:</t>
  </si>
  <si>
    <t>Wyprowadzanie pośrednie:</t>
  </si>
  <si>
    <t>Ciepło wprowadzone netto (inne)</t>
  </si>
  <si>
    <t>Ciepło wprowadzone netto (wsk. emisyjności dla produktów)</t>
  </si>
  <si>
    <t>Ciepło wprowadzone netto (masa celulozowa)</t>
  </si>
  <si>
    <t>Ciepło wprowadzone netto (wsk. emisyjności oparty na paliwie)</t>
  </si>
  <si>
    <t>Ciepło wprowadzone netto (gazy odlotowe)</t>
  </si>
  <si>
    <t>Obliczenie wstępnej rocznej liczby uprawnień przydzielonych bezpłatnie</t>
  </si>
  <si>
    <t>W tej części mogą Państwo zapoznać się z podsumowaniem wstępnych wartości przydziału odpowiednio na lata 2021–2025 lub 2026–2030, które dotyczą tej instalacji i które opierają się na danych przedstawionych we wcześniejszych częściach w oparciu o Państwa wpisy. Wyświetlane informacje nie obejmują kontroli kompletności. W związku z tym dane te można uznać za prawidłowe wyłącznie wówczas, gdy upewnili się Państwo, że spełniono następujące warunki:</t>
  </si>
  <si>
    <t>Arkusz „A_InstallationData” należy wypełnić w całości, szczególnie część A.II (kwalifikowalność i okres odniesienia) i A.III (wykaz podinstalacji)</t>
  </si>
  <si>
    <t>Dane wprowadzono dla wszystkich lat odniesienia i wypełniono odpowiednie części arkuszy F i G.</t>
  </si>
  <si>
    <t>W żadnej z części w tych arkuszach nie pojawiają się komunikaty o błędzie.</t>
  </si>
  <si>
    <t>Aby zrozumieć wstępny charakter tych informacji, istotne jest zrozumienie tego, co zostało uwzględnione w obliczeniach:</t>
  </si>
  <si>
    <t>W zależności od danych, które wprowadzili Państwo w części A.II.2 (wybrany okres odniesienia), części A.III (dane dotyczące podinstalacji) oraz arkuszach F i G, w części IV niniejszego arkusza widzą Państwo, które lata odniesienia wykorzystano do obliczenia historycznych poziomów działalności (HPD), których dotyczą wskaźniki.</t>
  </si>
  <si>
    <t>Ponieważ w momencie zgłaszania danych właściwemu organowi nie są jeszcze dostępne aktualne wartości wskaźników, mogą Państwo poznać orientacyjny rząd wielkości oczekiwanego przydziału, wybierając albo „minimalne”, albo „maksymalne” wartości wskaźników w pkt 1 lit. a) poniżej.</t>
  </si>
  <si>
    <t>W odniesieniu do każdej podinstalacji obliczenia uwzględniają, czy jest ona narażona na znaczne ryzyko ucieczki emisji.</t>
  </si>
  <si>
    <t>W obliczeniach uwzględnia się, czy instalacja jest objęta art. 10a ust. 3 dyrektywy w sprawie EU ETS, tzn. czy jest wytwórcą energii elektrycznej lub instalacją służącą do wychwytywania, transportu i geologicznego składowania CO2. Zgodnie z art. 16 ust. 8 FAR przydział uprawnień dla takich instalacji musi być skorygowany przez zastosowanie współczynnika liniowego, o którym mowa w art. 10a ust. 4 dyrektywy w sprawie EU ETS. Ten współczynnik liniowy jest tutaj brany pod uwagę.</t>
  </si>
  <si>
    <t>Wstępny przydział dla wszystkich pozostałych instalacji (tych, których nie uwzględniono w art. 10a ust. 3 dyrektywy w sprawie EU ETS) należy pomnożyć przez międzysektorowy współczynnik korygujący zgodnie z art. 14 ust. 6 FAR. Współczynnik ten obliczy Komisja Europejska, gdy tylko wszystkie państwa członkowskie zgłoszą swoje krajowe środki wykonawcze (KŚW), a nowe wartości wskaźników zostaną opublikowane.</t>
  </si>
  <si>
    <t>Aby prowadzący instalację mogli lepiej zrozumieć, w jaki sposób dokonuje się obliczenia przydziału, poniżej wyświetla się przydział WSTĘPNY (tj. przydział przed zastosowaniem międzysektorowego współczynnika korygującego lub współczynnika liniowego). Na potrzeby złożenia wniosku do właściwego organu nie trzeba podawać międzysektorowego współczynnika korygującego.</t>
  </si>
  <si>
    <t>Niniejszy formularz daje jednak możliwość wpisania wartości międzysektorowego współczynnika korygującego. Tej opcji prowadzący instalację może użyć tylko do własnych celów informacyjnych. Wyniki te nie są w żadnym wypadku prawnie wiążące.</t>
  </si>
  <si>
    <t>Zastrzeżenie: Zgodnie z art. 16 ust. 1 FAR państwa członkowskie mają obowiązek obliczenia i ustalenia liczby bezpłatnych uprawnień do emisji przydzielanych od roku 2021 każdej instalacji, na rzecz której występuje się o przydział bezpłatnych uprawnień. Wyniki wyświetlane w tym miejscu mają więc charakter wyłącznie orientacyjny. Nie udziela się żadnej gwarancji, wyraźnej ani dorozumianej, w zakresie dokładności, kompletności lub rzetelności wyników. Wyniki wyświetlane w niniejszym formularzu nie są podstawą do przyznania prawa do jakiejkolwiek liczby uprawnień. W sprawie poprawności obliczeń proszę odnieść się także do zastrzeżenia w arkuszu „Guidelines and conditions” (Wytyczne i warunki).</t>
  </si>
  <si>
    <t>Całkowita wstępna roczna liczba uprawnień przydzielonych bezpłatnie:</t>
  </si>
  <si>
    <t>Liczby wyświetlane w tym miejscu stanowią wynik obliczenia wstępnej rocznej liczby uprawnień przydzielonych bezpłatnie zgodnie z art. 16 ust. 1–7 FAR, tj. już po zastosowaniu współczynników określonych w załączniku V do FAR (zwanych poniżej „współczynnikiem ucieczki emisji”). Zgodnie z art. 16 ust. 3 FAR w odniesieniu do podinstalacji sieci ciepłowniczej współczynnik ten będzie wynosił 0,3 we wszystkich latach.</t>
  </si>
  <si>
    <t>W przypadku gdy w odniesieniu do danej podinstalacji obliczona wstępna roczna liczba uprawnień przydzielonych bezpłatnie jest wartością ujemną, należy ją zamienić na zero.</t>
  </si>
  <si>
    <t>Obliczenie minimalnego, maksymalnego czy faktycznego wstępnego przydziału?</t>
  </si>
  <si>
    <t>W zależności od wybranej opcji wyświetlony zostanie orientacyjny minimalny, maksymalny lub faktyczny wstępny przydział ustalony w części IV powyżej.</t>
  </si>
  <si>
    <t>Należy zauważyć, że faktyczny przydział uprawnień można obliczyć dopiero po opublikowaniu nowych wartości wskaźników. Jeżeli wybrano opcję „faktyczny” przed publikacją, poniżej nie zostaną przeprowadzone żadne obliczenia.</t>
  </si>
  <si>
    <t>Jeżeli pole to pozostanie niewypełnione, wartością domyślną wykorzystywaną we wszystkich poniższych obliczeniach będzie minimalny wstępny przydział.</t>
  </si>
  <si>
    <t>Współczynniki obliczeń:</t>
  </si>
  <si>
    <t>Współczynnik ucieczki emisji dla sektorów „nie-CL”</t>
  </si>
  <si>
    <t>Współczynnik ucieczki emisji dla sieci ciepłowniczej</t>
  </si>
  <si>
    <t>Uwaga: w sektorach narażonych na ryzyko ucieczki emisji współczynnik ucieczki emisji wynosi 1,0000 dla wszystkich lat.</t>
  </si>
  <si>
    <t>Obliczenie zgodnie z art. 16 ust. 1–7 FAR:</t>
  </si>
  <si>
    <t>Całkowity wstępny bezpłatny przydział</t>
  </si>
  <si>
    <t>Przybliżona szacowana ostateczna liczba bezpłatnych uprawnień:</t>
  </si>
  <si>
    <t>Współczynnik liniowy określony w art. 10a ust. 4 dyrektywy w sprawie EU ETS:</t>
  </si>
  <si>
    <t>Współczynnik liniowy</t>
  </si>
  <si>
    <t>Międzysektorowy współczynnik korygujący (CSCF) zgodnie z art. 14 ust. 6 FAR:</t>
  </si>
  <si>
    <t>Do celów informacyjnych, zgodnie z powyższym wyjaśnieniem, w tym miejscu mogą Państwo wprowadzić wartość jednolitego międzysektorowego współczynnika korygującego zgodnie z art. 10a ust. 5 dyrektywy w sprawie EU ETS. Wartością domyślną jest 1 (do czasu opublikowania przez Komisję wartości ostatecznej zgodnie z art. 14 ust. 6 FAR).</t>
  </si>
  <si>
    <t>Przy składaniu niniejszego raportu właściwemu organowi w celu ustanowienia krajowych środków wykonawczych proszę upewnić się, że w tym miejscu nie wprowadzono żadnych danych.</t>
  </si>
  <si>
    <t>Jednorodny międzysektorowy współczynnik korygujący</t>
  </si>
  <si>
    <t>Wartość użyta do obliczeń</t>
  </si>
  <si>
    <t>Współczynnik, który należy wykorzystać w obliczeniach:</t>
  </si>
  <si>
    <t>W przypadku instalacji objętych art. 10a ust. 3 dyrektywy współczynnik liniowy podany w lit. a) należy stosować w odniesieniu do każdego roku, chyba że jednorodny międzysektorowy współczynnik korygujący podany w lit. b) jest niższy niż 1. W takim przypadku w odniesieniu do każdego roku należy stosować jednorodny międzysektorowy współczynnik korygujący.</t>
  </si>
  <si>
    <t>W przypadku instalacji objętych art. 10a ust. 3 dyrektywy w odniesieniu do każdego roku stosuje się jednorodny międzysektorowy współczynnik korygujący podany w lit. b).</t>
  </si>
  <si>
    <t>Obliczenie zgodnie z art. 16 ust. 8 FAR:</t>
  </si>
  <si>
    <t>Liczby wyświetlane w tym miejscu odzwierciedlają obliczenie ostatecznej całkowitej liczby uprawnień przydzielonych bezpłatnie zgodnie z art. 16 ust. 8 FAR, tj. wartości przydziałów po zastosowaniu – odpowiednio – współczynnika liniowego lub międzysektorowego współczynnika korygującego (tj. wynik w lit. c) powyżej). Wartości tych nie można uznać za wartości ostateczne, gdyż w chwili gromadzenia tych danych międzysektorowy współczynnik korygujący nie jest jeszcze znany.</t>
  </si>
  <si>
    <t>Wyniki wyświetlane w tym miejscu nie są w żadnym wypadku prawnie wiążące.Proszę zapoznać się z treścią zastrzeżenia we wprowadzeniu do niniejszej części.</t>
  </si>
  <si>
    <t>Stała</t>
  </si>
  <si>
    <t>Dalsze stałe</t>
  </si>
  <si>
    <t>Wartości bezwzględne</t>
  </si>
  <si>
    <t>Wartości procentowe</t>
  </si>
  <si>
    <t>Nie dotyczy</t>
  </si>
  <si>
    <t>Uprawnienia do emisji ogólnych</t>
  </si>
  <si>
    <t>Miesiąc</t>
  </si>
  <si>
    <t>Paliwo</t>
  </si>
  <si>
    <t>Wskaźnik emisyjności</t>
  </si>
  <si>
    <t>Podinstalacja i wskaźnik emisyjności dla produktów</t>
  </si>
  <si>
    <t>Podinstalacja, dla której wprowadzono rozwiązania rezerwowe (fall-back)</t>
  </si>
  <si>
    <t>rok</t>
  </si>
  <si>
    <t>tony</t>
  </si>
  <si>
    <t>lub</t>
  </si>
  <si>
    <t>Produkty pośrednie</t>
  </si>
  <si>
    <t>Ciepło</t>
  </si>
  <si>
    <t>Wprowadzanie</t>
  </si>
  <si>
    <t>Wyprowadzanie</t>
  </si>
  <si>
    <t>W instalacji</t>
  </si>
  <si>
    <t>Wytwarzanie produktów</t>
  </si>
  <si>
    <t>energia mechaniczna</t>
  </si>
  <si>
    <t>ogrzewanie</t>
  </si>
  <si>
    <t>chłodzenie</t>
  </si>
  <si>
    <t>nieznane</t>
  </si>
  <si>
    <t>PFC</t>
  </si>
  <si>
    <t>CO2 (skorygowany gaz odlotowy)</t>
  </si>
  <si>
    <t>zmniejszenie ilości związków metalu</t>
  </si>
  <si>
    <t>usuwanie zanieczyszczeń</t>
  </si>
  <si>
    <t>rozpad węglanów</t>
  </si>
  <si>
    <t>synteza chemiczna</t>
  </si>
  <si>
    <t>materiały zawierające węgiel</t>
  </si>
  <si>
    <t>zmniejszenie ilości tlenków metali lub tlenków niemetali</t>
  </si>
  <si>
    <t>dotyczy</t>
  </si>
  <si>
    <t>nie dotyczy</t>
  </si>
  <si>
    <t>Ucieczka emisji</t>
  </si>
  <si>
    <t>brak narażenia na ryzyko ucieczki emisji</t>
  </si>
  <si>
    <t>uprawnienia</t>
  </si>
  <si>
    <t>Prowadzący tę instalację potwierdza, że instalacja nie kwalifikuje się do przydziału bezpłatnych uprawnień na mocy art. 10a dyrektywy w sprawie EU ETS jako instalacja dotychczas działająca.</t>
  </si>
  <si>
    <t>Prowadzący tę instalację potwierdza, że niniejszym zostaje złożony wniosek o przydział bezpłatnych uprawnień na mocy art. 10a dyrektywy w sprawie EU ETS.</t>
  </si>
  <si>
    <t>Prowadzący tę instalację potwierdza, że niniejsze sprawozdanie może być wykorzystywane przez właściwy organ oraz Komisję Europejską.</t>
  </si>
  <si>
    <t>wpis niekompletny!</t>
  </si>
  <si>
    <t>wartość ujemna!</t>
  </si>
  <si>
    <t>niezgodność!</t>
  </si>
  <si>
    <t>OK</t>
  </si>
  <si>
    <t>Brak daty!</t>
  </si>
  <si>
    <t>mierzalne ciepło nieobjęte systemem EU ETS</t>
  </si>
  <si>
    <t>Belgia</t>
  </si>
  <si>
    <t>Bułgaria</t>
  </si>
  <si>
    <t>Cypr</t>
  </si>
  <si>
    <t>Chorwacja</t>
  </si>
  <si>
    <t>Republika Czeska</t>
  </si>
  <si>
    <t>Dania</t>
  </si>
  <si>
    <t>Finlandia</t>
  </si>
  <si>
    <t>Francja</t>
  </si>
  <si>
    <t>Niemcy</t>
  </si>
  <si>
    <t>Grecja</t>
  </si>
  <si>
    <t>Węgry</t>
  </si>
  <si>
    <t>Islandia</t>
  </si>
  <si>
    <t>Irlandia</t>
  </si>
  <si>
    <t>Włochy</t>
  </si>
  <si>
    <t>Łotwa</t>
  </si>
  <si>
    <t>Litwa</t>
  </si>
  <si>
    <t>Luksemburg</t>
  </si>
  <si>
    <t>Niderlandy</t>
  </si>
  <si>
    <t>Norwegia</t>
  </si>
  <si>
    <t>Polska</t>
  </si>
  <si>
    <t>Portugalia</t>
  </si>
  <si>
    <t>Rumunia</t>
  </si>
  <si>
    <t>Słowacja</t>
  </si>
  <si>
    <t>Słowenia</t>
  </si>
  <si>
    <t>Hiszpania</t>
  </si>
  <si>
    <t>Szwecja</t>
  </si>
  <si>
    <t>Zjednoczone Królestwo</t>
  </si>
  <si>
    <t>Odpowiedź na pytania a), b) i d) jest obowiązkowa!</t>
  </si>
  <si>
    <t>W pkt. A.II.1 odpowiedź na jedno z pytań – e) lub f) – jest obowiązkowa!</t>
  </si>
  <si>
    <t>Odpowiedź na pytanie A.II.1 lit. g) jest obowiązkowa!</t>
  </si>
  <si>
    <t>Co najmniej jedna nazwa podinstalacji została wprowadzona więcej niż jeden raz. Proszę poprawić ten błąd!</t>
  </si>
  <si>
    <t>W części III.1 lub III.2 należy wybrać przynajmniej jedną podinstalację!</t>
  </si>
  <si>
    <t>Dla każdej podinstalacji należy określić, czy jest to istotne czy nie!</t>
  </si>
  <si>
    <t>Proszę podać informacje w lit. b) i c) powyżej!</t>
  </si>
  <si>
    <t>Proszę podać szczegółowe dane dotyczące strumienia materiałów wsadowych, zaczynając od części II poniżej!</t>
  </si>
  <si>
    <t>Proszę kontynuować podawanie całkowitych emisji w części D.I.2 w arkuszu „D_Emissions”!</t>
  </si>
  <si>
    <t>Proszę także podać dane w części E.II.4!</t>
  </si>
  <si>
    <t>Proszę także podać dane w części D.II.3. lit. a)!</t>
  </si>
  <si>
    <t>ERR_AttrEmBM_ </t>
  </si>
  <si>
    <t xml:space="preserve">Szczegółowe instrukcje dotyczące wprowadzania danych w tym narzędziu znajdują się w pierwszej kopii tego narzędzia. </t>
  </si>
  <si>
    <t>Informacje dotyczące przypisania emisji do podinstalacji znajdują się w arkuszu podsumowania.</t>
  </si>
  <si>
    <t>Proszę przejść do arkusza „F_ProductBM”!</t>
  </si>
  <si>
    <t>Proszę przejść do części E.II.2</t>
  </si>
  <si>
    <t>Proszę przejść do kolejnych punktów poniżej</t>
  </si>
  <si>
    <t>Proszę użyć poniższego narzędzia dotyczącego zamienności energii elektrycznej.</t>
  </si>
  <si>
    <t>Proszę przejść do lit. d) poniżej.</t>
  </si>
  <si>
    <t>Jeśli nie dotyczy on Państwa instalacji, proszę przejść do kolejnych punktów.</t>
  </si>
  <si>
    <t>Daty powinny być posortowane rosnąco!</t>
  </si>
  <si>
    <t>Brak działania (A.I.4 lit. a))!</t>
  </si>
  <si>
    <t>Proszę podać dane w tej części!</t>
  </si>
  <si>
    <t>Proszę przejść do kolejnej podinstalacji!</t>
  </si>
  <si>
    <t>Proszę kliknąć tutaj, aby wrócić do arkusza „F_ProductBM”.</t>
  </si>
  <si>
    <t>Proszę kontynuować wprowadzanie danych w lit. c) i d)!</t>
  </si>
  <si>
    <t>Proszę przejść do lit. e)!</t>
  </si>
  <si>
    <t>Wartość minimalna</t>
  </si>
  <si>
    <t>Wartość faktyczna</t>
  </si>
  <si>
    <t>Wykaz działań</t>
  </si>
  <si>
    <t>Numer działania</t>
  </si>
  <si>
    <t>Działanie (załącznik I do dyrektywy w sprawie EU ETS)</t>
  </si>
  <si>
    <t>Spalanie paliw w instalacjach o całkowitej nominalnej mocy cieplnej przekraczającej 20 MW (z wyjątkiem instalacji spalania odpadów niebezpiecznych lub komunalnych)</t>
  </si>
  <si>
    <t xml:space="preserve">Rafinowanie olejów mineralnych </t>
  </si>
  <si>
    <t xml:space="preserve">Produkcja koksu </t>
  </si>
  <si>
    <t xml:space="preserve">Instalacje prażenia lub spiekania rud metali (łącznie z rudą siarczkową) </t>
  </si>
  <si>
    <t xml:space="preserve">Produkcja surówki odlewniczej lub stali (pierwotny i wtórny wytop), łącznie z odlewaniem stałym, z wydajnością powyżej 2,5 tony na godzinę </t>
  </si>
  <si>
    <t>Produkcja lub obróbka metali żelaznych (w tym stopów żelaznych), w której wykorzystywane są jednostki spalania o całkowitej nominalnej mocy cieplnej przekraczającej 20 MW Obróbka obejmuje między innymi walcownie, piece do ponownego ogrzewania, piece do wyżarzania, kuźnie, odlewnie oraz instalacje służące do powlekania i wytrawiania metali</t>
  </si>
  <si>
    <t xml:space="preserve">Produkcja pierwotnego aluminium </t>
  </si>
  <si>
    <t>Produkcja wtórnego aluminium, w której wykorzystywane są jednostki spalania o całkowitej nominalnej mocy cieplnej przekraczającej 20 MW</t>
  </si>
  <si>
    <t>Produkcja lub obróbka metali nieżelaznych, w tym produkcja stopów, rafinacja, odlewnictwo itp., w której wykorzystywane są jednostki spalania o całkowitej nominalnej mocy cieplnej (w tym paliwa wykorzystywane jako czynniki redukujące) przekraczającej 20 MW.</t>
  </si>
  <si>
    <t xml:space="preserve">Produkcja klinkieru cementowego w piecach obrotowych o zdolności produkcyjnej przekraczającej 500 ton dziennie lub innych piecach o zdolności produkcyjnej powyżej 50 ton dziennie </t>
  </si>
  <si>
    <t xml:space="preserve">Produkcja wapna lub kalcynacja dolomitu lub magnezytu w piecach obrotowych lub innych piecach o zdolności produkcyjnej przekraczającej 50 ton dziennie </t>
  </si>
  <si>
    <t xml:space="preserve">Wytwarzanie szkła, łącznie z włóknem szklanym, z wydajnością przetopu przekraczającą 20 ton dziennie </t>
  </si>
  <si>
    <t xml:space="preserve">Produkcja wyrobów ceramicznych przez wypalanie, w szczególności produkcja dachówek, cegieł, cegieł ognioodpornych, kafelków, wyrobów kamionkowych i porcelany, o wydajności powyżej 75 ton dziennie </t>
  </si>
  <si>
    <t xml:space="preserve">Wytwarzanie materiałów izolacyjnych z wełny mineralnej z wykorzystaniem szkła, surowców skalnych lub żużlu przy użyciu zdolności produkcyjnej przekraczającej 20 ton dziennie </t>
  </si>
  <si>
    <t xml:space="preserve">Osuszanie lub kalcynacja gipsu lub produkcja płyt gipsowo-kartonowych i innych wyrobów gipsowych, jeżeli wykorzystywane są instalacje spalania o łącznej nominalnej mocy cieplnej przekraczającej 20 MW </t>
  </si>
  <si>
    <t xml:space="preserve">Produkcja pulpy drzewnej lub innych materiałów włóknistych </t>
  </si>
  <si>
    <t xml:space="preserve">Produkcja papieru lub tektury o wydajności przekraczającej 20 ton dziennie </t>
  </si>
  <si>
    <t xml:space="preserve">Produkcja sadzy, w tym karbonizacja substancji organicznych takich jak oleje mineralne, smoły, pozostałości krakowania i destylacji, jeżeli wykorzystywane są jednostki spalania o całkowitej nominalnej mocy cieplnej przekraczającej 20 MW </t>
  </si>
  <si>
    <t xml:space="preserve">Produkcja kwasu azotowego </t>
  </si>
  <si>
    <t xml:space="preserve">Produkcja kwasu adypinowego </t>
  </si>
  <si>
    <t>Produkcja kwasu glioksalowego i glioksylowego</t>
  </si>
  <si>
    <t xml:space="preserve">Produkcja amoniaku </t>
  </si>
  <si>
    <t xml:space="preserve">Produkcja chemikaliów organicznych luzem poprzez krakowanie, reformowanie, częściowe lub pełne utlenianie albo poprzez podobne procesy, przy zdolności produkcyjnej przekraczającej 100 ton dziennie </t>
  </si>
  <si>
    <t xml:space="preserve">Produkcja wodoru (H2) i gazu do syntezy w drodze reformowania lub częściowego utleniania, przy zdolności produkcyjnej przekraczającej 25 ton dziennie </t>
  </si>
  <si>
    <t xml:space="preserve">Produkcja węglanu sodowego (Na2CO3) oraz wodorowęglanu sodu (NaHCO3) </t>
  </si>
  <si>
    <t>Wychwytywanie gazów cieplarnianych z instalacji objętych niniejszą dyrektywą celem ich transportu i geologicznego składowania w składowisku dopuszczonym na mocy dyrektywy 2009/31/WE</t>
  </si>
  <si>
    <t>Transport gazów cieplarnianych rurociągami w celu ich geologicznego składowania w składowisku dopuszczonym na mocy dyrektywy 2009/31/WE</t>
  </si>
  <si>
    <t>Geologiczne składowanie gazów cieplarnianych w składowisku dopuszczonym na mocy dyrektywy 2009/31/WE</t>
  </si>
  <si>
    <t>Wykaz wskaźników emisyjności</t>
  </si>
  <si>
    <t>alternatywny numer wskaźnika</t>
  </si>
  <si>
    <t>Wskaźnik emisyjności dla produktów</t>
  </si>
  <si>
    <t>Ucieczka emisji?</t>
  </si>
  <si>
    <t>Zamienność energii elektrycznej</t>
  </si>
  <si>
    <t>Komunikat dotyczący raportów specjalnych</t>
  </si>
  <si>
    <t>Pomiń wskaźnik</t>
  </si>
  <si>
    <t>Inne niż CWT?</t>
  </si>
  <si>
    <t>Masa celulozowa</t>
  </si>
  <si>
    <t>Wartość wskaźnika (2013–2020)</t>
  </si>
  <si>
    <t>Wartość wskaźnika (EUA/t, maks.)</t>
  </si>
  <si>
    <t>Wartość wskaźnika (EUA/t, min.)</t>
  </si>
  <si>
    <t>Wartość wskaźnika (EUA/t, faktyczne)</t>
  </si>
  <si>
    <t>Produkty rafineryjne</t>
  </si>
  <si>
    <t>Proszę użyć narzędzia dotyczącego CWT w arkuszu „SpecialBM” do obliczenia historycznych poziomów działalności.</t>
  </si>
  <si>
    <t>Koks</t>
  </si>
  <si>
    <t>Ruda spiekana</t>
  </si>
  <si>
    <t>Ciekły metal</t>
  </si>
  <si>
    <t>Stal węglowa z pieca łukowego</t>
  </si>
  <si>
    <t>Stal wysokostopowa z pieca łukowego</t>
  </si>
  <si>
    <t>Odlew żeliwny</t>
  </si>
  <si>
    <t>Wstępnie spieczona anoda</t>
  </si>
  <si>
    <t>[Pierwotne] aluminium</t>
  </si>
  <si>
    <t>Szary klinkier cementowy</t>
  </si>
  <si>
    <t>Biały klinkier cementowy</t>
  </si>
  <si>
    <t>Proszę użyć narzędzia dotyczącego wapna w arkuszu „SpecialBM” do obliczenia historycznych poziomów działalności.</t>
  </si>
  <si>
    <t>Proszę użyć narzędzia dotyczącego dolomitu kalcynowanego w arkuszu „SpecialBM” do obliczenia historycznych poziomów działalności.</t>
  </si>
  <si>
    <t>Dolomit spiekany</t>
  </si>
  <si>
    <t>Szkło typu float</t>
  </si>
  <si>
    <t>Butle i słoiki ze szkła bezbarwnego</t>
  </si>
  <si>
    <t>Butle i słoiki ze szkła barwnego</t>
  </si>
  <si>
    <t>Produkty z włókien szklanych ciągłych</t>
  </si>
  <si>
    <t>Cegły licówki</t>
  </si>
  <si>
    <t>Kostki brukowe</t>
  </si>
  <si>
    <t>Dachówki</t>
  </si>
  <si>
    <t>Proszek uzyskany metodą suszenia rozpryskowego</t>
  </si>
  <si>
    <t>Wełna mineralna</t>
  </si>
  <si>
    <t>Gips</t>
  </si>
  <si>
    <t>Suszony gips wtórny</t>
  </si>
  <si>
    <t>Płyta gipsowa</t>
  </si>
  <si>
    <t>Krótkowłóknista masa celulozowa siarczanowa</t>
  </si>
  <si>
    <t>Tona powietrznie suchej masy</t>
  </si>
  <si>
    <t>Proszę zwrócić uwagę, że w odniesieniu do zintegrowanej produkcji masy celulozowej i papieru zastosowanie mają szczególne zasady przydziału (art. 16 ust. 6 FAR).</t>
  </si>
  <si>
    <t>Długowłóknista masa celulozowa siarczanowa</t>
  </si>
  <si>
    <t>Masa celulozowa siarczynowa, masa termomechaniczna i masa mechaniczna</t>
  </si>
  <si>
    <t>Masa makulaturowa</t>
  </si>
  <si>
    <t>Papier gazetowy</t>
  </si>
  <si>
    <t>Wysokogatunkowy papier niepowlekany</t>
  </si>
  <si>
    <t>Wysokogatunkowy papier powlekany</t>
  </si>
  <si>
    <t>Bibułka higieniczna</t>
  </si>
  <si>
    <t>Testliner i fluting</t>
  </si>
  <si>
    <t>Tektura niepowlekana</t>
  </si>
  <si>
    <t>Tektura powlekana</t>
  </si>
  <si>
    <t>Sadza</t>
  </si>
  <si>
    <t>Kwas azotowy</t>
  </si>
  <si>
    <t>Mierzalne ciepło dostarczane do innych podinstalacji należy traktować jak ciepło ze źródeł nieobjętych systemem EU ETS.</t>
  </si>
  <si>
    <t>Kwas adypinowy</t>
  </si>
  <si>
    <t>Amoniak</t>
  </si>
  <si>
    <t>Proszę użyć narzędzia dotyczącego krakingu parowego w arkuszu „SpecialBM” do obliczenia historycznych poziomów działalności i wstępnego przydziału.</t>
  </si>
  <si>
    <t>Związki aromatyczne</t>
  </si>
  <si>
    <t>Styren</t>
  </si>
  <si>
    <t>Fenol/aceton</t>
  </si>
  <si>
    <t>Proszę użyć narzędzia dotyczącego tlenku etylenu / glikoli etylenowych w arkuszu „SpecialBM” do obliczenia historycznych poziomów działalności.</t>
  </si>
  <si>
    <t>Monomer chlorku winylu</t>
  </si>
  <si>
    <t>Proszę użyć narzędzia dotyczącego VCM w arkuszu „SpecialBM” do obliczenia wstępnego przydziału.</t>
  </si>
  <si>
    <t>PVC-S</t>
  </si>
  <si>
    <t>PVC-E</t>
  </si>
  <si>
    <t>Proszę użyć narzędzia dotyczącego wodoru w arkuszu „SpecialBM” do obliczenia historycznych poziomów działalności.</t>
  </si>
  <si>
    <t>Proszę użyć narzędzia dotyczącego gazu syntezowego w arkuszu „SpecialBM” do obliczenia historycznych poziomów działalności.</t>
  </si>
  <si>
    <t>Soda kalcynowana</t>
  </si>
  <si>
    <t>Wykaz podinstalacji, dla których wprowadzono rozwiązania rezerwowe (fall-back)</t>
  </si>
  <si>
    <t>Komunikat o błędzie</t>
  </si>
  <si>
    <t>Podinstalacja objęta wskaźnikiem emisyjności opartym na cieple, „CL”</t>
  </si>
  <si>
    <t>Podinstalacja objęta wskaźnikiem emisyjności opartym na cieple, „nie-CL”</t>
  </si>
  <si>
    <t>Podinstalacja sieci ciepłowniczej</t>
  </si>
  <si>
    <t>Podinstalacja objęta wskaźnikiem emisyjności opartym na paliwie, „CL”</t>
  </si>
  <si>
    <t>Podinstalacja objęta wskaźnikiem emisyjności opartym na paliwie, „nie-CL”</t>
  </si>
  <si>
    <t>Podinstalacja wytwarzająca emisje procesowe, „CL”</t>
  </si>
  <si>
    <t>Podinstalacja wytwarzająca emisje procesowe, „nie-CL”</t>
  </si>
  <si>
    <t>Okres</t>
  </si>
  <si>
    <t>https://eur-lex.europa.eu/eli/dir/2003/87/2018-04-08?locale=pl</t>
  </si>
  <si>
    <t>https://eur-lex.europa.eu/eli/reg_del/2019/331/oj?locale=pl</t>
  </si>
  <si>
    <t>KOBiZE
ul. Chmielna 132/134
00-805 Warszawa
ksw@kobize.pl</t>
  </si>
  <si>
    <t>Nr KPRU. Jest to identyfikator stosowany przez właściwy organ do celów korespondencji z instalacją, np. w przypadku przydziału bezpłatnych uprawnień we wcześniejszych okresach.</t>
  </si>
  <si>
    <t>Ten numer identyfikacyjny w rejestrze (niepowtarzalny identyfikator) zostanie automatycznie wyświetlony w lit. f) poniżej wraz z kodem państwa członkowskiego wybranego w lit. b). Np. jeżeli instalacja mająca w rejestrze numer identyfikacyjny 123456 znajduje się w Polsce, powstanie nr „PL000000000123456”. Jeżeli Państwa instalacja otrzymała przydział bezpłatnych uprawnień w poprzednim etapie EU ETS, proszę dopilnować, aby niepowtarzalny identyfikator był identyczny z numerem identyfikacyjnym w poprzednim etapie.</t>
  </si>
  <si>
    <t>www.kobize.pl</t>
  </si>
  <si>
    <t>ksw@kobize.pl</t>
  </si>
  <si>
    <t>Status dotyczący narażenia na znaczne ryzyko ucieczki emisji („CL” – ang. „carbon leakage”) ustala się na podstawie decyzji delegowanej Komisji (UE)…/… z dnia 15 lutego 2019 r. uzupełniającej dyrektywę 2003/87/WE Parlamentu Europejskiego i Rady w zakresie wskazania sektorów i podsektorów uznanych za narażone na ryzyko ucieczki emisji w okresie 2021–2030. http://ec.europa.eu/transparency/regdoc/rep/3/2019/PL/C-2019-930-F1-PL-ANNEX-1-PART-1.PDF</t>
  </si>
  <si>
    <t>Formatowanie, dostosowanie</t>
  </si>
  <si>
    <t>PL-8888-05</t>
  </si>
  <si>
    <t>Instalacja ETS</t>
  </si>
  <si>
    <t>Producent produktu CL</t>
  </si>
  <si>
    <t>Producent produktu non-CL</t>
  </si>
  <si>
    <t>9998</t>
  </si>
  <si>
    <t>abc</t>
  </si>
  <si>
    <t>węgiel kamienny</t>
  </si>
  <si>
    <t>biomasa</t>
  </si>
  <si>
    <t>Instalacja ETS: Ciepło Wyprowadzanie</t>
  </si>
  <si>
    <t>Producent produktu CL: Ciepło Wyprowadzanie</t>
  </si>
  <si>
    <t>Sieć ciepłownicza: Ciepło Wyprowadzanie</t>
  </si>
  <si>
    <t>Producent produktu non-CL: Ciepło Wyprowadzanie</t>
  </si>
  <si>
    <t>W zakładce „A_VersionMMP”  wersja ze statusem „ocenione przez weryfikatora”.</t>
  </si>
  <si>
    <t>nazwa/numer planu metodyki monitorowania stanowiącego podstawę sporządzenia niniejszego raportu i sprawozdania z weryfikacji</t>
  </si>
  <si>
    <t>nazwa/numer sprawozdania z weryfikacji wydanego w odniesieniu do niniejszego raportu</t>
  </si>
  <si>
    <t>Ciepłownia</t>
  </si>
  <si>
    <t>Przykład  bilans mierzalnego ciepła</t>
  </si>
  <si>
    <t>3530</t>
  </si>
  <si>
    <t>Import z instalacji non-ETS</t>
  </si>
  <si>
    <t>abg@abc.abc</t>
  </si>
  <si>
    <t>123456789</t>
  </si>
  <si>
    <t>Import z instalacji non-ETS: Ciepło Wprowadzanie</t>
  </si>
  <si>
    <t>!</t>
  </si>
  <si>
    <t>Produkt objęty CL 1 np. Przetwórstwo mleka i wyrób serów/Mleko pełne w proszku     (http://ec.europa.eu/transparency/regdoc/rep/3/2019/PL/C-2019-930-F1-PL-ANNEX-1-PART-1.PDF)</t>
  </si>
  <si>
    <t>105122</t>
  </si>
  <si>
    <t>Produkt objęty CL 2 np. Przetwórstwo mleka i wyrób serów/Kazeina</t>
  </si>
  <si>
    <t>105153</t>
  </si>
  <si>
    <t>Na potrzeby przykładu założono, że ciepło jest zużywane przez 3 podinstalacje. Dlatego też paliwa uwzględniono w sekcji f) poniżej.</t>
  </si>
  <si>
    <t>Gdyby ciepło było wykorzystywane przez tylko jedną podinstalację, dane o emisjach bezpośrednich należałoby podać w tym miejscu</t>
  </si>
  <si>
    <t>Wicej szczegółów w sekcji G.I.1 Dokumentu z wytycznymi nr 3 - str 60</t>
  </si>
  <si>
    <t>Współczynnik emisji na produkcję ciepła</t>
  </si>
  <si>
    <t>Współczynnik emisji na wsad z paliw</t>
  </si>
  <si>
    <t xml:space="preserve">Produkt nie objęty CL 1 np. Przetwórstwo mleka i wyrób serów/Masło i pozostałe tłuszcze do smarowania 
 </t>
  </si>
  <si>
    <t>105130</t>
  </si>
  <si>
    <t xml:space="preserve">Produkt nie objęty CL 2 np. Przetwórstwo mleka i wyrób serów/Sery i twarogi 
 </t>
  </si>
  <si>
    <t>105140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</si>
</sst>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0_ ;[Red]\-#,##0\ "/>
    <numFmt numFmtId="165" formatCode="#,##0.00_ ;[Red]\-#,##0.00\ "/>
    <numFmt numFmtId="166" formatCode="0.0000"/>
    <numFmt numFmtId="167" formatCode="0.000"/>
    <numFmt numFmtId="168" formatCode="#,##0.000_ ;[Red]\-#,##0.000\ "/>
    <numFmt numFmtId="169" formatCode="#,##0.0000_ ;[Red]\-#,##0.0000\ "/>
    <numFmt numFmtId="170" formatCode="#,##0.000"/>
    <numFmt numFmtId="171" formatCode="#,##0.0"/>
    <numFmt numFmtId="172" formatCode="#,##0_ ;\-#,##0\ "/>
  </numFmts>
  <fonts count="97" x14ac:knownFonts="1">
    <font>
      <sz val="10"/>
      <name val="Arial"/>
    </font>
    <font>
      <sz val="11"/>
      <color indexed="8"/>
      <name val="Calibri"/>
      <family val="2"/>
    </font>
    <font>
      <sz val="10"/>
      <name val="Arial"/>
      <family val="2"/>
    </font>
    <font>
      <b/>
      <sz val="12"/>
      <color indexed="9"/>
      <name val="Arial"/>
      <family val="2"/>
    </font>
    <font>
      <b/>
      <sz val="10"/>
      <name val="Arial"/>
      <family val="2"/>
    </font>
    <font>
      <sz val="8"/>
      <name val="Arial"/>
      <family val="2"/>
    </font>
    <font>
      <u/>
      <sz val="10"/>
      <color indexed="12"/>
      <name val="Arial"/>
      <family val="2"/>
    </font>
    <font>
      <sz val="8"/>
      <name val="Arial"/>
      <family val="2"/>
    </font>
    <font>
      <b/>
      <sz val="10"/>
      <name val="Arial"/>
      <family val="2"/>
    </font>
    <font>
      <b/>
      <sz val="14"/>
      <name val="Arial"/>
      <family val="2"/>
    </font>
    <font>
      <i/>
      <sz val="8"/>
      <color indexed="6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12"/>
      <name val="Arial"/>
      <family val="2"/>
    </font>
    <font>
      <sz val="10"/>
      <name val="Arial"/>
      <family val="2"/>
    </font>
    <font>
      <b/>
      <u/>
      <sz val="20"/>
      <color indexed="62"/>
      <name val="Arial"/>
      <family val="2"/>
    </font>
    <font>
      <b/>
      <u/>
      <sz val="10"/>
      <color indexed="62"/>
      <name val="Arial"/>
      <family val="2"/>
    </font>
    <font>
      <i/>
      <sz val="8"/>
      <color indexed="14"/>
      <name val="Arial"/>
      <family val="2"/>
    </font>
    <font>
      <b/>
      <sz val="12"/>
      <name val="Arial"/>
      <family val="2"/>
    </font>
    <font>
      <u/>
      <sz val="10"/>
      <name val="Arial"/>
      <family val="2"/>
    </font>
    <font>
      <sz val="8"/>
      <name val="Arial"/>
      <family val="2"/>
    </font>
    <font>
      <b/>
      <sz val="11"/>
      <color indexed="18"/>
      <name val="Arial"/>
      <family val="2"/>
    </font>
    <font>
      <sz val="11"/>
      <name val="Arial"/>
      <family val="2"/>
    </font>
    <font>
      <sz val="10"/>
      <name val="Arial"/>
      <family val="2"/>
    </font>
    <font>
      <b/>
      <sz val="11"/>
      <name val="Arial"/>
      <family val="2"/>
    </font>
    <font>
      <b/>
      <u/>
      <sz val="10"/>
      <color indexed="12"/>
      <name val="Arial"/>
      <family val="2"/>
    </font>
    <font>
      <sz val="10"/>
      <color indexed="10"/>
      <name val="Arial"/>
      <family val="2"/>
    </font>
    <font>
      <b/>
      <i/>
      <sz val="8"/>
      <color indexed="62"/>
      <name val="Arial"/>
      <family val="2"/>
    </font>
    <font>
      <b/>
      <sz val="9"/>
      <color indexed="81"/>
      <name val="Tahoma"/>
      <family val="2"/>
    </font>
    <font>
      <b/>
      <sz val="10"/>
      <color indexed="13"/>
      <name val="Arial"/>
      <family val="2"/>
    </font>
    <font>
      <sz val="9"/>
      <name val="Tahoma"/>
      <family val="2"/>
    </font>
    <font>
      <sz val="9"/>
      <color indexed="12"/>
      <name val="Tahoma"/>
      <family val="2"/>
    </font>
    <font>
      <sz val="10"/>
      <color indexed="12"/>
      <name val="Arial"/>
      <family val="2"/>
    </font>
    <font>
      <b/>
      <sz val="10"/>
      <color indexed="10"/>
      <name val="Arial"/>
      <family val="2"/>
    </font>
    <font>
      <b/>
      <i/>
      <sz val="10"/>
      <name val="Arial"/>
      <family val="2"/>
    </font>
    <font>
      <sz val="9"/>
      <color indexed="81"/>
      <name val="Tahoma"/>
      <family val="2"/>
    </font>
    <font>
      <i/>
      <sz val="10"/>
      <color indexed="62"/>
      <name val="Arial"/>
      <family val="2"/>
    </font>
    <font>
      <b/>
      <i/>
      <sz val="10"/>
      <color indexed="62"/>
      <name val="Arial"/>
      <family val="2"/>
    </font>
    <font>
      <sz val="10"/>
      <color indexed="18"/>
      <name val="Arial"/>
      <family val="2"/>
    </font>
    <font>
      <sz val="10"/>
      <color indexed="10"/>
      <name val="Arial"/>
      <family val="2"/>
    </font>
    <font>
      <b/>
      <sz val="10"/>
      <name val="Arial"/>
      <family val="2"/>
    </font>
    <font>
      <sz val="10"/>
      <color indexed="14"/>
      <name val="Arial"/>
      <family val="2"/>
    </font>
    <font>
      <b/>
      <i/>
      <u/>
      <sz val="10"/>
      <color indexed="62"/>
      <name val="Arial"/>
      <family val="2"/>
    </font>
    <font>
      <i/>
      <sz val="10"/>
      <name val="Arial"/>
      <family val="2"/>
    </font>
    <font>
      <sz val="9"/>
      <name val="Times New Roman"/>
      <family val="1"/>
    </font>
    <font>
      <b/>
      <sz val="10"/>
      <color indexed="18"/>
      <name val="Arial"/>
      <family val="2"/>
    </font>
    <font>
      <sz val="10"/>
      <color indexed="62"/>
      <name val="Arial"/>
      <family val="2"/>
    </font>
    <font>
      <u/>
      <sz val="10"/>
      <color indexed="62"/>
      <name val="Arial"/>
      <family val="2"/>
    </font>
    <font>
      <i/>
      <u/>
      <sz val="8"/>
      <color indexed="12"/>
      <name val="Arial"/>
      <family val="2"/>
    </font>
    <font>
      <i/>
      <u/>
      <sz val="8"/>
      <color indexed="62"/>
      <name val="Arial"/>
      <family val="2"/>
    </font>
    <font>
      <sz val="10"/>
      <color indexed="62"/>
      <name val="Arial"/>
      <family val="2"/>
    </font>
    <font>
      <b/>
      <i/>
      <u/>
      <sz val="10"/>
      <color indexed="12"/>
      <name val="Arial"/>
      <family val="2"/>
    </font>
    <font>
      <b/>
      <sz val="10"/>
      <color indexed="12"/>
      <name val="Arial"/>
      <family val="2"/>
    </font>
    <font>
      <u/>
      <sz val="10"/>
      <color indexed="12"/>
      <name val="Arial"/>
      <family val="2"/>
    </font>
    <font>
      <sz val="10"/>
      <name val="Arial"/>
      <family val="2"/>
    </font>
    <font>
      <b/>
      <sz val="20"/>
      <name val="Arial"/>
      <family val="2"/>
    </font>
    <font>
      <b/>
      <sz val="10"/>
      <color indexed="9"/>
      <name val="Arial"/>
      <family val="2"/>
    </font>
    <font>
      <sz val="10"/>
      <name val="Arial"/>
      <family val="2"/>
    </font>
    <font>
      <sz val="10"/>
      <name val="Arial"/>
      <family val="2"/>
    </font>
    <font>
      <u/>
      <sz val="8"/>
      <color indexed="12"/>
      <name val="Arial"/>
      <family val="2"/>
    </font>
    <font>
      <sz val="10"/>
      <name val="Arial"/>
    </font>
    <font>
      <sz val="10"/>
      <color rgb="FFFF0000"/>
      <name val="Arial"/>
      <family val="2"/>
    </font>
    <font>
      <b/>
      <sz val="10"/>
      <color rgb="FFFF0000"/>
      <name val="Arial"/>
      <family val="2"/>
    </font>
    <font>
      <sz val="14"/>
      <color rgb="FFFF0000"/>
      <name val="Arial"/>
      <family val="2"/>
    </font>
    <font>
      <b/>
      <i/>
      <sz val="10"/>
      <color theme="0"/>
      <name val="Arial"/>
      <family val="2"/>
    </font>
    <font>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name val="Arial"/>
      <family val="2"/>
      <charset val="238"/>
    </font>
  </fonts>
  <fills count="6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12"/>
        <bgColor indexed="64"/>
      </patternFill>
    </fill>
    <fill>
      <patternFill patternType="solid">
        <fgColor indexed="42"/>
        <bgColor indexed="64"/>
      </patternFill>
    </fill>
    <fill>
      <patternFill patternType="solid">
        <fgColor indexed="22"/>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44"/>
        <bgColor indexed="64"/>
      </patternFill>
    </fill>
    <fill>
      <patternFill patternType="solid">
        <fgColor indexed="57"/>
        <bgColor indexed="64"/>
      </patternFill>
    </fill>
    <fill>
      <patternFill patternType="solid">
        <fgColor indexed="11"/>
        <bgColor indexed="64"/>
      </patternFill>
    </fill>
    <fill>
      <patternFill patternType="solid">
        <fgColor indexed="55"/>
        <bgColor indexed="64"/>
      </patternFill>
    </fill>
    <fill>
      <patternFill patternType="solid">
        <fgColor indexed="27"/>
        <bgColor indexed="64"/>
      </patternFill>
    </fill>
    <fill>
      <patternFill patternType="lightUp">
        <bgColor indexed="9"/>
      </patternFill>
    </fill>
    <fill>
      <patternFill patternType="solid">
        <fgColor rgb="FF92D050"/>
        <bgColor indexed="64"/>
      </patternFill>
    </fill>
    <fill>
      <patternFill patternType="solid">
        <fgColor rgb="FFCCFFFF"/>
        <bgColor indexed="64"/>
      </patternFill>
    </fill>
    <fill>
      <patternFill patternType="solid">
        <fgColor rgb="FFCCFFCC"/>
        <bgColor indexed="64"/>
      </patternFill>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rgb="FFFF0000"/>
        <bgColor indexed="64"/>
      </patternFill>
    </fill>
    <fill>
      <patternFill patternType="solid">
        <fgColor rgb="FFFFC000"/>
        <bgColor indexed="64"/>
      </patternFill>
    </fill>
    <fill>
      <patternFill patternType="solid">
        <fgColor rgb="FFFFFFCC"/>
        <bgColor indexed="64"/>
      </patternFill>
    </fill>
    <fill>
      <patternFill patternType="solid">
        <fgColor theme="9" tint="0.3999755851924192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7" tint="0.59999389629810485"/>
        <bgColor indexed="64"/>
      </patternFill>
    </fill>
    <fill>
      <patternFill patternType="solid">
        <fgColor theme="3"/>
        <bgColor indexed="64"/>
      </patternFill>
    </fill>
    <fill>
      <patternFill patternType="solid">
        <fgColor rgb="FFFDE9D9"/>
        <bgColor indexed="64"/>
      </patternFill>
    </fill>
    <fill>
      <patternFill patternType="solid">
        <fgColor theme="9"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s>
  <borders count="154">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top/>
      <bottom style="hair">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top style="thin">
        <color indexed="64"/>
      </top>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hair">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medium">
        <color indexed="12"/>
      </top>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hair">
        <color indexed="64"/>
      </top>
      <bottom/>
      <diagonal/>
    </border>
    <border>
      <left style="medium">
        <color indexed="64"/>
      </left>
      <right/>
      <top style="hair">
        <color indexed="64"/>
      </top>
      <bottom style="hair">
        <color indexed="64"/>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hair">
        <color indexed="64"/>
      </left>
      <right style="hair">
        <color indexed="64"/>
      </right>
      <top style="medium">
        <color indexed="64"/>
      </top>
      <bottom/>
      <diagonal/>
    </border>
    <border>
      <left style="hair">
        <color indexed="64"/>
      </left>
      <right style="hair">
        <color indexed="64"/>
      </right>
      <top/>
      <bottom/>
      <diagonal/>
    </border>
    <border>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hair">
        <color indexed="64"/>
      </top>
      <bottom style="thin">
        <color indexed="64"/>
      </bottom>
      <diagonal/>
    </border>
    <border>
      <left style="medium">
        <color indexed="64"/>
      </left>
      <right style="thin">
        <color indexed="64"/>
      </right>
      <top style="thin">
        <color indexed="64"/>
      </top>
      <bottom/>
      <diagonal/>
    </border>
    <border>
      <left style="thin">
        <color indexed="64"/>
      </left>
      <right/>
      <top/>
      <bottom style="hair">
        <color indexed="64"/>
      </bottom>
      <diagonal/>
    </border>
    <border>
      <left style="medium">
        <color indexed="64"/>
      </left>
      <right style="thin">
        <color indexed="64"/>
      </right>
      <top/>
      <bottom style="hair">
        <color indexed="64"/>
      </bottom>
      <diagonal/>
    </border>
    <border>
      <left style="thin">
        <color indexed="64"/>
      </left>
      <right/>
      <top style="hair">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hair">
        <color indexed="64"/>
      </right>
      <top style="medium">
        <color indexed="64"/>
      </top>
      <bottom style="hair">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hair">
        <color indexed="64"/>
      </left>
      <right style="hair">
        <color indexed="64"/>
      </right>
      <top/>
      <bottom style="hair">
        <color indexed="64"/>
      </bottom>
      <diagonal/>
    </border>
    <border>
      <left/>
      <right/>
      <top style="hair">
        <color indexed="64"/>
      </top>
      <bottom/>
      <diagonal/>
    </border>
    <border>
      <left/>
      <right style="hair">
        <color indexed="64"/>
      </right>
      <top/>
      <bottom style="hair">
        <color indexed="64"/>
      </bottom>
      <diagonal/>
    </border>
    <border>
      <left style="hair">
        <color indexed="64"/>
      </left>
      <right/>
      <top style="hair">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24">
    <xf numFmtId="0" fontId="0" fillId="0" borderId="0"/>
    <xf numFmtId="0" fontId="11" fillId="2" borderId="0" applyNumberFormat="0" applyBorder="0" applyAlignment="0" applyProtection="0"/>
    <xf numFmtId="0" fontId="1" fillId="2" borderId="0" applyNumberFormat="0" applyBorder="0" applyAlignment="0" applyProtection="0"/>
    <xf numFmtId="0" fontId="11" fillId="3" borderId="0" applyNumberFormat="0" applyBorder="0" applyAlignment="0" applyProtection="0"/>
    <xf numFmtId="0" fontId="1" fillId="3" borderId="0" applyNumberFormat="0" applyBorder="0" applyAlignment="0" applyProtection="0"/>
    <xf numFmtId="0" fontId="11" fillId="4" borderId="0" applyNumberFormat="0" applyBorder="0" applyAlignment="0" applyProtection="0"/>
    <xf numFmtId="0" fontId="1" fillId="4" borderId="0" applyNumberFormat="0" applyBorder="0" applyAlignment="0" applyProtection="0"/>
    <xf numFmtId="0" fontId="11" fillId="5" borderId="0" applyNumberFormat="0" applyBorder="0" applyAlignment="0" applyProtection="0"/>
    <xf numFmtId="0" fontId="1" fillId="5" borderId="0" applyNumberFormat="0" applyBorder="0" applyAlignment="0" applyProtection="0"/>
    <xf numFmtId="0" fontId="11" fillId="6" borderId="0" applyNumberFormat="0" applyBorder="0" applyAlignment="0" applyProtection="0"/>
    <xf numFmtId="0" fontId="1" fillId="6" borderId="0" applyNumberFormat="0" applyBorder="0" applyAlignment="0" applyProtection="0"/>
    <xf numFmtId="0" fontId="11" fillId="7" borderId="0" applyNumberFormat="0" applyBorder="0" applyAlignment="0" applyProtection="0"/>
    <xf numFmtId="0" fontId="1" fillId="7"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1" fillId="8" borderId="0" applyNumberFormat="0" applyBorder="0" applyAlignment="0" applyProtection="0"/>
    <xf numFmtId="0" fontId="1" fillId="8" borderId="0" applyNumberFormat="0" applyBorder="0" applyAlignment="0" applyProtection="0"/>
    <xf numFmtId="0" fontId="11" fillId="9" borderId="0" applyNumberFormat="0" applyBorder="0" applyAlignment="0" applyProtection="0"/>
    <xf numFmtId="0" fontId="1" fillId="9" borderId="0" applyNumberFormat="0" applyBorder="0" applyAlignment="0" applyProtection="0"/>
    <xf numFmtId="0" fontId="11" fillId="10" borderId="0" applyNumberFormat="0" applyBorder="0" applyAlignment="0" applyProtection="0"/>
    <xf numFmtId="0" fontId="1" fillId="10" borderId="0" applyNumberFormat="0" applyBorder="0" applyAlignment="0" applyProtection="0"/>
    <xf numFmtId="0" fontId="11" fillId="5" borderId="0" applyNumberFormat="0" applyBorder="0" applyAlignment="0" applyProtection="0"/>
    <xf numFmtId="0" fontId="1" fillId="5" borderId="0" applyNumberFormat="0" applyBorder="0" applyAlignment="0" applyProtection="0"/>
    <xf numFmtId="0" fontId="11" fillId="8" borderId="0" applyNumberFormat="0" applyBorder="0" applyAlignment="0" applyProtection="0"/>
    <xf numFmtId="0" fontId="1" fillId="8" borderId="0" applyNumberFormat="0" applyBorder="0" applyAlignment="0" applyProtection="0"/>
    <xf numFmtId="0" fontId="11" fillId="11"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 fillId="0" borderId="0" applyNumberFormat="0" applyFont="0" applyFill="0" applyBorder="0" applyProtection="0">
      <alignment horizontal="left" vertical="center" indent="5"/>
    </xf>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24" fillId="20" borderId="1" applyNumberFormat="0" applyAlignment="0" applyProtection="0"/>
    <xf numFmtId="0" fontId="13" fillId="3" borderId="0" applyNumberFormat="0" applyBorder="0" applyAlignment="0" applyProtection="0"/>
    <xf numFmtId="0" fontId="14" fillId="20" borderId="2" applyNumberFormat="0" applyAlignment="0" applyProtection="0"/>
    <xf numFmtId="0" fontId="14" fillId="20" borderId="2" applyNumberFormat="0" applyAlignment="0" applyProtection="0"/>
    <xf numFmtId="0" fontId="15" fillId="21" borderId="3" applyNumberFormat="0" applyAlignment="0" applyProtection="0"/>
    <xf numFmtId="0" fontId="21" fillId="7" borderId="2" applyNumberFormat="0" applyAlignment="0" applyProtection="0"/>
    <xf numFmtId="0" fontId="26" fillId="0" borderId="4" applyNumberFormat="0" applyFill="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7" fillId="4" borderId="0" applyNumberFormat="0" applyBorder="0" applyAlignment="0" applyProtection="0"/>
    <xf numFmtId="0" fontId="18" fillId="0" borderId="5"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0" applyNumberFormat="0" applyFill="0" applyBorder="0" applyAlignment="0" applyProtection="0"/>
    <xf numFmtId="0" fontId="6" fillId="0" borderId="0" applyNumberFormat="0" applyFill="0" applyBorder="0" applyAlignment="0" applyProtection="0">
      <alignment vertical="top"/>
      <protection locked="0"/>
    </xf>
    <xf numFmtId="0" fontId="21" fillId="7" borderId="2" applyNumberFormat="0" applyAlignment="0" applyProtection="0"/>
    <xf numFmtId="0" fontId="22" fillId="0" borderId="8" applyNumberFormat="0" applyFill="0" applyAlignment="0" applyProtection="0"/>
    <xf numFmtId="0" fontId="23" fillId="22" borderId="0" applyNumberFormat="0" applyBorder="0" applyAlignment="0" applyProtection="0"/>
    <xf numFmtId="0" fontId="2" fillId="23" borderId="9" applyNumberFormat="0" applyFont="0" applyAlignment="0" applyProtection="0"/>
    <xf numFmtId="0" fontId="1" fillId="23" borderId="9" applyNumberFormat="0" applyFont="0" applyAlignment="0" applyProtection="0"/>
    <xf numFmtId="0" fontId="24" fillId="20" borderId="1" applyNumberFormat="0" applyAlignment="0" applyProtection="0"/>
    <xf numFmtId="9" fontId="2" fillId="0" borderId="0" applyFont="0" applyFill="0" applyBorder="0" applyAlignment="0" applyProtection="0"/>
    <xf numFmtId="0" fontId="13" fillId="3" borderId="0" applyNumberFormat="0" applyBorder="0" applyAlignment="0" applyProtection="0"/>
    <xf numFmtId="0" fontId="2" fillId="0" borderId="0"/>
    <xf numFmtId="0" fontId="2" fillId="0" borderId="0"/>
    <xf numFmtId="0" fontId="1" fillId="0" borderId="0"/>
    <xf numFmtId="0" fontId="25" fillId="0" borderId="0" applyNumberFormat="0" applyFill="0" applyBorder="0" applyAlignment="0" applyProtection="0"/>
    <xf numFmtId="0" fontId="26" fillId="0" borderId="4" applyNumberFormat="0" applyFill="0" applyAlignment="0" applyProtection="0"/>
    <xf numFmtId="0" fontId="25" fillId="0" borderId="0" applyNumberFormat="0" applyFill="0" applyBorder="0" applyAlignment="0" applyProtection="0"/>
    <xf numFmtId="0" fontId="18" fillId="0" borderId="5"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0" applyNumberFormat="0" applyFill="0" applyBorder="0" applyAlignment="0" applyProtection="0"/>
    <xf numFmtId="0" fontId="22" fillId="0" borderId="8"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5" fillId="21" borderId="3" applyNumberFormat="0" applyAlignment="0" applyProtection="0"/>
    <xf numFmtId="4" fontId="59" fillId="0" borderId="0"/>
    <xf numFmtId="0" fontId="80" fillId="0" borderId="0" applyNumberFormat="0" applyFill="0" applyBorder="0" applyAlignment="0" applyProtection="0"/>
    <xf numFmtId="0" fontId="81" fillId="0" borderId="145" applyNumberFormat="0" applyFill="0" applyAlignment="0" applyProtection="0"/>
    <xf numFmtId="0" fontId="82" fillId="0" borderId="146" applyNumberFormat="0" applyFill="0" applyAlignment="0" applyProtection="0"/>
    <xf numFmtId="0" fontId="83" fillId="0" borderId="147" applyNumberFormat="0" applyFill="0" applyAlignment="0" applyProtection="0"/>
    <xf numFmtId="0" fontId="83" fillId="0" borderId="0" applyNumberFormat="0" applyFill="0" applyBorder="0" applyAlignment="0" applyProtection="0"/>
    <xf numFmtId="0" fontId="84" fillId="56" borderId="0" applyNumberFormat="0" applyBorder="0" applyAlignment="0" applyProtection="0"/>
    <xf numFmtId="0" fontId="85" fillId="57" borderId="0" applyNumberFormat="0" applyBorder="0" applyAlignment="0" applyProtection="0"/>
    <xf numFmtId="0" fontId="86" fillId="58" borderId="0" applyNumberFormat="0" applyBorder="0" applyAlignment="0" applyProtection="0"/>
    <xf numFmtId="0" fontId="87" fillId="59" borderId="148" applyNumberFormat="0" applyAlignment="0" applyProtection="0"/>
    <xf numFmtId="0" fontId="88" fillId="60" borderId="149" applyNumberFormat="0" applyAlignment="0" applyProtection="0"/>
    <xf numFmtId="0" fontId="89" fillId="60" borderId="148" applyNumberFormat="0" applyAlignment="0" applyProtection="0"/>
    <xf numFmtId="0" fontId="90" fillId="0" borderId="150" applyNumberFormat="0" applyFill="0" applyAlignment="0" applyProtection="0"/>
    <xf numFmtId="0" fontId="91" fillId="61" borderId="151" applyNumberFormat="0" applyAlignment="0" applyProtection="0"/>
    <xf numFmtId="0" fontId="92" fillId="0" borderId="0" applyNumberFormat="0" applyFill="0" applyBorder="0" applyAlignment="0" applyProtection="0"/>
    <xf numFmtId="0" fontId="75" fillId="62" borderId="152" applyNumberFormat="0" applyFont="0" applyAlignment="0" applyProtection="0"/>
    <xf numFmtId="0" fontId="93" fillId="0" borderId="0" applyNumberFormat="0" applyFill="0" applyBorder="0" applyAlignment="0" applyProtection="0"/>
    <xf numFmtId="0" fontId="94" fillId="0" borderId="153" applyNumberFormat="0" applyFill="0" applyAlignment="0" applyProtection="0"/>
    <xf numFmtId="0" fontId="95" fillId="63" borderId="0" applyNumberFormat="0" applyBorder="0" applyAlignment="0" applyProtection="0"/>
    <xf numFmtId="0" fontId="95" fillId="64" borderId="0" applyNumberFormat="0" applyBorder="0" applyAlignment="0" applyProtection="0"/>
    <xf numFmtId="0" fontId="95" fillId="65" borderId="0" applyNumberFormat="0" applyBorder="0" applyAlignment="0" applyProtection="0"/>
    <xf numFmtId="0" fontId="95" fillId="66" borderId="0" applyNumberFormat="0" applyBorder="0" applyAlignment="0" applyProtection="0"/>
    <xf numFmtId="0" fontId="95" fillId="67" borderId="0" applyNumberFormat="0" applyBorder="0" applyAlignment="0" applyProtection="0"/>
    <xf numFmtId="0" fontId="95" fillId="68" borderId="0" applyNumberFormat="0" applyBorder="0" applyAlignment="0" applyProtection="0"/>
  </cellStyleXfs>
  <cellXfs count="2032">
    <xf numFmtId="0" fontId="0" fillId="0" borderId="0" xfId="0"/>
    <xf numFmtId="0" fontId="38" fillId="0" borderId="0" xfId="0" applyNumberFormat="1" applyFont="1" applyFill="1" applyBorder="1" applyAlignment="1" applyProtection="1">
      <alignment vertical="top"/>
    </xf>
    <xf numFmtId="0" fontId="38" fillId="24" borderId="0" xfId="0" applyNumberFormat="1" applyFont="1" applyFill="1" applyBorder="1" applyAlignment="1" applyProtection="1">
      <alignment vertical="top"/>
    </xf>
    <xf numFmtId="0" fontId="0" fillId="25" borderId="0" xfId="0" applyFill="1" applyAlignment="1" applyProtection="1"/>
    <xf numFmtId="0" fontId="5" fillId="25" borderId="0" xfId="0" applyFont="1" applyFill="1" applyBorder="1" applyAlignment="1" applyProtection="1"/>
    <xf numFmtId="0" fontId="0" fillId="25" borderId="0" xfId="0" applyFill="1" applyBorder="1" applyAlignment="1" applyProtection="1"/>
    <xf numFmtId="0" fontId="0" fillId="25" borderId="0" xfId="0" applyFill="1" applyBorder="1" applyAlignment="1" applyProtection="1">
      <alignment horizontal="center"/>
    </xf>
    <xf numFmtId="0" fontId="2" fillId="25" borderId="0" xfId="0" applyFont="1" applyFill="1" applyAlignment="1" applyProtection="1"/>
    <xf numFmtId="0" fontId="2" fillId="24" borderId="0" xfId="0" applyFont="1" applyFill="1" applyAlignment="1" applyProtection="1"/>
    <xf numFmtId="0" fontId="9" fillId="25" borderId="0" xfId="0" applyFont="1" applyFill="1" applyAlignment="1" applyProtection="1">
      <alignment vertical="top"/>
    </xf>
    <xf numFmtId="0" fontId="2" fillId="24" borderId="10" xfId="0" applyFont="1" applyFill="1" applyBorder="1" applyAlignment="1" applyProtection="1">
      <alignment horizontal="center" vertical="top"/>
    </xf>
    <xf numFmtId="0" fontId="2" fillId="24" borderId="11" xfId="0" applyFont="1" applyFill="1" applyBorder="1" applyAlignment="1" applyProtection="1">
      <alignment horizontal="center"/>
    </xf>
    <xf numFmtId="0" fontId="3" fillId="26" borderId="0" xfId="0" applyFont="1" applyFill="1" applyBorder="1" applyAlignment="1" applyProtection="1">
      <alignment horizontal="left"/>
    </xf>
    <xf numFmtId="0" fontId="3" fillId="26" borderId="0" xfId="0" applyFont="1" applyFill="1" applyBorder="1" applyAlignment="1" applyProtection="1"/>
    <xf numFmtId="0" fontId="4" fillId="25" borderId="0" xfId="0" applyFont="1" applyFill="1" applyAlignment="1" applyProtection="1">
      <alignment horizontal="center" vertical="top"/>
    </xf>
    <xf numFmtId="0" fontId="4" fillId="25" borderId="0" xfId="0" applyFont="1" applyFill="1" applyAlignment="1" applyProtection="1">
      <alignment horizontal="left" vertical="top"/>
    </xf>
    <xf numFmtId="0" fontId="2" fillId="25" borderId="0" xfId="0" applyFont="1" applyFill="1" applyAlignment="1" applyProtection="1">
      <alignment vertical="top"/>
    </xf>
    <xf numFmtId="0" fontId="10" fillId="25" borderId="0" xfId="0" applyFont="1" applyFill="1" applyAlignment="1" applyProtection="1">
      <alignment horizontal="left" vertical="top"/>
    </xf>
    <xf numFmtId="0" fontId="36" fillId="25" borderId="0" xfId="0" applyFont="1" applyFill="1" applyAlignment="1" applyProtection="1">
      <alignment horizontal="center"/>
    </xf>
    <xf numFmtId="0" fontId="36" fillId="25" borderId="0" xfId="0" applyFont="1" applyFill="1" applyAlignment="1" applyProtection="1"/>
    <xf numFmtId="0" fontId="38" fillId="25" borderId="0" xfId="0" applyNumberFormat="1" applyFont="1" applyFill="1" applyBorder="1" applyAlignment="1" applyProtection="1">
      <alignment vertical="top"/>
    </xf>
    <xf numFmtId="0" fontId="0" fillId="25" borderId="0" xfId="0" applyFill="1" applyAlignment="1" applyProtection="1">
      <alignment horizontal="left" vertical="top"/>
    </xf>
    <xf numFmtId="0" fontId="38" fillId="25" borderId="12" xfId="0" applyNumberFormat="1" applyFont="1" applyFill="1" applyBorder="1" applyAlignment="1" applyProtection="1">
      <alignment vertical="top"/>
    </xf>
    <xf numFmtId="0" fontId="38" fillId="0" borderId="13" xfId="0" applyNumberFormat="1" applyFont="1" applyFill="1" applyBorder="1" applyAlignment="1" applyProtection="1">
      <alignment vertical="top"/>
    </xf>
    <xf numFmtId="0" fontId="38" fillId="25" borderId="13" xfId="0" applyNumberFormat="1" applyFont="1" applyFill="1" applyBorder="1" applyAlignment="1" applyProtection="1">
      <alignment vertical="top"/>
    </xf>
    <xf numFmtId="0" fontId="4" fillId="25" borderId="12" xfId="0" applyFont="1" applyFill="1" applyBorder="1" applyAlignment="1" applyProtection="1">
      <alignment horizontal="left" vertical="top"/>
    </xf>
    <xf numFmtId="0" fontId="2" fillId="25" borderId="0" xfId="0" applyFont="1" applyFill="1" applyBorder="1" applyAlignment="1" applyProtection="1"/>
    <xf numFmtId="0" fontId="38" fillId="25" borderId="14" xfId="0" applyNumberFormat="1" applyFont="1" applyFill="1" applyBorder="1" applyAlignment="1" applyProtection="1">
      <alignment horizontal="center" vertical="top"/>
    </xf>
    <xf numFmtId="0" fontId="38" fillId="25" borderId="15" xfId="0" applyNumberFormat="1" applyFont="1" applyFill="1" applyBorder="1" applyAlignment="1" applyProtection="1">
      <alignment horizontal="center" vertical="top"/>
    </xf>
    <xf numFmtId="0" fontId="38" fillId="25" borderId="16" xfId="0" applyNumberFormat="1" applyFont="1" applyFill="1" applyBorder="1" applyAlignment="1" applyProtection="1">
      <alignment vertical="top"/>
    </xf>
    <xf numFmtId="0" fontId="38" fillId="25" borderId="16" xfId="0" applyNumberFormat="1" applyFont="1" applyFill="1" applyBorder="1" applyAlignment="1" applyProtection="1">
      <alignment horizontal="center" vertical="top"/>
    </xf>
    <xf numFmtId="0" fontId="38" fillId="25" borderId="17" xfId="0" applyNumberFormat="1" applyFont="1" applyFill="1" applyBorder="1" applyAlignment="1" applyProtection="1">
      <alignment vertical="top"/>
    </xf>
    <xf numFmtId="0" fontId="38" fillId="25" borderId="17" xfId="0" applyNumberFormat="1" applyFont="1" applyFill="1" applyBorder="1" applyAlignment="1" applyProtection="1">
      <alignment horizontal="center" vertical="top"/>
    </xf>
    <xf numFmtId="0" fontId="4" fillId="25" borderId="0" xfId="0" applyFont="1" applyFill="1" applyBorder="1" applyAlignment="1" applyProtection="1">
      <alignment horizontal="left" vertical="top"/>
    </xf>
    <xf numFmtId="0" fontId="4" fillId="25" borderId="12" xfId="0" applyNumberFormat="1" applyFont="1" applyFill="1" applyBorder="1" applyAlignment="1" applyProtection="1">
      <alignment horizontal="center" vertical="top"/>
    </xf>
    <xf numFmtId="0" fontId="4" fillId="25" borderId="18" xfId="0" applyNumberFormat="1" applyFont="1" applyFill="1" applyBorder="1" applyAlignment="1" applyProtection="1">
      <alignment horizontal="center" vertical="top"/>
    </xf>
    <xf numFmtId="0" fontId="4" fillId="25" borderId="19" xfId="0" applyNumberFormat="1" applyFont="1" applyFill="1" applyBorder="1" applyAlignment="1" applyProtection="1">
      <alignment vertical="top"/>
    </xf>
    <xf numFmtId="0" fontId="38" fillId="25" borderId="20" xfId="0" applyNumberFormat="1" applyFont="1" applyFill="1" applyBorder="1" applyAlignment="1" applyProtection="1">
      <alignment horizontal="center" vertical="top"/>
    </xf>
    <xf numFmtId="0" fontId="38" fillId="25" borderId="21" xfId="0" applyNumberFormat="1" applyFont="1" applyFill="1" applyBorder="1" applyAlignment="1" applyProtection="1">
      <alignment horizontal="center" vertical="top"/>
    </xf>
    <xf numFmtId="0" fontId="38" fillId="25" borderId="22" xfId="0" applyNumberFormat="1" applyFont="1" applyFill="1" applyBorder="1" applyAlignment="1" applyProtection="1">
      <alignment vertical="top"/>
    </xf>
    <xf numFmtId="0" fontId="38" fillId="25" borderId="23" xfId="0" applyNumberFormat="1" applyFont="1" applyFill="1" applyBorder="1" applyAlignment="1" applyProtection="1">
      <alignment horizontal="center" vertical="top"/>
    </xf>
    <xf numFmtId="0" fontId="38" fillId="25" borderId="24" xfId="0" applyNumberFormat="1" applyFont="1" applyFill="1" applyBorder="1" applyAlignment="1" applyProtection="1">
      <alignment horizontal="center" vertical="top"/>
    </xf>
    <xf numFmtId="0" fontId="38" fillId="25" borderId="12" xfId="0" applyNumberFormat="1" applyFont="1" applyFill="1" applyBorder="1" applyAlignment="1" applyProtection="1">
      <alignment horizontal="center" vertical="top"/>
    </xf>
    <xf numFmtId="0" fontId="4" fillId="25" borderId="25" xfId="0" applyNumberFormat="1" applyFont="1" applyFill="1" applyBorder="1" applyAlignment="1" applyProtection="1">
      <alignment horizontal="center" vertical="top"/>
    </xf>
    <xf numFmtId="0" fontId="4" fillId="25" borderId="0" xfId="0" applyNumberFormat="1" applyFont="1" applyFill="1" applyBorder="1" applyAlignment="1" applyProtection="1">
      <alignment vertical="top"/>
    </xf>
    <xf numFmtId="0" fontId="4" fillId="24" borderId="0" xfId="0" applyNumberFormat="1" applyFont="1" applyFill="1" applyBorder="1" applyAlignment="1" applyProtection="1">
      <alignment vertical="top"/>
    </xf>
    <xf numFmtId="0" fontId="4" fillId="0" borderId="0" xfId="0" applyNumberFormat="1" applyFont="1" applyFill="1" applyBorder="1" applyAlignment="1" applyProtection="1">
      <alignment vertical="top"/>
    </xf>
    <xf numFmtId="0" fontId="4" fillId="25" borderId="12" xfId="0" applyNumberFormat="1" applyFont="1" applyFill="1" applyBorder="1" applyAlignment="1" applyProtection="1">
      <alignment vertical="top"/>
    </xf>
    <xf numFmtId="0" fontId="38" fillId="25" borderId="26" xfId="0" applyNumberFormat="1" applyFont="1" applyFill="1" applyBorder="1" applyAlignment="1" applyProtection="1">
      <alignment horizontal="center" vertical="top"/>
    </xf>
    <xf numFmtId="0" fontId="38" fillId="27" borderId="13" xfId="0" applyNumberFormat="1" applyFont="1" applyFill="1" applyBorder="1" applyAlignment="1" applyProtection="1">
      <alignment vertical="top"/>
    </xf>
    <xf numFmtId="0" fontId="38" fillId="25" borderId="0" xfId="0" applyNumberFormat="1" applyFont="1" applyFill="1" applyBorder="1" applyAlignment="1" applyProtection="1">
      <alignment horizontal="center" vertical="top"/>
    </xf>
    <xf numFmtId="0" fontId="38" fillId="25" borderId="25" xfId="0" applyNumberFormat="1" applyFont="1" applyFill="1" applyBorder="1" applyAlignment="1" applyProtection="1">
      <alignment horizontal="center" vertical="top"/>
    </xf>
    <xf numFmtId="0" fontId="38" fillId="25" borderId="27" xfId="0" applyNumberFormat="1" applyFont="1" applyFill="1" applyBorder="1" applyAlignment="1" applyProtection="1">
      <alignment horizontal="center" vertical="top"/>
    </xf>
    <xf numFmtId="0" fontId="4" fillId="25" borderId="27" xfId="0" applyNumberFormat="1" applyFont="1" applyFill="1" applyBorder="1" applyAlignment="1" applyProtection="1">
      <alignment horizontal="center" vertical="top"/>
    </xf>
    <xf numFmtId="0" fontId="38" fillId="27" borderId="21" xfId="0" applyNumberFormat="1" applyFont="1" applyFill="1" applyBorder="1" applyAlignment="1" applyProtection="1">
      <alignment horizontal="center" vertical="top"/>
    </xf>
    <xf numFmtId="0" fontId="38" fillId="27" borderId="24" xfId="0" applyNumberFormat="1" applyFont="1" applyFill="1" applyBorder="1" applyAlignment="1" applyProtection="1">
      <alignment horizontal="center" vertical="top"/>
    </xf>
    <xf numFmtId="0" fontId="38" fillId="27" borderId="16" xfId="0" applyNumberFormat="1" applyFont="1" applyFill="1" applyBorder="1" applyAlignment="1" applyProtection="1">
      <alignment horizontal="center" vertical="top"/>
    </xf>
    <xf numFmtId="164" fontId="38" fillId="25" borderId="20" xfId="0" applyNumberFormat="1" applyFont="1" applyFill="1" applyBorder="1" applyAlignment="1" applyProtection="1">
      <alignment horizontal="right" vertical="top" indent="1"/>
    </xf>
    <xf numFmtId="164" fontId="38" fillId="25" borderId="21" xfId="0" applyNumberFormat="1" applyFont="1" applyFill="1" applyBorder="1" applyAlignment="1" applyProtection="1">
      <alignment horizontal="right" vertical="top" indent="1"/>
    </xf>
    <xf numFmtId="164" fontId="38" fillId="25" borderId="24" xfId="0" applyNumberFormat="1" applyFont="1" applyFill="1" applyBorder="1" applyAlignment="1" applyProtection="1">
      <alignment horizontal="right" vertical="top" indent="1"/>
    </xf>
    <xf numFmtId="0" fontId="38" fillId="27" borderId="20" xfId="0" applyNumberFormat="1" applyFont="1" applyFill="1" applyBorder="1" applyAlignment="1" applyProtection="1">
      <alignment vertical="top"/>
    </xf>
    <xf numFmtId="0" fontId="38" fillId="27" borderId="21" xfId="0" applyNumberFormat="1" applyFont="1" applyFill="1" applyBorder="1" applyAlignment="1" applyProtection="1">
      <alignment vertical="top"/>
    </xf>
    <xf numFmtId="0" fontId="38" fillId="0" borderId="14" xfId="0" applyNumberFormat="1" applyFont="1" applyFill="1" applyBorder="1" applyAlignment="1" applyProtection="1">
      <alignment vertical="top"/>
    </xf>
    <xf numFmtId="0" fontId="38" fillId="0" borderId="15" xfId="0" applyNumberFormat="1" applyFont="1" applyFill="1" applyBorder="1" applyAlignment="1" applyProtection="1">
      <alignment vertical="top"/>
    </xf>
    <xf numFmtId="0" fontId="38" fillId="27" borderId="14" xfId="0" applyNumberFormat="1" applyFont="1" applyFill="1" applyBorder="1" applyAlignment="1" applyProtection="1">
      <alignment horizontal="center" vertical="top"/>
    </xf>
    <xf numFmtId="0" fontId="38" fillId="0" borderId="28" xfId="0" applyNumberFormat="1" applyFont="1" applyFill="1" applyBorder="1" applyAlignment="1" applyProtection="1">
      <alignment vertical="top"/>
    </xf>
    <xf numFmtId="0" fontId="38" fillId="0" borderId="29" xfId="0" applyNumberFormat="1" applyFont="1" applyFill="1" applyBorder="1" applyAlignment="1" applyProtection="1">
      <alignment vertical="top"/>
    </xf>
    <xf numFmtId="0" fontId="38" fillId="0" borderId="30" xfId="0" applyNumberFormat="1" applyFont="1" applyFill="1" applyBorder="1" applyAlignment="1" applyProtection="1">
      <alignment vertical="top"/>
    </xf>
    <xf numFmtId="0" fontId="38" fillId="0" borderId="31" xfId="0" applyNumberFormat="1" applyFont="1" applyFill="1" applyBorder="1" applyAlignment="1" applyProtection="1">
      <alignment vertical="top"/>
    </xf>
    <xf numFmtId="164" fontId="38" fillId="0" borderId="32" xfId="0" applyNumberFormat="1" applyFont="1" applyFill="1" applyBorder="1" applyAlignment="1" applyProtection="1">
      <alignment vertical="top"/>
    </xf>
    <xf numFmtId="0" fontId="38" fillId="0" borderId="33" xfId="0" applyNumberFormat="1" applyFont="1" applyFill="1" applyBorder="1" applyAlignment="1" applyProtection="1">
      <alignment vertical="top"/>
    </xf>
    <xf numFmtId="164" fontId="38" fillId="0" borderId="34" xfId="0" applyNumberFormat="1" applyFont="1" applyFill="1" applyBorder="1" applyAlignment="1" applyProtection="1">
      <alignment vertical="top"/>
    </xf>
    <xf numFmtId="0" fontId="38" fillId="0" borderId="35" xfId="0" applyNumberFormat="1" applyFont="1" applyFill="1" applyBorder="1" applyAlignment="1" applyProtection="1">
      <alignment vertical="top"/>
    </xf>
    <xf numFmtId="164" fontId="38" fillId="0" borderId="36" xfId="0" applyNumberFormat="1" applyFont="1" applyFill="1" applyBorder="1" applyAlignment="1" applyProtection="1">
      <alignment vertical="top"/>
    </xf>
    <xf numFmtId="0" fontId="38" fillId="0" borderId="37" xfId="0" applyNumberFormat="1" applyFont="1" applyFill="1" applyBorder="1" applyAlignment="1" applyProtection="1">
      <alignment vertical="top"/>
    </xf>
    <xf numFmtId="0" fontId="38" fillId="0" borderId="38" xfId="0" applyNumberFormat="1" applyFont="1" applyFill="1" applyBorder="1" applyAlignment="1" applyProtection="1">
      <alignment vertical="top"/>
    </xf>
    <xf numFmtId="164" fontId="38" fillId="25" borderId="23" xfId="0" applyNumberFormat="1" applyFont="1" applyFill="1" applyBorder="1" applyAlignment="1" applyProtection="1">
      <alignment horizontal="right" vertical="top" indent="1"/>
    </xf>
    <xf numFmtId="0" fontId="0" fillId="25" borderId="0" xfId="0" applyFill="1" applyAlignment="1" applyProtection="1">
      <alignment horizontal="center"/>
    </xf>
    <xf numFmtId="0" fontId="38" fillId="0" borderId="0" xfId="0" applyNumberFormat="1" applyFont="1" applyFill="1" applyBorder="1" applyAlignment="1" applyProtection="1">
      <alignment horizontal="center" vertical="top"/>
    </xf>
    <xf numFmtId="0" fontId="38" fillId="0" borderId="39" xfId="0" applyNumberFormat="1" applyFont="1" applyFill="1" applyBorder="1" applyAlignment="1" applyProtection="1">
      <alignment vertical="top"/>
    </xf>
    <xf numFmtId="0" fontId="38" fillId="0" borderId="40" xfId="0" applyNumberFormat="1" applyFont="1" applyFill="1" applyBorder="1" applyAlignment="1" applyProtection="1">
      <alignment horizontal="center" vertical="top"/>
    </xf>
    <xf numFmtId="0" fontId="38" fillId="0" borderId="40" xfId="0" applyNumberFormat="1" applyFont="1" applyFill="1" applyBorder="1" applyAlignment="1" applyProtection="1">
      <alignment vertical="top"/>
    </xf>
    <xf numFmtId="0" fontId="38" fillId="0" borderId="41" xfId="0" applyNumberFormat="1" applyFont="1" applyFill="1" applyBorder="1" applyAlignment="1" applyProtection="1">
      <alignment vertical="top"/>
    </xf>
    <xf numFmtId="0" fontId="38" fillId="0" borderId="42" xfId="0" applyNumberFormat="1" applyFont="1" applyFill="1" applyBorder="1" applyAlignment="1" applyProtection="1">
      <alignment vertical="top"/>
    </xf>
    <xf numFmtId="0" fontId="38" fillId="0" borderId="43" xfId="0" applyNumberFormat="1" applyFont="1" applyFill="1" applyBorder="1" applyAlignment="1" applyProtection="1">
      <alignment vertical="top"/>
    </xf>
    <xf numFmtId="0" fontId="38" fillId="0" borderId="44" xfId="0" applyNumberFormat="1" applyFont="1" applyFill="1" applyBorder="1" applyAlignment="1" applyProtection="1">
      <alignment vertical="top"/>
    </xf>
    <xf numFmtId="164" fontId="38" fillId="0" borderId="45" xfId="0" applyNumberFormat="1" applyFont="1" applyFill="1" applyBorder="1" applyAlignment="1" applyProtection="1">
      <alignment vertical="top"/>
    </xf>
    <xf numFmtId="164" fontId="38" fillId="0" borderId="46" xfId="0" applyNumberFormat="1" applyFont="1" applyFill="1" applyBorder="1" applyAlignment="1" applyProtection="1">
      <alignment vertical="top"/>
    </xf>
    <xf numFmtId="0" fontId="38" fillId="0" borderId="47" xfId="0" applyNumberFormat="1" applyFont="1" applyFill="1" applyBorder="1" applyAlignment="1" applyProtection="1">
      <alignment horizontal="center" vertical="top"/>
    </xf>
    <xf numFmtId="0" fontId="38" fillId="0" borderId="18" xfId="0" applyNumberFormat="1" applyFont="1" applyFill="1" applyBorder="1" applyAlignment="1" applyProtection="1">
      <alignment horizontal="center" vertical="top"/>
    </xf>
    <xf numFmtId="0" fontId="38" fillId="0" borderId="48" xfId="0" applyNumberFormat="1" applyFont="1" applyFill="1" applyBorder="1" applyAlignment="1" applyProtection="1">
      <alignment horizontal="center" vertical="top"/>
    </xf>
    <xf numFmtId="0" fontId="38" fillId="0" borderId="47" xfId="0" applyNumberFormat="1" applyFont="1" applyFill="1" applyBorder="1" applyAlignment="1" applyProtection="1">
      <alignment vertical="top"/>
    </xf>
    <xf numFmtId="0" fontId="38" fillId="0" borderId="18" xfId="0" applyNumberFormat="1" applyFont="1" applyFill="1" applyBorder="1" applyAlignment="1" applyProtection="1">
      <alignment vertical="top"/>
    </xf>
    <xf numFmtId="0" fontId="38" fillId="0" borderId="48" xfId="0" applyNumberFormat="1" applyFont="1" applyFill="1" applyBorder="1" applyAlignment="1" applyProtection="1">
      <alignment vertical="top"/>
    </xf>
    <xf numFmtId="0" fontId="38" fillId="27" borderId="49" xfId="0" applyNumberFormat="1" applyFont="1" applyFill="1" applyBorder="1" applyAlignment="1" applyProtection="1">
      <alignment vertical="top"/>
    </xf>
    <xf numFmtId="0" fontId="38" fillId="27" borderId="27" xfId="0" applyNumberFormat="1" applyFont="1" applyFill="1" applyBorder="1" applyAlignment="1" applyProtection="1">
      <alignment vertical="top"/>
    </xf>
    <xf numFmtId="0" fontId="38" fillId="0" borderId="27" xfId="0" applyNumberFormat="1" applyFont="1" applyFill="1" applyBorder="1" applyAlignment="1" applyProtection="1">
      <alignment vertical="top"/>
    </xf>
    <xf numFmtId="0" fontId="38" fillId="25" borderId="27" xfId="0" applyNumberFormat="1" applyFont="1" applyFill="1" applyBorder="1" applyAlignment="1" applyProtection="1">
      <alignment vertical="top"/>
    </xf>
    <xf numFmtId="0" fontId="38" fillId="27" borderId="26" xfId="0" applyNumberFormat="1" applyFont="1" applyFill="1" applyBorder="1" applyAlignment="1" applyProtection="1">
      <alignment horizontal="center" vertical="top"/>
    </xf>
    <xf numFmtId="0" fontId="38" fillId="27" borderId="26" xfId="0" applyNumberFormat="1" applyFont="1" applyFill="1" applyBorder="1" applyAlignment="1" applyProtection="1">
      <alignment vertical="top"/>
    </xf>
    <xf numFmtId="0" fontId="10" fillId="25" borderId="0" xfId="0" applyFont="1" applyFill="1" applyAlignment="1" applyProtection="1">
      <alignment horizontal="right" vertical="top"/>
    </xf>
    <xf numFmtId="0" fontId="38" fillId="0" borderId="50" xfId="0" applyNumberFormat="1" applyFont="1" applyFill="1" applyBorder="1" applyAlignment="1" applyProtection="1">
      <alignment vertical="top"/>
    </xf>
    <xf numFmtId="0" fontId="38" fillId="0" borderId="26" xfId="0" applyNumberFormat="1" applyFont="1" applyFill="1" applyBorder="1" applyAlignment="1" applyProtection="1">
      <alignment vertical="top"/>
    </xf>
    <xf numFmtId="0" fontId="38" fillId="0" borderId="27" xfId="0" applyNumberFormat="1" applyFont="1" applyFill="1" applyBorder="1" applyAlignment="1" applyProtection="1">
      <alignment horizontal="center" vertical="top"/>
    </xf>
    <xf numFmtId="0" fontId="38" fillId="0" borderId="51" xfId="0" applyNumberFormat="1" applyFont="1" applyFill="1" applyBorder="1" applyAlignment="1" applyProtection="1">
      <alignment vertical="top"/>
    </xf>
    <xf numFmtId="0" fontId="38" fillId="27" borderId="37" xfId="0" applyNumberFormat="1" applyFont="1" applyFill="1" applyBorder="1" applyAlignment="1" applyProtection="1">
      <alignment horizontal="center" vertical="top"/>
    </xf>
    <xf numFmtId="0" fontId="38" fillId="27" borderId="52" xfId="0" applyNumberFormat="1" applyFont="1" applyFill="1" applyBorder="1" applyAlignment="1" applyProtection="1">
      <alignment horizontal="center" vertical="top"/>
    </xf>
    <xf numFmtId="0" fontId="48" fillId="25" borderId="0" xfId="0" applyNumberFormat="1" applyFont="1" applyFill="1" applyBorder="1" applyAlignment="1" applyProtection="1">
      <alignment vertical="top"/>
    </xf>
    <xf numFmtId="0" fontId="4" fillId="27" borderId="53" xfId="0" applyNumberFormat="1" applyFont="1" applyFill="1" applyBorder="1" applyAlignment="1" applyProtection="1">
      <alignment vertical="top"/>
    </xf>
    <xf numFmtId="0" fontId="4" fillId="27" borderId="54" xfId="0" applyNumberFormat="1" applyFont="1" applyFill="1" applyBorder="1" applyAlignment="1" applyProtection="1">
      <alignment vertical="top"/>
    </xf>
    <xf numFmtId="0" fontId="4" fillId="27" borderId="55" xfId="0" applyNumberFormat="1" applyFont="1" applyFill="1" applyBorder="1" applyAlignment="1" applyProtection="1">
      <alignment vertical="top"/>
    </xf>
    <xf numFmtId="0" fontId="4" fillId="27" borderId="56" xfId="0" applyNumberFormat="1" applyFont="1" applyFill="1" applyBorder="1" applyAlignment="1" applyProtection="1">
      <alignment vertical="top"/>
    </xf>
    <xf numFmtId="0" fontId="4" fillId="25" borderId="37" xfId="0" applyNumberFormat="1" applyFont="1" applyFill="1" applyBorder="1" applyAlignment="1" applyProtection="1">
      <alignment vertical="top"/>
    </xf>
    <xf numFmtId="0" fontId="4" fillId="25" borderId="57" xfId="0" applyNumberFormat="1" applyFont="1" applyFill="1" applyBorder="1" applyAlignment="1" applyProtection="1">
      <alignment vertical="top"/>
    </xf>
    <xf numFmtId="0" fontId="4" fillId="25" borderId="29" xfId="0" applyNumberFormat="1" applyFont="1" applyFill="1" applyBorder="1" applyAlignment="1" applyProtection="1">
      <alignment vertical="top"/>
    </xf>
    <xf numFmtId="0" fontId="4" fillId="25" borderId="58" xfId="0" applyNumberFormat="1" applyFont="1" applyFill="1" applyBorder="1" applyAlignment="1" applyProtection="1">
      <alignment vertical="top"/>
    </xf>
    <xf numFmtId="0" fontId="38" fillId="24" borderId="13" xfId="0" applyNumberFormat="1" applyFont="1" applyFill="1" applyBorder="1" applyAlignment="1" applyProtection="1">
      <alignment vertical="top"/>
    </xf>
    <xf numFmtId="0" fontId="38" fillId="24" borderId="59" xfId="0" applyNumberFormat="1" applyFont="1" applyFill="1" applyBorder="1" applyAlignment="1" applyProtection="1">
      <alignment vertical="top"/>
    </xf>
    <xf numFmtId="0" fontId="38" fillId="24" borderId="60" xfId="0" applyNumberFormat="1" applyFont="1" applyFill="1" applyBorder="1" applyAlignment="1" applyProtection="1">
      <alignment vertical="top"/>
    </xf>
    <xf numFmtId="0" fontId="38" fillId="24" borderId="61" xfId="0" applyNumberFormat="1" applyFont="1" applyFill="1" applyBorder="1" applyAlignment="1" applyProtection="1">
      <alignment vertical="top"/>
    </xf>
    <xf numFmtId="0" fontId="38" fillId="24" borderId="62" xfId="0" applyNumberFormat="1" applyFont="1" applyFill="1" applyBorder="1" applyAlignment="1" applyProtection="1">
      <alignment vertical="top"/>
    </xf>
    <xf numFmtId="0" fontId="38" fillId="25" borderId="0" xfId="0" applyNumberFormat="1" applyFont="1" applyFill="1" applyBorder="1" applyAlignment="1" applyProtection="1">
      <alignment vertical="top" wrapText="1"/>
    </xf>
    <xf numFmtId="0" fontId="4" fillId="25" borderId="63" xfId="0" applyNumberFormat="1" applyFont="1" applyFill="1" applyBorder="1" applyAlignment="1" applyProtection="1">
      <alignment horizontal="center" wrapText="1"/>
    </xf>
    <xf numFmtId="0" fontId="10" fillId="25" borderId="0" xfId="0" quotePrefix="1" applyFont="1" applyFill="1" applyAlignment="1" applyProtection="1">
      <alignment horizontal="right" vertical="top"/>
    </xf>
    <xf numFmtId="0" fontId="51" fillId="25" borderId="0" xfId="0" applyFont="1" applyFill="1" applyAlignment="1" applyProtection="1">
      <alignment horizontal="left" vertical="top"/>
    </xf>
    <xf numFmtId="0" fontId="38" fillId="25" borderId="17" xfId="0" applyNumberFormat="1" applyFont="1" applyFill="1" applyBorder="1" applyAlignment="1" applyProtection="1">
      <alignment horizontal="right" vertical="top"/>
    </xf>
    <xf numFmtId="0" fontId="38" fillId="25" borderId="26" xfId="0" quotePrefix="1" applyNumberFormat="1" applyFont="1" applyFill="1" applyBorder="1" applyAlignment="1" applyProtection="1">
      <alignment horizontal="center" vertical="top"/>
    </xf>
    <xf numFmtId="0" fontId="38" fillId="25" borderId="11" xfId="0" applyNumberFormat="1" applyFont="1" applyFill="1" applyBorder="1" applyAlignment="1" applyProtection="1">
      <alignment horizontal="center" vertical="top"/>
    </xf>
    <xf numFmtId="167" fontId="38" fillId="25" borderId="64" xfId="0" applyNumberFormat="1" applyFont="1" applyFill="1" applyBorder="1" applyAlignment="1" applyProtection="1">
      <alignment horizontal="center" vertical="top"/>
    </xf>
    <xf numFmtId="167" fontId="38" fillId="25" borderId="65" xfId="0" applyNumberFormat="1" applyFont="1" applyFill="1" applyBorder="1" applyAlignment="1" applyProtection="1">
      <alignment horizontal="center" vertical="top"/>
    </xf>
    <xf numFmtId="167" fontId="38" fillId="25" borderId="66" xfId="0" applyNumberFormat="1" applyFont="1" applyFill="1" applyBorder="1" applyAlignment="1" applyProtection="1">
      <alignment horizontal="center" vertical="top"/>
    </xf>
    <xf numFmtId="0" fontId="2" fillId="25" borderId="25" xfId="0" applyNumberFormat="1" applyFont="1" applyFill="1" applyBorder="1" applyAlignment="1" applyProtection="1">
      <alignment horizontal="center" vertical="top"/>
    </xf>
    <xf numFmtId="0" fontId="4" fillId="25" borderId="12" xfId="0" applyNumberFormat="1" applyFont="1" applyFill="1" applyBorder="1" applyAlignment="1" applyProtection="1">
      <alignment horizontal="right" vertical="top" indent="1"/>
    </xf>
    <xf numFmtId="2" fontId="38" fillId="25" borderId="15" xfId="0" applyNumberFormat="1" applyFont="1" applyFill="1" applyBorder="1" applyAlignment="1" applyProtection="1">
      <alignment horizontal="right" vertical="top" indent="1"/>
    </xf>
    <xf numFmtId="2" fontId="38" fillId="25" borderId="16" xfId="0" applyNumberFormat="1" applyFont="1" applyFill="1" applyBorder="1" applyAlignment="1" applyProtection="1">
      <alignment horizontal="right" vertical="top" indent="1"/>
    </xf>
    <xf numFmtId="0" fontId="10" fillId="25" borderId="0" xfId="0" applyFont="1" applyFill="1" applyAlignment="1" applyProtection="1">
      <alignment horizontal="right" vertical="top" indent="1"/>
    </xf>
    <xf numFmtId="2" fontId="38" fillId="25" borderId="17" xfId="0" applyNumberFormat="1" applyFont="1" applyFill="1" applyBorder="1" applyAlignment="1" applyProtection="1">
      <alignment horizontal="right" vertical="top" indent="1"/>
    </xf>
    <xf numFmtId="2" fontId="38" fillId="25" borderId="26" xfId="0" applyNumberFormat="1" applyFont="1" applyFill="1" applyBorder="1" applyAlignment="1" applyProtection="1">
      <alignment horizontal="right" vertical="top" indent="1"/>
    </xf>
    <xf numFmtId="0" fontId="2" fillId="25" borderId="26" xfId="0" applyNumberFormat="1" applyFont="1" applyFill="1" applyBorder="1" applyAlignment="1" applyProtection="1">
      <alignment horizontal="center" vertical="top"/>
    </xf>
    <xf numFmtId="0" fontId="48" fillId="24" borderId="0" xfId="0" applyNumberFormat="1" applyFont="1" applyFill="1" applyBorder="1" applyAlignment="1" applyProtection="1">
      <alignment vertical="top"/>
    </xf>
    <xf numFmtId="0" fontId="55" fillId="25" borderId="12" xfId="0" applyNumberFormat="1" applyFont="1" applyFill="1" applyBorder="1" applyAlignment="1" applyProtection="1">
      <alignment horizontal="center" vertical="top" wrapText="1"/>
    </xf>
    <xf numFmtId="0" fontId="2" fillId="0" borderId="0" xfId="0" applyFont="1" applyFill="1" applyAlignment="1" applyProtection="1"/>
    <xf numFmtId="0" fontId="36" fillId="25" borderId="12" xfId="0" applyFont="1" applyFill="1" applyBorder="1" applyAlignment="1" applyProtection="1">
      <alignment horizontal="center"/>
    </xf>
    <xf numFmtId="0" fontId="2" fillId="25" borderId="40" xfId="0" applyFont="1" applyFill="1" applyBorder="1" applyAlignment="1" applyProtection="1"/>
    <xf numFmtId="0" fontId="0" fillId="25" borderId="40" xfId="0" applyFill="1" applyBorder="1" applyAlignment="1" applyProtection="1"/>
    <xf numFmtId="0" fontId="0" fillId="25" borderId="67" xfId="0" applyFill="1" applyBorder="1" applyAlignment="1" applyProtection="1"/>
    <xf numFmtId="0" fontId="0" fillId="25" borderId="68" xfId="0" applyFill="1" applyBorder="1" applyAlignment="1" applyProtection="1"/>
    <xf numFmtId="0" fontId="38" fillId="25" borderId="68" xfId="0" applyNumberFormat="1" applyFont="1" applyFill="1" applyBorder="1" applyAlignment="1" applyProtection="1">
      <alignment vertical="top"/>
    </xf>
    <xf numFmtId="0" fontId="2" fillId="25" borderId="29" xfId="0" applyFont="1" applyFill="1" applyBorder="1" applyAlignment="1" applyProtection="1"/>
    <xf numFmtId="0" fontId="0" fillId="25" borderId="29" xfId="0" applyFill="1" applyBorder="1" applyAlignment="1" applyProtection="1"/>
    <xf numFmtId="0" fontId="0" fillId="25" borderId="58" xfId="0" applyFill="1" applyBorder="1" applyAlignment="1" applyProtection="1"/>
    <xf numFmtId="0" fontId="38" fillId="24" borderId="69" xfId="0" applyNumberFormat="1" applyFont="1" applyFill="1" applyBorder="1" applyAlignment="1" applyProtection="1">
      <alignment vertical="top"/>
    </xf>
    <xf numFmtId="0" fontId="38" fillId="0" borderId="13" xfId="0" applyNumberFormat="1" applyFont="1" applyFill="1" applyBorder="1" applyAlignment="1" applyProtection="1">
      <alignment horizontal="center" vertical="top"/>
    </xf>
    <xf numFmtId="0" fontId="2" fillId="0" borderId="13" xfId="0" applyNumberFormat="1" applyFont="1" applyFill="1" applyBorder="1" applyAlignment="1" applyProtection="1">
      <alignment vertical="top"/>
    </xf>
    <xf numFmtId="0" fontId="2" fillId="0" borderId="13" xfId="0" applyNumberFormat="1" applyFont="1" applyFill="1" applyBorder="1" applyAlignment="1" applyProtection="1">
      <alignment horizontal="center" vertical="top"/>
    </xf>
    <xf numFmtId="0" fontId="38" fillId="0" borderId="59" xfId="0" applyNumberFormat="1" applyFont="1" applyFill="1" applyBorder="1" applyAlignment="1" applyProtection="1">
      <alignment horizontal="center" vertical="top"/>
    </xf>
    <xf numFmtId="0" fontId="2" fillId="0" borderId="50" xfId="0" applyNumberFormat="1" applyFont="1" applyFill="1" applyBorder="1" applyAlignment="1" applyProtection="1">
      <alignment vertical="top"/>
    </xf>
    <xf numFmtId="0" fontId="2" fillId="0" borderId="59" xfId="0" applyNumberFormat="1" applyFont="1" applyFill="1" applyBorder="1" applyAlignment="1" applyProtection="1">
      <alignment horizontal="center" vertical="top"/>
    </xf>
    <xf numFmtId="0" fontId="2" fillId="0" borderId="59" xfId="0" applyNumberFormat="1" applyFont="1" applyFill="1" applyBorder="1" applyAlignment="1" applyProtection="1">
      <alignment vertical="top"/>
    </xf>
    <xf numFmtId="0" fontId="2" fillId="0" borderId="60" xfId="0" applyNumberFormat="1" applyFont="1" applyFill="1" applyBorder="1" applyAlignment="1" applyProtection="1">
      <alignment vertical="top"/>
    </xf>
    <xf numFmtId="0" fontId="2" fillId="0" borderId="61" xfId="0" applyNumberFormat="1" applyFont="1" applyFill="1" applyBorder="1" applyAlignment="1" applyProtection="1">
      <alignment vertical="top"/>
    </xf>
    <xf numFmtId="0" fontId="2" fillId="0" borderId="62" xfId="0" applyNumberFormat="1" applyFont="1" applyFill="1" applyBorder="1" applyAlignment="1" applyProtection="1">
      <alignment vertical="top"/>
    </xf>
    <xf numFmtId="0" fontId="4" fillId="0" borderId="58" xfId="0" applyNumberFormat="1" applyFont="1" applyFill="1" applyBorder="1" applyAlignment="1" applyProtection="1">
      <alignment vertical="top"/>
    </xf>
    <xf numFmtId="0" fontId="4" fillId="24" borderId="13" xfId="0" applyNumberFormat="1" applyFont="1" applyFill="1" applyBorder="1" applyAlignment="1" applyProtection="1">
      <alignment vertical="top"/>
    </xf>
    <xf numFmtId="0" fontId="38" fillId="24" borderId="70" xfId="0" applyNumberFormat="1" applyFont="1" applyFill="1" applyBorder="1" applyAlignment="1" applyProtection="1">
      <alignment vertical="top"/>
    </xf>
    <xf numFmtId="0" fontId="38" fillId="24" borderId="27" xfId="0" applyNumberFormat="1" applyFont="1" applyFill="1" applyBorder="1" applyAlignment="1" applyProtection="1">
      <alignment vertical="top"/>
    </xf>
    <xf numFmtId="0" fontId="4" fillId="24" borderId="71" xfId="0" applyNumberFormat="1" applyFont="1" applyFill="1" applyBorder="1" applyAlignment="1" applyProtection="1">
      <alignment vertical="top"/>
    </xf>
    <xf numFmtId="0" fontId="2" fillId="24" borderId="70" xfId="0" applyFont="1" applyFill="1" applyBorder="1" applyAlignment="1" applyProtection="1"/>
    <xf numFmtId="0" fontId="38" fillId="24" borderId="71" xfId="0" applyNumberFormat="1" applyFont="1" applyFill="1" applyBorder="1" applyAlignment="1" applyProtection="1">
      <alignment vertical="top"/>
    </xf>
    <xf numFmtId="0" fontId="38" fillId="24" borderId="58" xfId="0" applyNumberFormat="1" applyFont="1" applyFill="1" applyBorder="1" applyAlignment="1" applyProtection="1">
      <alignment vertical="top"/>
    </xf>
    <xf numFmtId="0" fontId="38" fillId="24" borderId="42" xfId="0" applyNumberFormat="1" applyFont="1" applyFill="1" applyBorder="1" applyAlignment="1" applyProtection="1">
      <alignment vertical="top"/>
    </xf>
    <xf numFmtId="0" fontId="38" fillId="24" borderId="43" xfId="0" applyNumberFormat="1" applyFont="1" applyFill="1" applyBorder="1" applyAlignment="1" applyProtection="1">
      <alignment vertical="top"/>
    </xf>
    <xf numFmtId="0" fontId="38" fillId="24" borderId="72" xfId="0" applyNumberFormat="1" applyFont="1" applyFill="1" applyBorder="1" applyAlignment="1" applyProtection="1">
      <alignment vertical="top"/>
    </xf>
    <xf numFmtId="0" fontId="4" fillId="24" borderId="73" xfId="0" applyNumberFormat="1" applyFont="1" applyFill="1" applyBorder="1" applyAlignment="1" applyProtection="1">
      <alignment horizontal="right" vertical="top"/>
    </xf>
    <xf numFmtId="0" fontId="4" fillId="0" borderId="74" xfId="0" applyNumberFormat="1" applyFont="1" applyFill="1" applyBorder="1" applyAlignment="1" applyProtection="1">
      <alignment horizontal="center" vertical="top"/>
    </xf>
    <xf numFmtId="0" fontId="4" fillId="0" borderId="49" xfId="0" applyNumberFormat="1" applyFont="1" applyFill="1" applyBorder="1" applyAlignment="1" applyProtection="1">
      <alignment horizontal="center" vertical="top"/>
    </xf>
    <xf numFmtId="0" fontId="41" fillId="24" borderId="0" xfId="0" applyNumberFormat="1" applyFont="1" applyFill="1" applyBorder="1" applyAlignment="1" applyProtection="1">
      <alignment vertical="top"/>
    </xf>
    <xf numFmtId="0" fontId="38" fillId="27" borderId="75" xfId="0" applyNumberFormat="1" applyFont="1" applyFill="1" applyBorder="1" applyAlignment="1" applyProtection="1">
      <alignment vertical="top"/>
    </xf>
    <xf numFmtId="0" fontId="38" fillId="27" borderId="76" xfId="0" applyNumberFormat="1" applyFont="1" applyFill="1" applyBorder="1" applyAlignment="1" applyProtection="1">
      <alignment vertical="top"/>
    </xf>
    <xf numFmtId="0" fontId="38" fillId="24" borderId="73" xfId="0" applyNumberFormat="1" applyFont="1" applyFill="1" applyBorder="1" applyAlignment="1" applyProtection="1">
      <alignment vertical="top"/>
    </xf>
    <xf numFmtId="0" fontId="38" fillId="25" borderId="29" xfId="0" applyNumberFormat="1" applyFont="1" applyFill="1" applyBorder="1" applyAlignment="1" applyProtection="1">
      <alignment horizontal="center" vertical="top"/>
    </xf>
    <xf numFmtId="0" fontId="38" fillId="25" borderId="29" xfId="0" applyNumberFormat="1" applyFont="1" applyFill="1" applyBorder="1" applyAlignment="1" applyProtection="1">
      <alignment vertical="top"/>
    </xf>
    <xf numFmtId="0" fontId="2" fillId="24" borderId="0" xfId="0" applyFont="1" applyFill="1" applyBorder="1" applyAlignment="1" applyProtection="1"/>
    <xf numFmtId="0" fontId="38" fillId="24" borderId="0" xfId="0" applyNumberFormat="1" applyFont="1" applyFill="1" applyBorder="1" applyAlignment="1" applyProtection="1">
      <alignment horizontal="right" vertical="top"/>
    </xf>
    <xf numFmtId="0" fontId="58" fillId="25" borderId="21" xfId="0" applyNumberFormat="1" applyFont="1" applyFill="1" applyBorder="1" applyAlignment="1" applyProtection="1">
      <alignment horizontal="center" vertical="top"/>
    </xf>
    <xf numFmtId="0" fontId="2" fillId="24" borderId="13" xfId="0" applyNumberFormat="1" applyFont="1" applyFill="1" applyBorder="1" applyAlignment="1" applyProtection="1">
      <alignment vertical="top"/>
    </xf>
    <xf numFmtId="0" fontId="41" fillId="27" borderId="13" xfId="0" applyFont="1" applyFill="1" applyBorder="1" applyAlignment="1" applyProtection="1"/>
    <xf numFmtId="0" fontId="4" fillId="24" borderId="69" xfId="0" applyNumberFormat="1" applyFont="1" applyFill="1" applyBorder="1" applyAlignment="1" applyProtection="1">
      <alignment vertical="top"/>
    </xf>
    <xf numFmtId="0" fontId="38" fillId="0" borderId="10" xfId="0" applyNumberFormat="1" applyFont="1" applyFill="1" applyBorder="1" applyAlignment="1" applyProtection="1">
      <alignment vertical="top"/>
    </xf>
    <xf numFmtId="0" fontId="4" fillId="0" borderId="77" xfId="0" applyNumberFormat="1" applyFont="1" applyFill="1" applyBorder="1" applyAlignment="1" applyProtection="1">
      <alignment vertical="top"/>
    </xf>
    <xf numFmtId="0" fontId="4" fillId="0" borderId="78" xfId="0" applyNumberFormat="1" applyFont="1" applyFill="1" applyBorder="1" applyAlignment="1" applyProtection="1">
      <alignment vertical="top"/>
    </xf>
    <xf numFmtId="0" fontId="4" fillId="0" borderId="78" xfId="0" applyNumberFormat="1" applyFont="1" applyFill="1" applyBorder="1" applyAlignment="1" applyProtection="1">
      <alignment horizontal="center" vertical="top"/>
    </xf>
    <xf numFmtId="0" fontId="4" fillId="27" borderId="78" xfId="0" applyNumberFormat="1" applyFont="1" applyFill="1" applyBorder="1" applyAlignment="1" applyProtection="1">
      <alignment vertical="top"/>
    </xf>
    <xf numFmtId="0" fontId="4" fillId="27" borderId="79" xfId="0" applyNumberFormat="1" applyFont="1" applyFill="1" applyBorder="1" applyAlignment="1" applyProtection="1">
      <alignment vertical="top"/>
    </xf>
    <xf numFmtId="0" fontId="38" fillId="25" borderId="27" xfId="0" quotePrefix="1" applyNumberFormat="1" applyFont="1" applyFill="1" applyBorder="1" applyAlignment="1" applyProtection="1">
      <alignment horizontal="center" vertical="top"/>
    </xf>
    <xf numFmtId="0" fontId="38" fillId="25" borderId="0" xfId="0" applyNumberFormat="1" applyFont="1" applyFill="1" applyBorder="1" applyAlignment="1" applyProtection="1">
      <alignment horizontal="right" vertical="top"/>
    </xf>
    <xf numFmtId="0" fontId="0" fillId="0" borderId="0" xfId="0" applyProtection="1"/>
    <xf numFmtId="0" fontId="0" fillId="25" borderId="0" xfId="0" applyFill="1" applyProtection="1"/>
    <xf numFmtId="0" fontId="4" fillId="0" borderId="0" xfId="0" applyFont="1" applyProtection="1"/>
    <xf numFmtId="0" fontId="0" fillId="25" borderId="0" xfId="0" applyFill="1" applyBorder="1" applyProtection="1"/>
    <xf numFmtId="0" fontId="0" fillId="0" borderId="0" xfId="0" applyFill="1" applyProtection="1"/>
    <xf numFmtId="0" fontId="53" fillId="25" borderId="0" xfId="0" applyFont="1" applyFill="1" applyAlignment="1" applyProtection="1">
      <alignment horizontal="left" vertical="top"/>
    </xf>
    <xf numFmtId="0" fontId="0" fillId="0" borderId="0" xfId="0" applyFill="1" applyAlignment="1" applyProtection="1"/>
    <xf numFmtId="0" fontId="0" fillId="0" borderId="0" xfId="0" applyFill="1" applyBorder="1" applyProtection="1"/>
    <xf numFmtId="0" fontId="4" fillId="0" borderId="0" xfId="0" applyFont="1" applyFill="1" applyProtection="1"/>
    <xf numFmtId="0" fontId="0" fillId="0" borderId="0" xfId="0" applyAlignment="1" applyProtection="1"/>
    <xf numFmtId="0" fontId="0" fillId="28" borderId="0" xfId="0" applyFill="1" applyProtection="1"/>
    <xf numFmtId="0" fontId="0" fillId="25" borderId="0" xfId="0" applyFill="1" applyAlignment="1" applyProtection="1">
      <alignment vertical="top"/>
    </xf>
    <xf numFmtId="0" fontId="0" fillId="25" borderId="0" xfId="0" applyFill="1" applyBorder="1" applyAlignment="1" applyProtection="1">
      <alignment vertical="top"/>
    </xf>
    <xf numFmtId="164" fontId="0" fillId="25" borderId="0" xfId="0" applyNumberFormat="1" applyFill="1" applyBorder="1" applyAlignment="1" applyProtection="1">
      <alignment vertical="top"/>
    </xf>
    <xf numFmtId="0" fontId="0" fillId="25" borderId="0" xfId="0" applyNumberFormat="1" applyFill="1" applyBorder="1" applyAlignment="1" applyProtection="1">
      <alignment vertical="top"/>
    </xf>
    <xf numFmtId="0" fontId="0" fillId="0" borderId="0" xfId="0" applyAlignment="1" applyProtection="1">
      <alignment wrapText="1"/>
    </xf>
    <xf numFmtId="0" fontId="40" fillId="25" borderId="0" xfId="0" applyFont="1" applyFill="1" applyProtection="1"/>
    <xf numFmtId="0" fontId="8" fillId="25" borderId="0" xfId="0" applyFont="1" applyFill="1" applyAlignment="1" applyProtection="1">
      <alignment horizontal="center" vertical="top"/>
    </xf>
    <xf numFmtId="0" fontId="8" fillId="25" borderId="0" xfId="0" applyFont="1" applyFill="1" applyAlignment="1" applyProtection="1">
      <alignment vertical="top"/>
    </xf>
    <xf numFmtId="0" fontId="2" fillId="25" borderId="0" xfId="0" applyNumberFormat="1" applyFont="1" applyFill="1" applyBorder="1" applyAlignment="1" applyProtection="1">
      <alignment horizontal="left" vertical="top"/>
    </xf>
    <xf numFmtId="0" fontId="32" fillId="25" borderId="0" xfId="0" applyFont="1" applyFill="1" applyAlignment="1" applyProtection="1">
      <alignment vertical="top"/>
    </xf>
    <xf numFmtId="0" fontId="4" fillId="25" borderId="0" xfId="0" applyNumberFormat="1" applyFont="1" applyFill="1" applyAlignment="1" applyProtection="1">
      <alignment vertical="top"/>
    </xf>
    <xf numFmtId="0" fontId="56" fillId="25" borderId="0" xfId="0" applyNumberFormat="1" applyFont="1" applyFill="1" applyAlignment="1" applyProtection="1">
      <alignment vertical="top"/>
    </xf>
    <xf numFmtId="0" fontId="0" fillId="25" borderId="0" xfId="0" applyNumberFormat="1" applyFill="1" applyAlignment="1" applyProtection="1">
      <alignment vertical="top"/>
    </xf>
    <xf numFmtId="0" fontId="32" fillId="25" borderId="0" xfId="0" applyNumberFormat="1" applyFont="1" applyFill="1" applyAlignment="1" applyProtection="1">
      <alignment vertical="top"/>
    </xf>
    <xf numFmtId="0" fontId="8" fillId="25" borderId="25" xfId="0" applyFont="1" applyFill="1" applyBorder="1" applyAlignment="1" applyProtection="1">
      <alignment vertical="top"/>
    </xf>
    <xf numFmtId="0" fontId="4" fillId="25" borderId="12" xfId="0" applyFont="1" applyFill="1" applyBorder="1" applyAlignment="1" applyProtection="1">
      <alignment vertical="top"/>
    </xf>
    <xf numFmtId="0" fontId="2" fillId="25" borderId="12" xfId="0" applyFont="1" applyFill="1" applyBorder="1" applyAlignment="1" applyProtection="1">
      <alignment vertical="top"/>
    </xf>
    <xf numFmtId="0" fontId="2" fillId="25" borderId="12" xfId="0" applyFont="1" applyFill="1" applyBorder="1" applyAlignment="1" applyProtection="1"/>
    <xf numFmtId="0" fontId="2" fillId="25" borderId="12" xfId="0" applyNumberFormat="1" applyFont="1" applyFill="1" applyBorder="1" applyAlignment="1" applyProtection="1">
      <alignment horizontal="left" vertical="top"/>
    </xf>
    <xf numFmtId="0" fontId="8" fillId="25" borderId="20" xfId="0" applyFont="1" applyFill="1" applyBorder="1" applyAlignment="1" applyProtection="1">
      <alignment horizontal="right" vertical="top" indent="1"/>
    </xf>
    <xf numFmtId="0" fontId="8" fillId="25" borderId="21" xfId="0" applyFont="1" applyFill="1" applyBorder="1" applyAlignment="1" applyProtection="1">
      <alignment horizontal="right" vertical="top" indent="1"/>
    </xf>
    <xf numFmtId="0" fontId="8" fillId="25" borderId="24" xfId="0" applyFont="1" applyFill="1" applyBorder="1" applyAlignment="1" applyProtection="1">
      <alignment horizontal="right" vertical="top" indent="1"/>
    </xf>
    <xf numFmtId="0" fontId="2" fillId="25" borderId="0" xfId="0" applyFont="1" applyFill="1" applyAlignment="1" applyProtection="1">
      <alignment horizontal="center" vertical="top"/>
    </xf>
    <xf numFmtId="0" fontId="2" fillId="29" borderId="13" xfId="0" applyNumberFormat="1" applyFont="1" applyFill="1" applyBorder="1" applyAlignment="1" applyProtection="1">
      <alignment horizontal="left" vertical="top"/>
      <protection locked="0"/>
    </xf>
    <xf numFmtId="0" fontId="38" fillId="29" borderId="14" xfId="0" applyNumberFormat="1" applyFont="1" applyFill="1" applyBorder="1" applyAlignment="1" applyProtection="1">
      <alignment horizontal="center" vertical="top"/>
      <protection locked="0"/>
    </xf>
    <xf numFmtId="0" fontId="38" fillId="29" borderId="26" xfId="0" applyNumberFormat="1" applyFont="1" applyFill="1" applyBorder="1" applyAlignment="1" applyProtection="1">
      <alignment horizontal="center" vertical="top"/>
      <protection locked="0"/>
    </xf>
    <xf numFmtId="10" fontId="38" fillId="30" borderId="13" xfId="0" applyNumberFormat="1" applyFont="1" applyFill="1" applyBorder="1" applyAlignment="1" applyProtection="1">
      <alignment vertical="top"/>
      <protection locked="0"/>
    </xf>
    <xf numFmtId="0" fontId="38" fillId="30" borderId="14" xfId="0" applyNumberFormat="1" applyFont="1" applyFill="1" applyBorder="1" applyAlignment="1" applyProtection="1">
      <alignment horizontal="center" vertical="top"/>
      <protection locked="0"/>
    </xf>
    <xf numFmtId="0" fontId="38" fillId="30" borderId="15" xfId="0" applyNumberFormat="1" applyFont="1" applyFill="1" applyBorder="1" applyAlignment="1" applyProtection="1">
      <alignment horizontal="center" vertical="top"/>
      <protection locked="0"/>
    </xf>
    <xf numFmtId="0" fontId="38" fillId="30" borderId="16" xfId="0" applyNumberFormat="1" applyFont="1" applyFill="1" applyBorder="1" applyAlignment="1" applyProtection="1">
      <alignment horizontal="center" vertical="top"/>
      <protection locked="0"/>
    </xf>
    <xf numFmtId="0" fontId="4" fillId="25" borderId="63" xfId="0" applyFont="1" applyFill="1" applyBorder="1" applyAlignment="1" applyProtection="1">
      <alignment horizontal="left" vertical="top"/>
    </xf>
    <xf numFmtId="0" fontId="4" fillId="25" borderId="25" xfId="0" applyFont="1" applyFill="1" applyBorder="1" applyAlignment="1" applyProtection="1">
      <alignment horizontal="left" vertical="top"/>
    </xf>
    <xf numFmtId="0" fontId="0" fillId="31" borderId="0" xfId="0" applyFill="1" applyProtection="1"/>
    <xf numFmtId="0" fontId="4" fillId="0" borderId="12" xfId="0" applyFont="1" applyBorder="1" applyProtection="1"/>
    <xf numFmtId="0" fontId="0" fillId="0" borderId="12" xfId="0" applyBorder="1" applyProtection="1"/>
    <xf numFmtId="0" fontId="0" fillId="24" borderId="0" xfId="0" applyFill="1" applyProtection="1"/>
    <xf numFmtId="0" fontId="0" fillId="24" borderId="0" xfId="0" applyFill="1" applyAlignment="1" applyProtection="1">
      <alignment horizontal="center"/>
    </xf>
    <xf numFmtId="0" fontId="44" fillId="26" borderId="0" xfId="0" applyFont="1" applyFill="1" applyProtection="1"/>
    <xf numFmtId="0" fontId="0" fillId="24" borderId="0" xfId="0" applyFill="1" applyAlignment="1" applyProtection="1"/>
    <xf numFmtId="0" fontId="45" fillId="24" borderId="0" xfId="0" applyFont="1" applyFill="1" applyAlignment="1" applyProtection="1">
      <alignment horizontal="left"/>
    </xf>
    <xf numFmtId="0" fontId="46" fillId="0" borderId="0" xfId="0" applyFont="1" applyFill="1" applyAlignment="1" applyProtection="1">
      <alignment horizontal="left"/>
    </xf>
    <xf numFmtId="0" fontId="46" fillId="0" borderId="0" xfId="0" applyFont="1" applyFill="1" applyAlignment="1" applyProtection="1">
      <alignment horizontal="left" indent="1"/>
    </xf>
    <xf numFmtId="0" fontId="0" fillId="0" borderId="0" xfId="0" applyBorder="1" applyProtection="1"/>
    <xf numFmtId="0" fontId="26" fillId="0" borderId="12" xfId="88" applyFont="1" applyBorder="1" applyProtection="1"/>
    <xf numFmtId="0" fontId="1" fillId="0" borderId="0" xfId="88" applyProtection="1"/>
    <xf numFmtId="0" fontId="0" fillId="32" borderId="0" xfId="0" applyFill="1" applyProtection="1"/>
    <xf numFmtId="0" fontId="0" fillId="0" borderId="80" xfId="0" applyBorder="1" applyProtection="1"/>
    <xf numFmtId="0" fontId="0" fillId="31" borderId="81" xfId="0" applyFill="1" applyBorder="1" applyProtection="1"/>
    <xf numFmtId="0" fontId="0" fillId="0" borderId="82" xfId="0" applyBorder="1" applyProtection="1"/>
    <xf numFmtId="14" fontId="0" fillId="33" borderId="83" xfId="0" applyNumberFormat="1" applyFill="1" applyBorder="1" applyAlignment="1" applyProtection="1">
      <alignment horizontal="left"/>
    </xf>
    <xf numFmtId="0" fontId="0" fillId="27" borderId="84" xfId="0" applyFill="1" applyBorder="1" applyProtection="1"/>
    <xf numFmtId="0" fontId="0" fillId="27" borderId="85" xfId="0" applyFill="1" applyBorder="1" applyProtection="1"/>
    <xf numFmtId="0" fontId="0" fillId="27" borderId="86" xfId="0" applyFill="1" applyBorder="1" applyProtection="1"/>
    <xf numFmtId="0" fontId="0" fillId="0" borderId="87" xfId="0" applyBorder="1" applyProtection="1"/>
    <xf numFmtId="0" fontId="0" fillId="32" borderId="88" xfId="0" applyFill="1" applyBorder="1" applyProtection="1"/>
    <xf numFmtId="0" fontId="0" fillId="0" borderId="89" xfId="0" applyBorder="1" applyProtection="1"/>
    <xf numFmtId="0" fontId="0" fillId="28" borderId="90" xfId="0" applyFill="1" applyBorder="1" applyProtection="1"/>
    <xf numFmtId="0" fontId="4" fillId="0" borderId="0" xfId="0" applyFont="1" applyBorder="1" applyProtection="1"/>
    <xf numFmtId="0" fontId="38" fillId="27" borderId="44" xfId="0" applyNumberFormat="1" applyFont="1" applyFill="1" applyBorder="1" applyAlignment="1" applyProtection="1">
      <alignment vertical="top"/>
    </xf>
    <xf numFmtId="0" fontId="38" fillId="27" borderId="29" xfId="0" applyNumberFormat="1" applyFont="1" applyFill="1" applyBorder="1" applyAlignment="1" applyProtection="1">
      <alignment vertical="top"/>
    </xf>
    <xf numFmtId="0" fontId="38" fillId="27" borderId="75" xfId="0" applyNumberFormat="1" applyFont="1" applyFill="1" applyBorder="1" applyAlignment="1" applyProtection="1">
      <alignment horizontal="center" vertical="top"/>
    </xf>
    <xf numFmtId="0" fontId="38" fillId="27" borderId="67" xfId="0" applyNumberFormat="1" applyFont="1" applyFill="1" applyBorder="1" applyAlignment="1" applyProtection="1">
      <alignment vertical="top"/>
    </xf>
    <xf numFmtId="0" fontId="38" fillId="27" borderId="40" xfId="0" applyNumberFormat="1" applyFont="1" applyFill="1" applyBorder="1" applyAlignment="1" applyProtection="1">
      <alignment vertical="top"/>
    </xf>
    <xf numFmtId="0" fontId="38" fillId="27" borderId="61" xfId="0" applyNumberFormat="1" applyFont="1" applyFill="1" applyBorder="1" applyAlignment="1" applyProtection="1">
      <alignment horizontal="center" vertical="top"/>
    </xf>
    <xf numFmtId="0" fontId="38" fillId="27" borderId="61" xfId="0" applyNumberFormat="1" applyFont="1" applyFill="1" applyBorder="1" applyAlignment="1" applyProtection="1">
      <alignment vertical="top"/>
    </xf>
    <xf numFmtId="0" fontId="38" fillId="27" borderId="62" xfId="0" applyNumberFormat="1" applyFont="1" applyFill="1" applyBorder="1" applyAlignment="1" applyProtection="1">
      <alignment vertical="top"/>
    </xf>
    <xf numFmtId="0" fontId="4" fillId="27" borderId="69" xfId="0" applyNumberFormat="1" applyFont="1" applyFill="1" applyBorder="1" applyAlignment="1" applyProtection="1">
      <alignment vertical="top"/>
    </xf>
    <xf numFmtId="0" fontId="38" fillId="24" borderId="18" xfId="0" applyNumberFormat="1" applyFont="1" applyFill="1" applyBorder="1" applyAlignment="1" applyProtection="1">
      <alignment horizontal="right" vertical="top"/>
    </xf>
    <xf numFmtId="0" fontId="38" fillId="24" borderId="39" xfId="0" applyNumberFormat="1" applyFont="1" applyFill="1" applyBorder="1" applyAlignment="1" applyProtection="1">
      <alignment vertical="top"/>
    </xf>
    <xf numFmtId="0" fontId="38" fillId="24" borderId="29" xfId="0" applyNumberFormat="1" applyFont="1" applyFill="1" applyBorder="1" applyAlignment="1" applyProtection="1">
      <alignment vertical="top"/>
    </xf>
    <xf numFmtId="0" fontId="38" fillId="24" borderId="31" xfId="0" applyNumberFormat="1" applyFont="1" applyFill="1" applyBorder="1" applyAlignment="1" applyProtection="1">
      <alignment vertical="top"/>
    </xf>
    <xf numFmtId="0" fontId="4" fillId="24" borderId="91" xfId="0" applyNumberFormat="1" applyFont="1" applyFill="1" applyBorder="1" applyAlignment="1" applyProtection="1">
      <alignment vertical="top"/>
    </xf>
    <xf numFmtId="0" fontId="0" fillId="0" borderId="0" xfId="0" applyFill="1" applyBorder="1" applyAlignment="1" applyProtection="1"/>
    <xf numFmtId="0" fontId="6" fillId="25" borderId="0" xfId="77" applyFill="1" applyAlignment="1" applyProtection="1"/>
    <xf numFmtId="0" fontId="0" fillId="25" borderId="92" xfId="0" applyFill="1" applyBorder="1" applyAlignment="1" applyProtection="1"/>
    <xf numFmtId="0" fontId="53" fillId="25" borderId="0" xfId="0" applyNumberFormat="1" applyFont="1" applyFill="1" applyAlignment="1" applyProtection="1">
      <alignment horizontal="left" vertical="top"/>
    </xf>
    <xf numFmtId="0" fontId="60" fillId="25" borderId="0" xfId="0" applyFont="1" applyFill="1" applyAlignment="1" applyProtection="1">
      <alignment horizontal="center" vertical="top"/>
    </xf>
    <xf numFmtId="0" fontId="2" fillId="34" borderId="13" xfId="0" applyNumberFormat="1" applyFont="1" applyFill="1" applyBorder="1" applyAlignment="1" applyProtection="1">
      <alignment vertical="top"/>
    </xf>
    <xf numFmtId="0" fontId="2" fillId="34" borderId="59" xfId="0" applyNumberFormat="1" applyFont="1" applyFill="1" applyBorder="1" applyAlignment="1" applyProtection="1">
      <alignment vertical="top"/>
    </xf>
    <xf numFmtId="0" fontId="2" fillId="34" borderId="61" xfId="0" applyNumberFormat="1" applyFont="1" applyFill="1" applyBorder="1" applyAlignment="1" applyProtection="1">
      <alignment vertical="top"/>
    </xf>
    <xf numFmtId="0" fontId="2" fillId="34" borderId="62" xfId="0" applyNumberFormat="1" applyFont="1" applyFill="1" applyBorder="1" applyAlignment="1" applyProtection="1">
      <alignment vertical="top"/>
    </xf>
    <xf numFmtId="14" fontId="2" fillId="29" borderId="13" xfId="0" applyNumberFormat="1" applyFont="1" applyFill="1" applyBorder="1" applyAlignment="1" applyProtection="1">
      <alignment horizontal="left" vertical="top"/>
      <protection locked="0"/>
    </xf>
    <xf numFmtId="3" fontId="38" fillId="29" borderId="66" xfId="0" applyNumberFormat="1" applyFont="1" applyFill="1" applyBorder="1" applyAlignment="1" applyProtection="1">
      <alignment vertical="top"/>
      <protection locked="0"/>
    </xf>
    <xf numFmtId="3" fontId="38" fillId="29" borderId="65" xfId="0" applyNumberFormat="1" applyFont="1" applyFill="1" applyBorder="1" applyAlignment="1" applyProtection="1">
      <alignment vertical="top"/>
      <protection locked="0"/>
    </xf>
    <xf numFmtId="169" fontId="38" fillId="29" borderId="13" xfId="0" applyNumberFormat="1" applyFont="1" applyFill="1" applyBorder="1" applyAlignment="1" applyProtection="1">
      <alignment vertical="top"/>
      <protection locked="0"/>
    </xf>
    <xf numFmtId="168" fontId="38" fillId="29" borderId="66" xfId="0" applyNumberFormat="1" applyFont="1" applyFill="1" applyBorder="1" applyAlignment="1" applyProtection="1">
      <alignment vertical="top"/>
      <protection locked="0"/>
    </xf>
    <xf numFmtId="168" fontId="38" fillId="29" borderId="65" xfId="0" applyNumberFormat="1" applyFont="1" applyFill="1" applyBorder="1" applyAlignment="1" applyProtection="1">
      <alignment vertical="top"/>
      <protection locked="0"/>
    </xf>
    <xf numFmtId="164" fontId="38" fillId="27" borderId="69" xfId="0" applyNumberFormat="1" applyFont="1" applyFill="1" applyBorder="1" applyAlignment="1" applyProtection="1">
      <alignment vertical="top"/>
    </xf>
    <xf numFmtId="164" fontId="38" fillId="27" borderId="93" xfId="0" applyNumberFormat="1" applyFont="1" applyFill="1" applyBorder="1" applyAlignment="1" applyProtection="1">
      <alignment vertical="top"/>
    </xf>
    <xf numFmtId="164" fontId="38" fillId="29" borderId="93" xfId="0" applyNumberFormat="1" applyFont="1" applyFill="1" applyBorder="1" applyAlignment="1" applyProtection="1">
      <alignment vertical="top"/>
      <protection locked="0"/>
    </xf>
    <xf numFmtId="3" fontId="38" fillId="29" borderId="13" xfId="0" applyNumberFormat="1" applyFont="1" applyFill="1" applyBorder="1" applyAlignment="1" applyProtection="1">
      <alignment vertical="top"/>
      <protection locked="0"/>
    </xf>
    <xf numFmtId="170" fontId="38" fillId="29" borderId="66" xfId="0" applyNumberFormat="1" applyFont="1" applyFill="1" applyBorder="1" applyAlignment="1" applyProtection="1">
      <alignment vertical="top"/>
      <protection locked="0"/>
    </xf>
    <xf numFmtId="170" fontId="38" fillId="29" borderId="65" xfId="0" applyNumberFormat="1" applyFont="1" applyFill="1" applyBorder="1" applyAlignment="1" applyProtection="1">
      <alignment vertical="top"/>
      <protection locked="0"/>
    </xf>
    <xf numFmtId="170" fontId="38" fillId="29" borderId="94" xfId="0" applyNumberFormat="1" applyFont="1" applyFill="1" applyBorder="1" applyAlignment="1" applyProtection="1">
      <alignment vertical="top"/>
      <protection locked="0"/>
    </xf>
    <xf numFmtId="170" fontId="38" fillId="29" borderId="13" xfId="0" applyNumberFormat="1" applyFont="1" applyFill="1" applyBorder="1" applyAlignment="1" applyProtection="1">
      <alignment vertical="top"/>
      <protection locked="0"/>
    </xf>
    <xf numFmtId="164" fontId="4" fillId="27" borderId="69" xfId="0" applyNumberFormat="1" applyFont="1" applyFill="1" applyBorder="1" applyAlignment="1" applyProtection="1">
      <alignment vertical="top"/>
    </xf>
    <xf numFmtId="165" fontId="38" fillId="27" borderId="66" xfId="84" applyNumberFormat="1" applyFont="1" applyFill="1" applyBorder="1" applyAlignment="1" applyProtection="1">
      <alignment vertical="top"/>
    </xf>
    <xf numFmtId="165" fontId="38" fillId="27" borderId="64" xfId="84" applyNumberFormat="1" applyFont="1" applyFill="1" applyBorder="1" applyAlignment="1" applyProtection="1">
      <alignment vertical="top"/>
    </xf>
    <xf numFmtId="3" fontId="38" fillId="27" borderId="66" xfId="0" applyNumberFormat="1" applyFont="1" applyFill="1" applyBorder="1" applyAlignment="1" applyProtection="1">
      <alignment vertical="top"/>
    </xf>
    <xf numFmtId="3" fontId="38" fillId="29" borderId="64" xfId="0" applyNumberFormat="1" applyFont="1" applyFill="1" applyBorder="1" applyAlignment="1" applyProtection="1">
      <alignment vertical="top"/>
      <protection locked="0"/>
    </xf>
    <xf numFmtId="165" fontId="4" fillId="27" borderId="13" xfId="0" applyNumberFormat="1" applyFont="1" applyFill="1" applyBorder="1" applyAlignment="1" applyProtection="1">
      <alignment vertical="top"/>
    </xf>
    <xf numFmtId="165" fontId="38" fillId="27" borderId="13" xfId="84" applyNumberFormat="1" applyFont="1" applyFill="1" applyBorder="1" applyAlignment="1" applyProtection="1">
      <alignment vertical="top"/>
    </xf>
    <xf numFmtId="165" fontId="38" fillId="27" borderId="11" xfId="0" applyNumberFormat="1" applyFont="1" applyFill="1" applyBorder="1" applyAlignment="1" applyProtection="1">
      <alignment vertical="top"/>
    </xf>
    <xf numFmtId="165" fontId="38" fillId="27" borderId="27" xfId="0" applyNumberFormat="1" applyFont="1" applyFill="1" applyBorder="1" applyAlignment="1" applyProtection="1">
      <alignment vertical="top"/>
    </xf>
    <xf numFmtId="165" fontId="38" fillId="27" borderId="13" xfId="0" applyNumberFormat="1" applyFont="1" applyFill="1" applyBorder="1" applyAlignment="1" applyProtection="1">
      <alignment vertical="top"/>
    </xf>
    <xf numFmtId="165" fontId="38" fillId="30" borderId="13" xfId="0" applyNumberFormat="1" applyFont="1" applyFill="1" applyBorder="1" applyAlignment="1" applyProtection="1">
      <alignment vertical="top"/>
      <protection locked="0"/>
    </xf>
    <xf numFmtId="165" fontId="38" fillId="29" borderId="13" xfId="0" applyNumberFormat="1" applyFont="1" applyFill="1" applyBorder="1" applyAlignment="1" applyProtection="1">
      <alignment vertical="top"/>
      <protection locked="0"/>
    </xf>
    <xf numFmtId="165" fontId="4" fillId="27" borderId="54" xfId="0" applyNumberFormat="1" applyFont="1" applyFill="1" applyBorder="1" applyAlignment="1" applyProtection="1">
      <alignment vertical="top"/>
    </xf>
    <xf numFmtId="165" fontId="4" fillId="27" borderId="56" xfId="0" applyNumberFormat="1" applyFont="1" applyFill="1" applyBorder="1" applyAlignment="1" applyProtection="1">
      <alignment vertical="top"/>
    </xf>
    <xf numFmtId="165" fontId="38" fillId="27" borderId="97" xfId="0" applyNumberFormat="1" applyFont="1" applyFill="1" applyBorder="1" applyAlignment="1" applyProtection="1">
      <alignment vertical="top"/>
    </xf>
    <xf numFmtId="164" fontId="38" fillId="29" borderId="66" xfId="0" applyNumberFormat="1" applyFont="1" applyFill="1" applyBorder="1" applyAlignment="1" applyProtection="1">
      <alignment vertical="top"/>
      <protection locked="0"/>
    </xf>
    <xf numFmtId="164" fontId="38" fillId="29" borderId="64" xfId="0" applyNumberFormat="1" applyFont="1" applyFill="1" applyBorder="1" applyAlignment="1" applyProtection="1">
      <alignment vertical="top"/>
      <protection locked="0"/>
    </xf>
    <xf numFmtId="164" fontId="38" fillId="27" borderId="66" xfId="0" applyNumberFormat="1" applyFont="1" applyFill="1" applyBorder="1" applyAlignment="1" applyProtection="1">
      <alignment vertical="top"/>
    </xf>
    <xf numFmtId="165" fontId="38" fillId="27" borderId="65" xfId="0" applyNumberFormat="1" applyFont="1" applyFill="1" applyBorder="1" applyAlignment="1" applyProtection="1">
      <alignment vertical="top"/>
    </xf>
    <xf numFmtId="164" fontId="38" fillId="27" borderId="13" xfId="0" applyNumberFormat="1" applyFont="1" applyFill="1" applyBorder="1" applyAlignment="1" applyProtection="1">
      <alignment vertical="top"/>
    </xf>
    <xf numFmtId="164" fontId="38" fillId="29" borderId="13" xfId="0" applyNumberFormat="1" applyFont="1" applyFill="1" applyBorder="1" applyAlignment="1" applyProtection="1">
      <alignment vertical="top"/>
      <protection locked="0"/>
    </xf>
    <xf numFmtId="165" fontId="38" fillId="29" borderId="11" xfId="0" applyNumberFormat="1" applyFont="1" applyFill="1" applyBorder="1" applyAlignment="1" applyProtection="1">
      <alignment vertical="top"/>
      <protection locked="0"/>
    </xf>
    <xf numFmtId="164" fontId="58" fillId="27" borderId="97" xfId="0" applyNumberFormat="1" applyFont="1" applyFill="1" applyBorder="1" applyAlignment="1" applyProtection="1">
      <alignment vertical="top"/>
    </xf>
    <xf numFmtId="164" fontId="38" fillId="27" borderId="94" xfId="0" applyNumberFormat="1" applyFont="1" applyFill="1" applyBorder="1" applyAlignment="1" applyProtection="1">
      <alignment vertical="top"/>
    </xf>
    <xf numFmtId="165" fontId="38" fillId="27" borderId="94" xfId="0" applyNumberFormat="1" applyFont="1" applyFill="1" applyBorder="1" applyAlignment="1" applyProtection="1">
      <alignment vertical="top"/>
    </xf>
    <xf numFmtId="165" fontId="38" fillId="27" borderId="66" xfId="0" applyNumberFormat="1" applyFont="1" applyFill="1" applyBorder="1" applyAlignment="1" applyProtection="1">
      <alignment vertical="top"/>
    </xf>
    <xf numFmtId="165" fontId="38" fillId="27" borderId="64" xfId="0" applyNumberFormat="1" applyFont="1" applyFill="1" applyBorder="1" applyAlignment="1" applyProtection="1">
      <alignment vertical="top"/>
    </xf>
    <xf numFmtId="165" fontId="38" fillId="29" borderId="66" xfId="0" applyNumberFormat="1" applyFont="1" applyFill="1" applyBorder="1" applyAlignment="1" applyProtection="1">
      <alignment vertical="top"/>
      <protection locked="0"/>
    </xf>
    <xf numFmtId="165" fontId="38" fillId="29" borderId="65" xfId="0" applyNumberFormat="1" applyFont="1" applyFill="1" applyBorder="1" applyAlignment="1" applyProtection="1">
      <alignment vertical="top"/>
      <protection locked="0"/>
    </xf>
    <xf numFmtId="165" fontId="38" fillId="29" borderId="64" xfId="0" applyNumberFormat="1" applyFont="1" applyFill="1" applyBorder="1" applyAlignment="1" applyProtection="1">
      <alignment vertical="top"/>
      <protection locked="0"/>
    </xf>
    <xf numFmtId="165" fontId="38" fillId="27" borderId="99" xfId="0" applyNumberFormat="1" applyFont="1" applyFill="1" applyBorder="1" applyAlignment="1" applyProtection="1">
      <alignment vertical="top"/>
    </xf>
    <xf numFmtId="164" fontId="38" fillId="27" borderId="64" xfId="0" applyNumberFormat="1" applyFont="1" applyFill="1" applyBorder="1" applyAlignment="1" applyProtection="1">
      <alignment vertical="top"/>
    </xf>
    <xf numFmtId="165" fontId="38" fillId="29" borderId="24" xfId="0" applyNumberFormat="1" applyFont="1" applyFill="1" applyBorder="1" applyAlignment="1" applyProtection="1">
      <alignment vertical="top"/>
      <protection locked="0"/>
    </xf>
    <xf numFmtId="165" fontId="38" fillId="29" borderId="21" xfId="0" applyNumberFormat="1" applyFont="1" applyFill="1" applyBorder="1" applyAlignment="1" applyProtection="1">
      <alignment vertical="top"/>
      <protection locked="0"/>
    </xf>
    <xf numFmtId="165" fontId="38" fillId="29" borderId="20" xfId="0" applyNumberFormat="1" applyFont="1" applyFill="1" applyBorder="1" applyAlignment="1" applyProtection="1">
      <alignment vertical="top"/>
      <protection locked="0"/>
    </xf>
    <xf numFmtId="164" fontId="38" fillId="25" borderId="24" xfId="0" applyNumberFormat="1" applyFont="1" applyFill="1" applyBorder="1" applyAlignment="1" applyProtection="1">
      <alignment horizontal="right" vertical="top"/>
    </xf>
    <xf numFmtId="164" fontId="38" fillId="25" borderId="21" xfId="0" applyNumberFormat="1" applyFont="1" applyFill="1" applyBorder="1" applyAlignment="1" applyProtection="1">
      <alignment horizontal="right" vertical="top"/>
    </xf>
    <xf numFmtId="164" fontId="38" fillId="25" borderId="20" xfId="0" applyNumberFormat="1" applyFont="1" applyFill="1" applyBorder="1" applyAlignment="1" applyProtection="1">
      <alignment horizontal="right" vertical="top"/>
    </xf>
    <xf numFmtId="0" fontId="2" fillId="25" borderId="0" xfId="0" applyFont="1" applyFill="1" applyAlignment="1" applyProtection="1">
      <alignment horizontal="right" vertical="top"/>
    </xf>
    <xf numFmtId="0" fontId="2" fillId="25" borderId="0" xfId="0" applyFont="1" applyFill="1" applyAlignment="1" applyProtection="1">
      <alignment horizontal="right" indent="1"/>
    </xf>
    <xf numFmtId="0" fontId="2" fillId="25" borderId="0" xfId="0" applyFont="1" applyFill="1" applyAlignment="1" applyProtection="1">
      <alignment horizontal="right" vertical="top" indent="1"/>
    </xf>
    <xf numFmtId="0" fontId="0" fillId="25" borderId="0" xfId="0" applyFill="1" applyAlignment="1" applyProtection="1">
      <alignment horizontal="right"/>
    </xf>
    <xf numFmtId="0" fontId="4" fillId="25" borderId="25" xfId="0" applyFont="1" applyFill="1" applyBorder="1" applyAlignment="1" applyProtection="1">
      <alignment horizontal="center" vertical="top"/>
    </xf>
    <xf numFmtId="0" fontId="38" fillId="24" borderId="91" xfId="0" applyNumberFormat="1" applyFont="1" applyFill="1" applyBorder="1" applyAlignment="1" applyProtection="1">
      <alignment vertical="top"/>
    </xf>
    <xf numFmtId="0" fontId="38" fillId="24" borderId="13" xfId="0" applyNumberFormat="1" applyFont="1" applyFill="1" applyBorder="1" applyAlignment="1" applyProtection="1">
      <alignment horizontal="center" vertical="top"/>
    </xf>
    <xf numFmtId="0" fontId="38" fillId="24" borderId="84" xfId="0" applyNumberFormat="1" applyFont="1" applyFill="1" applyBorder="1" applyAlignment="1" applyProtection="1">
      <alignment vertical="top"/>
    </xf>
    <xf numFmtId="0" fontId="38" fillId="24" borderId="86" xfId="0" applyNumberFormat="1" applyFont="1" applyFill="1" applyBorder="1" applyAlignment="1" applyProtection="1">
      <alignment vertical="top"/>
    </xf>
    <xf numFmtId="0" fontId="38" fillId="24" borderId="69" xfId="0" applyNumberFormat="1" applyFont="1" applyFill="1" applyBorder="1" applyAlignment="1" applyProtection="1">
      <alignment horizontal="center" vertical="top"/>
    </xf>
    <xf numFmtId="0" fontId="4" fillId="24" borderId="13" xfId="0" applyNumberFormat="1" applyFont="1" applyFill="1" applyBorder="1" applyAlignment="1" applyProtection="1">
      <alignment horizontal="center" vertical="top"/>
    </xf>
    <xf numFmtId="0" fontId="2" fillId="24" borderId="13" xfId="0" applyFont="1" applyFill="1" applyBorder="1" applyAlignment="1" applyProtection="1"/>
    <xf numFmtId="0" fontId="38" fillId="30" borderId="0" xfId="0" applyNumberFormat="1" applyFont="1" applyFill="1" applyBorder="1" applyAlignment="1" applyProtection="1">
      <alignment vertical="top"/>
    </xf>
    <xf numFmtId="0" fontId="0" fillId="25" borderId="0" xfId="0" applyFill="1" applyBorder="1" applyAlignment="1" applyProtection="1">
      <alignment horizontal="left" vertical="top"/>
    </xf>
    <xf numFmtId="165" fontId="38" fillId="27" borderId="54" xfId="0" applyNumberFormat="1" applyFont="1" applyFill="1" applyBorder="1" applyAlignment="1" applyProtection="1">
      <alignment vertical="top"/>
    </xf>
    <xf numFmtId="0" fontId="4" fillId="25" borderId="0" xfId="0" applyFont="1" applyFill="1" applyBorder="1" applyAlignment="1" applyProtection="1">
      <alignment horizontal="center" vertical="top"/>
    </xf>
    <xf numFmtId="0" fontId="0" fillId="25" borderId="0" xfId="0" applyFill="1" applyBorder="1" applyAlignment="1" applyProtection="1">
      <alignment horizontal="center" vertical="top" wrapText="1"/>
    </xf>
    <xf numFmtId="0" fontId="31" fillId="25" borderId="0" xfId="0" applyFont="1" applyFill="1" applyBorder="1" applyProtection="1"/>
    <xf numFmtId="0" fontId="30" fillId="25" borderId="0" xfId="0" applyFont="1" applyFill="1" applyBorder="1" applyProtection="1"/>
    <xf numFmtId="0" fontId="9" fillId="25" borderId="0" xfId="0" applyFont="1" applyFill="1" applyBorder="1" applyAlignment="1" applyProtection="1">
      <alignment vertical="top"/>
    </xf>
    <xf numFmtId="49" fontId="2" fillId="29" borderId="13" xfId="0" applyNumberFormat="1" applyFont="1" applyFill="1" applyBorder="1" applyAlignment="1" applyProtection="1">
      <alignment horizontal="center" vertical="top"/>
      <protection locked="0"/>
    </xf>
    <xf numFmtId="0" fontId="48" fillId="0" borderId="0" xfId="0" applyNumberFormat="1" applyFont="1" applyFill="1" applyBorder="1" applyAlignment="1" applyProtection="1">
      <alignment vertical="top"/>
    </xf>
    <xf numFmtId="164" fontId="38" fillId="27" borderId="64" xfId="0" applyNumberFormat="1" applyFont="1" applyFill="1" applyBorder="1" applyAlignment="1" applyProtection="1">
      <alignment horizontal="right" vertical="top"/>
    </xf>
    <xf numFmtId="164" fontId="58" fillId="27" borderId="65" xfId="0" applyNumberFormat="1" applyFont="1" applyFill="1" applyBorder="1" applyAlignment="1" applyProtection="1">
      <alignment horizontal="right" vertical="top"/>
    </xf>
    <xf numFmtId="164" fontId="38" fillId="27" borderId="65" xfId="0" applyNumberFormat="1" applyFont="1" applyFill="1" applyBorder="1" applyAlignment="1" applyProtection="1">
      <alignment horizontal="right" vertical="top"/>
    </xf>
    <xf numFmtId="164" fontId="38" fillId="27" borderId="97" xfId="0" applyNumberFormat="1" applyFont="1" applyFill="1" applyBorder="1" applyAlignment="1" applyProtection="1">
      <alignment horizontal="right" vertical="top"/>
    </xf>
    <xf numFmtId="0" fontId="0" fillId="25" borderId="0" xfId="0" applyFill="1" applyBorder="1" applyAlignment="1" applyProtection="1">
      <alignment horizontal="center" vertical="top"/>
    </xf>
    <xf numFmtId="0" fontId="38" fillId="29" borderId="10" xfId="0" applyNumberFormat="1" applyFont="1" applyFill="1" applyBorder="1" applyAlignment="1" applyProtection="1">
      <alignment vertical="top"/>
      <protection locked="0"/>
    </xf>
    <xf numFmtId="0" fontId="36" fillId="25" borderId="0" xfId="0" applyFont="1" applyFill="1" applyBorder="1" applyAlignment="1" applyProtection="1"/>
    <xf numFmtId="0" fontId="2" fillId="25" borderId="0" xfId="0" applyFont="1" applyFill="1" applyBorder="1" applyAlignment="1" applyProtection="1">
      <alignment vertical="top"/>
    </xf>
    <xf numFmtId="0" fontId="38" fillId="24" borderId="85" xfId="0" applyNumberFormat="1" applyFont="1" applyFill="1" applyBorder="1" applyAlignment="1" applyProtection="1">
      <alignment vertical="top"/>
    </xf>
    <xf numFmtId="0" fontId="2" fillId="24" borderId="0" xfId="0" applyFont="1" applyFill="1" applyAlignment="1" applyProtection="1">
      <alignment horizontal="right"/>
    </xf>
    <xf numFmtId="0" fontId="2" fillId="24" borderId="0" xfId="0" applyFont="1" applyFill="1" applyAlignment="1" applyProtection="1">
      <alignment horizontal="center"/>
    </xf>
    <xf numFmtId="0" fontId="4" fillId="25" borderId="18" xfId="0" applyNumberFormat="1" applyFont="1" applyFill="1" applyBorder="1" applyAlignment="1" applyProtection="1">
      <alignment horizontal="right" indent="1"/>
    </xf>
    <xf numFmtId="0" fontId="54" fillId="27" borderId="26" xfId="0" applyNumberFormat="1" applyFont="1" applyFill="1" applyBorder="1" applyAlignment="1" applyProtection="1">
      <alignment vertical="top"/>
    </xf>
    <xf numFmtId="0" fontId="55" fillId="25" borderId="63" xfId="0" applyNumberFormat="1" applyFont="1" applyFill="1" applyBorder="1" applyAlignment="1" applyProtection="1">
      <alignment wrapText="1"/>
    </xf>
    <xf numFmtId="0" fontId="55" fillId="25" borderId="11" xfId="0" applyNumberFormat="1" applyFont="1" applyFill="1" applyBorder="1" applyAlignment="1" applyProtection="1">
      <alignment horizontal="center" wrapText="1"/>
    </xf>
    <xf numFmtId="0" fontId="55" fillId="25" borderId="25" xfId="0" applyNumberFormat="1" applyFont="1" applyFill="1" applyBorder="1" applyAlignment="1" applyProtection="1">
      <alignment horizontal="right" wrapText="1"/>
    </xf>
    <xf numFmtId="0" fontId="4" fillId="25" borderId="18" xfId="0" applyNumberFormat="1" applyFont="1" applyFill="1" applyBorder="1" applyAlignment="1" applyProtection="1">
      <alignment horizontal="right" wrapText="1"/>
    </xf>
    <xf numFmtId="0" fontId="38" fillId="27" borderId="99" xfId="0" applyNumberFormat="1" applyFont="1" applyFill="1" applyBorder="1" applyAlignment="1" applyProtection="1">
      <alignment horizontal="center" vertical="top"/>
    </xf>
    <xf numFmtId="0" fontId="38" fillId="27" borderId="100" xfId="0" applyNumberFormat="1" applyFont="1" applyFill="1" applyBorder="1" applyAlignment="1" applyProtection="1">
      <alignment horizontal="center" vertical="top"/>
    </xf>
    <xf numFmtId="0" fontId="38" fillId="27" borderId="101" xfId="0" applyNumberFormat="1" applyFont="1" applyFill="1" applyBorder="1" applyAlignment="1" applyProtection="1">
      <alignment horizontal="center" vertical="top"/>
    </xf>
    <xf numFmtId="0" fontId="38" fillId="29" borderId="66" xfId="0" applyNumberFormat="1" applyFont="1" applyFill="1" applyBorder="1" applyAlignment="1" applyProtection="1">
      <alignment horizontal="center" vertical="top"/>
      <protection locked="0"/>
    </xf>
    <xf numFmtId="0" fontId="38" fillId="29" borderId="65" xfId="0" applyNumberFormat="1" applyFont="1" applyFill="1" applyBorder="1" applyAlignment="1" applyProtection="1">
      <alignment horizontal="center" vertical="top"/>
      <protection locked="0"/>
    </xf>
    <xf numFmtId="0" fontId="38" fillId="29" borderId="64" xfId="0" applyNumberFormat="1" applyFont="1" applyFill="1" applyBorder="1" applyAlignment="1" applyProtection="1">
      <alignment horizontal="center" vertical="top"/>
      <protection locked="0"/>
    </xf>
    <xf numFmtId="0" fontId="38" fillId="27" borderId="69" xfId="0" applyNumberFormat="1" applyFont="1" applyFill="1" applyBorder="1" applyAlignment="1" applyProtection="1">
      <alignment vertical="top"/>
    </xf>
    <xf numFmtId="0" fontId="4" fillId="25" borderId="25" xfId="0" applyNumberFormat="1" applyFont="1" applyFill="1" applyBorder="1" applyAlignment="1" applyProtection="1">
      <alignment horizontal="right"/>
    </xf>
    <xf numFmtId="0" fontId="41" fillId="27" borderId="27" xfId="0" applyNumberFormat="1" applyFont="1" applyFill="1" applyBorder="1" applyAlignment="1" applyProtection="1">
      <alignment vertical="top"/>
    </xf>
    <xf numFmtId="0" fontId="41" fillId="27" borderId="66" xfId="0" applyNumberFormat="1" applyFont="1" applyFill="1" applyBorder="1" applyAlignment="1" applyProtection="1">
      <alignment vertical="top"/>
    </xf>
    <xf numFmtId="0" fontId="41" fillId="27" borderId="26" xfId="0" applyNumberFormat="1" applyFont="1" applyFill="1" applyBorder="1" applyAlignment="1" applyProtection="1">
      <alignment vertical="top"/>
    </xf>
    <xf numFmtId="0" fontId="38" fillId="27" borderId="33" xfId="0" applyNumberFormat="1" applyFont="1" applyFill="1" applyBorder="1" applyAlignment="1" applyProtection="1">
      <alignment vertical="top"/>
    </xf>
    <xf numFmtId="0" fontId="38" fillId="27" borderId="35" xfId="0" applyNumberFormat="1" applyFont="1" applyFill="1" applyBorder="1" applyAlignment="1" applyProtection="1">
      <alignment vertical="top"/>
    </xf>
    <xf numFmtId="0" fontId="38" fillId="27" borderId="38" xfId="0" applyNumberFormat="1" applyFont="1" applyFill="1" applyBorder="1" applyAlignment="1" applyProtection="1">
      <alignment vertical="top"/>
    </xf>
    <xf numFmtId="0" fontId="38" fillId="0" borderId="102" xfId="0" applyNumberFormat="1" applyFont="1" applyFill="1" applyBorder="1" applyAlignment="1" applyProtection="1">
      <alignment vertical="top"/>
    </xf>
    <xf numFmtId="166" fontId="4" fillId="27" borderId="69" xfId="0" applyNumberFormat="1" applyFont="1" applyFill="1" applyBorder="1" applyAlignment="1" applyProtection="1">
      <alignment vertical="top"/>
    </xf>
    <xf numFmtId="0" fontId="0" fillId="35" borderId="0" xfId="0" applyFill="1" applyProtection="1"/>
    <xf numFmtId="0" fontId="4" fillId="25" borderId="93" xfId="0" applyNumberFormat="1" applyFont="1" applyFill="1" applyBorder="1" applyAlignment="1" applyProtection="1">
      <alignment horizontal="right" vertical="top"/>
    </xf>
    <xf numFmtId="0" fontId="4" fillId="25" borderId="0" xfId="0" applyFont="1" applyFill="1" applyBorder="1" applyAlignment="1" applyProtection="1">
      <alignment vertical="top"/>
    </xf>
    <xf numFmtId="0" fontId="2" fillId="25" borderId="0" xfId="0" applyNumberFormat="1" applyFont="1" applyFill="1" applyBorder="1" applyAlignment="1" applyProtection="1">
      <alignment vertical="top"/>
    </xf>
    <xf numFmtId="0" fontId="4" fillId="25" borderId="19" xfId="0" applyNumberFormat="1" applyFont="1" applyFill="1" applyBorder="1" applyAlignment="1" applyProtection="1">
      <alignment horizontal="center" vertical="top" wrapText="1"/>
    </xf>
    <xf numFmtId="0" fontId="42" fillId="25" borderId="0" xfId="0" applyFont="1" applyFill="1" applyAlignment="1" applyProtection="1">
      <alignment vertical="center"/>
    </xf>
    <xf numFmtId="0" fontId="38" fillId="24" borderId="0" xfId="0" applyNumberFormat="1" applyFont="1" applyFill="1" applyBorder="1" applyAlignment="1" applyProtection="1">
      <alignment horizontal="center" vertical="center"/>
    </xf>
    <xf numFmtId="0" fontId="0" fillId="25" borderId="0" xfId="0" applyFill="1" applyAlignment="1" applyProtection="1">
      <alignment horizontal="center" vertical="center"/>
    </xf>
    <xf numFmtId="0" fontId="2" fillId="25" borderId="0" xfId="0" applyFont="1" applyFill="1" applyAlignment="1" applyProtection="1">
      <alignment horizontal="center" vertical="center"/>
    </xf>
    <xf numFmtId="0" fontId="2" fillId="24" borderId="0" xfId="0" applyFont="1" applyFill="1" applyAlignment="1" applyProtection="1">
      <alignment horizontal="center" vertical="center"/>
    </xf>
    <xf numFmtId="0" fontId="38" fillId="0" borderId="75" xfId="0" applyNumberFormat="1" applyFont="1" applyFill="1" applyBorder="1" applyAlignment="1" applyProtection="1">
      <alignment vertical="top"/>
    </xf>
    <xf numFmtId="0" fontId="28" fillId="25" borderId="0" xfId="0" applyFont="1" applyFill="1" applyBorder="1" applyAlignment="1" applyProtection="1">
      <alignment horizontal="center" vertical="top"/>
    </xf>
    <xf numFmtId="0" fontId="4" fillId="25" borderId="0" xfId="77" applyFont="1" applyFill="1" applyBorder="1" applyAlignment="1" applyProtection="1">
      <alignment vertical="top"/>
    </xf>
    <xf numFmtId="0" fontId="2" fillId="25" borderId="0" xfId="0" applyFont="1" applyFill="1" applyBorder="1" applyAlignment="1" applyProtection="1">
      <alignment horizontal="center" vertical="top"/>
    </xf>
    <xf numFmtId="0" fontId="6" fillId="25" borderId="0" xfId="77" applyFill="1" applyBorder="1" applyAlignment="1" applyProtection="1">
      <alignment horizontal="center" vertical="top"/>
    </xf>
    <xf numFmtId="0" fontId="0" fillId="25" borderId="103" xfId="0" applyFill="1" applyBorder="1" applyAlignment="1" applyProtection="1">
      <alignment vertical="top"/>
    </xf>
    <xf numFmtId="0" fontId="0" fillId="25" borderId="52" xfId="0" applyFill="1" applyBorder="1" applyAlignment="1" applyProtection="1">
      <alignment vertical="top"/>
    </xf>
    <xf numFmtId="0" fontId="0" fillId="25" borderId="74" xfId="0" applyFill="1" applyBorder="1" applyAlignment="1" applyProtection="1">
      <alignment vertical="top"/>
    </xf>
    <xf numFmtId="0" fontId="0" fillId="27" borderId="52" xfId="0" applyFill="1" applyBorder="1" applyAlignment="1" applyProtection="1">
      <alignment vertical="top"/>
    </xf>
    <xf numFmtId="0" fontId="0" fillId="27" borderId="104" xfId="0" applyFill="1" applyBorder="1" applyAlignment="1" applyProtection="1">
      <alignment vertical="top"/>
    </xf>
    <xf numFmtId="0" fontId="0" fillId="25" borderId="67" xfId="0" applyFill="1" applyBorder="1" applyAlignment="1" applyProtection="1">
      <alignment vertical="top"/>
    </xf>
    <xf numFmtId="0" fontId="0" fillId="25" borderId="40" xfId="0" applyFill="1" applyBorder="1" applyAlignment="1" applyProtection="1">
      <alignment vertical="top"/>
    </xf>
    <xf numFmtId="0" fontId="0" fillId="25" borderId="48" xfId="0" applyFill="1" applyBorder="1" applyAlignment="1" applyProtection="1">
      <alignment vertical="top"/>
    </xf>
    <xf numFmtId="0" fontId="0" fillId="27" borderId="40" xfId="0" applyFill="1" applyBorder="1" applyAlignment="1" applyProtection="1">
      <alignment vertical="top"/>
    </xf>
    <xf numFmtId="0" fontId="0" fillId="27" borderId="41" xfId="0" applyFill="1" applyBorder="1" applyAlignment="1" applyProtection="1">
      <alignment vertical="top"/>
    </xf>
    <xf numFmtId="0" fontId="0" fillId="25" borderId="12" xfId="0" applyFill="1" applyBorder="1" applyAlignment="1" applyProtection="1">
      <alignment vertical="top"/>
    </xf>
    <xf numFmtId="0" fontId="4" fillId="25" borderId="19" xfId="0" applyNumberFormat="1" applyFont="1" applyFill="1" applyBorder="1" applyAlignment="1" applyProtection="1">
      <alignment horizontal="right" vertical="top"/>
    </xf>
    <xf numFmtId="0" fontId="2" fillId="24" borderId="0" xfId="0" applyNumberFormat="1" applyFont="1" applyFill="1" applyBorder="1" applyAlignment="1" applyProtection="1">
      <alignment vertical="top"/>
    </xf>
    <xf numFmtId="0" fontId="2" fillId="38" borderId="0" xfId="0" applyFont="1" applyFill="1" applyProtection="1"/>
    <xf numFmtId="0" fontId="2" fillId="24" borderId="105" xfId="0" applyNumberFormat="1" applyFont="1" applyFill="1" applyBorder="1" applyAlignment="1" applyProtection="1">
      <alignment vertical="top"/>
    </xf>
    <xf numFmtId="0" fontId="2" fillId="25" borderId="0" xfId="0" applyNumberFormat="1" applyFont="1" applyFill="1" applyBorder="1" applyAlignment="1" applyProtection="1">
      <alignment horizontal="right" vertical="top"/>
    </xf>
    <xf numFmtId="0" fontId="38" fillId="24" borderId="18" xfId="0" applyNumberFormat="1" applyFont="1" applyFill="1" applyBorder="1" applyAlignment="1" applyProtection="1">
      <alignment horizontal="center" vertical="top"/>
    </xf>
    <xf numFmtId="164" fontId="2" fillId="27" borderId="13" xfId="0" applyNumberFormat="1" applyFont="1" applyFill="1" applyBorder="1" applyAlignment="1" applyProtection="1">
      <alignment vertical="top"/>
    </xf>
    <xf numFmtId="0" fontId="38" fillId="24" borderId="106" xfId="0" applyNumberFormat="1" applyFont="1" applyFill="1" applyBorder="1" applyAlignment="1" applyProtection="1">
      <alignment horizontal="center" vertical="top"/>
    </xf>
    <xf numFmtId="0" fontId="38" fillId="24" borderId="25" xfId="0" applyNumberFormat="1" applyFont="1" applyFill="1" applyBorder="1" applyAlignment="1" applyProtection="1">
      <alignment horizontal="center" vertical="top"/>
    </xf>
    <xf numFmtId="0" fontId="38" fillId="39" borderId="0" xfId="0" applyNumberFormat="1" applyFont="1" applyFill="1" applyBorder="1" applyAlignment="1" applyProtection="1">
      <alignment vertical="top"/>
    </xf>
    <xf numFmtId="0" fontId="4" fillId="25" borderId="0" xfId="0" applyNumberFormat="1" applyFont="1" applyFill="1" applyBorder="1" applyAlignment="1" applyProtection="1">
      <alignment horizontal="center" vertical="top"/>
    </xf>
    <xf numFmtId="0" fontId="4" fillId="25" borderId="11" xfId="0" applyNumberFormat="1" applyFont="1" applyFill="1" applyBorder="1" applyAlignment="1" applyProtection="1">
      <alignment horizontal="right" vertical="top"/>
    </xf>
    <xf numFmtId="165" fontId="38" fillId="40" borderId="13" xfId="0" applyNumberFormat="1" applyFont="1" applyFill="1" applyBorder="1" applyAlignment="1" applyProtection="1">
      <alignment vertical="top"/>
    </xf>
    <xf numFmtId="0" fontId="38" fillId="41" borderId="20" xfId="0" applyNumberFormat="1" applyFont="1" applyFill="1" applyBorder="1" applyAlignment="1" applyProtection="1">
      <alignment horizontal="center" vertical="top"/>
    </xf>
    <xf numFmtId="0" fontId="38" fillId="41" borderId="21" xfId="0" applyNumberFormat="1" applyFont="1" applyFill="1" applyBorder="1" applyAlignment="1" applyProtection="1">
      <alignment horizontal="center" vertical="top"/>
    </xf>
    <xf numFmtId="0" fontId="38" fillId="41" borderId="24" xfId="0" applyNumberFormat="1" applyFont="1" applyFill="1" applyBorder="1" applyAlignment="1" applyProtection="1">
      <alignment horizontal="center" vertical="top"/>
    </xf>
    <xf numFmtId="0" fontId="2" fillId="39" borderId="0" xfId="0" applyNumberFormat="1" applyFont="1" applyFill="1" applyBorder="1" applyAlignment="1" applyProtection="1">
      <alignment vertical="top"/>
    </xf>
    <xf numFmtId="0" fontId="38" fillId="39" borderId="13" xfId="0" applyNumberFormat="1" applyFont="1" applyFill="1" applyBorder="1" applyAlignment="1" applyProtection="1">
      <alignment vertical="top"/>
    </xf>
    <xf numFmtId="0" fontId="38" fillId="24" borderId="76" xfId="0" applyNumberFormat="1" applyFont="1" applyFill="1" applyBorder="1" applyAlignment="1" applyProtection="1">
      <alignment vertical="top"/>
    </xf>
    <xf numFmtId="0" fontId="38" fillId="24" borderId="44" xfId="0" applyNumberFormat="1" applyFont="1" applyFill="1" applyBorder="1" applyAlignment="1" applyProtection="1">
      <alignment vertical="top"/>
    </xf>
    <xf numFmtId="0" fontId="38" fillId="24" borderId="75" xfId="0" applyNumberFormat="1" applyFont="1" applyFill="1" applyBorder="1" applyAlignment="1" applyProtection="1">
      <alignment vertical="top"/>
    </xf>
    <xf numFmtId="0" fontId="38" fillId="24" borderId="77" xfId="0" applyNumberFormat="1" applyFont="1" applyFill="1" applyBorder="1" applyAlignment="1" applyProtection="1">
      <alignment vertical="top"/>
    </xf>
    <xf numFmtId="0" fontId="38" fillId="24" borderId="78" xfId="0" applyNumberFormat="1" applyFont="1" applyFill="1" applyBorder="1" applyAlignment="1" applyProtection="1">
      <alignment vertical="top"/>
    </xf>
    <xf numFmtId="0" fontId="38" fillId="24" borderId="79" xfId="0" applyNumberFormat="1" applyFont="1" applyFill="1" applyBorder="1" applyAlignment="1" applyProtection="1">
      <alignment vertical="top"/>
    </xf>
    <xf numFmtId="0" fontId="0" fillId="0" borderId="0" xfId="0" applyAlignment="1" applyProtection="1">
      <alignment vertical="top" wrapText="1"/>
    </xf>
    <xf numFmtId="165" fontId="38" fillId="42" borderId="66" xfId="0" applyNumberFormat="1" applyFont="1" applyFill="1" applyBorder="1" applyAlignment="1" applyProtection="1">
      <alignment vertical="top"/>
      <protection locked="0"/>
    </xf>
    <xf numFmtId="0" fontId="2" fillId="25" borderId="26" xfId="0" quotePrefix="1" applyNumberFormat="1" applyFont="1" applyFill="1" applyBorder="1" applyAlignment="1" applyProtection="1">
      <alignment horizontal="center" vertical="top"/>
    </xf>
    <xf numFmtId="0" fontId="0" fillId="43" borderId="0" xfId="0" applyFill="1" applyBorder="1" applyAlignment="1" applyProtection="1"/>
    <xf numFmtId="0" fontId="38" fillId="43" borderId="0" xfId="0" applyNumberFormat="1" applyFont="1" applyFill="1" applyBorder="1" applyAlignment="1" applyProtection="1">
      <alignment vertical="top"/>
    </xf>
    <xf numFmtId="0" fontId="4" fillId="43" borderId="18" xfId="0" applyNumberFormat="1" applyFont="1" applyFill="1" applyBorder="1" applyAlignment="1" applyProtection="1">
      <alignment horizontal="center" vertical="top"/>
    </xf>
    <xf numFmtId="0" fontId="4" fillId="43" borderId="93" xfId="0" applyNumberFormat="1" applyFont="1" applyFill="1" applyBorder="1" applyAlignment="1" applyProtection="1">
      <alignment horizontal="right" vertical="top"/>
    </xf>
    <xf numFmtId="0" fontId="2" fillId="43" borderId="27" xfId="0" applyNumberFormat="1" applyFont="1" applyFill="1" applyBorder="1" applyAlignment="1" applyProtection="1">
      <alignment horizontal="center" vertical="top"/>
    </xf>
    <xf numFmtId="0" fontId="38" fillId="43" borderId="27" xfId="0" applyNumberFormat="1" applyFont="1" applyFill="1" applyBorder="1" applyAlignment="1" applyProtection="1">
      <alignment horizontal="center" vertical="top"/>
    </xf>
    <xf numFmtId="0" fontId="38" fillId="43" borderId="20" xfId="0" applyNumberFormat="1" applyFont="1" applyFill="1" applyBorder="1" applyAlignment="1" applyProtection="1">
      <alignment horizontal="center" vertical="top"/>
    </xf>
    <xf numFmtId="0" fontId="0" fillId="43" borderId="58" xfId="0" applyFill="1" applyBorder="1" applyAlignment="1" applyProtection="1"/>
    <xf numFmtId="0" fontId="0" fillId="43" borderId="29" xfId="0" applyFill="1" applyBorder="1" applyAlignment="1" applyProtection="1"/>
    <xf numFmtId="0" fontId="2" fillId="43" borderId="29" xfId="0" applyFont="1" applyFill="1" applyBorder="1" applyAlignment="1" applyProtection="1"/>
    <xf numFmtId="0" fontId="2" fillId="43" borderId="31" xfId="0" applyFont="1" applyFill="1" applyBorder="1" applyAlignment="1" applyProtection="1"/>
    <xf numFmtId="0" fontId="0" fillId="43" borderId="68" xfId="0" applyFill="1" applyBorder="1" applyAlignment="1" applyProtection="1"/>
    <xf numFmtId="0" fontId="38" fillId="43" borderId="68" xfId="0" applyNumberFormat="1" applyFont="1" applyFill="1" applyBorder="1" applyAlignment="1" applyProtection="1">
      <alignment vertical="top"/>
    </xf>
    <xf numFmtId="0" fontId="38" fillId="43" borderId="39" xfId="0" applyNumberFormat="1" applyFont="1" applyFill="1" applyBorder="1" applyAlignment="1" applyProtection="1">
      <alignment vertical="top"/>
    </xf>
    <xf numFmtId="0" fontId="4" fillId="43" borderId="0" xfId="0" applyFont="1" applyFill="1" applyBorder="1" applyAlignment="1" applyProtection="1">
      <alignment horizontal="center" vertical="top"/>
    </xf>
    <xf numFmtId="0" fontId="2" fillId="43" borderId="39" xfId="0" applyFont="1" applyFill="1" applyBorder="1" applyAlignment="1" applyProtection="1"/>
    <xf numFmtId="0" fontId="2" fillId="43" borderId="0" xfId="0" applyFont="1" applyFill="1" applyBorder="1" applyAlignment="1" applyProtection="1"/>
    <xf numFmtId="0" fontId="2" fillId="43" borderId="0" xfId="0" applyFont="1" applyFill="1" applyBorder="1" applyAlignment="1" applyProtection="1">
      <alignment horizontal="right"/>
    </xf>
    <xf numFmtId="0" fontId="0" fillId="43" borderId="67" xfId="0" applyFill="1" applyBorder="1" applyAlignment="1" applyProtection="1"/>
    <xf numFmtId="0" fontId="0" fillId="43" borderId="40" xfId="0" applyFill="1" applyBorder="1" applyAlignment="1" applyProtection="1"/>
    <xf numFmtId="0" fontId="2" fillId="43" borderId="40" xfId="0" applyFont="1" applyFill="1" applyBorder="1" applyAlignment="1" applyProtection="1"/>
    <xf numFmtId="0" fontId="2" fillId="43" borderId="41" xfId="0" applyFont="1" applyFill="1" applyBorder="1" applyAlignment="1" applyProtection="1"/>
    <xf numFmtId="165" fontId="2" fillId="40" borderId="13" xfId="0" applyNumberFormat="1" applyFont="1" applyFill="1" applyBorder="1" applyAlignment="1" applyProtection="1">
      <alignment vertical="top"/>
    </xf>
    <xf numFmtId="165" fontId="38" fillId="42" borderId="13" xfId="0" applyNumberFormat="1" applyFont="1" applyFill="1" applyBorder="1" applyAlignment="1" applyProtection="1">
      <alignment vertical="top"/>
      <protection locked="0"/>
    </xf>
    <xf numFmtId="165" fontId="38" fillId="42" borderId="64" xfId="0" applyNumberFormat="1" applyFont="1" applyFill="1" applyBorder="1" applyAlignment="1" applyProtection="1">
      <alignment vertical="top"/>
      <protection locked="0"/>
    </xf>
    <xf numFmtId="0" fontId="38" fillId="43" borderId="24" xfId="0" applyNumberFormat="1" applyFont="1" applyFill="1" applyBorder="1" applyAlignment="1" applyProtection="1">
      <alignment horizontal="center" vertical="top"/>
    </xf>
    <xf numFmtId="0" fontId="0" fillId="44" borderId="13" xfId="0" applyFill="1" applyBorder="1" applyAlignment="1" applyProtection="1">
      <alignment wrapText="1"/>
    </xf>
    <xf numFmtId="0" fontId="0" fillId="39" borderId="13" xfId="0" applyFill="1" applyBorder="1" applyAlignment="1" applyProtection="1">
      <alignment wrapText="1"/>
    </xf>
    <xf numFmtId="0" fontId="47" fillId="39" borderId="13" xfId="0" applyFont="1" applyFill="1" applyBorder="1" applyAlignment="1" applyProtection="1">
      <alignment wrapText="1"/>
    </xf>
    <xf numFmtId="0" fontId="45" fillId="39" borderId="13" xfId="0" applyFont="1" applyFill="1" applyBorder="1" applyAlignment="1" applyProtection="1">
      <alignment horizontal="left"/>
    </xf>
    <xf numFmtId="0" fontId="0" fillId="39" borderId="13" xfId="0" applyFill="1" applyBorder="1" applyProtection="1"/>
    <xf numFmtId="0" fontId="0" fillId="39" borderId="13" xfId="0" applyFill="1" applyBorder="1" applyAlignment="1" applyProtection="1">
      <alignment horizontal="center"/>
    </xf>
    <xf numFmtId="0" fontId="47" fillId="39" borderId="13" xfId="0" applyFont="1" applyFill="1" applyBorder="1" applyProtection="1"/>
    <xf numFmtId="0" fontId="41" fillId="39" borderId="13" xfId="0" applyFont="1" applyFill="1" applyBorder="1" applyProtection="1"/>
    <xf numFmtId="0" fontId="38" fillId="39" borderId="13" xfId="0" applyNumberFormat="1" applyFont="1" applyFill="1" applyBorder="1" applyAlignment="1" applyProtection="1">
      <alignment horizontal="left" vertical="top"/>
    </xf>
    <xf numFmtId="0" fontId="38" fillId="39" borderId="13" xfId="0" applyNumberFormat="1" applyFont="1" applyFill="1" applyBorder="1" applyAlignment="1" applyProtection="1">
      <alignment horizontal="center" vertical="top"/>
    </xf>
    <xf numFmtId="166" fontId="0" fillId="44" borderId="13" xfId="0" applyNumberFormat="1" applyFill="1" applyBorder="1" applyProtection="1"/>
    <xf numFmtId="10" fontId="69" fillId="44" borderId="13" xfId="84" applyNumberFormat="1" applyFont="1" applyFill="1" applyBorder="1" applyProtection="1"/>
    <xf numFmtId="0" fontId="76" fillId="43" borderId="39" xfId="0" applyFont="1" applyFill="1" applyBorder="1" applyAlignment="1" applyProtection="1">
      <alignment vertical="top" wrapText="1"/>
    </xf>
    <xf numFmtId="0" fontId="38" fillId="25" borderId="19" xfId="0" applyNumberFormat="1" applyFont="1" applyFill="1" applyBorder="1" applyAlignment="1" applyProtection="1">
      <alignment vertical="top"/>
    </xf>
    <xf numFmtId="15" fontId="38" fillId="24" borderId="0" xfId="0" applyNumberFormat="1" applyFont="1" applyFill="1" applyBorder="1" applyAlignment="1" applyProtection="1">
      <alignment vertical="top"/>
    </xf>
    <xf numFmtId="15" fontId="38" fillId="25" borderId="0" xfId="0" applyNumberFormat="1" applyFont="1" applyFill="1" applyBorder="1" applyAlignment="1" applyProtection="1">
      <alignment vertical="top"/>
    </xf>
    <xf numFmtId="15" fontId="2" fillId="25" borderId="0" xfId="0" applyNumberFormat="1" applyFont="1" applyFill="1" applyAlignment="1" applyProtection="1">
      <alignment vertical="top"/>
    </xf>
    <xf numFmtId="0" fontId="4" fillId="0" borderId="70" xfId="0" applyFont="1" applyBorder="1" applyProtection="1"/>
    <xf numFmtId="0" fontId="4" fillId="0" borderId="26" xfId="0" applyFont="1" applyBorder="1" applyProtection="1"/>
    <xf numFmtId="0" fontId="0" fillId="0" borderId="27" xfId="0" applyBorder="1" applyProtection="1"/>
    <xf numFmtId="14" fontId="0" fillId="33" borderId="10" xfId="0" applyNumberFormat="1" applyFill="1" applyBorder="1" applyAlignment="1" applyProtection="1">
      <alignment horizontal="center"/>
    </xf>
    <xf numFmtId="0" fontId="0" fillId="27" borderId="10" xfId="0" applyFill="1" applyBorder="1" applyProtection="1"/>
    <xf numFmtId="0" fontId="2" fillId="27" borderId="107" xfId="0" applyFont="1" applyFill="1" applyBorder="1" applyProtection="1"/>
    <xf numFmtId="0" fontId="0" fillId="27" borderId="106" xfId="0" applyFill="1" applyBorder="1" applyProtection="1"/>
    <xf numFmtId="14" fontId="0" fillId="33" borderId="93" xfId="0" applyNumberFormat="1" applyFill="1" applyBorder="1" applyAlignment="1" applyProtection="1">
      <alignment horizontal="center"/>
    </xf>
    <xf numFmtId="0" fontId="0" fillId="27" borderId="93" xfId="0" applyFill="1" applyBorder="1" applyProtection="1"/>
    <xf numFmtId="0" fontId="2" fillId="27" borderId="19" xfId="0" applyFont="1" applyFill="1" applyBorder="1" applyProtection="1"/>
    <xf numFmtId="0" fontId="0" fillId="27" borderId="18" xfId="0" applyFill="1" applyBorder="1" applyProtection="1"/>
    <xf numFmtId="0" fontId="0" fillId="27" borderId="19" xfId="0" applyFill="1" applyBorder="1" applyProtection="1"/>
    <xf numFmtId="14" fontId="0" fillId="33" borderId="11" xfId="0" applyNumberFormat="1" applyFill="1" applyBorder="1" applyAlignment="1" applyProtection="1">
      <alignment horizontal="center"/>
    </xf>
    <xf numFmtId="0" fontId="0" fillId="27" borderId="63" xfId="0" applyFill="1" applyBorder="1" applyProtection="1"/>
    <xf numFmtId="0" fontId="0" fillId="27" borderId="25" xfId="0" applyFill="1" applyBorder="1" applyProtection="1"/>
    <xf numFmtId="0" fontId="2" fillId="28" borderId="0" xfId="0" applyFont="1" applyFill="1" applyBorder="1" applyAlignment="1" applyProtection="1">
      <alignment horizontal="left" vertical="top" wrapText="1"/>
    </xf>
    <xf numFmtId="0" fontId="0" fillId="27" borderId="11" xfId="0" applyFill="1" applyBorder="1" applyProtection="1"/>
    <xf numFmtId="0" fontId="2" fillId="31" borderId="0" xfId="0" applyFont="1" applyFill="1" applyBorder="1" applyProtection="1"/>
    <xf numFmtId="0" fontId="2" fillId="39" borderId="0" xfId="0" applyFont="1" applyFill="1" applyProtection="1"/>
    <xf numFmtId="167" fontId="0" fillId="39" borderId="13" xfId="0" applyNumberFormat="1" applyFill="1" applyBorder="1" applyProtection="1"/>
    <xf numFmtId="165" fontId="38" fillId="40" borderId="65" xfId="0" applyNumberFormat="1" applyFont="1" applyFill="1" applyBorder="1" applyAlignment="1" applyProtection="1">
      <alignment vertical="top"/>
    </xf>
    <xf numFmtId="165" fontId="38" fillId="24" borderId="0" xfId="0" applyNumberFormat="1" applyFont="1" applyFill="1" applyBorder="1" applyAlignment="1" applyProtection="1">
      <alignment vertical="top"/>
    </xf>
    <xf numFmtId="165" fontId="38" fillId="40" borderId="10" xfId="0" applyNumberFormat="1" applyFont="1" applyFill="1" applyBorder="1" applyAlignment="1" applyProtection="1">
      <alignment vertical="top"/>
    </xf>
    <xf numFmtId="0" fontId="4" fillId="43" borderId="0" xfId="0" applyFont="1" applyFill="1" applyAlignment="1" applyProtection="1">
      <alignment horizontal="center" vertical="top"/>
    </xf>
    <xf numFmtId="0" fontId="4" fillId="43" borderId="12" xfId="0" applyNumberFormat="1" applyFont="1" applyFill="1" applyBorder="1" applyAlignment="1" applyProtection="1">
      <alignment horizontal="center" vertical="top"/>
    </xf>
    <xf numFmtId="0" fontId="2" fillId="43" borderId="0" xfId="0" applyNumberFormat="1" applyFont="1" applyFill="1" applyBorder="1" applyAlignment="1" applyProtection="1">
      <alignment horizontal="right" vertical="top"/>
    </xf>
    <xf numFmtId="0" fontId="2" fillId="29" borderId="13" xfId="0" applyNumberFormat="1" applyFont="1" applyFill="1" applyBorder="1" applyAlignment="1" applyProtection="1">
      <alignment horizontal="center" vertical="top"/>
      <protection locked="0"/>
    </xf>
    <xf numFmtId="0" fontId="2" fillId="43" borderId="39" xfId="0" applyFont="1" applyFill="1" applyBorder="1" applyAlignment="1" applyProtection="1">
      <alignment horizontal="left"/>
    </xf>
    <xf numFmtId="0" fontId="0" fillId="36" borderId="0" xfId="0" applyFill="1" applyProtection="1"/>
    <xf numFmtId="0" fontId="0" fillId="36" borderId="0" xfId="0" applyFill="1" applyAlignment="1" applyProtection="1">
      <alignment horizontal="center"/>
    </xf>
    <xf numFmtId="0" fontId="0" fillId="36" borderId="0" xfId="0" applyFill="1" applyBorder="1" applyProtection="1"/>
    <xf numFmtId="0" fontId="70" fillId="25" borderId="0" xfId="0" applyFont="1" applyFill="1" applyAlignment="1" applyProtection="1">
      <alignment horizontal="left"/>
    </xf>
    <xf numFmtId="0" fontId="71" fillId="26" borderId="77" xfId="0" quotePrefix="1" applyFont="1" applyFill="1" applyBorder="1" applyAlignment="1" applyProtection="1">
      <alignment horizontal="center"/>
    </xf>
    <xf numFmtId="0" fontId="71" fillId="26" borderId="78" xfId="0" applyFont="1" applyFill="1" applyBorder="1" applyProtection="1"/>
    <xf numFmtId="0" fontId="71" fillId="26" borderId="78" xfId="0" applyFont="1" applyFill="1" applyBorder="1" applyAlignment="1" applyProtection="1">
      <alignment horizontal="center" wrapText="1"/>
    </xf>
    <xf numFmtId="0" fontId="71" fillId="26" borderId="78" xfId="0" applyFont="1" applyFill="1" applyBorder="1" applyAlignment="1" applyProtection="1">
      <alignment wrapText="1"/>
    </xf>
    <xf numFmtId="0" fontId="71" fillId="26" borderId="79" xfId="0" applyFont="1" applyFill="1" applyBorder="1" applyAlignment="1" applyProtection="1">
      <alignment wrapText="1"/>
    </xf>
    <xf numFmtId="0" fontId="0" fillId="25" borderId="11" xfId="0" applyFill="1" applyBorder="1" applyAlignment="1" applyProtection="1">
      <alignment horizontal="center"/>
    </xf>
    <xf numFmtId="0" fontId="0" fillId="25" borderId="13" xfId="0" applyFill="1" applyBorder="1" applyAlignment="1" applyProtection="1">
      <alignment horizontal="center"/>
    </xf>
    <xf numFmtId="4" fontId="0" fillId="25" borderId="0" xfId="0" applyNumberFormat="1" applyFill="1" applyBorder="1" applyAlignment="1" applyProtection="1">
      <alignment horizontal="center"/>
    </xf>
    <xf numFmtId="0" fontId="2" fillId="25" borderId="0" xfId="0" applyFont="1" applyFill="1" applyBorder="1" applyAlignment="1" applyProtection="1">
      <alignment horizontal="center"/>
    </xf>
    <xf numFmtId="3" fontId="0" fillId="25" borderId="0" xfId="0" applyNumberFormat="1" applyFill="1" applyBorder="1" applyAlignment="1" applyProtection="1">
      <alignment horizontal="center"/>
    </xf>
    <xf numFmtId="0" fontId="0" fillId="41" borderId="11" xfId="0" applyFill="1" applyBorder="1" applyAlignment="1" applyProtection="1">
      <alignment horizontal="center"/>
    </xf>
    <xf numFmtId="0" fontId="0" fillId="41" borderId="13" xfId="0" applyFill="1" applyBorder="1" applyAlignment="1" applyProtection="1">
      <alignment horizontal="center"/>
    </xf>
    <xf numFmtId="0" fontId="4" fillId="25" borderId="93" xfId="0" applyNumberFormat="1" applyFont="1" applyFill="1" applyBorder="1" applyAlignment="1" applyProtection="1">
      <alignment horizontal="center" vertical="top"/>
    </xf>
    <xf numFmtId="164" fontId="2" fillId="27" borderId="13" xfId="0" applyNumberFormat="1" applyFont="1" applyFill="1" applyBorder="1" applyAlignment="1" applyProtection="1">
      <alignment horizontal="right" vertical="top"/>
    </xf>
    <xf numFmtId="0" fontId="4" fillId="25" borderId="0" xfId="0" applyNumberFormat="1" applyFont="1" applyFill="1" applyBorder="1" applyAlignment="1" applyProtection="1">
      <alignment horizontal="right" vertical="top"/>
    </xf>
    <xf numFmtId="164" fontId="4" fillId="27" borderId="13" xfId="0" applyNumberFormat="1" applyFont="1" applyFill="1" applyBorder="1" applyAlignment="1" applyProtection="1">
      <alignment horizontal="right" vertical="top"/>
    </xf>
    <xf numFmtId="0" fontId="2" fillId="39" borderId="13" xfId="0" applyNumberFormat="1" applyFont="1" applyFill="1" applyBorder="1" applyAlignment="1" applyProtection="1">
      <alignment horizontal="left" vertical="top"/>
    </xf>
    <xf numFmtId="165" fontId="38" fillId="42" borderId="10" xfId="0" applyNumberFormat="1" applyFont="1" applyFill="1" applyBorder="1" applyAlignment="1" applyProtection="1">
      <alignment vertical="top"/>
      <protection locked="0"/>
    </xf>
    <xf numFmtId="0" fontId="38" fillId="43" borderId="15" xfId="0" applyNumberFormat="1" applyFont="1" applyFill="1" applyBorder="1" applyAlignment="1" applyProtection="1">
      <alignment horizontal="center" vertical="top"/>
    </xf>
    <xf numFmtId="0" fontId="38" fillId="43" borderId="21" xfId="0" applyNumberFormat="1" applyFont="1" applyFill="1" applyBorder="1" applyAlignment="1" applyProtection="1">
      <alignment horizontal="center" vertical="top"/>
    </xf>
    <xf numFmtId="0" fontId="38" fillId="43" borderId="23" xfId="0" applyNumberFormat="1" applyFont="1" applyFill="1" applyBorder="1" applyAlignment="1" applyProtection="1">
      <alignment horizontal="center" vertical="top"/>
    </xf>
    <xf numFmtId="0" fontId="58" fillId="43" borderId="108" xfId="0" applyNumberFormat="1" applyFont="1" applyFill="1" applyBorder="1" applyAlignment="1" applyProtection="1">
      <alignment horizontal="center" vertical="top"/>
    </xf>
    <xf numFmtId="0" fontId="38" fillId="43" borderId="16" xfId="0" applyNumberFormat="1" applyFont="1" applyFill="1" applyBorder="1" applyAlignment="1" applyProtection="1">
      <alignment horizontal="center" vertical="top"/>
    </xf>
    <xf numFmtId="0" fontId="38" fillId="43" borderId="106" xfId="0" applyNumberFormat="1" applyFont="1" applyFill="1" applyBorder="1" applyAlignment="1" applyProtection="1">
      <alignment vertical="top"/>
    </xf>
    <xf numFmtId="165" fontId="38" fillId="27" borderId="93" xfId="0" applyNumberFormat="1" applyFont="1" applyFill="1" applyBorder="1" applyAlignment="1" applyProtection="1">
      <alignment vertical="top"/>
    </xf>
    <xf numFmtId="165" fontId="38" fillId="42" borderId="65" xfId="0" applyNumberFormat="1" applyFont="1" applyFill="1" applyBorder="1" applyAlignment="1" applyProtection="1">
      <alignment vertical="top"/>
      <protection locked="0"/>
    </xf>
    <xf numFmtId="49" fontId="38" fillId="42" borderId="101" xfId="0" applyNumberFormat="1" applyFont="1" applyFill="1" applyBorder="1" applyAlignment="1" applyProtection="1">
      <alignment horizontal="center" vertical="top"/>
      <protection locked="0"/>
    </xf>
    <xf numFmtId="49" fontId="38" fillId="42" borderId="100" xfId="0" applyNumberFormat="1" applyFont="1" applyFill="1" applyBorder="1" applyAlignment="1" applyProtection="1">
      <alignment horizontal="center" vertical="top"/>
      <protection locked="0"/>
    </xf>
    <xf numFmtId="49" fontId="38" fillId="42" borderId="99" xfId="0" applyNumberFormat="1" applyFont="1" applyFill="1" applyBorder="1" applyAlignment="1" applyProtection="1">
      <alignment horizontal="center" vertical="top"/>
      <protection locked="0"/>
    </xf>
    <xf numFmtId="0" fontId="38" fillId="29" borderId="97" xfId="0" applyNumberFormat="1" applyFont="1" applyFill="1" applyBorder="1" applyAlignment="1" applyProtection="1">
      <alignment horizontal="center" vertical="top"/>
      <protection locked="0"/>
    </xf>
    <xf numFmtId="0" fontId="4" fillId="25" borderId="103" xfId="0" applyNumberFormat="1" applyFont="1" applyFill="1" applyBorder="1" applyAlignment="1" applyProtection="1">
      <alignment vertical="top"/>
    </xf>
    <xf numFmtId="0" fontId="4" fillId="25" borderId="52" xfId="0" applyNumberFormat="1" applyFont="1" applyFill="1" applyBorder="1" applyAlignment="1" applyProtection="1">
      <alignment vertical="top"/>
    </xf>
    <xf numFmtId="0" fontId="4" fillId="27" borderId="96" xfId="0" applyNumberFormat="1" applyFont="1" applyFill="1" applyBorder="1" applyAlignment="1" applyProtection="1">
      <alignment vertical="top"/>
    </xf>
    <xf numFmtId="0" fontId="4" fillId="27" borderId="95" xfId="0" applyNumberFormat="1" applyFont="1" applyFill="1" applyBorder="1" applyAlignment="1" applyProtection="1">
      <alignment vertical="top"/>
    </xf>
    <xf numFmtId="0" fontId="4" fillId="25" borderId="109" xfId="0" applyNumberFormat="1" applyFont="1" applyFill="1" applyBorder="1" applyAlignment="1" applyProtection="1">
      <alignment vertical="top"/>
    </xf>
    <xf numFmtId="0" fontId="4" fillId="25" borderId="15" xfId="0" applyNumberFormat="1" applyFont="1" applyFill="1" applyBorder="1" applyAlignment="1" applyProtection="1">
      <alignment vertical="top"/>
    </xf>
    <xf numFmtId="0" fontId="4" fillId="0" borderId="21" xfId="0" applyNumberFormat="1" applyFont="1" applyFill="1" applyBorder="1" applyAlignment="1" applyProtection="1">
      <alignment horizontal="center" vertical="top"/>
    </xf>
    <xf numFmtId="0" fontId="4" fillId="27" borderId="65" xfId="0" applyNumberFormat="1" applyFont="1" applyFill="1" applyBorder="1" applyAlignment="1" applyProtection="1">
      <alignment vertical="top"/>
    </xf>
    <xf numFmtId="0" fontId="4" fillId="27" borderId="98" xfId="0" applyNumberFormat="1" applyFont="1" applyFill="1" applyBorder="1" applyAlignment="1" applyProtection="1">
      <alignment vertical="top"/>
    </xf>
    <xf numFmtId="0" fontId="38" fillId="27" borderId="15" xfId="0" applyNumberFormat="1" applyFont="1" applyFill="1" applyBorder="1" applyAlignment="1" applyProtection="1">
      <alignment horizontal="center" vertical="top"/>
    </xf>
    <xf numFmtId="0" fontId="2" fillId="24" borderId="69" xfId="0" applyNumberFormat="1" applyFont="1" applyFill="1" applyBorder="1" applyAlignment="1" applyProtection="1">
      <alignment vertical="top"/>
    </xf>
    <xf numFmtId="0" fontId="38" fillId="42" borderId="65" xfId="0" applyNumberFormat="1" applyFont="1" applyFill="1" applyBorder="1" applyAlignment="1" applyProtection="1">
      <alignment horizontal="center" vertical="top"/>
      <protection locked="0"/>
    </xf>
    <xf numFmtId="0" fontId="38" fillId="42" borderId="66" xfId="0" applyNumberFormat="1" applyFont="1" applyFill="1" applyBorder="1" applyAlignment="1" applyProtection="1">
      <alignment horizontal="center" vertical="top"/>
      <protection locked="0"/>
    </xf>
    <xf numFmtId="0" fontId="4" fillId="0" borderId="11" xfId="0" applyFont="1" applyBorder="1" applyAlignment="1" applyProtection="1">
      <alignment wrapText="1"/>
    </xf>
    <xf numFmtId="0" fontId="2" fillId="0" borderId="30" xfId="0" applyNumberFormat="1" applyFont="1" applyFill="1" applyBorder="1" applyAlignment="1" applyProtection="1">
      <alignment vertical="top"/>
    </xf>
    <xf numFmtId="0" fontId="2" fillId="0" borderId="0" xfId="0" applyFont="1" applyProtection="1"/>
    <xf numFmtId="0" fontId="38" fillId="43" borderId="25" xfId="0" applyNumberFormat="1" applyFont="1" applyFill="1" applyBorder="1" applyAlignment="1" applyProtection="1">
      <alignment horizontal="center" vertical="top"/>
    </xf>
    <xf numFmtId="0" fontId="2" fillId="25" borderId="19" xfId="0" applyFont="1" applyFill="1" applyBorder="1" applyAlignment="1" applyProtection="1"/>
    <xf numFmtId="0" fontId="2" fillId="25" borderId="27" xfId="0" applyNumberFormat="1" applyFont="1" applyFill="1" applyBorder="1" applyAlignment="1" applyProtection="1">
      <alignment horizontal="center" vertical="top"/>
    </xf>
    <xf numFmtId="0" fontId="2" fillId="41" borderId="27" xfId="0" applyNumberFormat="1" applyFont="1" applyFill="1" applyBorder="1" applyAlignment="1" applyProtection="1">
      <alignment horizontal="center" vertical="top"/>
    </xf>
    <xf numFmtId="0" fontId="2" fillId="39" borderId="13" xfId="0" applyFont="1" applyFill="1" applyBorder="1" applyProtection="1"/>
    <xf numFmtId="0" fontId="2" fillId="24" borderId="13" xfId="0" applyFont="1" applyFill="1" applyBorder="1" applyAlignment="1" applyProtection="1">
      <alignment horizontal="center"/>
    </xf>
    <xf numFmtId="0" fontId="2" fillId="0" borderId="0" xfId="0" applyNumberFormat="1" applyFont="1" applyFill="1" applyBorder="1" applyAlignment="1" applyProtection="1">
      <alignment vertical="top"/>
    </xf>
    <xf numFmtId="0" fontId="2" fillId="0" borderId="0" xfId="0" applyFont="1" applyFill="1" applyProtection="1"/>
    <xf numFmtId="166" fontId="38" fillId="24" borderId="0" xfId="0" applyNumberFormat="1" applyFont="1" applyFill="1" applyBorder="1" applyAlignment="1" applyProtection="1">
      <alignment vertical="top"/>
    </xf>
    <xf numFmtId="0" fontId="2" fillId="31" borderId="0" xfId="0" applyFont="1" applyFill="1" applyProtection="1"/>
    <xf numFmtId="0" fontId="0" fillId="38" borderId="0" xfId="0" applyFill="1" applyProtection="1"/>
    <xf numFmtId="0" fontId="2" fillId="24" borderId="0" xfId="0" applyFont="1" applyFill="1" applyProtection="1"/>
    <xf numFmtId="0" fontId="2" fillId="25" borderId="20" xfId="0" applyNumberFormat="1" applyFont="1" applyFill="1" applyBorder="1" applyAlignment="1" applyProtection="1">
      <alignment horizontal="center" vertical="top"/>
    </xf>
    <xf numFmtId="3" fontId="2" fillId="40" borderId="64" xfId="0" applyNumberFormat="1" applyFont="1" applyFill="1" applyBorder="1" applyAlignment="1" applyProtection="1">
      <alignment vertical="top"/>
    </xf>
    <xf numFmtId="3" fontId="2" fillId="40" borderId="20" xfId="0" applyNumberFormat="1" applyFont="1" applyFill="1" applyBorder="1" applyAlignment="1" applyProtection="1">
      <alignment vertical="top"/>
    </xf>
    <xf numFmtId="0" fontId="2" fillId="25" borderId="21" xfId="0" applyNumberFormat="1" applyFont="1" applyFill="1" applyBorder="1" applyAlignment="1" applyProtection="1">
      <alignment horizontal="center" vertical="top"/>
    </xf>
    <xf numFmtId="4" fontId="2" fillId="40" borderId="65" xfId="0" applyNumberFormat="1" applyFont="1" applyFill="1" applyBorder="1" applyAlignment="1" applyProtection="1">
      <alignment vertical="top"/>
    </xf>
    <xf numFmtId="0" fontId="2" fillId="25" borderId="24" xfId="0" applyNumberFormat="1" applyFont="1" applyFill="1" applyBorder="1" applyAlignment="1" applyProtection="1">
      <alignment horizontal="center" vertical="top"/>
    </xf>
    <xf numFmtId="3" fontId="2" fillId="27" borderId="66" xfId="0" applyNumberFormat="1" applyFont="1" applyFill="1" applyBorder="1" applyAlignment="1" applyProtection="1">
      <alignment vertical="top"/>
    </xf>
    <xf numFmtId="3" fontId="2" fillId="27" borderId="24" xfId="0" applyNumberFormat="1" applyFont="1" applyFill="1" applyBorder="1" applyAlignment="1" applyProtection="1">
      <alignment vertical="top"/>
    </xf>
    <xf numFmtId="0" fontId="38" fillId="45" borderId="13" xfId="0" applyNumberFormat="1" applyFont="1" applyFill="1" applyBorder="1" applyAlignment="1" applyProtection="1">
      <alignment horizontal="center" vertical="top"/>
    </xf>
    <xf numFmtId="0" fontId="2" fillId="27" borderId="27" xfId="0" applyNumberFormat="1" applyFont="1" applyFill="1" applyBorder="1" applyAlignment="1" applyProtection="1">
      <alignment vertical="top"/>
    </xf>
    <xf numFmtId="164" fontId="2" fillId="29" borderId="13" xfId="0" applyNumberFormat="1" applyFont="1" applyFill="1" applyBorder="1" applyAlignment="1" applyProtection="1">
      <alignment vertical="top"/>
      <protection locked="0"/>
    </xf>
    <xf numFmtId="0" fontId="4" fillId="27" borderId="27" xfId="0" applyNumberFormat="1" applyFont="1" applyFill="1" applyBorder="1" applyAlignment="1" applyProtection="1">
      <alignment vertical="top"/>
    </xf>
    <xf numFmtId="0" fontId="2" fillId="46" borderId="0" xfId="0" applyNumberFormat="1" applyFont="1" applyFill="1" applyBorder="1" applyAlignment="1" applyProtection="1">
      <alignment vertical="top"/>
    </xf>
    <xf numFmtId="0" fontId="0" fillId="42" borderId="11" xfId="0" applyFill="1" applyBorder="1" applyProtection="1">
      <protection locked="0"/>
    </xf>
    <xf numFmtId="4" fontId="0" fillId="42" borderId="11" xfId="0" applyNumberFormat="1" applyFill="1" applyBorder="1" applyAlignment="1" applyProtection="1">
      <alignment horizontal="center"/>
      <protection locked="0"/>
    </xf>
    <xf numFmtId="0" fontId="0" fillId="42" borderId="11" xfId="0" applyFill="1" applyBorder="1" applyAlignment="1" applyProtection="1">
      <alignment horizontal="center"/>
      <protection locked="0"/>
    </xf>
    <xf numFmtId="0" fontId="2" fillId="42" borderId="11" xfId="0" applyFont="1" applyFill="1" applyBorder="1" applyAlignment="1" applyProtection="1">
      <alignment horizontal="center"/>
      <protection locked="0"/>
    </xf>
    <xf numFmtId="171" fontId="0" fillId="42" borderId="11" xfId="0" applyNumberFormat="1" applyFill="1" applyBorder="1" applyAlignment="1" applyProtection="1">
      <alignment horizontal="center"/>
      <protection locked="0"/>
    </xf>
    <xf numFmtId="3" fontId="0" fillId="42" borderId="11" xfId="0" applyNumberFormat="1" applyFill="1" applyBorder="1" applyAlignment="1" applyProtection="1">
      <alignment horizontal="center"/>
      <protection locked="0"/>
    </xf>
    <xf numFmtId="0" fontId="0" fillId="39" borderId="0" xfId="0" applyFill="1" applyProtection="1"/>
    <xf numFmtId="0" fontId="0" fillId="39" borderId="69" xfId="0" applyFill="1" applyBorder="1" applyAlignment="1" applyProtection="1">
      <alignment horizontal="center"/>
    </xf>
    <xf numFmtId="0" fontId="0" fillId="39" borderId="84" xfId="0" applyFill="1" applyBorder="1" applyProtection="1"/>
    <xf numFmtId="0" fontId="0" fillId="39" borderId="0" xfId="0" applyFill="1" applyAlignment="1" applyProtection="1">
      <alignment horizontal="center"/>
    </xf>
    <xf numFmtId="0" fontId="4" fillId="39" borderId="69" xfId="0" applyFont="1" applyFill="1" applyBorder="1" applyAlignment="1" applyProtection="1">
      <alignment horizontal="center"/>
    </xf>
    <xf numFmtId="165" fontId="38" fillId="42" borderId="101" xfId="0" applyNumberFormat="1" applyFont="1" applyFill="1" applyBorder="1" applyAlignment="1" applyProtection="1">
      <alignment vertical="top"/>
      <protection locked="0"/>
    </xf>
    <xf numFmtId="165" fontId="38" fillId="42" borderId="100" xfId="0" applyNumberFormat="1" applyFont="1" applyFill="1" applyBorder="1" applyAlignment="1" applyProtection="1">
      <alignment vertical="top"/>
      <protection locked="0"/>
    </xf>
    <xf numFmtId="165" fontId="38" fillId="42" borderId="99" xfId="0" applyNumberFormat="1" applyFont="1" applyFill="1" applyBorder="1" applyAlignment="1" applyProtection="1">
      <alignment vertical="top"/>
      <protection locked="0"/>
    </xf>
    <xf numFmtId="0" fontId="38" fillId="24" borderId="110" xfId="0" applyNumberFormat="1" applyFont="1" applyFill="1" applyBorder="1" applyAlignment="1" applyProtection="1">
      <alignment vertical="top"/>
    </xf>
    <xf numFmtId="0" fontId="2" fillId="24" borderId="110" xfId="0" applyFont="1" applyFill="1" applyBorder="1" applyAlignment="1" applyProtection="1"/>
    <xf numFmtId="0" fontId="4" fillId="25" borderId="26" xfId="0" applyNumberFormat="1" applyFont="1" applyFill="1" applyBorder="1" applyAlignment="1" applyProtection="1">
      <alignment horizontal="center" vertical="top"/>
    </xf>
    <xf numFmtId="0" fontId="38" fillId="41" borderId="25" xfId="0" applyNumberFormat="1" applyFont="1" applyFill="1" applyBorder="1" applyAlignment="1" applyProtection="1">
      <alignment horizontal="center" vertical="top"/>
    </xf>
    <xf numFmtId="165" fontId="38" fillId="42" borderId="11" xfId="0" applyNumberFormat="1" applyFont="1" applyFill="1" applyBorder="1" applyAlignment="1" applyProtection="1">
      <alignment vertical="top"/>
      <protection locked="0"/>
    </xf>
    <xf numFmtId="0" fontId="0" fillId="25" borderId="109" xfId="0" applyFill="1" applyBorder="1" applyAlignment="1" applyProtection="1">
      <alignment vertical="top"/>
    </xf>
    <xf numFmtId="0" fontId="0" fillId="25" borderId="15" xfId="0" applyFill="1" applyBorder="1" applyAlignment="1" applyProtection="1">
      <alignment vertical="top"/>
    </xf>
    <xf numFmtId="0" fontId="0" fillId="25" borderId="21" xfId="0" applyFill="1" applyBorder="1" applyAlignment="1" applyProtection="1">
      <alignment vertical="top"/>
    </xf>
    <xf numFmtId="0" fontId="0" fillId="27" borderId="15" xfId="0" applyFill="1" applyBorder="1" applyAlignment="1" applyProtection="1">
      <alignment vertical="top"/>
    </xf>
    <xf numFmtId="0" fontId="0" fillId="27" borderId="35" xfId="0" applyFill="1" applyBorder="1" applyAlignment="1" applyProtection="1">
      <alignment vertical="top"/>
    </xf>
    <xf numFmtId="0" fontId="0" fillId="25" borderId="37" xfId="0" applyFill="1" applyBorder="1" applyAlignment="1" applyProtection="1">
      <alignment vertical="top"/>
    </xf>
    <xf numFmtId="0" fontId="0" fillId="25" borderId="49" xfId="0" applyFill="1" applyBorder="1" applyAlignment="1" applyProtection="1">
      <alignment vertical="top"/>
    </xf>
    <xf numFmtId="0" fontId="0" fillId="40" borderId="37" xfId="0" applyFill="1" applyBorder="1" applyProtection="1"/>
    <xf numFmtId="0" fontId="0" fillId="40" borderId="37" xfId="0" applyFill="1" applyBorder="1" applyAlignment="1" applyProtection="1">
      <alignment vertical="top"/>
    </xf>
    <xf numFmtId="0" fontId="0" fillId="40" borderId="38" xfId="0" applyFill="1" applyBorder="1" applyAlignment="1" applyProtection="1">
      <alignment vertical="top"/>
    </xf>
    <xf numFmtId="0" fontId="2" fillId="25" borderId="57" xfId="0" applyFont="1" applyFill="1" applyBorder="1" applyProtection="1"/>
    <xf numFmtId="0" fontId="4" fillId="25" borderId="25" xfId="0" applyNumberFormat="1" applyFont="1" applyFill="1" applyBorder="1" applyAlignment="1" applyProtection="1">
      <alignment horizontal="right" vertical="top"/>
    </xf>
    <xf numFmtId="0" fontId="42" fillId="41" borderId="0" xfId="0" quotePrefix="1" applyFont="1" applyFill="1" applyAlignment="1" applyProtection="1">
      <alignment horizontal="right" vertical="top" wrapText="1"/>
    </xf>
    <xf numFmtId="0" fontId="2" fillId="39" borderId="0" xfId="0" applyFont="1" applyFill="1" applyAlignment="1" applyProtection="1"/>
    <xf numFmtId="0" fontId="2" fillId="39" borderId="10" xfId="0" applyFont="1" applyFill="1" applyBorder="1" applyAlignment="1" applyProtection="1">
      <alignment horizontal="center" vertical="top"/>
    </xf>
    <xf numFmtId="0" fontId="2" fillId="39" borderId="11" xfId="0" applyFont="1" applyFill="1" applyBorder="1" applyAlignment="1" applyProtection="1">
      <alignment horizontal="center"/>
    </xf>
    <xf numFmtId="0" fontId="38" fillId="39" borderId="73" xfId="0" applyNumberFormat="1" applyFont="1" applyFill="1" applyBorder="1" applyAlignment="1" applyProtection="1">
      <alignment vertical="top"/>
    </xf>
    <xf numFmtId="0" fontId="38" fillId="39" borderId="91" xfId="0" applyNumberFormat="1" applyFont="1" applyFill="1" applyBorder="1" applyAlignment="1" applyProtection="1">
      <alignment vertical="top"/>
    </xf>
    <xf numFmtId="0" fontId="38" fillId="39" borderId="71" xfId="0" applyNumberFormat="1" applyFont="1" applyFill="1" applyBorder="1" applyAlignment="1" applyProtection="1">
      <alignment vertical="top"/>
    </xf>
    <xf numFmtId="15" fontId="38" fillId="39" borderId="0" xfId="0" applyNumberFormat="1" applyFont="1" applyFill="1" applyBorder="1" applyAlignment="1" applyProtection="1">
      <alignment vertical="top"/>
    </xf>
    <xf numFmtId="0" fontId="2" fillId="39" borderId="69" xfId="0" applyNumberFormat="1" applyFont="1" applyFill="1" applyBorder="1" applyAlignment="1" applyProtection="1">
      <alignment vertical="top"/>
    </xf>
    <xf numFmtId="0" fontId="4" fillId="39" borderId="69" xfId="0" applyNumberFormat="1" applyFont="1" applyFill="1" applyBorder="1" applyAlignment="1" applyProtection="1">
      <alignment horizontal="center" vertical="top"/>
    </xf>
    <xf numFmtId="0" fontId="38" fillId="39" borderId="73" xfId="0" applyNumberFormat="1" applyFont="1" applyFill="1" applyBorder="1" applyAlignment="1" applyProtection="1">
      <alignment horizontal="center" vertical="top"/>
    </xf>
    <xf numFmtId="0" fontId="38" fillId="39" borderId="111" xfId="0" applyNumberFormat="1" applyFont="1" applyFill="1" applyBorder="1" applyAlignment="1" applyProtection="1">
      <alignment horizontal="center" vertical="top"/>
    </xf>
    <xf numFmtId="0" fontId="38" fillId="39" borderId="91" xfId="0" applyNumberFormat="1" applyFont="1" applyFill="1" applyBorder="1" applyAlignment="1" applyProtection="1">
      <alignment horizontal="center" vertical="top"/>
    </xf>
    <xf numFmtId="0" fontId="38" fillId="39" borderId="112" xfId="0" applyNumberFormat="1" applyFont="1" applyFill="1" applyBorder="1" applyAlignment="1" applyProtection="1">
      <alignment horizontal="center" vertical="top"/>
    </xf>
    <xf numFmtId="0" fontId="38" fillId="39" borderId="71" xfId="0" applyNumberFormat="1" applyFont="1" applyFill="1" applyBorder="1" applyAlignment="1" applyProtection="1">
      <alignment horizontal="center" vertical="top"/>
    </xf>
    <xf numFmtId="0" fontId="38" fillId="39" borderId="113" xfId="0" applyNumberFormat="1" applyFont="1" applyFill="1" applyBorder="1" applyAlignment="1" applyProtection="1">
      <alignment horizontal="center" vertical="top"/>
    </xf>
    <xf numFmtId="0" fontId="38" fillId="39" borderId="114" xfId="0" applyNumberFormat="1" applyFont="1" applyFill="1" applyBorder="1" applyAlignment="1" applyProtection="1">
      <alignment vertical="top"/>
    </xf>
    <xf numFmtId="0" fontId="38" fillId="39" borderId="115" xfId="0" applyNumberFormat="1" applyFont="1" applyFill="1" applyBorder="1" applyAlignment="1" applyProtection="1">
      <alignment vertical="top"/>
    </xf>
    <xf numFmtId="0" fontId="38" fillId="39" borderId="0" xfId="0" applyNumberFormat="1" applyFont="1" applyFill="1" applyBorder="1" applyAlignment="1" applyProtection="1">
      <alignment horizontal="center" vertical="top"/>
    </xf>
    <xf numFmtId="164" fontId="38" fillId="39" borderId="73" xfId="0" applyNumberFormat="1" applyFont="1" applyFill="1" applyBorder="1" applyAlignment="1" applyProtection="1">
      <alignment horizontal="center" vertical="top"/>
    </xf>
    <xf numFmtId="0" fontId="38" fillId="39" borderId="0" xfId="0" applyNumberFormat="1" applyFont="1" applyFill="1" applyBorder="1" applyAlignment="1" applyProtection="1">
      <alignment horizontal="left" vertical="top"/>
    </xf>
    <xf numFmtId="0" fontId="38" fillId="44" borderId="73" xfId="0" applyNumberFormat="1" applyFont="1" applyFill="1" applyBorder="1" applyAlignment="1" applyProtection="1">
      <alignment vertical="top"/>
    </xf>
    <xf numFmtId="0" fontId="4" fillId="39" borderId="69" xfId="0" quotePrefix="1" applyFont="1" applyFill="1" applyBorder="1" applyAlignment="1" applyProtection="1">
      <alignment horizontal="center"/>
    </xf>
    <xf numFmtId="0" fontId="38" fillId="39" borderId="26" xfId="0" applyNumberFormat="1" applyFont="1" applyFill="1" applyBorder="1" applyAlignment="1" applyProtection="1">
      <alignment vertical="top"/>
    </xf>
    <xf numFmtId="0" fontId="2" fillId="24" borderId="10" xfId="0" applyNumberFormat="1" applyFont="1" applyFill="1" applyBorder="1" applyAlignment="1" applyProtection="1">
      <alignment vertical="top"/>
    </xf>
    <xf numFmtId="0" fontId="2" fillId="25" borderId="13" xfId="0" applyNumberFormat="1" applyFont="1" applyFill="1" applyBorder="1" applyAlignment="1" applyProtection="1">
      <alignment horizontal="center" vertical="top"/>
    </xf>
    <xf numFmtId="0" fontId="2" fillId="25" borderId="13" xfId="0" applyNumberFormat="1" applyFont="1" applyFill="1" applyBorder="1" applyAlignment="1" applyProtection="1">
      <alignment horizontal="right" vertical="top"/>
    </xf>
    <xf numFmtId="0" fontId="2" fillId="27" borderId="70" xfId="0" applyNumberFormat="1" applyFont="1" applyFill="1" applyBorder="1" applyAlignment="1" applyProtection="1">
      <alignment vertical="top"/>
    </xf>
    <xf numFmtId="0" fontId="2" fillId="27" borderId="26" xfId="0" applyNumberFormat="1" applyFont="1" applyFill="1" applyBorder="1" applyAlignment="1" applyProtection="1">
      <alignment vertical="top"/>
    </xf>
    <xf numFmtId="0" fontId="2" fillId="27" borderId="13" xfId="0" applyNumberFormat="1" applyFont="1" applyFill="1" applyBorder="1" applyAlignment="1" applyProtection="1">
      <alignment horizontal="center" vertical="top"/>
    </xf>
    <xf numFmtId="0" fontId="2" fillId="27" borderId="13" xfId="0" applyNumberFormat="1" applyFont="1" applyFill="1" applyBorder="1" applyAlignment="1" applyProtection="1">
      <alignment horizontal="right" vertical="top"/>
    </xf>
    <xf numFmtId="0" fontId="2" fillId="25" borderId="12" xfId="0" applyNumberFormat="1" applyFont="1" applyFill="1" applyBorder="1" applyAlignment="1" applyProtection="1">
      <alignment vertical="top"/>
    </xf>
    <xf numFmtId="0" fontId="2" fillId="25" borderId="25" xfId="0" applyNumberFormat="1" applyFont="1" applyFill="1" applyBorder="1" applyAlignment="1" applyProtection="1">
      <alignment vertical="top"/>
    </xf>
    <xf numFmtId="0" fontId="2" fillId="25" borderId="70" xfId="0" applyNumberFormat="1" applyFont="1" applyFill="1" applyBorder="1" applyAlignment="1" applyProtection="1">
      <alignment vertical="top"/>
    </xf>
    <xf numFmtId="0" fontId="2" fillId="25" borderId="26" xfId="0" applyNumberFormat="1" applyFont="1" applyFill="1" applyBorder="1" applyAlignment="1" applyProtection="1">
      <alignment vertical="top"/>
    </xf>
    <xf numFmtId="0" fontId="2" fillId="25" borderId="27" xfId="0" applyNumberFormat="1" applyFont="1" applyFill="1" applyBorder="1" applyAlignment="1" applyProtection="1">
      <alignment vertical="top"/>
    </xf>
    <xf numFmtId="0" fontId="2" fillId="25" borderId="107" xfId="0" applyNumberFormat="1" applyFont="1" applyFill="1" applyBorder="1" applyAlignment="1" applyProtection="1">
      <alignment vertical="top"/>
    </xf>
    <xf numFmtId="164" fontId="4" fillId="27" borderId="84" xfId="0" applyNumberFormat="1" applyFont="1" applyFill="1" applyBorder="1" applyAlignment="1" applyProtection="1">
      <alignment vertical="top"/>
    </xf>
    <xf numFmtId="0" fontId="2" fillId="27" borderId="86" xfId="0" applyNumberFormat="1" applyFont="1" applyFill="1" applyBorder="1" applyAlignment="1" applyProtection="1">
      <alignment vertical="top"/>
    </xf>
    <xf numFmtId="0" fontId="0" fillId="43" borderId="39" xfId="0" applyFill="1" applyBorder="1" applyAlignment="1" applyProtection="1">
      <alignment vertical="top"/>
    </xf>
    <xf numFmtId="0" fontId="2" fillId="43" borderId="39" xfId="0" applyFont="1" applyFill="1" applyBorder="1" applyAlignment="1" applyProtection="1">
      <alignment vertical="top"/>
    </xf>
    <xf numFmtId="0" fontId="76" fillId="27" borderId="13" xfId="0" applyNumberFormat="1" applyFont="1" applyFill="1" applyBorder="1" applyAlignment="1" applyProtection="1">
      <alignment horizontal="left" vertical="top"/>
    </xf>
    <xf numFmtId="0" fontId="72" fillId="24" borderId="0" xfId="0" applyNumberFormat="1" applyFont="1" applyFill="1" applyBorder="1" applyAlignment="1" applyProtection="1">
      <alignment vertical="top"/>
    </xf>
    <xf numFmtId="0" fontId="72" fillId="25" borderId="0" xfId="0" applyNumberFormat="1" applyFont="1" applyFill="1" applyBorder="1" applyAlignment="1" applyProtection="1">
      <alignment vertical="top"/>
    </xf>
    <xf numFmtId="0" fontId="48" fillId="25" borderId="0" xfId="0" applyFont="1" applyFill="1" applyAlignment="1" applyProtection="1"/>
    <xf numFmtId="0" fontId="72" fillId="41" borderId="0" xfId="0" applyNumberFormat="1" applyFont="1" applyFill="1" applyBorder="1" applyAlignment="1" applyProtection="1">
      <alignment vertical="top"/>
    </xf>
    <xf numFmtId="0" fontId="0" fillId="39" borderId="0" xfId="0" applyFill="1" applyBorder="1" applyProtection="1"/>
    <xf numFmtId="0" fontId="0" fillId="41" borderId="0" xfId="0" applyFill="1" applyBorder="1" applyProtection="1"/>
    <xf numFmtId="0" fontId="0" fillId="25" borderId="75" xfId="0" applyFill="1" applyBorder="1" applyProtection="1"/>
    <xf numFmtId="0" fontId="0" fillId="39" borderId="0" xfId="0" applyFill="1" applyBorder="1" applyAlignment="1" applyProtection="1"/>
    <xf numFmtId="0" fontId="0" fillId="47" borderId="11" xfId="0" applyFill="1" applyBorder="1" applyProtection="1">
      <protection locked="0"/>
    </xf>
    <xf numFmtId="0" fontId="10" fillId="43" borderId="0" xfId="0" quotePrefix="1" applyFont="1" applyFill="1" applyAlignment="1" applyProtection="1">
      <alignment horizontal="right" vertical="top" wrapText="1"/>
    </xf>
    <xf numFmtId="3" fontId="0" fillId="25" borderId="0" xfId="0" applyNumberFormat="1" applyFill="1" applyProtection="1"/>
    <xf numFmtId="0" fontId="2" fillId="25" borderId="18" xfId="0" applyNumberFormat="1" applyFont="1" applyFill="1" applyBorder="1" applyAlignment="1" applyProtection="1">
      <alignment horizontal="center" vertical="top"/>
    </xf>
    <xf numFmtId="0" fontId="4" fillId="25" borderId="116" xfId="0" applyNumberFormat="1" applyFont="1" applyFill="1" applyBorder="1" applyAlignment="1" applyProtection="1">
      <alignment horizontal="center" vertical="top"/>
    </xf>
    <xf numFmtId="164" fontId="4" fillId="27" borderId="78" xfId="0" applyNumberFormat="1" applyFont="1" applyFill="1" applyBorder="1" applyAlignment="1" applyProtection="1">
      <alignment horizontal="right" vertical="top"/>
    </xf>
    <xf numFmtId="165" fontId="4" fillId="27" borderId="78" xfId="0" applyNumberFormat="1" applyFont="1" applyFill="1" applyBorder="1" applyAlignment="1" applyProtection="1">
      <alignment horizontal="right" vertical="top"/>
    </xf>
    <xf numFmtId="164" fontId="4" fillId="27" borderId="79" xfId="0" applyNumberFormat="1" applyFont="1" applyFill="1" applyBorder="1" applyAlignment="1" applyProtection="1">
      <alignment horizontal="right" vertical="top"/>
    </xf>
    <xf numFmtId="165" fontId="4" fillId="27" borderId="79" xfId="0" applyNumberFormat="1" applyFont="1" applyFill="1" applyBorder="1" applyAlignment="1" applyProtection="1">
      <alignment horizontal="right" vertical="top"/>
    </xf>
    <xf numFmtId="164" fontId="38" fillId="27" borderId="27" xfId="0" applyNumberFormat="1" applyFont="1" applyFill="1" applyBorder="1" applyAlignment="1" applyProtection="1">
      <alignment horizontal="right" vertical="top"/>
    </xf>
    <xf numFmtId="164" fontId="38" fillId="27" borderId="13" xfId="0" applyNumberFormat="1" applyFont="1" applyFill="1" applyBorder="1" applyAlignment="1" applyProtection="1">
      <alignment horizontal="right" vertical="top"/>
    </xf>
    <xf numFmtId="164" fontId="38" fillId="27" borderId="72" xfId="0" applyNumberFormat="1" applyFont="1" applyFill="1" applyBorder="1" applyAlignment="1" applyProtection="1">
      <alignment horizontal="right" vertical="top"/>
    </xf>
    <xf numFmtId="164" fontId="38" fillId="27" borderId="61" xfId="0" applyNumberFormat="1" applyFont="1" applyFill="1" applyBorder="1" applyAlignment="1" applyProtection="1">
      <alignment horizontal="right" vertical="top"/>
    </xf>
    <xf numFmtId="0" fontId="38" fillId="24" borderId="117" xfId="0" applyNumberFormat="1" applyFont="1" applyFill="1" applyBorder="1" applyAlignment="1" applyProtection="1">
      <alignment vertical="top"/>
    </xf>
    <xf numFmtId="0" fontId="0" fillId="39" borderId="0" xfId="0" applyFill="1" applyAlignment="1" applyProtection="1"/>
    <xf numFmtId="0" fontId="0" fillId="25" borderId="11" xfId="0" applyFill="1" applyBorder="1" applyProtection="1"/>
    <xf numFmtId="4" fontId="0" fillId="25" borderId="11" xfId="0" applyNumberFormat="1" applyFill="1" applyBorder="1" applyAlignment="1" applyProtection="1">
      <alignment horizontal="center"/>
    </xf>
    <xf numFmtId="0" fontId="2" fillId="25" borderId="11" xfId="0" applyFont="1" applyFill="1" applyBorder="1" applyAlignment="1" applyProtection="1">
      <alignment horizontal="center"/>
    </xf>
    <xf numFmtId="171" fontId="0" fillId="25" borderId="11" xfId="0" applyNumberFormat="1" applyFill="1" applyBorder="1" applyAlignment="1" applyProtection="1">
      <alignment horizontal="center"/>
    </xf>
    <xf numFmtId="0" fontId="0" fillId="25" borderId="0" xfId="0" applyNumberFormat="1" applyFont="1" applyFill="1" applyBorder="1" applyAlignment="1" applyProtection="1">
      <alignment vertical="top"/>
    </xf>
    <xf numFmtId="3" fontId="0" fillId="25" borderId="11" xfId="0" applyNumberFormat="1" applyFill="1" applyBorder="1" applyAlignment="1" applyProtection="1">
      <alignment horizontal="center"/>
    </xf>
    <xf numFmtId="0" fontId="0" fillId="41" borderId="75" xfId="0" applyFill="1" applyBorder="1" applyAlignment="1" applyProtection="1">
      <alignment horizontal="center"/>
    </xf>
    <xf numFmtId="171" fontId="0" fillId="25" borderId="75" xfId="0" applyNumberFormat="1" applyFill="1" applyBorder="1" applyAlignment="1" applyProtection="1">
      <alignment horizontal="center"/>
    </xf>
    <xf numFmtId="3" fontId="0" fillId="25" borderId="75" xfId="0" applyNumberFormat="1" applyFill="1" applyBorder="1" applyAlignment="1" applyProtection="1">
      <alignment horizontal="center"/>
    </xf>
    <xf numFmtId="0" fontId="2" fillId="43" borderId="0" xfId="0" applyFont="1" applyFill="1" applyBorder="1" applyAlignment="1" applyProtection="1">
      <alignment horizontal="right" vertical="top"/>
    </xf>
    <xf numFmtId="0" fontId="38" fillId="41" borderId="0" xfId="0" applyNumberFormat="1" applyFont="1" applyFill="1" applyBorder="1" applyAlignment="1" applyProtection="1">
      <alignment vertical="top"/>
    </xf>
    <xf numFmtId="0" fontId="2" fillId="41" borderId="0" xfId="0" applyNumberFormat="1" applyFont="1" applyFill="1" applyBorder="1" applyAlignment="1" applyProtection="1">
      <alignment vertical="top"/>
    </xf>
    <xf numFmtId="0" fontId="2" fillId="43" borderId="39" xfId="0" applyFont="1" applyFill="1" applyBorder="1" applyAlignment="1" applyProtection="1">
      <alignment horizontal="left" vertical="top"/>
    </xf>
    <xf numFmtId="165" fontId="38" fillId="40" borderId="64" xfId="0" applyNumberFormat="1" applyFont="1" applyFill="1" applyBorder="1" applyAlignment="1" applyProtection="1">
      <alignment vertical="top"/>
    </xf>
    <xf numFmtId="165" fontId="38" fillId="40" borderId="66" xfId="0" applyNumberFormat="1" applyFont="1" applyFill="1" applyBorder="1" applyAlignment="1" applyProtection="1">
      <alignment vertical="top"/>
    </xf>
    <xf numFmtId="0" fontId="4" fillId="41" borderId="0" xfId="0" applyNumberFormat="1" applyFont="1" applyFill="1" applyBorder="1" applyAlignment="1" applyProtection="1">
      <alignment vertical="top"/>
    </xf>
    <xf numFmtId="15" fontId="38" fillId="41" borderId="0" xfId="0" applyNumberFormat="1" applyFont="1" applyFill="1" applyBorder="1" applyAlignment="1" applyProtection="1">
      <alignment vertical="top"/>
    </xf>
    <xf numFmtId="0" fontId="2" fillId="25" borderId="18" xfId="0" applyNumberFormat="1" applyFont="1" applyFill="1" applyBorder="1" applyAlignment="1" applyProtection="1">
      <alignment horizontal="right" vertical="top"/>
    </xf>
    <xf numFmtId="169" fontId="38" fillId="27" borderId="13" xfId="0" applyNumberFormat="1" applyFont="1" applyFill="1" applyBorder="1" applyAlignment="1" applyProtection="1">
      <alignment vertical="top"/>
    </xf>
    <xf numFmtId="0" fontId="4" fillId="24" borderId="77" xfId="0" applyNumberFormat="1" applyFont="1" applyFill="1" applyBorder="1" applyAlignment="1" applyProtection="1">
      <alignment vertical="top"/>
    </xf>
    <xf numFmtId="0" fontId="4" fillId="24" borderId="78" xfId="0" applyNumberFormat="1" applyFont="1" applyFill="1" applyBorder="1" applyAlignment="1" applyProtection="1">
      <alignment vertical="top"/>
    </xf>
    <xf numFmtId="0" fontId="4" fillId="24" borderId="79" xfId="0" applyNumberFormat="1" applyFont="1" applyFill="1" applyBorder="1" applyAlignment="1" applyProtection="1">
      <alignment vertical="top"/>
    </xf>
    <xf numFmtId="0" fontId="4" fillId="24" borderId="84" xfId="0" applyNumberFormat="1" applyFont="1" applyFill="1" applyBorder="1" applyAlignment="1" applyProtection="1">
      <alignment vertical="top"/>
    </xf>
    <xf numFmtId="0" fontId="38" fillId="39" borderId="70" xfId="0" applyNumberFormat="1" applyFont="1" applyFill="1" applyBorder="1" applyAlignment="1" applyProtection="1">
      <alignment vertical="top"/>
    </xf>
    <xf numFmtId="0" fontId="2" fillId="48" borderId="73" xfId="0" applyNumberFormat="1" applyFont="1" applyFill="1" applyBorder="1" applyAlignment="1" applyProtection="1">
      <alignment vertical="top"/>
    </xf>
    <xf numFmtId="0" fontId="2" fillId="24" borderId="91" xfId="0" applyNumberFormat="1" applyFont="1" applyFill="1" applyBorder="1" applyAlignment="1" applyProtection="1">
      <alignment vertical="top"/>
    </xf>
    <xf numFmtId="0" fontId="2" fillId="24" borderId="71" xfId="0" applyNumberFormat="1" applyFont="1" applyFill="1" applyBorder="1" applyAlignment="1" applyProtection="1">
      <alignment vertical="top"/>
    </xf>
    <xf numFmtId="0" fontId="38" fillId="48" borderId="73" xfId="0" applyNumberFormat="1" applyFont="1" applyFill="1" applyBorder="1" applyAlignment="1" applyProtection="1">
      <alignment vertical="top"/>
    </xf>
    <xf numFmtId="0" fontId="38" fillId="39" borderId="110" xfId="0" applyNumberFormat="1" applyFont="1" applyFill="1" applyBorder="1" applyAlignment="1" applyProtection="1">
      <alignment vertical="top"/>
    </xf>
    <xf numFmtId="0" fontId="38" fillId="39" borderId="10" xfId="0" applyNumberFormat="1" applyFont="1" applyFill="1" applyBorder="1" applyAlignment="1" applyProtection="1">
      <alignment horizontal="center" vertical="top"/>
    </xf>
    <xf numFmtId="0" fontId="38" fillId="39" borderId="93" xfId="0" applyNumberFormat="1" applyFont="1" applyFill="1" applyBorder="1" applyAlignment="1" applyProtection="1">
      <alignment horizontal="center" vertical="top"/>
    </xf>
    <xf numFmtId="0" fontId="38" fillId="39" borderId="11" xfId="0" applyNumberFormat="1" applyFont="1" applyFill="1" applyBorder="1" applyAlignment="1" applyProtection="1">
      <alignment horizontal="center" vertical="top"/>
    </xf>
    <xf numFmtId="0" fontId="4" fillId="25" borderId="0" xfId="0" quotePrefix="1" applyFont="1" applyFill="1" applyAlignment="1" applyProtection="1">
      <alignment horizontal="center" vertical="top"/>
    </xf>
    <xf numFmtId="0" fontId="38" fillId="44" borderId="71" xfId="0" applyNumberFormat="1" applyFont="1" applyFill="1" applyBorder="1" applyAlignment="1" applyProtection="1">
      <alignment vertical="top"/>
    </xf>
    <xf numFmtId="0" fontId="73" fillId="24" borderId="0" xfId="0" applyNumberFormat="1" applyFont="1" applyFill="1" applyBorder="1" applyAlignment="1" applyProtection="1">
      <alignment vertical="top"/>
    </xf>
    <xf numFmtId="0" fontId="73" fillId="25" borderId="0" xfId="0" applyNumberFormat="1" applyFont="1" applyFill="1" applyBorder="1" applyAlignment="1" applyProtection="1">
      <alignment vertical="top"/>
    </xf>
    <xf numFmtId="0" fontId="73" fillId="25" borderId="20" xfId="0" applyNumberFormat="1" applyFont="1" applyFill="1" applyBorder="1" applyAlignment="1" applyProtection="1">
      <alignment horizontal="center" vertical="top"/>
    </xf>
    <xf numFmtId="0" fontId="73" fillId="25" borderId="21" xfId="0" applyNumberFormat="1" applyFont="1" applyFill="1" applyBorder="1" applyAlignment="1" applyProtection="1">
      <alignment horizontal="center" vertical="top"/>
    </xf>
    <xf numFmtId="0" fontId="73" fillId="25" borderId="24" xfId="0" applyNumberFormat="1" applyFont="1" applyFill="1" applyBorder="1" applyAlignment="1" applyProtection="1">
      <alignment horizontal="center" vertical="top"/>
    </xf>
    <xf numFmtId="49" fontId="73" fillId="42" borderId="64" xfId="0" applyNumberFormat="1" applyFont="1" applyFill="1" applyBorder="1" applyAlignment="1" applyProtection="1">
      <alignment horizontal="center" vertical="top"/>
      <protection locked="0"/>
    </xf>
    <xf numFmtId="49" fontId="73" fillId="42" borderId="65" xfId="0" applyNumberFormat="1" applyFont="1" applyFill="1" applyBorder="1" applyAlignment="1" applyProtection="1">
      <alignment horizontal="center" vertical="top"/>
      <protection locked="0"/>
    </xf>
    <xf numFmtId="49" fontId="73" fillId="42" borderId="66" xfId="0" applyNumberFormat="1" applyFont="1" applyFill="1" applyBorder="1" applyAlignment="1" applyProtection="1">
      <alignment horizontal="center" vertical="top"/>
      <protection locked="0"/>
    </xf>
    <xf numFmtId="0" fontId="38" fillId="41" borderId="14" xfId="0" applyNumberFormat="1" applyFont="1" applyFill="1" applyBorder="1" applyAlignment="1" applyProtection="1">
      <alignment horizontal="center" vertical="top"/>
    </xf>
    <xf numFmtId="0" fontId="38" fillId="41" borderId="15" xfId="0" applyNumberFormat="1" applyFont="1" applyFill="1" applyBorder="1" applyAlignment="1" applyProtection="1">
      <alignment horizontal="center" vertical="top"/>
    </xf>
    <xf numFmtId="0" fontId="38" fillId="41" borderId="16" xfId="0" applyNumberFormat="1" applyFont="1" applyFill="1" applyBorder="1" applyAlignment="1" applyProtection="1">
      <alignment horizontal="center" vertical="top"/>
    </xf>
    <xf numFmtId="0" fontId="38" fillId="41" borderId="0" xfId="0" applyNumberFormat="1" applyFont="1" applyFill="1" applyBorder="1" applyAlignment="1" applyProtection="1">
      <alignment horizontal="center" vertical="center"/>
    </xf>
    <xf numFmtId="0" fontId="2" fillId="24" borderId="0" xfId="0" applyNumberFormat="1" applyFont="1" applyFill="1" applyBorder="1" applyAlignment="1" applyProtection="1">
      <alignment horizontal="right" vertical="top"/>
    </xf>
    <xf numFmtId="0" fontId="38" fillId="47" borderId="66" xfId="0" applyNumberFormat="1" applyFont="1" applyFill="1" applyBorder="1" applyAlignment="1" applyProtection="1">
      <alignment horizontal="center" vertical="top"/>
      <protection locked="0"/>
    </xf>
    <xf numFmtId="0" fontId="38" fillId="44" borderId="69" xfId="0" applyNumberFormat="1" applyFont="1" applyFill="1" applyBorder="1" applyAlignment="1" applyProtection="1">
      <alignment vertical="top"/>
    </xf>
    <xf numFmtId="0" fontId="38" fillId="24" borderId="118" xfId="0" applyNumberFormat="1" applyFont="1" applyFill="1" applyBorder="1" applyAlignment="1" applyProtection="1">
      <alignment horizontal="center" vertical="top"/>
    </xf>
    <xf numFmtId="0" fontId="38" fillId="41" borderId="23" xfId="0" applyNumberFormat="1" applyFont="1" applyFill="1" applyBorder="1" applyAlignment="1" applyProtection="1">
      <alignment horizontal="center" vertical="top"/>
    </xf>
    <xf numFmtId="0" fontId="38" fillId="41" borderId="108" xfId="0" applyNumberFormat="1" applyFont="1" applyFill="1" applyBorder="1" applyAlignment="1" applyProtection="1">
      <alignment horizontal="center" vertical="top"/>
    </xf>
    <xf numFmtId="0" fontId="38" fillId="41" borderId="49" xfId="0" applyNumberFormat="1" applyFont="1" applyFill="1" applyBorder="1" applyAlignment="1" applyProtection="1">
      <alignment horizontal="center" vertical="top"/>
    </xf>
    <xf numFmtId="0" fontId="4" fillId="41" borderId="74" xfId="0" applyNumberFormat="1" applyFont="1" applyFill="1" applyBorder="1" applyAlignment="1" applyProtection="1">
      <alignment horizontal="center" vertical="top"/>
    </xf>
    <xf numFmtId="0" fontId="4" fillId="41" borderId="49" xfId="0" applyNumberFormat="1" applyFont="1" applyFill="1" applyBorder="1" applyAlignment="1" applyProtection="1">
      <alignment horizontal="center" vertical="top"/>
    </xf>
    <xf numFmtId="0" fontId="2" fillId="41" borderId="20" xfId="0" applyNumberFormat="1" applyFont="1" applyFill="1" applyBorder="1" applyAlignment="1" applyProtection="1">
      <alignment horizontal="center" vertical="top"/>
    </xf>
    <xf numFmtId="0" fontId="2" fillId="27" borderId="27" xfId="0" applyNumberFormat="1" applyFont="1" applyFill="1" applyBorder="1" applyAlignment="1" applyProtection="1">
      <alignment horizontal="center" vertical="top"/>
    </xf>
    <xf numFmtId="165" fontId="2" fillId="29" borderId="13" xfId="0" applyNumberFormat="1" applyFont="1" applyFill="1" applyBorder="1" applyAlignment="1" applyProtection="1">
      <alignment vertical="top"/>
      <protection locked="0"/>
    </xf>
    <xf numFmtId="0" fontId="2" fillId="27" borderId="25" xfId="0" applyNumberFormat="1" applyFont="1" applyFill="1" applyBorder="1" applyAlignment="1" applyProtection="1">
      <alignment horizontal="center" vertical="top"/>
    </xf>
    <xf numFmtId="0" fontId="2" fillId="39" borderId="73" xfId="0" applyNumberFormat="1" applyFont="1" applyFill="1" applyBorder="1" applyAlignment="1" applyProtection="1">
      <alignment vertical="top"/>
    </xf>
    <xf numFmtId="0" fontId="2" fillId="39" borderId="71" xfId="0" applyNumberFormat="1" applyFont="1" applyFill="1" applyBorder="1" applyAlignment="1" applyProtection="1">
      <alignment vertical="top"/>
    </xf>
    <xf numFmtId="0" fontId="4" fillId="27" borderId="74" xfId="0" applyNumberFormat="1" applyFont="1" applyFill="1" applyBorder="1" applyAlignment="1" applyProtection="1">
      <alignment horizontal="center" vertical="top"/>
    </xf>
    <xf numFmtId="165" fontId="4" fillId="29" borderId="96" xfId="0" applyNumberFormat="1" applyFont="1" applyFill="1" applyBorder="1" applyAlignment="1" applyProtection="1">
      <alignment vertical="top"/>
      <protection locked="0"/>
    </xf>
    <xf numFmtId="165" fontId="4" fillId="29" borderId="95" xfId="0" applyNumberFormat="1" applyFont="1" applyFill="1" applyBorder="1" applyAlignment="1" applyProtection="1">
      <alignment vertical="top"/>
      <protection locked="0"/>
    </xf>
    <xf numFmtId="0" fontId="4" fillId="27" borderId="49" xfId="0" applyNumberFormat="1" applyFont="1" applyFill="1" applyBorder="1" applyAlignment="1" applyProtection="1">
      <alignment horizontal="center" vertical="top"/>
    </xf>
    <xf numFmtId="165" fontId="4" fillId="29" borderId="54" xfId="0" applyNumberFormat="1" applyFont="1" applyFill="1" applyBorder="1" applyAlignment="1" applyProtection="1">
      <alignment vertical="top"/>
      <protection locked="0"/>
    </xf>
    <xf numFmtId="165" fontId="4" fillId="29" borderId="53" xfId="0" applyNumberFormat="1" applyFont="1" applyFill="1" applyBorder="1" applyAlignment="1" applyProtection="1">
      <alignment vertical="top"/>
      <protection locked="0"/>
    </xf>
    <xf numFmtId="165" fontId="2" fillId="27" borderId="11" xfId="0" applyNumberFormat="1" applyFont="1" applyFill="1" applyBorder="1" applyAlignment="1" applyProtection="1">
      <alignment vertical="top"/>
    </xf>
    <xf numFmtId="165" fontId="4" fillId="27" borderId="96" xfId="0" applyNumberFormat="1" applyFont="1" applyFill="1" applyBorder="1" applyAlignment="1" applyProtection="1">
      <alignment vertical="top"/>
    </xf>
    <xf numFmtId="165" fontId="4" fillId="27" borderId="95" xfId="0" applyNumberFormat="1" applyFont="1" applyFill="1" applyBorder="1" applyAlignment="1" applyProtection="1">
      <alignment vertical="top"/>
    </xf>
    <xf numFmtId="165" fontId="4" fillId="27" borderId="53" xfId="0" applyNumberFormat="1" applyFont="1" applyFill="1" applyBorder="1" applyAlignment="1" applyProtection="1">
      <alignment vertical="top"/>
    </xf>
    <xf numFmtId="0" fontId="2" fillId="39" borderId="110" xfId="0" applyNumberFormat="1" applyFont="1" applyFill="1" applyBorder="1" applyAlignment="1" applyProtection="1">
      <alignment vertical="top"/>
    </xf>
    <xf numFmtId="0" fontId="2" fillId="39" borderId="110" xfId="0" applyFont="1" applyFill="1" applyBorder="1" applyAlignment="1" applyProtection="1"/>
    <xf numFmtId="0" fontId="2" fillId="25" borderId="0" xfId="0" quotePrefix="1" applyFont="1" applyFill="1" applyAlignment="1" applyProtection="1">
      <alignment horizontal="right" vertical="top"/>
    </xf>
    <xf numFmtId="165" fontId="38" fillId="47" borderId="13" xfId="0" applyNumberFormat="1" applyFont="1" applyFill="1" applyBorder="1" applyAlignment="1" applyProtection="1">
      <alignment vertical="top"/>
      <protection locked="0"/>
    </xf>
    <xf numFmtId="165" fontId="2" fillId="42" borderId="13" xfId="0" applyNumberFormat="1" applyFont="1" applyFill="1" applyBorder="1" applyAlignment="1" applyProtection="1">
      <alignment vertical="top"/>
      <protection locked="0"/>
    </xf>
    <xf numFmtId="0" fontId="73" fillId="41" borderId="0" xfId="0" applyNumberFormat="1" applyFont="1" applyFill="1" applyBorder="1" applyAlignment="1" applyProtection="1">
      <alignment vertical="top"/>
    </xf>
    <xf numFmtId="0" fontId="38" fillId="42" borderId="14" xfId="0" applyNumberFormat="1" applyFont="1" applyFill="1" applyBorder="1" applyAlignment="1" applyProtection="1">
      <alignment horizontal="center" vertical="top"/>
      <protection locked="0"/>
    </xf>
    <xf numFmtId="0" fontId="38" fillId="42" borderId="15" xfId="0" applyNumberFormat="1" applyFont="1" applyFill="1" applyBorder="1" applyAlignment="1" applyProtection="1">
      <alignment horizontal="center" vertical="top"/>
      <protection locked="0"/>
    </xf>
    <xf numFmtId="0" fontId="38" fillId="42" borderId="16" xfId="0" applyNumberFormat="1" applyFont="1" applyFill="1" applyBorder="1" applyAlignment="1" applyProtection="1">
      <alignment horizontal="center" vertical="top"/>
      <protection locked="0"/>
    </xf>
    <xf numFmtId="0" fontId="38" fillId="24" borderId="50" xfId="0" applyNumberFormat="1" applyFont="1" applyFill="1" applyBorder="1" applyAlignment="1" applyProtection="1">
      <alignment vertical="top"/>
    </xf>
    <xf numFmtId="0" fontId="38" fillId="24" borderId="68" xfId="0" applyNumberFormat="1" applyFont="1" applyFill="1" applyBorder="1" applyAlignment="1" applyProtection="1">
      <alignment vertical="top"/>
    </xf>
    <xf numFmtId="0" fontId="38" fillId="24" borderId="118" xfId="0" applyNumberFormat="1" applyFont="1" applyFill="1" applyBorder="1" applyAlignment="1" applyProtection="1">
      <alignment vertical="top"/>
    </xf>
    <xf numFmtId="0" fontId="38" fillId="24" borderId="11" xfId="0" applyNumberFormat="1" applyFont="1" applyFill="1" applyBorder="1" applyAlignment="1" applyProtection="1">
      <alignment vertical="top"/>
    </xf>
    <xf numFmtId="0" fontId="38" fillId="24" borderId="119" xfId="0" applyNumberFormat="1" applyFont="1" applyFill="1" applyBorder="1" applyAlignment="1" applyProtection="1">
      <alignment vertical="top"/>
    </xf>
    <xf numFmtId="0" fontId="4" fillId="24" borderId="116" xfId="0" applyNumberFormat="1" applyFont="1" applyFill="1" applyBorder="1" applyAlignment="1" applyProtection="1">
      <alignment vertical="top"/>
    </xf>
    <xf numFmtId="0" fontId="4" fillId="24" borderId="86" xfId="0" applyNumberFormat="1" applyFont="1" applyFill="1" applyBorder="1" applyAlignment="1" applyProtection="1">
      <alignment vertical="top"/>
    </xf>
    <xf numFmtId="0" fontId="38" fillId="44" borderId="91" xfId="0" applyNumberFormat="1" applyFont="1" applyFill="1" applyBorder="1" applyAlignment="1" applyProtection="1">
      <alignment vertical="top"/>
    </xf>
    <xf numFmtId="0" fontId="2" fillId="49" borderId="11" xfId="0" applyFont="1" applyFill="1" applyBorder="1" applyAlignment="1" applyProtection="1">
      <alignment horizontal="center"/>
    </xf>
    <xf numFmtId="4" fontId="0" fillId="49" borderId="11" xfId="0" applyNumberFormat="1" applyFill="1" applyBorder="1" applyAlignment="1" applyProtection="1">
      <alignment horizontal="center"/>
    </xf>
    <xf numFmtId="0" fontId="0" fillId="49" borderId="11" xfId="0" applyFill="1" applyBorder="1" applyAlignment="1" applyProtection="1">
      <alignment horizontal="center"/>
    </xf>
    <xf numFmtId="3" fontId="0" fillId="49" borderId="11" xfId="0" applyNumberFormat="1" applyFill="1" applyBorder="1" applyAlignment="1" applyProtection="1">
      <alignment horizontal="center"/>
    </xf>
    <xf numFmtId="0" fontId="0" fillId="49" borderId="75" xfId="0" applyFill="1" applyBorder="1" applyProtection="1"/>
    <xf numFmtId="4" fontId="0" fillId="49" borderId="75" xfId="0" applyNumberFormat="1" applyFill="1" applyBorder="1" applyAlignment="1" applyProtection="1">
      <alignment horizontal="center"/>
    </xf>
    <xf numFmtId="0" fontId="0" fillId="49" borderId="75" xfId="0" applyFill="1" applyBorder="1" applyAlignment="1" applyProtection="1">
      <alignment horizontal="center"/>
    </xf>
    <xf numFmtId="0" fontId="2" fillId="49" borderId="75" xfId="0" applyFont="1" applyFill="1" applyBorder="1" applyAlignment="1" applyProtection="1">
      <alignment horizontal="center"/>
    </xf>
    <xf numFmtId="0" fontId="0" fillId="49" borderId="11" xfId="0" applyFill="1" applyBorder="1" applyProtection="1"/>
    <xf numFmtId="10" fontId="38" fillId="41" borderId="13" xfId="0" applyNumberFormat="1" applyFont="1" applyFill="1" applyBorder="1" applyAlignment="1" applyProtection="1">
      <alignment vertical="top"/>
    </xf>
    <xf numFmtId="0" fontId="2" fillId="44" borderId="73" xfId="0" applyNumberFormat="1" applyFont="1" applyFill="1" applyBorder="1" applyAlignment="1" applyProtection="1">
      <alignment vertical="top"/>
    </xf>
    <xf numFmtId="0" fontId="2" fillId="44" borderId="71" xfId="0" applyNumberFormat="1" applyFont="1" applyFill="1" applyBorder="1" applyAlignment="1" applyProtection="1">
      <alignment vertical="top"/>
    </xf>
    <xf numFmtId="0" fontId="4" fillId="50" borderId="84" xfId="0" applyFont="1" applyFill="1" applyBorder="1" applyProtection="1"/>
    <xf numFmtId="0" fontId="0" fillId="50" borderId="69" xfId="0" applyFill="1" applyBorder="1" applyProtection="1"/>
    <xf numFmtId="0" fontId="0" fillId="50" borderId="0" xfId="0" applyFill="1" applyBorder="1" applyAlignment="1" applyProtection="1">
      <alignment horizontal="center" vertical="center" wrapText="1"/>
    </xf>
    <xf numFmtId="0" fontId="4" fillId="50" borderId="69" xfId="0" applyFont="1" applyFill="1" applyBorder="1" applyProtection="1"/>
    <xf numFmtId="0" fontId="34" fillId="50" borderId="69" xfId="77" applyFont="1" applyFill="1" applyBorder="1" applyAlignment="1" applyProtection="1">
      <alignment vertical="top" wrapText="1"/>
    </xf>
    <xf numFmtId="0" fontId="2" fillId="0" borderId="75" xfId="0" applyNumberFormat="1" applyFont="1" applyFill="1" applyBorder="1" applyAlignment="1" applyProtection="1">
      <alignment vertical="top"/>
    </xf>
    <xf numFmtId="0" fontId="38" fillId="40" borderId="20" xfId="0" applyNumberFormat="1" applyFont="1" applyFill="1" applyBorder="1" applyAlignment="1" applyProtection="1">
      <alignment horizontal="center" vertical="top"/>
    </xf>
    <xf numFmtId="0" fontId="38" fillId="40" borderId="21" xfId="0" applyNumberFormat="1" applyFont="1" applyFill="1" applyBorder="1" applyAlignment="1" applyProtection="1">
      <alignment horizontal="center" vertical="top"/>
    </xf>
    <xf numFmtId="0" fontId="38" fillId="40" borderId="49" xfId="0" applyNumberFormat="1" applyFont="1" applyFill="1" applyBorder="1" applyAlignment="1" applyProtection="1">
      <alignment horizontal="center" vertical="top"/>
    </xf>
    <xf numFmtId="0" fontId="49" fillId="40" borderId="26" xfId="0" applyNumberFormat="1" applyFont="1" applyFill="1" applyBorder="1" applyAlignment="1" applyProtection="1">
      <alignment vertical="top"/>
    </xf>
    <xf numFmtId="0" fontId="38" fillId="40" borderId="0" xfId="0" applyNumberFormat="1" applyFont="1" applyFill="1" applyBorder="1" applyAlignment="1" applyProtection="1">
      <alignment vertical="top"/>
    </xf>
    <xf numFmtId="0" fontId="38" fillId="40" borderId="40" xfId="0" applyNumberFormat="1" applyFont="1" applyFill="1" applyBorder="1" applyAlignment="1" applyProtection="1">
      <alignment vertical="top"/>
    </xf>
    <xf numFmtId="0" fontId="38" fillId="40" borderId="93" xfId="0" applyNumberFormat="1" applyFont="1" applyFill="1" applyBorder="1" applyAlignment="1" applyProtection="1">
      <alignment vertical="top"/>
    </xf>
    <xf numFmtId="0" fontId="38" fillId="40" borderId="120" xfId="0" applyNumberFormat="1" applyFont="1" applyFill="1" applyBorder="1" applyAlignment="1" applyProtection="1">
      <alignment vertical="top"/>
    </xf>
    <xf numFmtId="0" fontId="2" fillId="42" borderId="64" xfId="0" applyNumberFormat="1" applyFont="1" applyFill="1" applyBorder="1" applyAlignment="1" applyProtection="1">
      <alignment horizontal="center" vertical="top"/>
      <protection locked="0"/>
    </xf>
    <xf numFmtId="0" fontId="2" fillId="25" borderId="0" xfId="0" applyNumberFormat="1" applyFont="1" applyFill="1" applyAlignment="1" applyProtection="1"/>
    <xf numFmtId="0" fontId="2" fillId="39" borderId="13" xfId="0" applyNumberFormat="1" applyFont="1" applyFill="1" applyBorder="1" applyAlignment="1" applyProtection="1">
      <alignment vertical="top"/>
    </xf>
    <xf numFmtId="49" fontId="2" fillId="25" borderId="0" xfId="0" applyNumberFormat="1" applyFont="1" applyFill="1" applyBorder="1" applyAlignment="1" applyProtection="1">
      <alignment horizontal="left" vertical="top"/>
    </xf>
    <xf numFmtId="0" fontId="2" fillId="40" borderId="13" xfId="0" applyNumberFormat="1" applyFont="1" applyFill="1" applyBorder="1" applyAlignment="1" applyProtection="1">
      <alignment horizontal="right" vertical="top"/>
    </xf>
    <xf numFmtId="0" fontId="2" fillId="25" borderId="0" xfId="0" applyNumberFormat="1" applyFont="1" applyFill="1" applyBorder="1" applyAlignment="1" applyProtection="1">
      <alignment horizontal="right" vertical="top" indent="1"/>
    </xf>
    <xf numFmtId="0" fontId="32" fillId="25" borderId="0" xfId="0" applyFont="1" applyFill="1" applyBorder="1" applyAlignment="1" applyProtection="1">
      <alignment vertical="top"/>
    </xf>
    <xf numFmtId="10" fontId="38" fillId="24" borderId="0" xfId="0" applyNumberFormat="1" applyFont="1" applyFill="1" applyBorder="1" applyAlignment="1" applyProtection="1">
      <alignment vertical="top"/>
    </xf>
    <xf numFmtId="10" fontId="69" fillId="41" borderId="13" xfId="84" applyNumberFormat="1" applyFont="1" applyFill="1" applyBorder="1" applyProtection="1"/>
    <xf numFmtId="0" fontId="2" fillId="24" borderId="58" xfId="0" applyFont="1" applyFill="1" applyBorder="1" applyAlignment="1" applyProtection="1"/>
    <xf numFmtId="0" fontId="4" fillId="24" borderId="29" xfId="0" applyNumberFormat="1" applyFont="1" applyFill="1" applyBorder="1" applyAlignment="1" applyProtection="1">
      <alignment vertical="top"/>
    </xf>
    <xf numFmtId="0" fontId="4" fillId="24" borderId="31" xfId="0" applyNumberFormat="1" applyFont="1" applyFill="1" applyBorder="1" applyAlignment="1" applyProtection="1">
      <alignment vertical="top"/>
    </xf>
    <xf numFmtId="0" fontId="4" fillId="24" borderId="60" xfId="0" applyFont="1" applyFill="1" applyBorder="1" applyAlignment="1" applyProtection="1">
      <alignment horizontal="left"/>
    </xf>
    <xf numFmtId="0" fontId="2" fillId="39" borderId="13" xfId="0" applyFont="1" applyFill="1" applyBorder="1" applyAlignment="1" applyProtection="1">
      <alignment wrapText="1"/>
    </xf>
    <xf numFmtId="3" fontId="2" fillId="42" borderId="64" xfId="0" applyNumberFormat="1" applyFont="1" applyFill="1" applyBorder="1" applyAlignment="1" applyProtection="1">
      <alignment vertical="top"/>
      <protection locked="0"/>
    </xf>
    <xf numFmtId="3" fontId="2" fillId="42" borderId="20" xfId="0" applyNumberFormat="1" applyFont="1" applyFill="1" applyBorder="1" applyAlignment="1" applyProtection="1">
      <alignment vertical="top"/>
      <protection locked="0"/>
    </xf>
    <xf numFmtId="3" fontId="4" fillId="27" borderId="84" xfId="0" applyNumberFormat="1" applyFont="1" applyFill="1" applyBorder="1" applyAlignment="1" applyProtection="1">
      <alignment vertical="top"/>
    </xf>
    <xf numFmtId="166" fontId="2" fillId="27" borderId="13" xfId="0" applyNumberFormat="1" applyFont="1" applyFill="1" applyBorder="1" applyAlignment="1" applyProtection="1">
      <alignment vertical="top"/>
    </xf>
    <xf numFmtId="167" fontId="2" fillId="24" borderId="13" xfId="0" applyNumberFormat="1" applyFont="1" applyFill="1" applyBorder="1" applyAlignment="1" applyProtection="1">
      <alignment horizontal="center" vertical="top"/>
    </xf>
    <xf numFmtId="0" fontId="2" fillId="25" borderId="121" xfId="0" applyNumberFormat="1" applyFont="1" applyFill="1" applyBorder="1" applyAlignment="1" applyProtection="1">
      <alignment vertical="top"/>
    </xf>
    <xf numFmtId="0" fontId="2" fillId="25" borderId="72" xfId="0" applyNumberFormat="1" applyFont="1" applyFill="1" applyBorder="1" applyAlignment="1" applyProtection="1">
      <alignment vertical="top"/>
    </xf>
    <xf numFmtId="0" fontId="36" fillId="25" borderId="0" xfId="0" applyFont="1" applyFill="1" applyBorder="1" applyAlignment="1" applyProtection="1">
      <alignment vertical="top"/>
    </xf>
    <xf numFmtId="0" fontId="2" fillId="25" borderId="26" xfId="0" applyFont="1" applyFill="1" applyBorder="1" applyAlignment="1" applyProtection="1">
      <alignment vertical="top"/>
    </xf>
    <xf numFmtId="0" fontId="2" fillId="27" borderId="13" xfId="0" applyNumberFormat="1" applyFont="1" applyFill="1" applyBorder="1" applyAlignment="1" applyProtection="1">
      <alignment vertical="top"/>
    </xf>
    <xf numFmtId="10" fontId="38" fillId="40" borderId="13" xfId="0" applyNumberFormat="1" applyFont="1" applyFill="1" applyBorder="1" applyAlignment="1" applyProtection="1">
      <alignment vertical="top"/>
    </xf>
    <xf numFmtId="0" fontId="2" fillId="40" borderId="13" xfId="0" applyNumberFormat="1" applyFont="1" applyFill="1" applyBorder="1" applyAlignment="1" applyProtection="1">
      <alignment horizontal="center" vertical="top"/>
    </xf>
    <xf numFmtId="0" fontId="2" fillId="24" borderId="10" xfId="0" applyFont="1" applyFill="1" applyBorder="1" applyAlignment="1" applyProtection="1"/>
    <xf numFmtId="0" fontId="2" fillId="43" borderId="0" xfId="0" applyNumberFormat="1" applyFont="1" applyFill="1" applyBorder="1" applyAlignment="1" applyProtection="1">
      <alignment vertical="top"/>
    </xf>
    <xf numFmtId="0" fontId="2" fillId="43" borderId="24" xfId="0" applyNumberFormat="1" applyFont="1" applyFill="1" applyBorder="1" applyAlignment="1" applyProtection="1">
      <alignment horizontal="center" vertical="top"/>
    </xf>
    <xf numFmtId="0" fontId="4" fillId="43" borderId="11" xfId="0" applyNumberFormat="1" applyFont="1" applyFill="1" applyBorder="1" applyAlignment="1" applyProtection="1">
      <alignment horizontal="right" vertical="top"/>
    </xf>
    <xf numFmtId="0" fontId="38" fillId="40" borderId="13" xfId="0" applyNumberFormat="1" applyFont="1" applyFill="1" applyBorder="1" applyAlignment="1" applyProtection="1">
      <alignment vertical="top"/>
    </xf>
    <xf numFmtId="0" fontId="2" fillId="25" borderId="14" xfId="0" quotePrefix="1" applyNumberFormat="1" applyFont="1" applyFill="1" applyBorder="1" applyAlignment="1" applyProtection="1">
      <alignment horizontal="center" vertical="top"/>
    </xf>
    <xf numFmtId="169" fontId="38" fillId="27" borderId="64" xfId="0" applyNumberFormat="1" applyFont="1" applyFill="1" applyBorder="1" applyAlignment="1" applyProtection="1">
      <alignment vertical="top"/>
    </xf>
    <xf numFmtId="0" fontId="2" fillId="25" borderId="16" xfId="0" quotePrefix="1" applyNumberFormat="1" applyFont="1" applyFill="1" applyBorder="1" applyAlignment="1" applyProtection="1">
      <alignment horizontal="center" vertical="top"/>
    </xf>
    <xf numFmtId="169" fontId="38" fillId="27" borderId="66" xfId="0" applyNumberFormat="1" applyFont="1" applyFill="1" applyBorder="1" applyAlignment="1" applyProtection="1">
      <alignment vertical="top"/>
    </xf>
    <xf numFmtId="10" fontId="38" fillId="40" borderId="64" xfId="0" applyNumberFormat="1" applyFont="1" applyFill="1" applyBorder="1" applyAlignment="1" applyProtection="1">
      <alignment vertical="top"/>
    </xf>
    <xf numFmtId="10" fontId="38" fillId="40" borderId="66" xfId="0" applyNumberFormat="1" applyFont="1" applyFill="1" applyBorder="1" applyAlignment="1" applyProtection="1">
      <alignment vertical="top"/>
    </xf>
    <xf numFmtId="0" fontId="38" fillId="41" borderId="26" xfId="0" applyNumberFormat="1" applyFont="1" applyFill="1" applyBorder="1" applyAlignment="1" applyProtection="1">
      <alignment horizontal="center" vertical="top"/>
    </xf>
    <xf numFmtId="0" fontId="2" fillId="24" borderId="0" xfId="0" applyNumberFormat="1" applyFont="1" applyFill="1" applyBorder="1" applyAlignment="1" applyProtection="1">
      <alignment vertical="center"/>
    </xf>
    <xf numFmtId="0" fontId="0" fillId="25" borderId="0" xfId="0" applyFill="1" applyAlignment="1" applyProtection="1">
      <alignment vertical="center"/>
    </xf>
    <xf numFmtId="0" fontId="2" fillId="41" borderId="0" xfId="0" applyNumberFormat="1" applyFont="1" applyFill="1" applyBorder="1" applyAlignment="1" applyProtection="1">
      <alignment vertical="center"/>
    </xf>
    <xf numFmtId="14" fontId="2" fillId="29" borderId="64" xfId="0" applyNumberFormat="1" applyFont="1" applyFill="1" applyBorder="1" applyAlignment="1" applyProtection="1">
      <alignment horizontal="left" vertical="top"/>
      <protection locked="0"/>
    </xf>
    <xf numFmtId="14" fontId="2" fillId="29" borderId="65" xfId="0" applyNumberFormat="1" applyFont="1" applyFill="1" applyBorder="1" applyAlignment="1" applyProtection="1">
      <alignment horizontal="left" vertical="top"/>
      <protection locked="0"/>
    </xf>
    <xf numFmtId="14" fontId="2" fillId="29" borderId="66" xfId="0" applyNumberFormat="1" applyFont="1" applyFill="1" applyBorder="1" applyAlignment="1" applyProtection="1">
      <alignment horizontal="left" vertical="top"/>
      <protection locked="0"/>
    </xf>
    <xf numFmtId="14" fontId="38" fillId="39" borderId="13" xfId="0" applyNumberFormat="1" applyFont="1" applyFill="1" applyBorder="1" applyAlignment="1" applyProtection="1">
      <alignment vertical="top"/>
    </xf>
    <xf numFmtId="0" fontId="38" fillId="39" borderId="10" xfId="0" applyNumberFormat="1" applyFont="1" applyFill="1" applyBorder="1" applyAlignment="1" applyProtection="1">
      <alignment horizontal="center" vertical="top" wrapText="1"/>
    </xf>
    <xf numFmtId="0" fontId="2" fillId="39" borderId="10" xfId="0" applyNumberFormat="1" applyFont="1" applyFill="1" applyBorder="1" applyAlignment="1" applyProtection="1">
      <alignment vertical="top"/>
    </xf>
    <xf numFmtId="0" fontId="38" fillId="39" borderId="61" xfId="0" applyNumberFormat="1" applyFont="1" applyFill="1" applyBorder="1" applyAlignment="1" applyProtection="1">
      <alignment horizontal="center" vertical="top"/>
    </xf>
    <xf numFmtId="0" fontId="2" fillId="0" borderId="102" xfId="0" applyNumberFormat="1" applyFont="1" applyFill="1" applyBorder="1" applyAlignment="1" applyProtection="1">
      <alignment vertical="top"/>
    </xf>
    <xf numFmtId="0" fontId="2" fillId="44" borderId="13" xfId="0" applyFont="1" applyFill="1" applyBorder="1" applyAlignment="1" applyProtection="1"/>
    <xf numFmtId="0" fontId="38" fillId="38" borderId="84" xfId="0" applyNumberFormat="1" applyFont="1" applyFill="1" applyBorder="1" applyAlignment="1" applyProtection="1">
      <alignment vertical="top"/>
    </xf>
    <xf numFmtId="164" fontId="2" fillId="40" borderId="70" xfId="0" applyNumberFormat="1" applyFont="1" applyFill="1" applyBorder="1" applyAlignment="1" applyProtection="1">
      <alignment horizontal="right" vertical="top"/>
    </xf>
    <xf numFmtId="14" fontId="2" fillId="24" borderId="13" xfId="0" applyNumberFormat="1" applyFont="1" applyFill="1" applyBorder="1" applyAlignment="1" applyProtection="1">
      <alignment horizontal="right"/>
    </xf>
    <xf numFmtId="14" fontId="2" fillId="40" borderId="13" xfId="0" applyNumberFormat="1" applyFont="1" applyFill="1" applyBorder="1" applyAlignment="1" applyProtection="1">
      <alignment horizontal="right" vertical="top"/>
    </xf>
    <xf numFmtId="0" fontId="38" fillId="25" borderId="22" xfId="0" applyNumberFormat="1" applyFont="1" applyFill="1" applyBorder="1" applyAlignment="1" applyProtection="1">
      <alignment horizontal="center" vertical="top"/>
    </xf>
    <xf numFmtId="165" fontId="2" fillId="27" borderId="93" xfId="0" applyNumberFormat="1" applyFont="1" applyFill="1" applyBorder="1" applyAlignment="1" applyProtection="1">
      <alignment vertical="top"/>
    </xf>
    <xf numFmtId="0" fontId="38" fillId="25" borderId="42" xfId="0" applyNumberFormat="1" applyFont="1" applyFill="1" applyBorder="1" applyAlignment="1" applyProtection="1">
      <alignment horizontal="center" vertical="top"/>
    </xf>
    <xf numFmtId="0" fontId="38" fillId="25" borderId="122" xfId="0" applyNumberFormat="1" applyFont="1" applyFill="1" applyBorder="1" applyAlignment="1" applyProtection="1">
      <alignment horizontal="center" vertical="top"/>
    </xf>
    <xf numFmtId="165" fontId="38" fillId="40" borderId="20" xfId="0" applyNumberFormat="1" applyFont="1" applyFill="1" applyBorder="1" applyAlignment="1" applyProtection="1">
      <alignment vertical="top"/>
    </xf>
    <xf numFmtId="165" fontId="38" fillId="40" borderId="21" xfId="0" applyNumberFormat="1" applyFont="1" applyFill="1" applyBorder="1" applyAlignment="1" applyProtection="1">
      <alignment vertical="top"/>
    </xf>
    <xf numFmtId="165" fontId="38" fillId="40" borderId="24" xfId="0" applyNumberFormat="1" applyFont="1" applyFill="1" applyBorder="1" applyAlignment="1" applyProtection="1">
      <alignment vertical="top"/>
    </xf>
    <xf numFmtId="165" fontId="38" fillId="40" borderId="94" xfId="0" applyNumberFormat="1" applyFont="1" applyFill="1" applyBorder="1" applyAlignment="1" applyProtection="1">
      <alignment vertical="top"/>
    </xf>
    <xf numFmtId="0" fontId="4" fillId="0" borderId="27" xfId="0" applyNumberFormat="1" applyFont="1" applyFill="1" applyBorder="1" applyAlignment="1" applyProtection="1">
      <alignment horizontal="center" vertical="top"/>
    </xf>
    <xf numFmtId="0" fontId="4" fillId="0" borderId="47" xfId="0" applyNumberFormat="1" applyFont="1" applyFill="1" applyBorder="1" applyAlignment="1" applyProtection="1">
      <alignment horizontal="center" vertical="top"/>
    </xf>
    <xf numFmtId="0" fontId="4" fillId="25" borderId="113" xfId="0" applyNumberFormat="1" applyFont="1" applyFill="1" applyBorder="1" applyAlignment="1" applyProtection="1">
      <alignment vertical="top"/>
    </xf>
    <xf numFmtId="0" fontId="4" fillId="25" borderId="122" xfId="0" applyNumberFormat="1" applyFont="1" applyFill="1" applyBorder="1" applyAlignment="1" applyProtection="1">
      <alignment vertical="top"/>
    </xf>
    <xf numFmtId="0" fontId="4" fillId="0" borderId="72" xfId="0" applyNumberFormat="1" applyFont="1" applyFill="1" applyBorder="1" applyAlignment="1" applyProtection="1">
      <alignment horizontal="center" vertical="top"/>
    </xf>
    <xf numFmtId="165" fontId="38" fillId="40" borderId="11" xfId="0" applyNumberFormat="1" applyFont="1" applyFill="1" applyBorder="1" applyAlignment="1" applyProtection="1">
      <alignment vertical="top"/>
    </xf>
    <xf numFmtId="0" fontId="10" fillId="41" borderId="0" xfId="0" applyFont="1" applyFill="1" applyBorder="1" applyAlignment="1" applyProtection="1">
      <alignment vertical="top"/>
    </xf>
    <xf numFmtId="0" fontId="4" fillId="25" borderId="13" xfId="0" applyNumberFormat="1" applyFont="1" applyFill="1" applyBorder="1" applyAlignment="1" applyProtection="1">
      <alignment horizontal="center" vertical="top"/>
    </xf>
    <xf numFmtId="0" fontId="2" fillId="25" borderId="0" xfId="0" applyNumberFormat="1" applyFont="1" applyFill="1" applyBorder="1" applyAlignment="1" applyProtection="1">
      <alignment horizontal="right" vertical="top" wrapText="1"/>
    </xf>
    <xf numFmtId="167" fontId="2" fillId="24" borderId="0" xfId="0" applyNumberFormat="1" applyFont="1" applyFill="1" applyBorder="1" applyAlignment="1" applyProtection="1">
      <alignment horizontal="center" vertical="top"/>
    </xf>
    <xf numFmtId="169" fontId="2" fillId="27" borderId="13" xfId="0" applyNumberFormat="1" applyFont="1" applyFill="1" applyBorder="1" applyAlignment="1" applyProtection="1">
      <alignment horizontal="right" vertical="top"/>
    </xf>
    <xf numFmtId="0" fontId="2" fillId="25" borderId="13" xfId="0" applyNumberFormat="1" applyFont="1" applyFill="1" applyBorder="1" applyAlignment="1" applyProtection="1">
      <alignment vertical="top"/>
    </xf>
    <xf numFmtId="0" fontId="2" fillId="41" borderId="27" xfId="0" applyNumberFormat="1" applyFont="1" applyFill="1" applyBorder="1" applyAlignment="1" applyProtection="1">
      <alignment vertical="top"/>
    </xf>
    <xf numFmtId="0" fontId="2" fillId="24" borderId="13" xfId="0" applyNumberFormat="1" applyFont="1" applyFill="1" applyBorder="1" applyAlignment="1" applyProtection="1">
      <alignment horizontal="center" vertical="top"/>
    </xf>
    <xf numFmtId="10" fontId="38" fillId="42" borderId="13" xfId="0" applyNumberFormat="1" applyFont="1" applyFill="1" applyBorder="1" applyAlignment="1" applyProtection="1">
      <alignment vertical="top"/>
      <protection locked="0"/>
    </xf>
    <xf numFmtId="167" fontId="38" fillId="24" borderId="0" xfId="0" applyNumberFormat="1" applyFont="1" applyFill="1" applyBorder="1" applyAlignment="1" applyProtection="1">
      <alignment vertical="top"/>
    </xf>
    <xf numFmtId="0" fontId="2" fillId="48" borderId="13" xfId="0" applyFont="1" applyFill="1" applyBorder="1" applyAlignment="1" applyProtection="1"/>
    <xf numFmtId="0" fontId="4" fillId="24" borderId="13" xfId="0" applyFont="1" applyFill="1" applyBorder="1" applyAlignment="1" applyProtection="1">
      <alignment horizontal="left"/>
    </xf>
    <xf numFmtId="0" fontId="2" fillId="24" borderId="0" xfId="0" applyFont="1" applyFill="1" applyBorder="1" applyAlignment="1" applyProtection="1">
      <alignment horizontal="center"/>
    </xf>
    <xf numFmtId="0" fontId="10" fillId="25" borderId="0" xfId="0" quotePrefix="1" applyFont="1" applyFill="1" applyAlignment="1" applyProtection="1">
      <alignment horizontal="right" vertical="top" wrapText="1"/>
    </xf>
    <xf numFmtId="164" fontId="2" fillId="29" borderId="70" xfId="0" applyNumberFormat="1" applyFont="1" applyFill="1" applyBorder="1" applyAlignment="1" applyProtection="1">
      <alignment vertical="top"/>
      <protection locked="0"/>
    </xf>
    <xf numFmtId="164" fontId="38" fillId="27" borderId="70" xfId="0" applyNumberFormat="1" applyFont="1" applyFill="1" applyBorder="1" applyAlignment="1" applyProtection="1">
      <alignment vertical="top"/>
    </xf>
    <xf numFmtId="0" fontId="4" fillId="40" borderId="45" xfId="0" applyNumberFormat="1" applyFont="1" applyFill="1" applyBorder="1" applyAlignment="1" applyProtection="1">
      <alignment horizontal="right" vertical="top"/>
    </xf>
    <xf numFmtId="164" fontId="38" fillId="29" borderId="50" xfId="0" applyNumberFormat="1" applyFont="1" applyFill="1" applyBorder="1" applyAlignment="1" applyProtection="1">
      <alignment vertical="top"/>
      <protection locked="0"/>
    </xf>
    <xf numFmtId="164" fontId="38" fillId="27" borderId="50" xfId="0" applyNumberFormat="1" applyFont="1" applyFill="1" applyBorder="1" applyAlignment="1" applyProtection="1">
      <alignment vertical="top"/>
    </xf>
    <xf numFmtId="3" fontId="2" fillId="42" borderId="101" xfId="0" applyNumberFormat="1" applyFont="1" applyFill="1" applyBorder="1" applyAlignment="1" applyProtection="1">
      <alignment vertical="top"/>
      <protection locked="0"/>
    </xf>
    <xf numFmtId="4" fontId="2" fillId="40" borderId="100" xfId="0" applyNumberFormat="1" applyFont="1" applyFill="1" applyBorder="1" applyAlignment="1" applyProtection="1">
      <alignment vertical="top"/>
    </xf>
    <xf numFmtId="165" fontId="38" fillId="42" borderId="63" xfId="0" applyNumberFormat="1" applyFont="1" applyFill="1" applyBorder="1" applyAlignment="1" applyProtection="1">
      <alignment vertical="top"/>
      <protection locked="0"/>
    </xf>
    <xf numFmtId="3" fontId="2" fillId="40" borderId="101" xfId="0" applyNumberFormat="1" applyFont="1" applyFill="1" applyBorder="1" applyAlignment="1" applyProtection="1">
      <alignment vertical="top"/>
    </xf>
    <xf numFmtId="3" fontId="2" fillId="27" borderId="99" xfId="0" applyNumberFormat="1" applyFont="1" applyFill="1" applyBorder="1" applyAlignment="1" applyProtection="1">
      <alignment vertical="top"/>
    </xf>
    <xf numFmtId="165" fontId="38" fillId="42" borderId="118" xfId="0" applyNumberFormat="1" applyFont="1" applyFill="1" applyBorder="1" applyAlignment="1" applyProtection="1">
      <alignment vertical="top"/>
      <protection locked="0"/>
    </xf>
    <xf numFmtId="3" fontId="2" fillId="40" borderId="32" xfId="0" applyNumberFormat="1" applyFont="1" applyFill="1" applyBorder="1" applyAlignment="1" applyProtection="1">
      <alignment vertical="top"/>
    </xf>
    <xf numFmtId="3" fontId="2" fillId="27" borderId="123" xfId="0" applyNumberFormat="1" applyFont="1" applyFill="1" applyBorder="1" applyAlignment="1" applyProtection="1">
      <alignment vertical="top"/>
    </xf>
    <xf numFmtId="165" fontId="38" fillId="29" borderId="70" xfId="0" applyNumberFormat="1" applyFont="1" applyFill="1" applyBorder="1" applyAlignment="1" applyProtection="1">
      <alignment vertical="top"/>
      <protection locked="0"/>
    </xf>
    <xf numFmtId="165" fontId="38" fillId="27" borderId="101" xfId="84" applyNumberFormat="1" applyFont="1" applyFill="1" applyBorder="1" applyAlignment="1" applyProtection="1">
      <alignment vertical="top"/>
    </xf>
    <xf numFmtId="165" fontId="38" fillId="27" borderId="99" xfId="84" applyNumberFormat="1" applyFont="1" applyFill="1" applyBorder="1" applyAlignment="1" applyProtection="1">
      <alignment vertical="top"/>
    </xf>
    <xf numFmtId="165" fontId="38" fillId="29" borderId="50" xfId="0" applyNumberFormat="1" applyFont="1" applyFill="1" applyBorder="1" applyAlignment="1" applyProtection="1">
      <alignment vertical="top"/>
      <protection locked="0"/>
    </xf>
    <xf numFmtId="3" fontId="2" fillId="42" borderId="124" xfId="0" applyNumberFormat="1" applyFont="1" applyFill="1" applyBorder="1" applyAlignment="1" applyProtection="1">
      <alignment vertical="top"/>
      <protection locked="0"/>
    </xf>
    <xf numFmtId="3" fontId="2" fillId="42" borderId="34" xfId="0" applyNumberFormat="1" applyFont="1" applyFill="1" applyBorder="1" applyAlignment="1" applyProtection="1">
      <alignment vertical="top"/>
      <protection locked="0"/>
    </xf>
    <xf numFmtId="0" fontId="2" fillId="24" borderId="44" xfId="0" applyNumberFormat="1" applyFont="1" applyFill="1" applyBorder="1" applyAlignment="1" applyProtection="1">
      <alignment vertical="top"/>
    </xf>
    <xf numFmtId="0" fontId="2" fillId="24" borderId="47" xfId="0" applyNumberFormat="1" applyFont="1" applyFill="1" applyBorder="1" applyAlignment="1" applyProtection="1">
      <alignment vertical="top"/>
    </xf>
    <xf numFmtId="0" fontId="2" fillId="24" borderId="43" xfId="0" applyNumberFormat="1" applyFont="1" applyFill="1" applyBorder="1" applyAlignment="1" applyProtection="1">
      <alignment vertical="top"/>
    </xf>
    <xf numFmtId="0" fontId="2" fillId="24" borderId="60" xfId="0" applyNumberFormat="1" applyFont="1" applyFill="1" applyBorder="1" applyAlignment="1" applyProtection="1">
      <alignment vertical="top"/>
    </xf>
    <xf numFmtId="0" fontId="2" fillId="24" borderId="61" xfId="0" applyNumberFormat="1" applyFont="1" applyFill="1" applyBorder="1" applyAlignment="1" applyProtection="1">
      <alignment vertical="top"/>
    </xf>
    <xf numFmtId="0" fontId="2" fillId="24" borderId="62" xfId="0" applyNumberFormat="1" applyFont="1" applyFill="1" applyBorder="1" applyAlignment="1" applyProtection="1">
      <alignment vertical="top"/>
    </xf>
    <xf numFmtId="0" fontId="2" fillId="24" borderId="73" xfId="0" applyNumberFormat="1" applyFont="1" applyFill="1" applyBorder="1" applyAlignment="1" applyProtection="1">
      <alignment vertical="top"/>
    </xf>
    <xf numFmtId="0" fontId="2" fillId="24" borderId="70" xfId="0" applyNumberFormat="1" applyFont="1" applyFill="1" applyBorder="1" applyAlignment="1" applyProtection="1">
      <alignment vertical="top"/>
    </xf>
    <xf numFmtId="169" fontId="4" fillId="27" borderId="69" xfId="0" applyNumberFormat="1" applyFont="1" applyFill="1" applyBorder="1" applyAlignment="1" applyProtection="1">
      <alignment vertical="top"/>
    </xf>
    <xf numFmtId="0" fontId="4" fillId="25" borderId="63" xfId="0" applyNumberFormat="1" applyFont="1" applyFill="1" applyBorder="1" applyAlignment="1" applyProtection="1">
      <alignment horizontal="right" vertical="top"/>
    </xf>
    <xf numFmtId="170" fontId="38" fillId="29" borderId="70" xfId="0" applyNumberFormat="1" applyFont="1" applyFill="1" applyBorder="1" applyAlignment="1" applyProtection="1">
      <alignment vertical="top"/>
      <protection locked="0"/>
    </xf>
    <xf numFmtId="170" fontId="38" fillId="29" borderId="125" xfId="0" applyNumberFormat="1" applyFont="1" applyFill="1" applyBorder="1" applyAlignment="1" applyProtection="1">
      <alignment vertical="top"/>
      <protection locked="0"/>
    </xf>
    <xf numFmtId="170" fontId="38" fillId="29" borderId="100" xfId="0" applyNumberFormat="1" applyFont="1" applyFill="1" applyBorder="1" applyAlignment="1" applyProtection="1">
      <alignment vertical="top"/>
      <protection locked="0"/>
    </xf>
    <xf numFmtId="170" fontId="38" fillId="29" borderId="99" xfId="0" applyNumberFormat="1" applyFont="1" applyFill="1" applyBorder="1" applyAlignment="1" applyProtection="1">
      <alignment vertical="top"/>
      <protection locked="0"/>
    </xf>
    <xf numFmtId="170" fontId="38" fillId="29" borderId="50" xfId="0" applyNumberFormat="1" applyFont="1" applyFill="1" applyBorder="1" applyAlignment="1" applyProtection="1">
      <alignment vertical="top"/>
      <protection locked="0"/>
    </xf>
    <xf numFmtId="170" fontId="38" fillId="29" borderId="126" xfId="0" applyNumberFormat="1" applyFont="1" applyFill="1" applyBorder="1" applyAlignment="1" applyProtection="1">
      <alignment vertical="top"/>
      <protection locked="0"/>
    </xf>
    <xf numFmtId="170" fontId="38" fillId="29" borderId="34" xfId="0" applyNumberFormat="1" applyFont="1" applyFill="1" applyBorder="1" applyAlignment="1" applyProtection="1">
      <alignment vertical="top"/>
      <protection locked="0"/>
    </xf>
    <xf numFmtId="170" fontId="38" fillId="29" borderId="123" xfId="0" applyNumberFormat="1" applyFont="1" applyFill="1" applyBorder="1" applyAlignment="1" applyProtection="1">
      <alignment vertical="top"/>
      <protection locked="0"/>
    </xf>
    <xf numFmtId="170" fontId="38" fillId="29" borderId="32" xfId="0" applyNumberFormat="1" applyFont="1" applyFill="1" applyBorder="1" applyAlignment="1" applyProtection="1">
      <alignment vertical="top"/>
      <protection locked="0"/>
    </xf>
    <xf numFmtId="0" fontId="4" fillId="40" borderId="50" xfId="0" applyNumberFormat="1" applyFont="1" applyFill="1" applyBorder="1" applyAlignment="1" applyProtection="1">
      <alignment horizontal="right" vertical="top"/>
    </xf>
    <xf numFmtId="165" fontId="38" fillId="29" borderId="32" xfId="0" applyNumberFormat="1" applyFont="1" applyFill="1" applyBorder="1" applyAlignment="1" applyProtection="1">
      <alignment vertical="top"/>
      <protection locked="0"/>
    </xf>
    <xf numFmtId="165" fontId="38" fillId="29" borderId="123" xfId="0" applyNumberFormat="1" applyFont="1" applyFill="1" applyBorder="1" applyAlignment="1" applyProtection="1">
      <alignment vertical="top"/>
      <protection locked="0"/>
    </xf>
    <xf numFmtId="164" fontId="38" fillId="27" borderId="101" xfId="0" applyNumberFormat="1" applyFont="1" applyFill="1" applyBorder="1" applyAlignment="1" applyProtection="1">
      <alignment vertical="top"/>
    </xf>
    <xf numFmtId="164" fontId="38" fillId="27" borderId="19" xfId="0" applyNumberFormat="1" applyFont="1" applyFill="1" applyBorder="1" applyAlignment="1" applyProtection="1">
      <alignment vertical="top"/>
    </xf>
    <xf numFmtId="164" fontId="38" fillId="27" borderId="99" xfId="0" applyNumberFormat="1" applyFont="1" applyFill="1" applyBorder="1" applyAlignment="1" applyProtection="1">
      <alignment vertical="top"/>
    </xf>
    <xf numFmtId="164" fontId="38" fillId="29" borderId="101" xfId="0" applyNumberFormat="1" applyFont="1" applyFill="1" applyBorder="1" applyAlignment="1" applyProtection="1">
      <alignment vertical="top"/>
      <protection locked="0"/>
    </xf>
    <xf numFmtId="164" fontId="38" fillId="29" borderId="19" xfId="0" applyNumberFormat="1" applyFont="1" applyFill="1" applyBorder="1" applyAlignment="1" applyProtection="1">
      <alignment vertical="top"/>
      <protection locked="0"/>
    </xf>
    <xf numFmtId="164" fontId="38" fillId="29" borderId="99" xfId="0" applyNumberFormat="1" applyFont="1" applyFill="1" applyBorder="1" applyAlignment="1" applyProtection="1">
      <alignment vertical="top"/>
      <protection locked="0"/>
    </xf>
    <xf numFmtId="164" fontId="38" fillId="27" borderId="32" xfId="0" applyNumberFormat="1" applyFont="1" applyFill="1" applyBorder="1" applyAlignment="1" applyProtection="1">
      <alignment vertical="top"/>
    </xf>
    <xf numFmtId="164" fontId="38" fillId="27" borderId="45" xfId="0" applyNumberFormat="1" applyFont="1" applyFill="1" applyBorder="1" applyAlignment="1" applyProtection="1">
      <alignment vertical="top"/>
    </xf>
    <xf numFmtId="164" fontId="38" fillId="27" borderId="123" xfId="0" applyNumberFormat="1" applyFont="1" applyFill="1" applyBorder="1" applyAlignment="1" applyProtection="1">
      <alignment vertical="top"/>
    </xf>
    <xf numFmtId="164" fontId="38" fillId="29" borderId="32" xfId="0" applyNumberFormat="1" applyFont="1" applyFill="1" applyBorder="1" applyAlignment="1" applyProtection="1">
      <alignment vertical="top"/>
      <protection locked="0"/>
    </xf>
    <xf numFmtId="164" fontId="38" fillId="29" borderId="45" xfId="0" applyNumberFormat="1" applyFont="1" applyFill="1" applyBorder="1" applyAlignment="1" applyProtection="1">
      <alignment vertical="top"/>
      <protection locked="0"/>
    </xf>
    <xf numFmtId="164" fontId="38" fillId="29" borderId="123" xfId="0" applyNumberFormat="1" applyFont="1" applyFill="1" applyBorder="1" applyAlignment="1" applyProtection="1">
      <alignment vertical="top"/>
      <protection locked="0"/>
    </xf>
    <xf numFmtId="169" fontId="38" fillId="29" borderId="70" xfId="0" applyNumberFormat="1" applyFont="1" applyFill="1" applyBorder="1" applyAlignment="1" applyProtection="1">
      <alignment vertical="top"/>
      <protection locked="0"/>
    </xf>
    <xf numFmtId="165" fontId="38" fillId="27" borderId="70" xfId="0" applyNumberFormat="1" applyFont="1" applyFill="1" applyBorder="1" applyAlignment="1" applyProtection="1">
      <alignment vertical="top"/>
    </xf>
    <xf numFmtId="169" fontId="38" fillId="29" borderId="50" xfId="0" applyNumberFormat="1" applyFont="1" applyFill="1" applyBorder="1" applyAlignment="1" applyProtection="1">
      <alignment vertical="top"/>
      <protection locked="0"/>
    </xf>
    <xf numFmtId="165" fontId="38" fillId="27" borderId="50" xfId="0" applyNumberFormat="1" applyFont="1" applyFill="1" applyBorder="1" applyAlignment="1" applyProtection="1">
      <alignment vertical="top"/>
    </xf>
    <xf numFmtId="3" fontId="38" fillId="29" borderId="101" xfId="0" applyNumberFormat="1" applyFont="1" applyFill="1" applyBorder="1" applyAlignment="1" applyProtection="1">
      <alignment vertical="top"/>
      <protection locked="0"/>
    </xf>
    <xf numFmtId="3" fontId="38" fillId="29" borderId="100" xfId="0" applyNumberFormat="1" applyFont="1" applyFill="1" applyBorder="1" applyAlignment="1" applyProtection="1">
      <alignment vertical="top"/>
      <protection locked="0"/>
    </xf>
    <xf numFmtId="3" fontId="38" fillId="29" borderId="99" xfId="0" applyNumberFormat="1" applyFont="1" applyFill="1" applyBorder="1" applyAlignment="1" applyProtection="1">
      <alignment vertical="top"/>
      <protection locked="0"/>
    </xf>
    <xf numFmtId="3" fontId="38" fillId="27" borderId="99" xfId="0" applyNumberFormat="1" applyFont="1" applyFill="1" applyBorder="1" applyAlignment="1" applyProtection="1">
      <alignment vertical="top"/>
    </xf>
    <xf numFmtId="3" fontId="38" fillId="29" borderId="32" xfId="0" applyNumberFormat="1" applyFont="1" applyFill="1" applyBorder="1" applyAlignment="1" applyProtection="1">
      <alignment vertical="top"/>
      <protection locked="0"/>
    </xf>
    <xf numFmtId="3" fontId="38" fillId="29" borderId="34" xfId="0" applyNumberFormat="1" applyFont="1" applyFill="1" applyBorder="1" applyAlignment="1" applyProtection="1">
      <alignment vertical="top"/>
      <protection locked="0"/>
    </xf>
    <xf numFmtId="3" fontId="38" fillId="29" borderId="123" xfId="0" applyNumberFormat="1" applyFont="1" applyFill="1" applyBorder="1" applyAlignment="1" applyProtection="1">
      <alignment vertical="top"/>
      <protection locked="0"/>
    </xf>
    <xf numFmtId="3" fontId="38" fillId="27" borderId="123" xfId="0" applyNumberFormat="1" applyFont="1" applyFill="1" applyBorder="1" applyAlignment="1" applyProtection="1">
      <alignment vertical="top"/>
    </xf>
    <xf numFmtId="0" fontId="2" fillId="48" borderId="69" xfId="0" applyNumberFormat="1" applyFont="1" applyFill="1" applyBorder="1" applyAlignment="1" applyProtection="1">
      <alignment vertical="top"/>
    </xf>
    <xf numFmtId="165" fontId="38" fillId="40" borderId="125" xfId="0" applyNumberFormat="1" applyFont="1" applyFill="1" applyBorder="1" applyAlignment="1" applyProtection="1">
      <alignment vertical="top"/>
    </xf>
    <xf numFmtId="165" fontId="38" fillId="29" borderId="126" xfId="0" applyNumberFormat="1" applyFont="1" applyFill="1" applyBorder="1" applyAlignment="1" applyProtection="1">
      <alignment vertical="top"/>
      <protection locked="0"/>
    </xf>
    <xf numFmtId="165" fontId="2" fillId="29" borderId="50" xfId="0" applyNumberFormat="1" applyFont="1" applyFill="1" applyBorder="1" applyAlignment="1" applyProtection="1">
      <alignment vertical="top"/>
      <protection locked="0"/>
    </xf>
    <xf numFmtId="0" fontId="2" fillId="48" borderId="73" xfId="0" applyNumberFormat="1" applyFont="1" applyFill="1" applyBorder="1" applyAlignment="1" applyProtection="1">
      <alignment horizontal="center" vertical="top"/>
    </xf>
    <xf numFmtId="0" fontId="2" fillId="24" borderId="71" xfId="0" applyFont="1" applyFill="1" applyBorder="1" applyAlignment="1" applyProtection="1">
      <alignment horizontal="center"/>
    </xf>
    <xf numFmtId="0" fontId="2" fillId="39" borderId="106" xfId="0" applyNumberFormat="1" applyFont="1" applyFill="1" applyBorder="1" applyAlignment="1" applyProtection="1">
      <alignment horizontal="center" vertical="top"/>
    </xf>
    <xf numFmtId="0" fontId="2" fillId="39" borderId="25" xfId="0" applyNumberFormat="1" applyFont="1" applyFill="1" applyBorder="1" applyAlignment="1" applyProtection="1">
      <alignment horizontal="center" vertical="top"/>
    </xf>
    <xf numFmtId="0" fontId="2" fillId="27" borderId="47" xfId="0" applyNumberFormat="1" applyFont="1" applyFill="1" applyBorder="1" applyAlignment="1" applyProtection="1">
      <alignment horizontal="center" vertical="top"/>
    </xf>
    <xf numFmtId="165" fontId="2" fillId="27" borderId="75" xfId="0" applyNumberFormat="1" applyFont="1" applyFill="1" applyBorder="1" applyAlignment="1" applyProtection="1">
      <alignment vertical="top"/>
    </xf>
    <xf numFmtId="165" fontId="2" fillId="29" borderId="75" xfId="0" applyNumberFormat="1" applyFont="1" applyFill="1" applyBorder="1" applyAlignment="1" applyProtection="1">
      <alignment vertical="top"/>
      <protection locked="0"/>
    </xf>
    <xf numFmtId="0" fontId="2" fillId="44" borderId="73" xfId="0" applyNumberFormat="1" applyFont="1" applyFill="1" applyBorder="1" applyAlignment="1" applyProtection="1">
      <alignment horizontal="center" vertical="top"/>
    </xf>
    <xf numFmtId="0" fontId="2" fillId="44" borderId="91" xfId="0" applyNumberFormat="1" applyFont="1" applyFill="1" applyBorder="1" applyAlignment="1" applyProtection="1">
      <alignment vertical="top"/>
    </xf>
    <xf numFmtId="0" fontId="2" fillId="29" borderId="10" xfId="0" applyNumberFormat="1" applyFont="1" applyFill="1" applyBorder="1" applyAlignment="1" applyProtection="1">
      <alignment horizontal="center" vertical="top"/>
      <protection locked="0"/>
    </xf>
    <xf numFmtId="0" fontId="2" fillId="29" borderId="13" xfId="0" applyNumberFormat="1" applyFont="1" applyFill="1" applyBorder="1" applyAlignment="1" applyProtection="1">
      <alignment vertical="top"/>
      <protection locked="0"/>
    </xf>
    <xf numFmtId="0" fontId="2" fillId="41" borderId="86" xfId="0" applyNumberFormat="1" applyFont="1" applyFill="1" applyBorder="1" applyAlignment="1" applyProtection="1">
      <alignment vertical="top"/>
    </xf>
    <xf numFmtId="0" fontId="2" fillId="44" borderId="69" xfId="0" applyNumberFormat="1" applyFont="1" applyFill="1" applyBorder="1" applyAlignment="1" applyProtection="1">
      <alignment vertical="top"/>
    </xf>
    <xf numFmtId="0" fontId="4" fillId="43" borderId="26" xfId="0" applyNumberFormat="1" applyFont="1" applyFill="1" applyBorder="1" applyAlignment="1" applyProtection="1">
      <alignment horizontal="center" vertical="top"/>
    </xf>
    <xf numFmtId="0" fontId="4" fillId="24" borderId="0" xfId="0" applyNumberFormat="1" applyFont="1" applyFill="1" applyBorder="1" applyAlignment="1" applyProtection="1"/>
    <xf numFmtId="0" fontId="2" fillId="24" borderId="0" xfId="0" applyNumberFormat="1" applyFont="1" applyFill="1" applyBorder="1" applyAlignment="1" applyProtection="1">
      <alignment vertical="top" wrapText="1"/>
    </xf>
    <xf numFmtId="0" fontId="0" fillId="25" borderId="0" xfId="0" applyFill="1" applyAlignment="1" applyProtection="1">
      <alignment wrapText="1"/>
    </xf>
    <xf numFmtId="0" fontId="2" fillId="24" borderId="0" xfId="0" applyFont="1" applyFill="1" applyAlignment="1" applyProtection="1">
      <alignment wrapText="1"/>
    </xf>
    <xf numFmtId="0" fontId="4" fillId="24" borderId="0" xfId="0" applyNumberFormat="1" applyFont="1" applyFill="1" applyBorder="1" applyAlignment="1" applyProtection="1">
      <alignment horizontal="right" vertical="top"/>
    </xf>
    <xf numFmtId="0" fontId="2" fillId="25" borderId="0" xfId="0" applyNumberFormat="1" applyFont="1" applyFill="1" applyBorder="1" applyAlignment="1" applyProtection="1">
      <alignment horizontal="center" vertical="top"/>
    </xf>
    <xf numFmtId="0" fontId="4" fillId="25" borderId="0" xfId="0" applyFont="1" applyFill="1" applyAlignment="1" applyProtection="1">
      <alignment vertical="top"/>
    </xf>
    <xf numFmtId="169" fontId="2" fillId="25" borderId="13" xfId="0" applyNumberFormat="1" applyFont="1" applyFill="1" applyBorder="1" applyAlignment="1" applyProtection="1">
      <alignment vertical="top"/>
    </xf>
    <xf numFmtId="0" fontId="2" fillId="25" borderId="40" xfId="0" applyNumberFormat="1" applyFont="1" applyFill="1" applyBorder="1" applyAlignment="1" applyProtection="1">
      <alignment horizontal="center" vertical="top"/>
    </xf>
    <xf numFmtId="164" fontId="2" fillId="27" borderId="61" xfId="0" applyNumberFormat="1" applyFont="1" applyFill="1" applyBorder="1" applyAlignment="1" applyProtection="1">
      <alignment vertical="top"/>
    </xf>
    <xf numFmtId="164" fontId="2" fillId="27" borderId="11" xfId="0" applyNumberFormat="1" applyFont="1" applyFill="1" applyBorder="1" applyAlignment="1" applyProtection="1">
      <alignment vertical="top"/>
    </xf>
    <xf numFmtId="164" fontId="4" fillId="27" borderId="11" xfId="0" applyNumberFormat="1" applyFont="1" applyFill="1" applyBorder="1" applyAlignment="1" applyProtection="1">
      <alignment vertical="top"/>
    </xf>
    <xf numFmtId="169" fontId="2" fillId="27" borderId="13" xfId="0" applyNumberFormat="1" applyFont="1" applyFill="1" applyBorder="1" applyAlignment="1" applyProtection="1">
      <alignment vertical="top"/>
    </xf>
    <xf numFmtId="3" fontId="2" fillId="40" borderId="69" xfId="0" applyNumberFormat="1" applyFont="1" applyFill="1" applyBorder="1" applyAlignment="1" applyProtection="1"/>
    <xf numFmtId="0" fontId="39" fillId="40" borderId="69" xfId="0" applyFont="1" applyFill="1" applyBorder="1" applyAlignment="1" applyProtection="1">
      <alignment vertical="top"/>
    </xf>
    <xf numFmtId="3" fontId="2" fillId="24" borderId="27" xfId="0" applyNumberFormat="1" applyFont="1" applyFill="1" applyBorder="1" applyAlignment="1" applyProtection="1"/>
    <xf numFmtId="0" fontId="2" fillId="40" borderId="69" xfId="0" applyNumberFormat="1" applyFont="1" applyFill="1" applyBorder="1" applyAlignment="1" applyProtection="1">
      <alignment vertical="top"/>
    </xf>
    <xf numFmtId="0" fontId="36" fillId="40" borderId="69" xfId="0" applyFont="1" applyFill="1" applyBorder="1" applyAlignment="1" applyProtection="1">
      <alignment horizontal="center"/>
    </xf>
    <xf numFmtId="0" fontId="2" fillId="25" borderId="48" xfId="0" applyNumberFormat="1" applyFont="1" applyFill="1" applyBorder="1" applyAlignment="1" applyProtection="1">
      <alignment horizontal="center" vertical="top"/>
    </xf>
    <xf numFmtId="164" fontId="2" fillId="27" borderId="10" xfId="0" applyNumberFormat="1" applyFont="1" applyFill="1" applyBorder="1" applyAlignment="1" applyProtection="1">
      <alignment vertical="top"/>
    </xf>
    <xf numFmtId="0" fontId="4" fillId="24" borderId="105" xfId="0" applyNumberFormat="1" applyFont="1" applyFill="1" applyBorder="1" applyAlignment="1" applyProtection="1">
      <alignment vertical="top"/>
    </xf>
    <xf numFmtId="0" fontId="4" fillId="24" borderId="105" xfId="0" applyNumberFormat="1" applyFont="1" applyFill="1" applyBorder="1" applyAlignment="1" applyProtection="1">
      <alignment horizontal="center" vertical="top"/>
    </xf>
    <xf numFmtId="0" fontId="38" fillId="40" borderId="101" xfId="0" applyNumberFormat="1" applyFont="1" applyFill="1" applyBorder="1" applyAlignment="1" applyProtection="1">
      <alignment vertical="top"/>
    </xf>
    <xf numFmtId="0" fontId="38" fillId="0" borderId="14" xfId="0" applyNumberFormat="1" applyFont="1" applyFill="1" applyBorder="1" applyAlignment="1" applyProtection="1">
      <alignment horizontal="center" vertical="top"/>
    </xf>
    <xf numFmtId="0" fontId="38" fillId="40" borderId="100" xfId="0" applyNumberFormat="1" applyFont="1" applyFill="1" applyBorder="1" applyAlignment="1" applyProtection="1">
      <alignment vertical="top"/>
    </xf>
    <xf numFmtId="0" fontId="38" fillId="0" borderId="15" xfId="0" applyNumberFormat="1" applyFont="1" applyFill="1" applyBorder="1" applyAlignment="1" applyProtection="1">
      <alignment horizontal="center" vertical="top"/>
    </xf>
    <xf numFmtId="0" fontId="38" fillId="40" borderId="127" xfId="0" applyNumberFormat="1" applyFont="1" applyFill="1" applyBorder="1" applyAlignment="1" applyProtection="1">
      <alignment vertical="top"/>
    </xf>
    <xf numFmtId="0" fontId="38" fillId="0" borderId="37" xfId="0" applyNumberFormat="1" applyFont="1" applyFill="1" applyBorder="1" applyAlignment="1" applyProtection="1">
      <alignment horizontal="center" vertical="top"/>
    </xf>
    <xf numFmtId="14" fontId="38" fillId="40" borderId="64" xfId="0" applyNumberFormat="1" applyFont="1" applyFill="1" applyBorder="1" applyAlignment="1" applyProtection="1">
      <alignment horizontal="center" vertical="top"/>
    </xf>
    <xf numFmtId="14" fontId="38" fillId="40" borderId="65" xfId="0" applyNumberFormat="1" applyFont="1" applyFill="1" applyBorder="1" applyAlignment="1" applyProtection="1">
      <alignment horizontal="center" vertical="top"/>
    </xf>
    <xf numFmtId="14" fontId="38" fillId="40" borderId="54" xfId="0" applyNumberFormat="1" applyFont="1" applyFill="1" applyBorder="1" applyAlignment="1" applyProtection="1">
      <alignment horizontal="center" vertical="top"/>
    </xf>
    <xf numFmtId="4" fontId="4" fillId="40" borderId="77" xfId="0" applyNumberFormat="1" applyFont="1" applyFill="1" applyBorder="1" applyAlignment="1" applyProtection="1">
      <alignment vertical="top"/>
    </xf>
    <xf numFmtId="4" fontId="4" fillId="40" borderId="78" xfId="0" applyNumberFormat="1" applyFont="1" applyFill="1" applyBorder="1" applyAlignment="1" applyProtection="1">
      <alignment vertical="top"/>
    </xf>
    <xf numFmtId="4" fontId="4" fillId="40" borderId="79" xfId="0" applyNumberFormat="1" applyFont="1" applyFill="1" applyBorder="1" applyAlignment="1" applyProtection="1">
      <alignment vertical="top"/>
    </xf>
    <xf numFmtId="4" fontId="2" fillId="43" borderId="0" xfId="0" applyNumberFormat="1" applyFont="1" applyFill="1" applyBorder="1" applyAlignment="1" applyProtection="1">
      <alignment horizontal="right" vertical="top"/>
    </xf>
    <xf numFmtId="4" fontId="2" fillId="40" borderId="64" xfId="0" applyNumberFormat="1" applyFont="1" applyFill="1" applyBorder="1" applyAlignment="1" applyProtection="1">
      <alignment vertical="top"/>
    </xf>
    <xf numFmtId="4" fontId="2" fillId="40" borderId="66" xfId="0" applyNumberFormat="1" applyFont="1" applyFill="1" applyBorder="1" applyAlignment="1" applyProtection="1">
      <alignment vertical="top"/>
    </xf>
    <xf numFmtId="4" fontId="2" fillId="43" borderId="0" xfId="0" applyNumberFormat="1" applyFont="1" applyFill="1" applyBorder="1" applyAlignment="1" applyProtection="1">
      <alignment vertical="top"/>
    </xf>
    <xf numFmtId="4" fontId="2" fillId="40" borderId="13" xfId="0" applyNumberFormat="1" applyFont="1" applyFill="1" applyBorder="1" applyAlignment="1" applyProtection="1">
      <alignment vertical="top"/>
    </xf>
    <xf numFmtId="0" fontId="2" fillId="39" borderId="0" xfId="0" applyNumberFormat="1" applyFont="1" applyFill="1" applyBorder="1" applyAlignment="1" applyProtection="1">
      <alignment horizontal="right" vertical="top"/>
    </xf>
    <xf numFmtId="0" fontId="38" fillId="39" borderId="69" xfId="0" applyNumberFormat="1" applyFont="1" applyFill="1" applyBorder="1" applyAlignment="1" applyProtection="1">
      <alignment vertical="top"/>
    </xf>
    <xf numFmtId="0" fontId="4" fillId="43" borderId="25" xfId="0" applyNumberFormat="1" applyFont="1" applyFill="1" applyBorder="1" applyAlignment="1" applyProtection="1">
      <alignment horizontal="right" vertical="top"/>
    </xf>
    <xf numFmtId="0" fontId="4" fillId="43" borderId="18" xfId="0" applyNumberFormat="1" applyFont="1" applyFill="1" applyBorder="1" applyAlignment="1" applyProtection="1">
      <alignment horizontal="right" vertical="top"/>
    </xf>
    <xf numFmtId="0" fontId="10" fillId="25" borderId="0" xfId="0" applyFont="1" applyFill="1" applyAlignment="1" applyProtection="1">
      <alignment vertical="top" wrapText="1"/>
    </xf>
    <xf numFmtId="0" fontId="2" fillId="24" borderId="0" xfId="0" applyNumberFormat="1" applyFont="1" applyFill="1" applyBorder="1" applyAlignment="1" applyProtection="1">
      <alignment horizontal="center" vertical="top"/>
    </xf>
    <xf numFmtId="0" fontId="2" fillId="24" borderId="69" xfId="0" applyNumberFormat="1" applyFont="1" applyFill="1" applyBorder="1" applyAlignment="1" applyProtection="1">
      <alignment horizontal="center" vertical="top"/>
    </xf>
    <xf numFmtId="0" fontId="4" fillId="24" borderId="0" xfId="0" applyFont="1" applyFill="1" applyBorder="1" applyAlignment="1" applyProtection="1">
      <alignment horizontal="left"/>
    </xf>
    <xf numFmtId="165" fontId="38" fillId="47" borderId="11" xfId="0" applyNumberFormat="1" applyFont="1" applyFill="1" applyBorder="1" applyAlignment="1" applyProtection="1">
      <alignment vertical="top"/>
      <protection locked="0"/>
    </xf>
    <xf numFmtId="0" fontId="2" fillId="41" borderId="0" xfId="0" applyNumberFormat="1" applyFont="1" applyFill="1" applyBorder="1" applyAlignment="1" applyProtection="1">
      <alignment horizontal="right" vertical="top"/>
    </xf>
    <xf numFmtId="0" fontId="2" fillId="47" borderId="13" xfId="0" applyNumberFormat="1" applyFont="1" applyFill="1" applyBorder="1" applyAlignment="1" applyProtection="1">
      <alignment horizontal="center" vertical="top"/>
      <protection locked="0"/>
    </xf>
    <xf numFmtId="4" fontId="38" fillId="40" borderId="13" xfId="0" applyNumberFormat="1" applyFont="1" applyFill="1" applyBorder="1" applyAlignment="1" applyProtection="1">
      <alignment vertical="top"/>
    </xf>
    <xf numFmtId="4" fontId="38" fillId="40" borderId="64" xfId="0" applyNumberFormat="1" applyFont="1" applyFill="1" applyBorder="1" applyAlignment="1" applyProtection="1">
      <alignment vertical="top"/>
    </xf>
    <xf numFmtId="4" fontId="38" fillId="40" borderId="65" xfId="0" applyNumberFormat="1" applyFont="1" applyFill="1" applyBorder="1" applyAlignment="1" applyProtection="1">
      <alignment vertical="top"/>
    </xf>
    <xf numFmtId="4" fontId="38" fillId="40" borderId="66" xfId="0" applyNumberFormat="1" applyFont="1" applyFill="1" applyBorder="1" applyAlignment="1" applyProtection="1">
      <alignment vertical="top"/>
    </xf>
    <xf numFmtId="4" fontId="38" fillId="27" borderId="13" xfId="84" applyNumberFormat="1" applyFont="1" applyFill="1" applyBorder="1" applyAlignment="1" applyProtection="1">
      <alignment vertical="top"/>
    </xf>
    <xf numFmtId="4" fontId="38" fillId="40" borderId="94" xfId="0" applyNumberFormat="1" applyFont="1" applyFill="1" applyBorder="1" applyAlignment="1" applyProtection="1">
      <alignment vertical="top"/>
    </xf>
    <xf numFmtId="4" fontId="38" fillId="27" borderId="11" xfId="0" applyNumberFormat="1" applyFont="1" applyFill="1" applyBorder="1" applyAlignment="1" applyProtection="1">
      <alignment vertical="top"/>
    </xf>
    <xf numFmtId="4" fontId="4" fillId="27" borderId="13" xfId="0" applyNumberFormat="1" applyFont="1" applyFill="1" applyBorder="1" applyAlignment="1" applyProtection="1">
      <alignment vertical="top"/>
    </xf>
    <xf numFmtId="4" fontId="2" fillId="27" borderId="75" xfId="0" applyNumberFormat="1" applyFont="1" applyFill="1" applyBorder="1" applyAlignment="1" applyProtection="1">
      <alignment vertical="top"/>
    </xf>
    <xf numFmtId="4" fontId="2" fillId="27" borderId="76" xfId="0" applyNumberFormat="1" applyFont="1" applyFill="1" applyBorder="1" applyAlignment="1" applyProtection="1">
      <alignment vertical="top"/>
    </xf>
    <xf numFmtId="4" fontId="2" fillId="27" borderId="59" xfId="0" applyNumberFormat="1" applyFont="1" applyFill="1" applyBorder="1" applyAlignment="1" applyProtection="1">
      <alignment vertical="top"/>
    </xf>
    <xf numFmtId="4" fontId="2" fillId="27" borderId="61" xfId="0" applyNumberFormat="1" applyFont="1" applyFill="1" applyBorder="1" applyAlignment="1" applyProtection="1">
      <alignment vertical="top"/>
    </xf>
    <xf numFmtId="4" fontId="2" fillId="27" borderId="62" xfId="0" applyNumberFormat="1" applyFont="1" applyFill="1" applyBorder="1" applyAlignment="1" applyProtection="1">
      <alignment vertical="top"/>
    </xf>
    <xf numFmtId="0" fontId="76" fillId="25" borderId="26" xfId="0" applyNumberFormat="1" applyFont="1" applyFill="1" applyBorder="1" applyAlignment="1" applyProtection="1">
      <alignment horizontal="left" vertical="top"/>
    </xf>
    <xf numFmtId="0" fontId="0" fillId="41" borderId="0" xfId="0" applyFill="1" applyBorder="1" applyAlignment="1" applyProtection="1"/>
    <xf numFmtId="0" fontId="0" fillId="41" borderId="0" xfId="0" applyFill="1" applyBorder="1" applyAlignment="1" applyProtection="1">
      <alignment vertical="top"/>
    </xf>
    <xf numFmtId="0" fontId="4" fillId="50" borderId="84" xfId="0" applyFont="1" applyFill="1" applyBorder="1" applyAlignment="1" applyProtection="1">
      <alignment vertical="top"/>
    </xf>
    <xf numFmtId="0" fontId="0" fillId="50" borderId="69" xfId="0" applyFill="1" applyBorder="1" applyAlignment="1" applyProtection="1">
      <alignment vertical="top"/>
    </xf>
    <xf numFmtId="0" fontId="2" fillId="24" borderId="0" xfId="0" applyFont="1" applyFill="1" applyAlignment="1" applyProtection="1">
      <alignment vertical="top"/>
    </xf>
    <xf numFmtId="0" fontId="2" fillId="36" borderId="0" xfId="87" applyFill="1" applyAlignment="1" applyProtection="1">
      <alignment horizontal="right" vertical="top"/>
    </xf>
    <xf numFmtId="0" fontId="0" fillId="44" borderId="13" xfId="0" applyFill="1" applyBorder="1" applyAlignment="1" applyProtection="1">
      <alignment vertical="top"/>
    </xf>
    <xf numFmtId="0" fontId="2" fillId="24" borderId="0" xfId="0" applyFont="1" applyFill="1" applyAlignment="1" applyProtection="1">
      <alignment horizontal="center" vertical="top"/>
    </xf>
    <xf numFmtId="0" fontId="5" fillId="25" borderId="0" xfId="0" applyFont="1" applyFill="1" applyBorder="1" applyAlignment="1" applyProtection="1">
      <alignment vertical="top"/>
    </xf>
    <xf numFmtId="0" fontId="6" fillId="24" borderId="0" xfId="77" applyFill="1" applyAlignment="1" applyProtection="1">
      <alignment vertical="top"/>
    </xf>
    <xf numFmtId="0" fontId="2" fillId="24" borderId="0" xfId="0" applyFont="1" applyFill="1" applyBorder="1" applyAlignment="1" applyProtection="1">
      <alignment horizontal="center" vertical="top"/>
    </xf>
    <xf numFmtId="0" fontId="2" fillId="24" borderId="93" xfId="0" applyFont="1" applyFill="1" applyBorder="1" applyAlignment="1" applyProtection="1">
      <alignment horizontal="center" vertical="top"/>
    </xf>
    <xf numFmtId="0" fontId="3" fillId="26" borderId="0" xfId="0" applyFont="1" applyFill="1" applyBorder="1" applyAlignment="1" applyProtection="1">
      <alignment horizontal="left" vertical="top"/>
    </xf>
    <xf numFmtId="0" fontId="2" fillId="24" borderId="69" xfId="0" applyFont="1" applyFill="1" applyBorder="1" applyAlignment="1" applyProtection="1">
      <alignment vertical="top"/>
    </xf>
    <xf numFmtId="0" fontId="36" fillId="25" borderId="0" xfId="0" applyFont="1" applyFill="1" applyAlignment="1" applyProtection="1">
      <alignment horizontal="center" vertical="top"/>
    </xf>
    <xf numFmtId="0" fontId="2" fillId="24" borderId="0" xfId="0" applyFont="1" applyFill="1" applyAlignment="1" applyProtection="1">
      <alignment horizontal="right" vertical="top"/>
    </xf>
    <xf numFmtId="14" fontId="2" fillId="24" borderId="13" xfId="0" applyNumberFormat="1" applyFont="1" applyFill="1" applyBorder="1" applyAlignment="1" applyProtection="1">
      <alignment horizontal="right" vertical="top"/>
    </xf>
    <xf numFmtId="0" fontId="2" fillId="44" borderId="13" xfId="0" applyFont="1" applyFill="1" applyBorder="1" applyAlignment="1" applyProtection="1">
      <alignment vertical="top"/>
    </xf>
    <xf numFmtId="0" fontId="2" fillId="24" borderId="70" xfId="0" applyFont="1" applyFill="1" applyBorder="1" applyAlignment="1" applyProtection="1">
      <alignment vertical="top"/>
    </xf>
    <xf numFmtId="0" fontId="2" fillId="24" borderId="58" xfId="0" applyFont="1" applyFill="1" applyBorder="1" applyAlignment="1" applyProtection="1">
      <alignment vertical="top"/>
    </xf>
    <xf numFmtId="0" fontId="4" fillId="24" borderId="60" xfId="0" applyFont="1" applyFill="1" applyBorder="1" applyAlignment="1" applyProtection="1">
      <alignment horizontal="left" vertical="top"/>
    </xf>
    <xf numFmtId="0" fontId="36" fillId="25" borderId="0" xfId="0" applyFont="1" applyFill="1" applyAlignment="1" applyProtection="1">
      <alignment vertical="top"/>
    </xf>
    <xf numFmtId="0" fontId="4" fillId="25" borderId="11" xfId="0" applyNumberFormat="1" applyFont="1" applyFill="1" applyBorder="1" applyAlignment="1" applyProtection="1">
      <alignment horizontal="center" vertical="top"/>
    </xf>
    <xf numFmtId="0" fontId="0" fillId="43" borderId="58" xfId="0" applyFill="1" applyBorder="1" applyAlignment="1" applyProtection="1">
      <alignment vertical="top"/>
    </xf>
    <xf numFmtId="0" fontId="0" fillId="43" borderId="29" xfId="0" applyFill="1" applyBorder="1" applyAlignment="1" applyProtection="1">
      <alignment vertical="top"/>
    </xf>
    <xf numFmtId="0" fontId="2" fillId="43" borderId="29" xfId="0" applyFont="1" applyFill="1" applyBorder="1" applyAlignment="1" applyProtection="1">
      <alignment vertical="top"/>
    </xf>
    <xf numFmtId="0" fontId="2" fillId="43" borderId="31" xfId="0" applyFont="1" applyFill="1" applyBorder="1" applyAlignment="1" applyProtection="1">
      <alignment vertical="top"/>
    </xf>
    <xf numFmtId="0" fontId="0" fillId="43" borderId="68" xfId="0" applyFill="1" applyBorder="1" applyAlignment="1" applyProtection="1">
      <alignment vertical="top"/>
    </xf>
    <xf numFmtId="0" fontId="0" fillId="43" borderId="0" xfId="0" applyFill="1" applyBorder="1" applyAlignment="1" applyProtection="1">
      <alignment vertical="top"/>
    </xf>
    <xf numFmtId="0" fontId="2" fillId="24" borderId="13" xfId="0" applyFont="1" applyFill="1" applyBorder="1" applyAlignment="1" applyProtection="1">
      <alignment vertical="top"/>
    </xf>
    <xf numFmtId="0" fontId="2" fillId="43" borderId="0" xfId="0" applyFont="1" applyFill="1" applyBorder="1" applyAlignment="1" applyProtection="1">
      <alignment vertical="top"/>
    </xf>
    <xf numFmtId="0" fontId="2" fillId="44" borderId="50" xfId="0" applyFont="1" applyFill="1" applyBorder="1" applyAlignment="1" applyProtection="1">
      <alignment vertical="top"/>
    </xf>
    <xf numFmtId="0" fontId="2" fillId="24" borderId="0" xfId="0" applyFont="1" applyFill="1" applyBorder="1" applyAlignment="1" applyProtection="1">
      <alignment vertical="top"/>
    </xf>
    <xf numFmtId="0" fontId="0" fillId="43" borderId="67" xfId="0" applyFill="1" applyBorder="1" applyAlignment="1" applyProtection="1">
      <alignment vertical="top"/>
    </xf>
    <xf numFmtId="0" fontId="0" fillId="43" borderId="40" xfId="0" applyFill="1" applyBorder="1" applyAlignment="1" applyProtection="1">
      <alignment vertical="top"/>
    </xf>
    <xf numFmtId="0" fontId="2" fillId="43" borderId="40" xfId="0" applyFont="1" applyFill="1" applyBorder="1" applyAlignment="1" applyProtection="1">
      <alignment vertical="top"/>
    </xf>
    <xf numFmtId="0" fontId="2" fillId="43" borderId="41" xfId="0" applyFont="1" applyFill="1" applyBorder="1" applyAlignment="1" applyProtection="1">
      <alignment vertical="top"/>
    </xf>
    <xf numFmtId="0" fontId="0" fillId="25" borderId="92" xfId="0" applyFill="1" applyBorder="1" applyAlignment="1" applyProtection="1">
      <alignment vertical="top"/>
    </xf>
    <xf numFmtId="0" fontId="2" fillId="27" borderId="70" xfId="0" applyNumberFormat="1" applyFont="1" applyFill="1" applyBorder="1" applyAlignment="1" applyProtection="1">
      <alignment horizontal="right" vertical="top"/>
    </xf>
    <xf numFmtId="0" fontId="2" fillId="25" borderId="111" xfId="0" applyNumberFormat="1" applyFont="1" applyFill="1" applyBorder="1" applyAlignment="1" applyProtection="1">
      <alignment horizontal="left" vertical="top"/>
    </xf>
    <xf numFmtId="166" fontId="2" fillId="27" borderId="112" xfId="0" applyNumberFormat="1" applyFont="1" applyFill="1" applyBorder="1" applyAlignment="1" applyProtection="1">
      <alignment horizontal="right" vertical="top" indent="1"/>
    </xf>
    <xf numFmtId="0" fontId="2" fillId="25" borderId="51" xfId="0" applyNumberFormat="1" applyFont="1" applyFill="1" applyBorder="1" applyAlignment="1" applyProtection="1">
      <alignment vertical="top"/>
    </xf>
    <xf numFmtId="166" fontId="2" fillId="27" borderId="113" xfId="0" applyNumberFormat="1" applyFont="1" applyFill="1" applyBorder="1" applyAlignment="1" applyProtection="1">
      <alignment horizontal="right" vertical="top" indent="1"/>
    </xf>
    <xf numFmtId="0" fontId="2" fillId="25" borderId="128" xfId="0" applyNumberFormat="1" applyFont="1" applyFill="1" applyBorder="1" applyAlignment="1" applyProtection="1">
      <alignment vertical="top"/>
    </xf>
    <xf numFmtId="2" fontId="2" fillId="27" borderId="112" xfId="0" applyNumberFormat="1" applyFont="1" applyFill="1" applyBorder="1" applyAlignment="1" applyProtection="1">
      <alignment horizontal="right" vertical="top" indent="1"/>
    </xf>
    <xf numFmtId="2" fontId="2" fillId="27" borderId="113" xfId="0" applyNumberFormat="1" applyFont="1" applyFill="1" applyBorder="1" applyAlignment="1" applyProtection="1">
      <alignment horizontal="right" vertical="top" indent="1"/>
    </xf>
    <xf numFmtId="169" fontId="2" fillId="47" borderId="13" xfId="0" applyNumberFormat="1" applyFont="1" applyFill="1" applyBorder="1" applyAlignment="1" applyProtection="1">
      <alignment vertical="top"/>
      <protection locked="0"/>
    </xf>
    <xf numFmtId="166" fontId="2" fillId="48" borderId="0" xfId="0" applyNumberFormat="1" applyFont="1" applyFill="1" applyBorder="1" applyAlignment="1" applyProtection="1">
      <alignment vertical="top"/>
    </xf>
    <xf numFmtId="164" fontId="2" fillId="24" borderId="73" xfId="0" applyNumberFormat="1" applyFont="1" applyFill="1" applyBorder="1" applyAlignment="1" applyProtection="1">
      <alignment vertical="top"/>
    </xf>
    <xf numFmtId="164" fontId="2" fillId="24" borderId="91" xfId="0" applyNumberFormat="1" applyFont="1" applyFill="1" applyBorder="1" applyAlignment="1" applyProtection="1">
      <alignment vertical="top"/>
    </xf>
    <xf numFmtId="164" fontId="2" fillId="24" borderId="71" xfId="0" applyNumberFormat="1" applyFont="1" applyFill="1" applyBorder="1" applyAlignment="1" applyProtection="1">
      <alignment vertical="top"/>
    </xf>
    <xf numFmtId="10" fontId="69" fillId="44" borderId="70" xfId="84" applyNumberFormat="1" applyFont="1" applyFill="1" applyBorder="1" applyProtection="1"/>
    <xf numFmtId="167" fontId="0" fillId="39" borderId="27" xfId="0" applyNumberFormat="1" applyFill="1" applyBorder="1" applyProtection="1"/>
    <xf numFmtId="0" fontId="2" fillId="44" borderId="10" xfId="0" applyFont="1" applyFill="1" applyBorder="1" applyAlignment="1" applyProtection="1">
      <alignment wrapText="1"/>
    </xf>
    <xf numFmtId="10" fontId="69" fillId="48" borderId="73" xfId="84" applyNumberFormat="1" applyFont="1" applyFill="1" applyBorder="1" applyProtection="1"/>
    <xf numFmtId="10" fontId="69" fillId="48" borderId="91" xfId="84" applyNumberFormat="1" applyFont="1" applyFill="1" applyBorder="1" applyProtection="1"/>
    <xf numFmtId="10" fontId="69" fillId="48" borderId="71" xfId="84" applyNumberFormat="1" applyFont="1" applyFill="1" applyBorder="1" applyProtection="1"/>
    <xf numFmtId="0" fontId="40" fillId="50" borderId="69" xfId="77" applyFont="1" applyFill="1" applyBorder="1" applyAlignment="1" applyProtection="1">
      <alignment vertical="top" wrapText="1"/>
    </xf>
    <xf numFmtId="10" fontId="69" fillId="41" borderId="70" xfId="84" applyNumberFormat="1" applyFont="1" applyFill="1" applyBorder="1" applyProtection="1"/>
    <xf numFmtId="0" fontId="0" fillId="44" borderId="10" xfId="0" applyFill="1" applyBorder="1" applyAlignment="1" applyProtection="1">
      <alignment wrapText="1"/>
    </xf>
    <xf numFmtId="10" fontId="69" fillId="41" borderId="91" xfId="84" applyNumberFormat="1" applyFont="1" applyFill="1" applyBorder="1" applyProtection="1"/>
    <xf numFmtId="10" fontId="69" fillId="41" borderId="71" xfId="84" applyNumberFormat="1" applyFont="1" applyFill="1" applyBorder="1" applyProtection="1"/>
    <xf numFmtId="0" fontId="4" fillId="24" borderId="72" xfId="0" applyFont="1" applyFill="1" applyBorder="1" applyAlignment="1" applyProtection="1">
      <alignment horizontal="left" vertical="top"/>
    </xf>
    <xf numFmtId="0" fontId="0" fillId="41" borderId="0" xfId="0" applyFill="1" applyAlignment="1" applyProtection="1"/>
    <xf numFmtId="0" fontId="0" fillId="41" borderId="0" xfId="0" applyFill="1" applyProtection="1"/>
    <xf numFmtId="0" fontId="0" fillId="40" borderId="13" xfId="0" applyFill="1" applyBorder="1" applyAlignment="1" applyProtection="1">
      <alignment horizontal="center"/>
    </xf>
    <xf numFmtId="0" fontId="4" fillId="25" borderId="25" xfId="0" applyFont="1" applyFill="1" applyBorder="1" applyAlignment="1" applyProtection="1">
      <alignment wrapText="1"/>
    </xf>
    <xf numFmtId="0" fontId="77" fillId="26" borderId="0" xfId="0" applyFont="1" applyFill="1" applyProtection="1"/>
    <xf numFmtId="0" fontId="53" fillId="25" borderId="0" xfId="0" applyNumberFormat="1" applyFont="1" applyFill="1" applyAlignment="1" applyProtection="1">
      <alignment horizontal="left" vertical="top" wrapText="1"/>
    </xf>
    <xf numFmtId="0" fontId="41" fillId="25" borderId="0" xfId="0" applyNumberFormat="1" applyFont="1" applyFill="1" applyAlignment="1" applyProtection="1">
      <alignment horizontal="left" vertical="top" wrapText="1"/>
    </xf>
    <xf numFmtId="0" fontId="0" fillId="25" borderId="0" xfId="0" applyFill="1" applyAlignment="1" applyProtection="1">
      <alignment horizontal="left" vertical="top" wrapText="1"/>
    </xf>
    <xf numFmtId="0" fontId="33" fillId="25" borderId="0" xfId="0" applyFont="1" applyFill="1" applyAlignment="1" applyProtection="1">
      <alignment horizontal="left" vertical="top" wrapText="1"/>
    </xf>
    <xf numFmtId="0" fontId="53" fillId="25" borderId="70" xfId="0" applyNumberFormat="1" applyFont="1" applyFill="1" applyBorder="1" applyAlignment="1" applyProtection="1">
      <alignment horizontal="left" vertical="top" wrapText="1"/>
    </xf>
    <xf numFmtId="0" fontId="2" fillId="25" borderId="0" xfId="0" applyFont="1" applyFill="1" applyAlignment="1" applyProtection="1">
      <alignment horizontal="left" vertical="top" wrapText="1"/>
    </xf>
    <xf numFmtId="0" fontId="52" fillId="25" borderId="0" xfId="0" applyNumberFormat="1" applyFont="1" applyFill="1" applyBorder="1" applyAlignment="1" applyProtection="1">
      <alignment horizontal="left" vertical="top" wrapText="1"/>
    </xf>
    <xf numFmtId="0" fontId="42" fillId="25" borderId="0" xfId="0" applyFont="1" applyFill="1" applyAlignment="1" applyProtection="1">
      <alignment horizontal="left" vertical="top" wrapText="1"/>
    </xf>
    <xf numFmtId="0" fontId="10" fillId="25" borderId="0" xfId="0" applyFont="1" applyFill="1" applyAlignment="1" applyProtection="1">
      <alignment horizontal="left" vertical="top" wrapText="1"/>
    </xf>
    <xf numFmtId="0" fontId="3" fillId="26" borderId="0" xfId="0" applyFont="1" applyFill="1" applyBorder="1" applyAlignment="1" applyProtection="1">
      <alignment horizontal="left" vertical="top" wrapText="1"/>
    </xf>
    <xf numFmtId="0" fontId="9" fillId="25" borderId="0" xfId="0" applyFont="1" applyFill="1" applyAlignment="1" applyProtection="1">
      <alignment horizontal="left" vertical="top" wrapText="1"/>
    </xf>
    <xf numFmtId="0" fontId="4" fillId="25" borderId="0" xfId="0" applyFont="1" applyFill="1" applyAlignment="1" applyProtection="1">
      <alignment horizontal="left" vertical="top" wrapText="1"/>
    </xf>
    <xf numFmtId="0" fontId="52" fillId="25" borderId="0" xfId="0" applyFont="1" applyFill="1" applyAlignment="1" applyProtection="1">
      <alignment horizontal="left" vertical="top" wrapText="1"/>
    </xf>
    <xf numFmtId="0" fontId="4" fillId="25" borderId="0" xfId="0" applyNumberFormat="1" applyFont="1" applyFill="1" applyBorder="1" applyAlignment="1" applyProtection="1">
      <alignment horizontal="left" vertical="top" wrapText="1"/>
    </xf>
    <xf numFmtId="0" fontId="38" fillId="25" borderId="13" xfId="0" applyNumberFormat="1" applyFont="1" applyFill="1" applyBorder="1" applyAlignment="1" applyProtection="1">
      <alignment horizontal="left" vertical="top" wrapText="1"/>
    </xf>
    <xf numFmtId="0" fontId="4" fillId="25" borderId="63" xfId="0" applyFont="1" applyFill="1" applyBorder="1" applyAlignment="1" applyProtection="1">
      <alignment horizontal="left" vertical="top" wrapText="1"/>
    </xf>
    <xf numFmtId="0" fontId="4" fillId="25" borderId="19" xfId="0" applyFont="1" applyFill="1" applyBorder="1" applyAlignment="1" applyProtection="1">
      <alignment horizontal="left" vertical="top" wrapText="1"/>
    </xf>
    <xf numFmtId="0" fontId="4" fillId="25" borderId="0" xfId="0" applyFont="1" applyFill="1" applyBorder="1" applyAlignment="1" applyProtection="1">
      <alignment horizontal="left" vertical="top" wrapText="1"/>
    </xf>
    <xf numFmtId="0" fontId="4" fillId="25" borderId="63" xfId="0" applyNumberFormat="1" applyFont="1" applyFill="1" applyBorder="1" applyAlignment="1" applyProtection="1">
      <alignment horizontal="left" vertical="top" wrapText="1"/>
    </xf>
    <xf numFmtId="0" fontId="4" fillId="25" borderId="12" xfId="0" applyNumberFormat="1" applyFont="1" applyFill="1" applyBorder="1" applyAlignment="1" applyProtection="1">
      <alignment horizontal="left" vertical="top" wrapText="1"/>
    </xf>
    <xf numFmtId="0" fontId="36" fillId="25" borderId="12" xfId="0" applyFont="1" applyFill="1" applyBorder="1" applyAlignment="1" applyProtection="1">
      <alignment horizontal="left" vertical="top" wrapText="1"/>
    </xf>
    <xf numFmtId="0" fontId="2" fillId="25" borderId="13" xfId="0" applyNumberFormat="1" applyFont="1" applyFill="1" applyBorder="1" applyAlignment="1" applyProtection="1">
      <alignment horizontal="left" vertical="top"/>
    </xf>
    <xf numFmtId="0" fontId="36" fillId="25" borderId="0" xfId="0" applyFont="1" applyFill="1" applyBorder="1" applyAlignment="1" applyProtection="1">
      <alignment horizontal="left" vertical="top" wrapText="1"/>
    </xf>
    <xf numFmtId="0" fontId="2" fillId="25" borderId="11" xfId="0" applyNumberFormat="1" applyFont="1" applyFill="1" applyBorder="1" applyAlignment="1" applyProtection="1">
      <alignment horizontal="left" vertical="top"/>
    </xf>
    <xf numFmtId="0" fontId="36" fillId="25" borderId="0" xfId="0" applyFont="1" applyFill="1" applyAlignment="1" applyProtection="1">
      <alignment horizontal="left" vertical="top" wrapText="1"/>
    </xf>
    <xf numFmtId="0" fontId="1" fillId="0" borderId="0" xfId="88" quotePrefix="1" applyProtection="1"/>
    <xf numFmtId="0" fontId="9" fillId="25" borderId="0" xfId="0" applyFont="1" applyFill="1" applyBorder="1" applyAlignment="1" applyProtection="1">
      <alignment horizontal="left" vertical="top"/>
    </xf>
    <xf numFmtId="0" fontId="0" fillId="25" borderId="103" xfId="0" applyFill="1" applyBorder="1" applyAlignment="1" applyProtection="1">
      <alignment horizontal="left" vertical="top"/>
    </xf>
    <xf numFmtId="0" fontId="0" fillId="25" borderId="67" xfId="0" applyFill="1" applyBorder="1" applyAlignment="1" applyProtection="1">
      <alignment horizontal="left" vertical="top"/>
    </xf>
    <xf numFmtId="0" fontId="0" fillId="25" borderId="109" xfId="0" applyFill="1" applyBorder="1" applyAlignment="1" applyProtection="1">
      <alignment horizontal="left" vertical="top"/>
    </xf>
    <xf numFmtId="0" fontId="0" fillId="25" borderId="22" xfId="0" applyFill="1" applyBorder="1" applyAlignment="1" applyProtection="1">
      <alignment horizontal="left" vertical="top" wrapText="1"/>
    </xf>
    <xf numFmtId="0" fontId="62" fillId="25" borderId="0" xfId="0" applyFont="1" applyFill="1" applyAlignment="1" applyProtection="1">
      <alignment horizontal="left" vertical="top" wrapText="1"/>
    </xf>
    <xf numFmtId="0" fontId="61" fillId="25" borderId="0" xfId="0" applyFont="1" applyFill="1" applyAlignment="1" applyProtection="1">
      <alignment horizontal="left" vertical="top" wrapText="1"/>
    </xf>
    <xf numFmtId="0" fontId="10" fillId="25" borderId="12" xfId="0" applyFont="1" applyFill="1" applyBorder="1" applyAlignment="1" applyProtection="1">
      <alignment horizontal="left" vertical="top" wrapText="1"/>
    </xf>
    <xf numFmtId="0" fontId="61" fillId="25" borderId="19" xfId="0" applyFont="1" applyFill="1" applyBorder="1" applyAlignment="1" applyProtection="1">
      <alignment horizontal="left" vertical="top" wrapText="1"/>
    </xf>
    <xf numFmtId="0" fontId="0" fillId="51" borderId="107" xfId="0" applyFill="1" applyBorder="1" applyAlignment="1" applyProtection="1">
      <alignment horizontal="left" vertical="top" wrapText="1"/>
    </xf>
    <xf numFmtId="0" fontId="8" fillId="25" borderId="0" xfId="0" applyFont="1" applyFill="1" applyAlignment="1" applyProtection="1">
      <alignment horizontal="left" vertical="top" wrapText="1"/>
    </xf>
    <xf numFmtId="0" fontId="8" fillId="25" borderId="12" xfId="0" applyFont="1" applyFill="1" applyBorder="1" applyAlignment="1" applyProtection="1">
      <alignment horizontal="left" vertical="top" wrapText="1"/>
    </xf>
    <xf numFmtId="0" fontId="2" fillId="25" borderId="14" xfId="0" applyFont="1" applyFill="1" applyBorder="1" applyAlignment="1" applyProtection="1">
      <alignment horizontal="left" vertical="top" wrapText="1"/>
    </xf>
    <xf numFmtId="0" fontId="2" fillId="25" borderId="16" xfId="0" applyFont="1" applyFill="1" applyBorder="1" applyAlignment="1" applyProtection="1">
      <alignment horizontal="left" vertical="top" wrapText="1"/>
    </xf>
    <xf numFmtId="0" fontId="2" fillId="25" borderId="15" xfId="0" applyFont="1" applyFill="1" applyBorder="1" applyAlignment="1" applyProtection="1">
      <alignment horizontal="left" vertical="top" wrapText="1"/>
    </xf>
    <xf numFmtId="0" fontId="2" fillId="25" borderId="14" xfId="0" applyNumberFormat="1" applyFont="1" applyFill="1" applyBorder="1" applyAlignment="1" applyProtection="1">
      <alignment horizontal="left" vertical="top" wrapText="1"/>
    </xf>
    <xf numFmtId="0" fontId="2" fillId="25" borderId="15" xfId="0" applyNumberFormat="1" applyFont="1" applyFill="1" applyBorder="1" applyAlignment="1" applyProtection="1">
      <alignment horizontal="left" vertical="top" wrapText="1"/>
    </xf>
    <xf numFmtId="0" fontId="4" fillId="25" borderId="0" xfId="0" applyNumberFormat="1" applyFont="1" applyFill="1" applyAlignment="1" applyProtection="1">
      <alignment horizontal="left" vertical="top" wrapText="1"/>
    </xf>
    <xf numFmtId="0" fontId="2" fillId="25" borderId="16" xfId="0" applyNumberFormat="1" applyFont="1" applyFill="1" applyBorder="1" applyAlignment="1" applyProtection="1">
      <alignment horizontal="left" vertical="top" wrapText="1"/>
    </xf>
    <xf numFmtId="0" fontId="8" fillId="25" borderId="25" xfId="0" applyFont="1" applyFill="1" applyBorder="1" applyAlignment="1" applyProtection="1">
      <alignment horizontal="left" vertical="top"/>
    </xf>
    <xf numFmtId="0" fontId="4" fillId="25" borderId="0" xfId="0" applyNumberFormat="1" applyFont="1" applyFill="1" applyBorder="1" applyAlignment="1" applyProtection="1">
      <alignment horizontal="left" vertical="top"/>
    </xf>
    <xf numFmtId="0" fontId="2" fillId="25" borderId="12" xfId="0" applyFont="1" applyFill="1" applyBorder="1" applyAlignment="1" applyProtection="1">
      <alignment horizontal="left" vertical="top"/>
    </xf>
    <xf numFmtId="0" fontId="57" fillId="25" borderId="0" xfId="0" applyFont="1" applyFill="1" applyBorder="1" applyAlignment="1" applyProtection="1">
      <alignment horizontal="left" vertical="top" wrapText="1"/>
    </xf>
    <xf numFmtId="0" fontId="4" fillId="25" borderId="12" xfId="0" applyFont="1" applyFill="1" applyBorder="1" applyAlignment="1" applyProtection="1">
      <alignment horizontal="left" vertical="top" wrapText="1"/>
    </xf>
    <xf numFmtId="0" fontId="38" fillId="25" borderId="22" xfId="0" applyNumberFormat="1" applyFont="1" applyFill="1" applyBorder="1" applyAlignment="1" applyProtection="1">
      <alignment horizontal="left" vertical="top" wrapText="1"/>
    </xf>
    <xf numFmtId="0" fontId="38" fillId="25" borderId="14" xfId="0" applyNumberFormat="1" applyFont="1" applyFill="1" applyBorder="1" applyAlignment="1" applyProtection="1">
      <alignment horizontal="left" vertical="top" wrapText="1"/>
    </xf>
    <xf numFmtId="0" fontId="58" fillId="25" borderId="15" xfId="0" applyNumberFormat="1" applyFont="1" applyFill="1" applyBorder="1" applyAlignment="1" applyProtection="1">
      <alignment horizontal="left" vertical="top" wrapText="1"/>
    </xf>
    <xf numFmtId="0" fontId="38" fillId="25" borderId="15" xfId="0" applyNumberFormat="1" applyFont="1" applyFill="1" applyBorder="1" applyAlignment="1" applyProtection="1">
      <alignment horizontal="left" vertical="top" wrapText="1"/>
    </xf>
    <xf numFmtId="0" fontId="38" fillId="25" borderId="16" xfId="0" applyNumberFormat="1" applyFont="1" applyFill="1" applyBorder="1" applyAlignment="1" applyProtection="1">
      <alignment horizontal="left" vertical="top" wrapText="1"/>
    </xf>
    <xf numFmtId="0" fontId="2" fillId="25" borderId="22" xfId="0" applyNumberFormat="1" applyFont="1" applyFill="1" applyBorder="1" applyAlignment="1" applyProtection="1">
      <alignment horizontal="left" vertical="top" wrapText="1"/>
    </xf>
    <xf numFmtId="0" fontId="4" fillId="25" borderId="84" xfId="0" applyNumberFormat="1" applyFont="1" applyFill="1" applyBorder="1" applyAlignment="1" applyProtection="1">
      <alignment horizontal="left" vertical="top" wrapText="1"/>
    </xf>
    <xf numFmtId="0" fontId="2" fillId="25" borderId="18" xfId="0" applyNumberFormat="1" applyFont="1" applyFill="1" applyBorder="1" applyAlignment="1" applyProtection="1">
      <alignment horizontal="left" vertical="top"/>
    </xf>
    <xf numFmtId="0" fontId="38" fillId="25" borderId="26" xfId="0" applyNumberFormat="1" applyFont="1" applyFill="1" applyBorder="1" applyAlignment="1" applyProtection="1">
      <alignment horizontal="left" vertical="top" wrapText="1"/>
    </xf>
    <xf numFmtId="0" fontId="38" fillId="41" borderId="0" xfId="0" applyNumberFormat="1" applyFont="1" applyFill="1" applyBorder="1" applyAlignment="1" applyProtection="1">
      <alignment horizontal="left" vertical="top" wrapText="1"/>
    </xf>
    <xf numFmtId="0" fontId="38" fillId="25" borderId="17" xfId="0" applyNumberFormat="1" applyFont="1" applyFill="1" applyBorder="1" applyAlignment="1" applyProtection="1">
      <alignment horizontal="left" vertical="top"/>
    </xf>
    <xf numFmtId="0" fontId="2" fillId="25" borderId="17" xfId="0" applyNumberFormat="1" applyFont="1" applyFill="1" applyBorder="1" applyAlignment="1" applyProtection="1">
      <alignment horizontal="left" vertical="top" wrapText="1"/>
    </xf>
    <xf numFmtId="0" fontId="10" fillId="25" borderId="0" xfId="0" applyNumberFormat="1" applyFont="1" applyFill="1" applyAlignment="1" applyProtection="1">
      <alignment horizontal="left" vertical="top" wrapText="1"/>
    </xf>
    <xf numFmtId="0" fontId="4" fillId="50" borderId="58" xfId="0" applyFont="1" applyFill="1" applyBorder="1" applyAlignment="1" applyProtection="1">
      <alignment horizontal="left" vertical="top" wrapText="1"/>
    </xf>
    <xf numFmtId="0" fontId="38" fillId="27" borderId="26" xfId="0" applyNumberFormat="1" applyFont="1" applyFill="1" applyBorder="1" applyAlignment="1" applyProtection="1">
      <alignment horizontal="left" vertical="top" wrapText="1"/>
    </xf>
    <xf numFmtId="0" fontId="36" fillId="43" borderId="0" xfId="0" applyFont="1" applyFill="1" applyBorder="1" applyAlignment="1" applyProtection="1">
      <alignment horizontal="left" vertical="top" wrapText="1"/>
    </xf>
    <xf numFmtId="0" fontId="42" fillId="43" borderId="0" xfId="0" applyFont="1" applyFill="1" applyBorder="1" applyAlignment="1" applyProtection="1">
      <alignment horizontal="left" vertical="top" wrapText="1"/>
    </xf>
    <xf numFmtId="0" fontId="4" fillId="43" borderId="12" xfId="0" applyFont="1" applyFill="1" applyBorder="1" applyAlignment="1" applyProtection="1">
      <alignment horizontal="left" vertical="top" wrapText="1"/>
    </xf>
    <xf numFmtId="0" fontId="2" fillId="43" borderId="26" xfId="0" applyNumberFormat="1" applyFont="1" applyFill="1" applyBorder="1" applyAlignment="1" applyProtection="1">
      <alignment horizontal="left" vertical="top" wrapText="1"/>
    </xf>
    <xf numFmtId="0" fontId="2" fillId="43" borderId="12" xfId="0" applyNumberFormat="1" applyFont="1" applyFill="1" applyBorder="1" applyAlignment="1" applyProtection="1">
      <alignment horizontal="left" vertical="top" wrapText="1"/>
    </xf>
    <xf numFmtId="0" fontId="2" fillId="43" borderId="14" xfId="0" applyNumberFormat="1" applyFont="1" applyFill="1" applyBorder="1" applyAlignment="1" applyProtection="1">
      <alignment horizontal="left" vertical="top" wrapText="1"/>
    </xf>
    <xf numFmtId="0" fontId="38" fillId="43" borderId="15" xfId="0" applyNumberFormat="1" applyFont="1" applyFill="1" applyBorder="1" applyAlignment="1" applyProtection="1">
      <alignment horizontal="left" vertical="top" wrapText="1"/>
    </xf>
    <xf numFmtId="0" fontId="38" fillId="43" borderId="16" xfId="0" applyNumberFormat="1" applyFont="1" applyFill="1" applyBorder="1" applyAlignment="1" applyProtection="1">
      <alignment horizontal="left" vertical="top" wrapText="1"/>
    </xf>
    <xf numFmtId="0" fontId="38" fillId="43" borderId="14" xfId="0" applyNumberFormat="1" applyFont="1" applyFill="1" applyBorder="1" applyAlignment="1" applyProtection="1">
      <alignment horizontal="left" vertical="top" wrapText="1"/>
    </xf>
    <xf numFmtId="0" fontId="58" fillId="43" borderId="15" xfId="0" applyNumberFormat="1" applyFont="1" applyFill="1" applyBorder="1" applyAlignment="1" applyProtection="1">
      <alignment horizontal="left" vertical="top" wrapText="1"/>
    </xf>
    <xf numFmtId="0" fontId="38" fillId="43" borderId="22" xfId="0" applyNumberFormat="1" applyFont="1" applyFill="1" applyBorder="1" applyAlignment="1" applyProtection="1">
      <alignment horizontal="left" vertical="top" wrapText="1"/>
    </xf>
    <xf numFmtId="0" fontId="4" fillId="25" borderId="12" xfId="0" applyNumberFormat="1" applyFont="1" applyFill="1" applyBorder="1" applyAlignment="1" applyProtection="1">
      <alignment horizontal="left" vertical="top"/>
    </xf>
    <xf numFmtId="0" fontId="38" fillId="25" borderId="17" xfId="0" applyNumberFormat="1" applyFont="1" applyFill="1" applyBorder="1" applyAlignment="1" applyProtection="1">
      <alignment horizontal="left" vertical="top" wrapText="1"/>
    </xf>
    <xf numFmtId="0" fontId="55" fillId="25" borderId="12" xfId="0" applyNumberFormat="1" applyFont="1" applyFill="1" applyBorder="1" applyAlignment="1" applyProtection="1">
      <alignment horizontal="left" vertical="top" wrapText="1"/>
    </xf>
    <xf numFmtId="0" fontId="9" fillId="25" borderId="0" xfId="0" applyFont="1" applyFill="1" applyAlignment="1" applyProtection="1">
      <alignment horizontal="left" vertical="top"/>
    </xf>
    <xf numFmtId="0" fontId="10" fillId="41" borderId="0" xfId="0" applyFont="1" applyFill="1" applyBorder="1" applyAlignment="1" applyProtection="1">
      <alignment horizontal="left" vertical="top" wrapText="1"/>
    </xf>
    <xf numFmtId="0" fontId="2" fillId="25" borderId="63" xfId="0" applyNumberFormat="1" applyFont="1" applyFill="1" applyBorder="1" applyAlignment="1" applyProtection="1">
      <alignment horizontal="left" vertical="top" wrapText="1"/>
    </xf>
    <xf numFmtId="0" fontId="36" fillId="25" borderId="0" xfId="0" applyFont="1" applyFill="1" applyBorder="1" applyAlignment="1" applyProtection="1">
      <alignment horizontal="left" vertical="top"/>
    </xf>
    <xf numFmtId="0" fontId="2" fillId="25" borderId="26" xfId="0" applyNumberFormat="1" applyFont="1" applyFill="1" applyBorder="1" applyAlignment="1" applyProtection="1">
      <alignment horizontal="left" vertical="top"/>
    </xf>
    <xf numFmtId="0" fontId="4" fillId="25" borderId="18" xfId="0" applyNumberFormat="1" applyFont="1" applyFill="1" applyBorder="1" applyAlignment="1" applyProtection="1">
      <alignment horizontal="left" vertical="top"/>
    </xf>
    <xf numFmtId="0" fontId="10" fillId="25" borderId="17" xfId="0" applyFont="1" applyFill="1" applyBorder="1" applyAlignment="1" applyProtection="1">
      <alignment horizontal="left" vertical="top" wrapText="1"/>
    </xf>
    <xf numFmtId="0" fontId="10" fillId="25" borderId="15" xfId="0" applyFont="1" applyFill="1" applyBorder="1" applyAlignment="1" applyProtection="1">
      <alignment horizontal="left" vertical="top"/>
    </xf>
    <xf numFmtId="0" fontId="10" fillId="25" borderId="15" xfId="0" applyFont="1" applyFill="1" applyBorder="1" applyAlignment="1" applyProtection="1">
      <alignment horizontal="left" vertical="top" wrapText="1"/>
    </xf>
    <xf numFmtId="0" fontId="10" fillId="52" borderId="15" xfId="0" applyFont="1" applyFill="1" applyBorder="1" applyAlignment="1" applyProtection="1">
      <alignment horizontal="left" vertical="top" wrapText="1"/>
    </xf>
    <xf numFmtId="0" fontId="2" fillId="25" borderId="70" xfId="0" applyNumberFormat="1" applyFont="1" applyFill="1" applyBorder="1" applyAlignment="1" applyProtection="1">
      <alignment horizontal="left" vertical="top"/>
    </xf>
    <xf numFmtId="0" fontId="4" fillId="43" borderId="26" xfId="0" applyNumberFormat="1" applyFont="1" applyFill="1" applyBorder="1" applyAlignment="1" applyProtection="1">
      <alignment horizontal="left" vertical="top" wrapText="1"/>
    </xf>
    <xf numFmtId="0" fontId="10" fillId="25" borderId="0" xfId="0" applyNumberFormat="1" applyFont="1" applyFill="1" applyBorder="1" applyAlignment="1" applyProtection="1">
      <alignment horizontal="left" vertical="top" wrapText="1"/>
    </xf>
    <xf numFmtId="0" fontId="38" fillId="24" borderId="0" xfId="0" applyNumberFormat="1" applyFont="1" applyFill="1" applyBorder="1" applyAlignment="1" applyProtection="1">
      <alignment horizontal="left" vertical="top"/>
    </xf>
    <xf numFmtId="0" fontId="2" fillId="24" borderId="0" xfId="0" applyNumberFormat="1" applyFont="1" applyFill="1" applyBorder="1" applyAlignment="1" applyProtection="1">
      <alignment horizontal="left" vertical="top"/>
    </xf>
    <xf numFmtId="0" fontId="4" fillId="25" borderId="63" xfId="0" applyFont="1" applyFill="1" applyBorder="1" applyAlignment="1" applyProtection="1">
      <alignment wrapText="1"/>
    </xf>
    <xf numFmtId="0" fontId="1" fillId="0" borderId="0" xfId="88" quotePrefix="1" applyFill="1" applyProtection="1"/>
    <xf numFmtId="0" fontId="1" fillId="0" borderId="0" xfId="88" applyFill="1" applyProtection="1"/>
    <xf numFmtId="0" fontId="26" fillId="0" borderId="12" xfId="88" applyFont="1" applyBorder="1" applyAlignment="1" applyProtection="1">
      <alignment vertical="top"/>
    </xf>
    <xf numFmtId="0" fontId="1" fillId="0" borderId="0" xfId="88" applyAlignment="1" applyProtection="1">
      <alignment vertical="top"/>
    </xf>
    <xf numFmtId="0" fontId="4" fillId="50" borderId="69" xfId="0" applyFont="1" applyFill="1" applyBorder="1" applyAlignment="1" applyProtection="1">
      <alignment horizontal="left" vertical="top"/>
    </xf>
    <xf numFmtId="0" fontId="30" fillId="25" borderId="0" xfId="0" applyFont="1" applyFill="1" applyBorder="1" applyAlignment="1" applyProtection="1">
      <alignment horizontal="left" vertical="top"/>
    </xf>
    <xf numFmtId="0" fontId="2" fillId="25" borderId="57" xfId="0" applyFont="1" applyFill="1" applyBorder="1" applyAlignment="1" applyProtection="1">
      <alignment horizontal="left" vertical="top"/>
    </xf>
    <xf numFmtId="0" fontId="4" fillId="34" borderId="84" xfId="0" applyNumberFormat="1" applyFont="1" applyFill="1" applyBorder="1" applyAlignment="1" applyProtection="1">
      <alignment horizontal="left" vertical="top" wrapText="1"/>
    </xf>
    <xf numFmtId="0" fontId="4" fillId="25" borderId="18" xfId="0" applyNumberFormat="1" applyFont="1" applyFill="1" applyBorder="1" applyAlignment="1" applyProtection="1">
      <alignment horizontal="left" vertical="top" wrapText="1"/>
    </xf>
    <xf numFmtId="0" fontId="4" fillId="0" borderId="11" xfId="0" applyFont="1" applyBorder="1" applyAlignment="1" applyProtection="1">
      <alignment horizontal="left" vertical="top" wrapText="1"/>
    </xf>
    <xf numFmtId="0" fontId="55" fillId="25" borderId="63" xfId="0" applyNumberFormat="1" applyFont="1" applyFill="1" applyBorder="1" applyAlignment="1" applyProtection="1">
      <alignment horizontal="left" vertical="top" wrapText="1"/>
    </xf>
    <xf numFmtId="0" fontId="55" fillId="25" borderId="11" xfId="0" applyNumberFormat="1" applyFont="1" applyFill="1" applyBorder="1" applyAlignment="1" applyProtection="1">
      <alignment horizontal="left" vertical="top" wrapText="1"/>
    </xf>
    <xf numFmtId="0" fontId="4" fillId="0" borderId="63" xfId="0" applyNumberFormat="1" applyFont="1" applyFill="1" applyBorder="1" applyAlignment="1" applyProtection="1">
      <alignment horizontal="left" vertical="top" wrapText="1"/>
    </xf>
    <xf numFmtId="0" fontId="70" fillId="25" borderId="0" xfId="0" applyFont="1" applyFill="1" applyAlignment="1" applyProtection="1">
      <alignment horizontal="left" vertical="top"/>
    </xf>
    <xf numFmtId="0" fontId="71" fillId="26" borderId="78" xfId="0" applyFont="1" applyFill="1" applyBorder="1" applyAlignment="1" applyProtection="1">
      <alignment horizontal="left" vertical="top"/>
    </xf>
    <xf numFmtId="0" fontId="71" fillId="26" borderId="78" xfId="0" applyFont="1" applyFill="1" applyBorder="1" applyAlignment="1" applyProtection="1">
      <alignment horizontal="left" vertical="top" wrapText="1"/>
    </xf>
    <xf numFmtId="0" fontId="71" fillId="26" borderId="79" xfId="0" applyFont="1" applyFill="1" applyBorder="1" applyAlignment="1" applyProtection="1">
      <alignment horizontal="left" vertical="top" wrapText="1"/>
    </xf>
    <xf numFmtId="0" fontId="0" fillId="41" borderId="11" xfId="0" applyFill="1" applyBorder="1" applyAlignment="1" applyProtection="1">
      <alignment horizontal="left" vertical="top"/>
    </xf>
    <xf numFmtId="0" fontId="2" fillId="25" borderId="11" xfId="0" applyFont="1" applyFill="1" applyBorder="1" applyAlignment="1" applyProtection="1">
      <alignment horizontal="left" vertical="top"/>
    </xf>
    <xf numFmtId="0" fontId="2" fillId="25" borderId="27" xfId="0" applyNumberFormat="1" applyFont="1" applyFill="1" applyBorder="1" applyAlignment="1" applyProtection="1">
      <alignment horizontal="left" vertical="top" wrapText="1"/>
    </xf>
    <xf numFmtId="0" fontId="4" fillId="25" borderId="26" xfId="0" applyNumberFormat="1" applyFont="1" applyFill="1" applyBorder="1" applyAlignment="1" applyProtection="1">
      <alignment horizontal="left" vertical="top" wrapText="1"/>
    </xf>
    <xf numFmtId="0" fontId="4" fillId="25" borderId="42" xfId="0" applyNumberFormat="1" applyFont="1" applyFill="1" applyBorder="1" applyAlignment="1" applyProtection="1">
      <alignment horizontal="left" vertical="top" wrapText="1"/>
    </xf>
    <xf numFmtId="0" fontId="2" fillId="0" borderId="14" xfId="0" applyNumberFormat="1" applyFont="1" applyFill="1" applyBorder="1" applyAlignment="1" applyProtection="1">
      <alignment horizontal="left" vertical="top" wrapText="1"/>
    </xf>
    <xf numFmtId="0" fontId="2" fillId="0" borderId="15" xfId="0" applyNumberFormat="1" applyFont="1" applyFill="1" applyBorder="1" applyAlignment="1" applyProtection="1">
      <alignment horizontal="left" vertical="top" wrapText="1"/>
    </xf>
    <xf numFmtId="0" fontId="4" fillId="25" borderId="11" xfId="0" applyFont="1" applyFill="1" applyBorder="1" applyAlignment="1" applyProtection="1">
      <alignment horizontal="left" vertical="top" wrapText="1"/>
    </xf>
    <xf numFmtId="0" fontId="49" fillId="34" borderId="84" xfId="0" applyFont="1" applyFill="1" applyBorder="1" applyAlignment="1" applyProtection="1">
      <alignment horizontal="left" vertical="top" wrapText="1"/>
    </xf>
    <xf numFmtId="0" fontId="4" fillId="0" borderId="12" xfId="0" applyFont="1" applyBorder="1" applyAlignment="1" applyProtection="1">
      <alignment horizontal="left" vertical="top"/>
    </xf>
    <xf numFmtId="0" fontId="0" fillId="24" borderId="0" xfId="0" applyFill="1" applyAlignment="1" applyProtection="1">
      <alignment horizontal="left" vertical="top"/>
    </xf>
    <xf numFmtId="0" fontId="2" fillId="24" borderId="0" xfId="0" applyFont="1" applyFill="1" applyAlignment="1" applyProtection="1">
      <alignment horizontal="left" vertical="top"/>
    </xf>
    <xf numFmtId="0" fontId="2" fillId="39" borderId="0" xfId="0" applyFont="1" applyFill="1" applyAlignment="1" applyProtection="1">
      <alignment horizontal="left" vertical="top"/>
    </xf>
    <xf numFmtId="0" fontId="44" fillId="26" borderId="0" xfId="0" applyFont="1" applyFill="1" applyAlignment="1" applyProtection="1">
      <alignment horizontal="left" vertical="top"/>
    </xf>
    <xf numFmtId="0" fontId="45" fillId="24" borderId="0" xfId="0" applyFont="1" applyFill="1" applyAlignment="1" applyProtection="1">
      <alignment horizontal="left" vertical="top"/>
    </xf>
    <xf numFmtId="0" fontId="0" fillId="39" borderId="13" xfId="0" applyFill="1" applyBorder="1" applyAlignment="1" applyProtection="1">
      <alignment horizontal="left" vertical="top" wrapText="1"/>
    </xf>
    <xf numFmtId="0" fontId="47" fillId="39" borderId="13" xfId="0" applyFont="1" applyFill="1" applyBorder="1" applyAlignment="1" applyProtection="1">
      <alignment horizontal="left" vertical="top" wrapText="1"/>
    </xf>
    <xf numFmtId="0" fontId="0" fillId="44" borderId="13" xfId="0" applyFill="1" applyBorder="1" applyAlignment="1" applyProtection="1">
      <alignment horizontal="left" vertical="top" wrapText="1"/>
    </xf>
    <xf numFmtId="0" fontId="2" fillId="39" borderId="13" xfId="0" applyFont="1" applyFill="1" applyBorder="1" applyAlignment="1" applyProtection="1">
      <alignment horizontal="left" vertical="top" wrapText="1"/>
    </xf>
    <xf numFmtId="0" fontId="0" fillId="39" borderId="13" xfId="0" applyFill="1" applyBorder="1" applyAlignment="1" applyProtection="1">
      <alignment horizontal="left" vertical="top"/>
    </xf>
    <xf numFmtId="0" fontId="41" fillId="39" borderId="13" xfId="0" applyFont="1" applyFill="1" applyBorder="1" applyAlignment="1" applyProtection="1">
      <alignment horizontal="left" vertical="top"/>
    </xf>
    <xf numFmtId="0" fontId="4" fillId="46" borderId="11" xfId="0" applyFont="1" applyFill="1" applyBorder="1" applyAlignment="1" applyProtection="1">
      <alignment horizontal="left" vertical="top" wrapText="1"/>
    </xf>
    <xf numFmtId="0" fontId="2" fillId="25" borderId="31" xfId="0" applyFont="1" applyFill="1" applyBorder="1" applyAlignment="1" applyProtection="1"/>
    <xf numFmtId="0" fontId="2" fillId="25" borderId="39" xfId="0" applyFont="1" applyFill="1" applyBorder="1" applyAlignment="1" applyProtection="1"/>
    <xf numFmtId="0" fontId="2" fillId="25" borderId="41" xfId="0" applyFont="1" applyFill="1" applyBorder="1" applyAlignment="1" applyProtection="1"/>
    <xf numFmtId="0" fontId="2" fillId="24" borderId="129" xfId="0" applyNumberFormat="1" applyFont="1" applyFill="1" applyBorder="1" applyAlignment="1" applyProtection="1">
      <alignment horizontal="left" vertical="top"/>
    </xf>
    <xf numFmtId="0" fontId="2" fillId="24" borderId="91" xfId="0" applyNumberFormat="1" applyFont="1" applyFill="1" applyBorder="1" applyAlignment="1" applyProtection="1">
      <alignment horizontal="left" vertical="top"/>
    </xf>
    <xf numFmtId="0" fontId="2" fillId="39" borderId="13" xfId="0" applyFont="1" applyFill="1" applyBorder="1" applyAlignment="1" applyProtection="1"/>
    <xf numFmtId="0" fontId="0" fillId="50" borderId="0" xfId="0" applyFill="1" applyBorder="1" applyAlignment="1" applyProtection="1">
      <alignment horizontal="center" vertical="top" wrapText="1"/>
    </xf>
    <xf numFmtId="0" fontId="40" fillId="50" borderId="0" xfId="77" applyFont="1" applyFill="1" applyBorder="1" applyAlignment="1" applyProtection="1">
      <alignment horizontal="center" vertical="top" wrapText="1"/>
    </xf>
    <xf numFmtId="0" fontId="0" fillId="51" borderId="0" xfId="0" applyFill="1" applyAlignment="1" applyProtection="1">
      <alignment horizontal="left" vertical="top" wrapText="1"/>
    </xf>
    <xf numFmtId="0" fontId="78" fillId="24" borderId="0" xfId="0" applyNumberFormat="1" applyFont="1" applyFill="1" applyAlignment="1" applyProtection="1">
      <alignment horizontal="left" vertical="top" wrapText="1"/>
    </xf>
    <xf numFmtId="49" fontId="2" fillId="42" borderId="101" xfId="0" applyNumberFormat="1" applyFont="1" applyFill="1" applyBorder="1" applyAlignment="1" applyProtection="1">
      <alignment horizontal="left" vertical="top"/>
      <protection locked="0"/>
    </xf>
    <xf numFmtId="49" fontId="38" fillId="42" borderId="100" xfId="0" applyNumberFormat="1" applyFont="1" applyFill="1" applyBorder="1" applyAlignment="1" applyProtection="1">
      <alignment horizontal="left" vertical="top"/>
      <protection locked="0"/>
    </xf>
    <xf numFmtId="49" fontId="38" fillId="42" borderId="99" xfId="0" applyNumberFormat="1" applyFont="1" applyFill="1" applyBorder="1" applyAlignment="1" applyProtection="1">
      <alignment horizontal="left" vertical="top"/>
      <protection locked="0"/>
    </xf>
    <xf numFmtId="0" fontId="42" fillId="41" borderId="0" xfId="0" applyFont="1" applyFill="1" applyAlignment="1" applyProtection="1">
      <alignment horizontal="left" vertical="top" wrapText="1"/>
    </xf>
    <xf numFmtId="0" fontId="0" fillId="0" borderId="0" xfId="0" applyAlignment="1" applyProtection="1">
      <alignment vertical="top"/>
    </xf>
    <xf numFmtId="0" fontId="2" fillId="41" borderId="26" xfId="0" applyNumberFormat="1" applyFont="1" applyFill="1" applyBorder="1" applyAlignment="1" applyProtection="1">
      <alignment horizontal="left" vertical="top" wrapText="1"/>
    </xf>
    <xf numFmtId="0" fontId="2" fillId="43" borderId="0" xfId="0" applyNumberFormat="1" applyFont="1" applyFill="1" applyBorder="1" applyAlignment="1" applyProtection="1">
      <alignment horizontal="left" vertical="top"/>
    </xf>
    <xf numFmtId="0" fontId="4" fillId="43" borderId="0" xfId="0" applyFont="1" applyFill="1" applyBorder="1" applyAlignment="1" applyProtection="1">
      <alignment horizontal="left" vertical="top" wrapText="1"/>
    </xf>
    <xf numFmtId="0" fontId="0" fillId="43" borderId="0" xfId="0" applyFill="1" applyBorder="1" applyAlignment="1" applyProtection="1">
      <alignment vertical="top" wrapText="1"/>
    </xf>
    <xf numFmtId="0" fontId="0" fillId="43" borderId="39" xfId="0" applyFill="1" applyBorder="1" applyAlignment="1" applyProtection="1">
      <alignment vertical="top" wrapText="1"/>
    </xf>
    <xf numFmtId="0" fontId="2" fillId="43" borderId="0" xfId="0" applyFont="1" applyFill="1" applyAlignment="1" applyProtection="1">
      <alignment horizontal="left" vertical="top"/>
    </xf>
    <xf numFmtId="0" fontId="10" fillId="43" borderId="0" xfId="0" applyFont="1" applyFill="1" applyBorder="1" applyAlignment="1" applyProtection="1">
      <alignment vertical="top" wrapText="1"/>
    </xf>
    <xf numFmtId="0" fontId="10" fillId="43" borderId="39" xfId="0" applyFont="1" applyFill="1" applyBorder="1" applyAlignment="1" applyProtection="1">
      <alignment vertical="top" wrapText="1"/>
    </xf>
    <xf numFmtId="0" fontId="4" fillId="43" borderId="0" xfId="0" applyFont="1" applyFill="1" applyAlignment="1" applyProtection="1">
      <alignment horizontal="left" vertical="top"/>
    </xf>
    <xf numFmtId="0" fontId="10" fillId="43" borderId="0" xfId="0" quotePrefix="1" applyFont="1" applyFill="1" applyAlignment="1" applyProtection="1">
      <alignment horizontal="left" vertical="top" wrapText="1"/>
    </xf>
    <xf numFmtId="0" fontId="79" fillId="53" borderId="0" xfId="0" quotePrefix="1" applyFont="1" applyFill="1" applyAlignment="1" applyProtection="1">
      <alignment horizontal="left" vertical="top" wrapText="1"/>
    </xf>
    <xf numFmtId="0" fontId="10" fillId="43" borderId="0" xfId="0" applyFont="1" applyFill="1" applyBorder="1" applyAlignment="1" applyProtection="1">
      <alignment horizontal="left" vertical="top" wrapText="1"/>
    </xf>
    <xf numFmtId="0" fontId="2" fillId="41" borderId="14" xfId="0" applyNumberFormat="1" applyFont="1" applyFill="1" applyBorder="1" applyAlignment="1" applyProtection="1">
      <alignment horizontal="left" vertical="top"/>
    </xf>
    <xf numFmtId="0" fontId="38" fillId="41" borderId="16" xfId="0" applyNumberFormat="1" applyFont="1" applyFill="1" applyBorder="1" applyAlignment="1" applyProtection="1">
      <alignment horizontal="left" vertical="top"/>
    </xf>
    <xf numFmtId="0" fontId="2" fillId="40" borderId="13" xfId="0" applyNumberFormat="1" applyFont="1" applyFill="1" applyBorder="1" applyAlignment="1" applyProtection="1">
      <alignment horizontal="left" vertical="top"/>
    </xf>
    <xf numFmtId="0" fontId="2" fillId="41" borderId="0" xfId="0" applyNumberFormat="1" applyFont="1" applyFill="1" applyBorder="1" applyAlignment="1" applyProtection="1">
      <alignment horizontal="left" vertical="top" wrapText="1"/>
    </xf>
    <xf numFmtId="0" fontId="2" fillId="41" borderId="0" xfId="0" applyNumberFormat="1" applyFont="1" applyFill="1" applyBorder="1" applyAlignment="1" applyProtection="1">
      <alignment vertical="top" wrapText="1"/>
    </xf>
    <xf numFmtId="0" fontId="2" fillId="41" borderId="12" xfId="0" applyNumberFormat="1" applyFont="1" applyFill="1" applyBorder="1" applyAlignment="1" applyProtection="1">
      <alignment horizontal="left" vertical="top" wrapText="1"/>
    </xf>
    <xf numFmtId="0" fontId="2" fillId="43" borderId="0" xfId="0" applyNumberFormat="1" applyFont="1" applyFill="1" applyBorder="1" applyAlignment="1" applyProtection="1">
      <alignment horizontal="left" vertical="top"/>
    </xf>
    <xf numFmtId="0" fontId="38" fillId="54" borderId="73" xfId="0" applyNumberFormat="1" applyFont="1" applyFill="1" applyBorder="1" applyAlignment="1" applyProtection="1">
      <alignment vertical="top"/>
    </xf>
    <xf numFmtId="0" fontId="38" fillId="55" borderId="71" xfId="0" applyNumberFormat="1" applyFont="1" applyFill="1" applyBorder="1" applyAlignment="1" applyProtection="1">
      <alignment vertical="top"/>
    </xf>
    <xf numFmtId="172" fontId="38" fillId="27" borderId="64" xfId="0" applyNumberFormat="1" applyFont="1" applyFill="1" applyBorder="1" applyAlignment="1" applyProtection="1">
      <alignment horizontal="right" vertical="top"/>
    </xf>
    <xf numFmtId="172" fontId="58" fillId="27" borderId="65" xfId="0" applyNumberFormat="1" applyFont="1" applyFill="1" applyBorder="1" applyAlignment="1" applyProtection="1">
      <alignment horizontal="right" vertical="top"/>
    </xf>
    <xf numFmtId="172" fontId="38" fillId="27" borderId="65" xfId="0" applyNumberFormat="1" applyFont="1" applyFill="1" applyBorder="1" applyAlignment="1" applyProtection="1">
      <alignment horizontal="right" vertical="top"/>
    </xf>
    <xf numFmtId="172" fontId="38" fillId="27" borderId="66" xfId="0" applyNumberFormat="1" applyFont="1" applyFill="1" applyBorder="1" applyAlignment="1" applyProtection="1">
      <alignment horizontal="right" vertical="top"/>
    </xf>
    <xf numFmtId="172" fontId="2" fillId="27" borderId="11" xfId="0" applyNumberFormat="1" applyFont="1" applyFill="1" applyBorder="1" applyAlignment="1" applyProtection="1">
      <alignment horizontal="right" vertical="top"/>
    </xf>
    <xf numFmtId="172" fontId="38" fillId="27" borderId="93" xfId="0" applyNumberFormat="1" applyFont="1" applyFill="1" applyBorder="1" applyAlignment="1" applyProtection="1">
      <alignment horizontal="right" vertical="top"/>
    </xf>
    <xf numFmtId="172" fontId="4" fillId="27" borderId="78" xfId="0" applyNumberFormat="1" applyFont="1" applyFill="1" applyBorder="1" applyAlignment="1" applyProtection="1">
      <alignment horizontal="right" vertical="top"/>
    </xf>
    <xf numFmtId="172" fontId="4" fillId="27" borderId="79" xfId="0" applyNumberFormat="1" applyFont="1" applyFill="1" applyBorder="1" applyAlignment="1" applyProtection="1">
      <alignment horizontal="right" vertical="top"/>
    </xf>
    <xf numFmtId="172" fontId="2" fillId="29" borderId="64" xfId="0" applyNumberFormat="1" applyFont="1" applyFill="1" applyBorder="1" applyAlignment="1" applyProtection="1">
      <alignment horizontal="right" vertical="top"/>
      <protection locked="0"/>
    </xf>
    <xf numFmtId="172" fontId="58" fillId="29" borderId="65" xfId="0" applyNumberFormat="1" applyFont="1" applyFill="1" applyBorder="1" applyAlignment="1" applyProtection="1">
      <alignment horizontal="right" vertical="top"/>
      <protection locked="0"/>
    </xf>
    <xf numFmtId="172" fontId="2" fillId="29" borderId="65" xfId="0" applyNumberFormat="1" applyFont="1" applyFill="1" applyBorder="1" applyAlignment="1" applyProtection="1">
      <alignment horizontal="right" vertical="top"/>
      <protection locked="0"/>
    </xf>
    <xf numFmtId="172" fontId="2" fillId="29" borderId="97" xfId="0" applyNumberFormat="1" applyFont="1" applyFill="1" applyBorder="1" applyAlignment="1" applyProtection="1">
      <alignment horizontal="right" vertical="top"/>
      <protection locked="0"/>
    </xf>
    <xf numFmtId="172" fontId="2" fillId="27" borderId="13" xfId="0" applyNumberFormat="1" applyFont="1" applyFill="1" applyBorder="1" applyAlignment="1" applyProtection="1">
      <alignment horizontal="right" vertical="top"/>
    </xf>
    <xf numFmtId="172" fontId="4" fillId="27" borderId="13" xfId="0" applyNumberFormat="1" applyFont="1" applyFill="1" applyBorder="1" applyAlignment="1" applyProtection="1">
      <alignment horizontal="right" vertical="top"/>
    </xf>
    <xf numFmtId="172" fontId="2" fillId="29" borderId="93" xfId="0" applyNumberFormat="1" applyFont="1" applyFill="1" applyBorder="1" applyAlignment="1" applyProtection="1">
      <alignment horizontal="right" vertical="top"/>
      <protection locked="0"/>
    </xf>
    <xf numFmtId="172" fontId="4" fillId="29" borderId="78" xfId="0" applyNumberFormat="1" applyFont="1" applyFill="1" applyBorder="1" applyAlignment="1" applyProtection="1">
      <alignment horizontal="right" vertical="top"/>
      <protection locked="0"/>
    </xf>
    <xf numFmtId="172" fontId="4" fillId="29" borderId="79" xfId="0" applyNumberFormat="1" applyFont="1" applyFill="1" applyBorder="1" applyAlignment="1" applyProtection="1">
      <alignment horizontal="right" vertical="top"/>
      <protection locked="0"/>
    </xf>
    <xf numFmtId="172" fontId="38" fillId="27" borderId="97" xfId="0" applyNumberFormat="1" applyFont="1" applyFill="1" applyBorder="1" applyAlignment="1" applyProtection="1">
      <alignment horizontal="right" vertical="top"/>
    </xf>
    <xf numFmtId="172" fontId="38" fillId="27" borderId="27" xfId="0" applyNumberFormat="1" applyFont="1" applyFill="1" applyBorder="1" applyAlignment="1" applyProtection="1">
      <alignment horizontal="right" vertical="top"/>
    </xf>
    <xf numFmtId="172" fontId="38" fillId="27" borderId="13" xfId="0" applyNumberFormat="1" applyFont="1" applyFill="1" applyBorder="1" applyAlignment="1" applyProtection="1">
      <alignment horizontal="right" vertical="top"/>
    </xf>
    <xf numFmtId="172" fontId="38" fillId="27" borderId="72" xfId="0" applyNumberFormat="1" applyFont="1" applyFill="1" applyBorder="1" applyAlignment="1" applyProtection="1">
      <alignment horizontal="right" vertical="top"/>
    </xf>
    <xf numFmtId="172" fontId="38" fillId="27" borderId="61" xfId="0" applyNumberFormat="1" applyFont="1" applyFill="1" applyBorder="1" applyAlignment="1" applyProtection="1">
      <alignment horizontal="right" vertical="top"/>
    </xf>
    <xf numFmtId="0" fontId="6" fillId="0" borderId="0" xfId="77" applyAlignment="1" applyProtection="1"/>
    <xf numFmtId="0" fontId="76" fillId="25" borderId="26" xfId="0" applyNumberFormat="1" applyFont="1" applyFill="1" applyBorder="1" applyAlignment="1" applyProtection="1">
      <alignment horizontal="left" vertical="top" wrapText="1"/>
    </xf>
    <xf numFmtId="0" fontId="38" fillId="25" borderId="101" xfId="0" applyNumberFormat="1" applyFont="1" applyFill="1" applyBorder="1" applyAlignment="1" applyProtection="1">
      <alignment vertical="center"/>
    </xf>
    <xf numFmtId="0" fontId="38" fillId="25" borderId="100" xfId="0" applyNumberFormat="1" applyFont="1" applyFill="1" applyBorder="1" applyAlignment="1" applyProtection="1">
      <alignment vertical="center"/>
    </xf>
    <xf numFmtId="0" fontId="38" fillId="25" borderId="99" xfId="0" applyNumberFormat="1" applyFont="1" applyFill="1" applyBorder="1" applyAlignment="1" applyProtection="1">
      <alignment vertical="center"/>
    </xf>
    <xf numFmtId="0" fontId="2" fillId="27" borderId="27" xfId="0" applyNumberFormat="1" applyFont="1" applyFill="1" applyBorder="1" applyAlignment="1" applyProtection="1">
      <alignment vertical="top" wrapText="1"/>
    </xf>
    <xf numFmtId="0" fontId="2" fillId="41" borderId="0" xfId="0" applyNumberFormat="1" applyFont="1" applyFill="1" applyBorder="1" applyAlignment="1" applyProtection="1">
      <alignment vertical="top" wrapText="1"/>
    </xf>
    <xf numFmtId="0" fontId="2" fillId="41" borderId="0" xfId="0" applyNumberFormat="1" applyFont="1" applyFill="1" applyBorder="1" applyAlignment="1" applyProtection="1">
      <alignment vertical="top" wrapText="1"/>
    </xf>
    <xf numFmtId="0" fontId="0" fillId="42" borderId="70" xfId="0" applyFill="1" applyBorder="1" applyAlignment="1" applyProtection="1">
      <alignment wrapText="1"/>
      <protection locked="0"/>
    </xf>
    <xf numFmtId="0" fontId="38" fillId="25" borderId="17" xfId="0" applyNumberFormat="1" applyFont="1" applyFill="1" applyBorder="1" applyAlignment="1" applyProtection="1">
      <alignment horizontal="right" vertical="top" wrapText="1"/>
    </xf>
    <xf numFmtId="0" fontId="2" fillId="25" borderId="51" xfId="0" applyNumberFormat="1" applyFont="1" applyFill="1" applyBorder="1" applyAlignment="1" applyProtection="1">
      <alignment vertical="top" wrapText="1"/>
    </xf>
    <xf numFmtId="0" fontId="2" fillId="25" borderId="13" xfId="0" applyNumberFormat="1" applyFont="1" applyFill="1" applyBorder="1" applyAlignment="1" applyProtection="1">
      <alignment horizontal="center" vertical="top" wrapText="1"/>
    </xf>
    <xf numFmtId="0" fontId="2" fillId="25" borderId="13" xfId="0" applyNumberFormat="1" applyFont="1" applyFill="1" applyBorder="1" applyAlignment="1" applyProtection="1">
      <alignment horizontal="right" vertical="top" wrapText="1"/>
    </xf>
    <xf numFmtId="0" fontId="2" fillId="25" borderId="70" xfId="0" applyNumberFormat="1" applyFont="1" applyFill="1" applyBorder="1" applyAlignment="1" applyProtection="1">
      <alignment horizontal="right" vertical="top" wrapText="1"/>
    </xf>
    <xf numFmtId="0" fontId="2" fillId="25" borderId="111" xfId="0" applyNumberFormat="1" applyFont="1" applyFill="1" applyBorder="1" applyAlignment="1" applyProtection="1">
      <alignment horizontal="left" vertical="top" wrapText="1"/>
    </xf>
    <xf numFmtId="0" fontId="2" fillId="25" borderId="43" xfId="0" applyNumberFormat="1" applyFont="1" applyFill="1" applyBorder="1" applyAlignment="1" applyProtection="1">
      <alignment horizontal="right" vertical="top" wrapText="1"/>
    </xf>
    <xf numFmtId="166" fontId="2" fillId="27" borderId="112" xfId="0" applyNumberFormat="1" applyFont="1" applyFill="1" applyBorder="1" applyAlignment="1" applyProtection="1">
      <alignment horizontal="right" vertical="top" wrapText="1"/>
    </xf>
    <xf numFmtId="0" fontId="2" fillId="24" borderId="0" xfId="0" applyNumberFormat="1" applyFont="1" applyFill="1" applyBorder="1" applyAlignment="1" applyProtection="1">
      <alignment horizontal="right" vertical="top" wrapText="1"/>
    </xf>
    <xf numFmtId="167" fontId="2" fillId="24" borderId="0" xfId="0" applyNumberFormat="1" applyFont="1" applyFill="1" applyBorder="1" applyAlignment="1" applyProtection="1">
      <alignment horizontal="center" vertical="top" wrapText="1"/>
    </xf>
    <xf numFmtId="0" fontId="4" fillId="25" borderId="0" xfId="0" applyNumberFormat="1" applyFont="1" applyFill="1" applyBorder="1" applyAlignment="1" applyProtection="1">
      <alignment horizontal="right" vertical="top" wrapText="1"/>
    </xf>
    <xf numFmtId="164" fontId="38" fillId="29" borderId="94" xfId="0" applyNumberFormat="1" applyFont="1" applyFill="1" applyBorder="1" applyAlignment="1" applyProtection="1">
      <alignment vertical="top"/>
      <protection locked="0"/>
    </xf>
    <xf numFmtId="164" fontId="38" fillId="29" borderId="65" xfId="0" applyNumberFormat="1" applyFont="1" applyFill="1" applyBorder="1" applyAlignment="1" applyProtection="1">
      <alignment vertical="top"/>
      <protection locked="0"/>
    </xf>
    <xf numFmtId="49" fontId="2" fillId="42" borderId="101" xfId="0" applyNumberFormat="1" applyFont="1" applyFill="1" applyBorder="1" applyAlignment="1" applyProtection="1">
      <alignment horizontal="center" vertical="top"/>
      <protection locked="0"/>
    </xf>
    <xf numFmtId="49" fontId="2" fillId="42" borderId="100" xfId="0" applyNumberFormat="1" applyFont="1" applyFill="1" applyBorder="1" applyAlignment="1" applyProtection="1">
      <alignment horizontal="center" vertical="top"/>
      <protection locked="0"/>
    </xf>
    <xf numFmtId="0" fontId="2" fillId="42" borderId="14" xfId="0" applyNumberFormat="1" applyFont="1" applyFill="1" applyBorder="1" applyAlignment="1" applyProtection="1">
      <alignment horizontal="center" vertical="top"/>
      <protection locked="0"/>
    </xf>
    <xf numFmtId="0" fontId="2" fillId="42" borderId="15" xfId="0" applyNumberFormat="1" applyFont="1" applyFill="1" applyBorder="1" applyAlignment="1" applyProtection="1">
      <alignment horizontal="center" vertical="top"/>
      <protection locked="0"/>
    </xf>
    <xf numFmtId="168" fontId="38" fillId="29" borderId="96" xfId="0" applyNumberFormat="1" applyFont="1" applyFill="1" applyBorder="1" applyAlignment="1" applyProtection="1">
      <alignment vertical="top"/>
      <protection locked="0"/>
    </xf>
    <xf numFmtId="168" fontId="38" fillId="29" borderId="95" xfId="0" applyNumberFormat="1" applyFont="1" applyFill="1" applyBorder="1" applyAlignment="1" applyProtection="1">
      <alignment vertical="top"/>
      <protection locked="0"/>
    </xf>
    <xf numFmtId="168" fontId="38" fillId="29" borderId="98" xfId="0" applyNumberFormat="1" applyFont="1" applyFill="1" applyBorder="1" applyAlignment="1" applyProtection="1">
      <alignment vertical="top"/>
      <protection locked="0"/>
    </xf>
    <xf numFmtId="168" fontId="38" fillId="29" borderId="54" xfId="0" applyNumberFormat="1" applyFont="1" applyFill="1" applyBorder="1" applyAlignment="1" applyProtection="1">
      <alignment vertical="top"/>
      <protection locked="0"/>
    </xf>
    <xf numFmtId="168" fontId="38" fillId="29" borderId="53" xfId="0" applyNumberFormat="1" applyFont="1" applyFill="1" applyBorder="1" applyAlignment="1" applyProtection="1">
      <alignment vertical="top"/>
      <protection locked="0"/>
    </xf>
    <xf numFmtId="0" fontId="2" fillId="25" borderId="0" xfId="0" applyFont="1" applyFill="1" applyAlignment="1" applyProtection="1">
      <alignment horizontal="right"/>
    </xf>
    <xf numFmtId="0" fontId="96" fillId="0" borderId="0" xfId="0" applyFont="1"/>
    <xf numFmtId="0" fontId="6" fillId="41" borderId="0" xfId="77" applyNumberFormat="1" applyFill="1" applyBorder="1" applyAlignment="1" applyProtection="1">
      <alignment vertical="top"/>
    </xf>
    <xf numFmtId="0" fontId="2" fillId="41" borderId="0" xfId="0" applyNumberFormat="1" applyFont="1" applyFill="1" applyBorder="1" applyAlignment="1" applyProtection="1">
      <alignment horizontal="left" vertical="top"/>
    </xf>
    <xf numFmtId="0" fontId="4" fillId="25" borderId="0" xfId="0" applyFont="1" applyFill="1" applyBorder="1" applyAlignment="1" applyProtection="1">
      <alignment vertical="top" wrapText="1"/>
    </xf>
    <xf numFmtId="0" fontId="29" fillId="25" borderId="0" xfId="0" applyFont="1" applyFill="1" applyBorder="1" applyAlignment="1" applyProtection="1">
      <alignment vertical="top" wrapText="1"/>
    </xf>
    <xf numFmtId="0" fontId="4" fillId="25" borderId="0" xfId="77" applyFont="1" applyFill="1" applyBorder="1" applyAlignment="1" applyProtection="1">
      <alignment vertical="top"/>
    </xf>
    <xf numFmtId="0" fontId="4" fillId="0" borderId="0" xfId="0" applyFont="1" applyBorder="1" applyAlignment="1" applyProtection="1">
      <alignment vertical="top"/>
    </xf>
    <xf numFmtId="0" fontId="6" fillId="25" borderId="0" xfId="77" applyFill="1" applyBorder="1" applyAlignment="1" applyProtection="1">
      <alignment horizontal="left" vertical="top"/>
    </xf>
    <xf numFmtId="0" fontId="6" fillId="0" borderId="0" xfId="77" applyBorder="1" applyAlignment="1" applyProtection="1">
      <alignment horizontal="left" vertical="top"/>
    </xf>
    <xf numFmtId="0" fontId="0" fillId="50" borderId="0" xfId="0" applyFill="1" applyBorder="1" applyAlignment="1" applyProtection="1">
      <alignment horizontal="center" vertical="top" wrapText="1"/>
    </xf>
    <xf numFmtId="0" fontId="4" fillId="25" borderId="0" xfId="77" applyFont="1" applyFill="1" applyBorder="1" applyAlignment="1" applyProtection="1">
      <alignment vertical="top" wrapText="1"/>
    </xf>
    <xf numFmtId="0" fontId="4" fillId="0" borderId="0" xfId="0" applyFont="1" applyBorder="1" applyAlignment="1" applyProtection="1">
      <alignment vertical="top" wrapText="1"/>
    </xf>
    <xf numFmtId="0" fontId="6" fillId="25" borderId="0" xfId="77" applyFill="1" applyBorder="1" applyAlignment="1" applyProtection="1">
      <alignment vertical="top"/>
    </xf>
    <xf numFmtId="0" fontId="6" fillId="0" borderId="0" xfId="77" applyBorder="1" applyAlignment="1" applyProtection="1">
      <alignment vertical="top"/>
    </xf>
    <xf numFmtId="0" fontId="40" fillId="50" borderId="69" xfId="77" applyFont="1" applyFill="1" applyBorder="1" applyAlignment="1" applyProtection="1">
      <alignment horizontal="center" vertical="top" wrapText="1"/>
    </xf>
    <xf numFmtId="0" fontId="0" fillId="50" borderId="58" xfId="0" applyFill="1" applyBorder="1" applyAlignment="1" applyProtection="1">
      <alignment horizontal="center" vertical="top" wrapText="1"/>
    </xf>
    <xf numFmtId="0" fontId="0" fillId="50" borderId="29" xfId="0" applyFill="1" applyBorder="1" applyAlignment="1" applyProtection="1">
      <alignment horizontal="center" vertical="top" wrapText="1"/>
    </xf>
    <xf numFmtId="0" fontId="6" fillId="0" borderId="0" xfId="77" applyAlignment="1" applyProtection="1">
      <alignment vertical="top"/>
    </xf>
    <xf numFmtId="0" fontId="0" fillId="0" borderId="0" xfId="0" applyBorder="1" applyAlignment="1" applyProtection="1">
      <alignment vertical="top" wrapText="1"/>
    </xf>
    <xf numFmtId="0" fontId="0" fillId="25" borderId="22" xfId="0" applyFill="1" applyBorder="1" applyAlignment="1" applyProtection="1">
      <alignment horizontal="center" vertical="top" wrapText="1"/>
    </xf>
    <xf numFmtId="0" fontId="0" fillId="0" borderId="22" xfId="0" applyBorder="1" applyAlignment="1" applyProtection="1">
      <alignment vertical="top" wrapText="1"/>
    </xf>
    <xf numFmtId="0" fontId="0" fillId="0" borderId="0" xfId="0" applyBorder="1" applyAlignment="1" applyProtection="1">
      <alignment vertical="top"/>
    </xf>
    <xf numFmtId="0" fontId="6" fillId="25" borderId="0" xfId="77" applyFill="1" applyBorder="1" applyAlignment="1" applyProtection="1">
      <alignment vertical="top" wrapText="1"/>
    </xf>
    <xf numFmtId="0" fontId="0" fillId="50" borderId="105" xfId="0" applyFill="1" applyBorder="1" applyAlignment="1" applyProtection="1">
      <alignment horizontal="center" vertical="center" wrapText="1"/>
    </xf>
    <xf numFmtId="0" fontId="0" fillId="50" borderId="110" xfId="0" applyFill="1" applyBorder="1" applyAlignment="1" applyProtection="1">
      <alignment horizontal="center" vertical="center" wrapText="1"/>
    </xf>
    <xf numFmtId="0" fontId="0" fillId="50" borderId="117" xfId="0" applyFill="1" applyBorder="1" applyAlignment="1" applyProtection="1">
      <alignment horizontal="center" vertical="center" wrapText="1"/>
    </xf>
    <xf numFmtId="0" fontId="0" fillId="50" borderId="68" xfId="0" applyFill="1" applyBorder="1" applyAlignment="1" applyProtection="1">
      <alignment horizontal="center" vertical="top" wrapText="1"/>
    </xf>
    <xf numFmtId="0" fontId="40" fillId="50" borderId="58" xfId="77" applyFont="1" applyFill="1" applyBorder="1" applyAlignment="1" applyProtection="1">
      <alignment horizontal="center" vertical="top" wrapText="1"/>
    </xf>
    <xf numFmtId="0" fontId="40" fillId="50" borderId="29" xfId="77" applyFont="1" applyFill="1" applyBorder="1" applyAlignment="1" applyProtection="1">
      <alignment horizontal="center" vertical="top" wrapText="1"/>
    </xf>
    <xf numFmtId="0" fontId="40" fillId="50" borderId="31" xfId="77" applyFont="1" applyFill="1" applyBorder="1" applyAlignment="1" applyProtection="1">
      <alignment horizontal="center" vertical="top" wrapText="1"/>
    </xf>
    <xf numFmtId="0" fontId="40" fillId="50" borderId="68" xfId="77" applyFont="1" applyFill="1" applyBorder="1" applyAlignment="1" applyProtection="1">
      <alignment horizontal="center" vertical="top" wrapText="1"/>
    </xf>
    <xf numFmtId="0" fontId="40" fillId="50" borderId="0" xfId="77" applyFont="1" applyFill="1" applyBorder="1" applyAlignment="1" applyProtection="1">
      <alignment horizontal="center" vertical="top" wrapText="1"/>
    </xf>
    <xf numFmtId="0" fontId="40" fillId="50" borderId="39" xfId="77" applyFont="1" applyFill="1" applyBorder="1" applyAlignment="1" applyProtection="1">
      <alignment horizontal="center" vertical="top" wrapText="1"/>
    </xf>
    <xf numFmtId="0" fontId="61" fillId="25" borderId="0" xfId="0" applyFont="1" applyFill="1" applyAlignment="1" applyProtection="1">
      <alignment vertical="top" wrapText="1"/>
    </xf>
    <xf numFmtId="0" fontId="61" fillId="25" borderId="0" xfId="0" applyFont="1" applyFill="1" applyBorder="1" applyAlignment="1" applyProtection="1">
      <alignment vertical="top" wrapText="1"/>
    </xf>
    <xf numFmtId="0" fontId="4" fillId="34" borderId="84" xfId="0" applyNumberFormat="1" applyFont="1" applyFill="1" applyBorder="1" applyAlignment="1" applyProtection="1">
      <alignment horizontal="left" vertical="center" wrapText="1"/>
    </xf>
    <xf numFmtId="0" fontId="4" fillId="34" borderId="85" xfId="0" applyFont="1" applyFill="1" applyBorder="1" applyAlignment="1" applyProtection="1">
      <alignment horizontal="left" vertical="center" wrapText="1"/>
    </xf>
    <xf numFmtId="0" fontId="4" fillId="34" borderId="86" xfId="0" applyFont="1" applyFill="1" applyBorder="1" applyAlignment="1" applyProtection="1">
      <alignment horizontal="left" vertical="center" wrapText="1"/>
    </xf>
    <xf numFmtId="0" fontId="53" fillId="25" borderId="0" xfId="0" applyNumberFormat="1" applyFont="1" applyFill="1" applyAlignment="1" applyProtection="1">
      <alignment horizontal="left" vertical="top" wrapText="1"/>
    </xf>
    <xf numFmtId="0" fontId="0" fillId="0" borderId="0" xfId="0" applyAlignment="1" applyProtection="1">
      <alignment horizontal="left" vertical="top" wrapText="1"/>
    </xf>
    <xf numFmtId="0" fontId="41" fillId="25" borderId="0" xfId="0" applyNumberFormat="1" applyFont="1" applyFill="1" applyAlignment="1" applyProtection="1">
      <alignment horizontal="left" vertical="top" wrapText="1"/>
    </xf>
    <xf numFmtId="0" fontId="41" fillId="0" borderId="0" xfId="0" applyFont="1" applyAlignment="1" applyProtection="1">
      <alignment horizontal="left" vertical="top" wrapText="1"/>
    </xf>
    <xf numFmtId="0" fontId="0" fillId="51" borderId="22" xfId="0" applyFill="1" applyBorder="1" applyAlignment="1" applyProtection="1">
      <alignment vertical="top" wrapText="1"/>
    </xf>
    <xf numFmtId="0" fontId="0" fillId="50" borderId="0" xfId="0" applyFill="1" applyAlignment="1" applyProtection="1">
      <alignment vertical="top" wrapText="1"/>
    </xf>
    <xf numFmtId="0" fontId="62" fillId="25" borderId="0" xfId="0" applyFont="1" applyFill="1" applyAlignment="1" applyProtection="1">
      <alignment vertical="top" wrapText="1"/>
    </xf>
    <xf numFmtId="0" fontId="0" fillId="0" borderId="0" xfId="0" applyAlignment="1" applyProtection="1">
      <alignment vertical="top" wrapText="1"/>
    </xf>
    <xf numFmtId="0" fontId="9" fillId="25" borderId="0" xfId="0" applyFont="1" applyFill="1" applyAlignment="1" applyProtection="1">
      <alignment vertical="top" wrapText="1"/>
    </xf>
    <xf numFmtId="0" fontId="0" fillId="25" borderId="0" xfId="0" applyFill="1" applyAlignment="1" applyProtection="1">
      <alignment horizontal="left" vertical="top" wrapText="1"/>
    </xf>
    <xf numFmtId="0" fontId="78" fillId="24" borderId="0" xfId="0" applyNumberFormat="1" applyFont="1" applyFill="1" applyAlignment="1" applyProtection="1">
      <alignment horizontal="left" vertical="top" wrapText="1"/>
    </xf>
    <xf numFmtId="0" fontId="78" fillId="24" borderId="0" xfId="0" applyFont="1" applyFill="1" applyAlignment="1" applyProtection="1">
      <alignment horizontal="left" vertical="top" wrapText="1"/>
    </xf>
    <xf numFmtId="0" fontId="4" fillId="25" borderId="0" xfId="0" applyFont="1" applyFill="1" applyAlignment="1" applyProtection="1">
      <alignment vertical="top" wrapText="1"/>
    </xf>
    <xf numFmtId="0" fontId="10" fillId="25" borderId="12" xfId="0" applyFont="1" applyFill="1" applyBorder="1" applyAlignment="1" applyProtection="1">
      <alignment vertical="top" wrapText="1"/>
    </xf>
    <xf numFmtId="0" fontId="0" fillId="0" borderId="12" xfId="0" applyBorder="1" applyAlignment="1" applyProtection="1">
      <alignment vertical="top" wrapText="1"/>
    </xf>
    <xf numFmtId="0" fontId="6" fillId="24" borderId="0" xfId="77" applyNumberFormat="1" applyFill="1" applyAlignment="1" applyProtection="1">
      <alignment horizontal="left" vertical="top" wrapText="1"/>
    </xf>
    <xf numFmtId="0" fontId="6" fillId="24" borderId="0" xfId="77" applyFill="1" applyAlignment="1" applyProtection="1">
      <alignment horizontal="left" vertical="top" wrapText="1"/>
    </xf>
    <xf numFmtId="0" fontId="6" fillId="25" borderId="0" xfId="77" applyFill="1" applyAlignment="1" applyProtection="1">
      <alignment horizontal="left" vertical="top"/>
    </xf>
    <xf numFmtId="0" fontId="6" fillId="0" borderId="0" xfId="77" applyAlignment="1" applyProtection="1">
      <alignment horizontal="left" vertical="top"/>
    </xf>
    <xf numFmtId="0" fontId="0" fillId="37" borderId="70" xfId="0" applyFill="1" applyBorder="1" applyAlignment="1" applyProtection="1">
      <alignment vertical="top" wrapText="1"/>
    </xf>
    <xf numFmtId="0" fontId="0" fillId="0" borderId="27" xfId="0" applyBorder="1" applyAlignment="1" applyProtection="1">
      <alignment vertical="top" wrapText="1"/>
    </xf>
    <xf numFmtId="0" fontId="3" fillId="26" borderId="0" xfId="0" applyFont="1" applyFill="1" applyBorder="1" applyAlignment="1" applyProtection="1">
      <alignment vertical="top" wrapText="1"/>
    </xf>
    <xf numFmtId="0" fontId="53" fillId="25" borderId="70" xfId="0" applyNumberFormat="1" applyFont="1" applyFill="1" applyBorder="1" applyAlignment="1" applyProtection="1">
      <alignment horizontal="left" vertical="top" wrapText="1"/>
    </xf>
    <xf numFmtId="0" fontId="0" fillId="0" borderId="26" xfId="0" applyBorder="1" applyAlignment="1" applyProtection="1">
      <alignment horizontal="left" vertical="top" wrapText="1"/>
    </xf>
    <xf numFmtId="0" fontId="6" fillId="35" borderId="0" xfId="77" applyFill="1" applyAlignment="1" applyProtection="1">
      <alignment vertical="top"/>
    </xf>
    <xf numFmtId="0" fontId="0" fillId="29" borderId="70" xfId="0" applyFill="1" applyBorder="1" applyAlignment="1" applyProtection="1">
      <alignment vertical="top" wrapText="1"/>
      <protection locked="0"/>
    </xf>
    <xf numFmtId="0" fontId="0" fillId="0" borderId="27" xfId="0" applyBorder="1" applyAlignment="1" applyProtection="1">
      <alignment vertical="top" wrapText="1"/>
      <protection locked="0"/>
    </xf>
    <xf numFmtId="164" fontId="0" fillId="30" borderId="70" xfId="0" applyNumberFormat="1" applyFill="1" applyBorder="1" applyAlignment="1" applyProtection="1">
      <alignment vertical="top" wrapText="1"/>
      <protection locked="0"/>
    </xf>
    <xf numFmtId="0" fontId="6" fillId="51" borderId="0" xfId="77" applyFill="1" applyAlignment="1" applyProtection="1">
      <alignment horizontal="left" vertical="top" wrapText="1"/>
    </xf>
    <xf numFmtId="0" fontId="0" fillId="51" borderId="0" xfId="0" applyFill="1" applyAlignment="1" applyProtection="1">
      <alignment horizontal="left" vertical="top" wrapText="1"/>
    </xf>
    <xf numFmtId="0" fontId="0" fillId="25" borderId="0" xfId="0" applyFill="1" applyAlignment="1" applyProtection="1">
      <alignment vertical="top" wrapText="1"/>
    </xf>
    <xf numFmtId="0" fontId="61" fillId="25" borderId="19" xfId="0" applyFont="1" applyFill="1" applyBorder="1" applyAlignment="1" applyProtection="1">
      <alignment vertical="top" wrapText="1"/>
    </xf>
    <xf numFmtId="164" fontId="0" fillId="27" borderId="70" xfId="0" applyNumberFormat="1" applyFill="1" applyBorder="1" applyAlignment="1" applyProtection="1">
      <alignment vertical="top" wrapText="1"/>
    </xf>
    <xf numFmtId="0" fontId="6" fillId="25" borderId="0" xfId="77" applyFill="1" applyAlignment="1" applyProtection="1">
      <alignment vertical="top" wrapText="1"/>
    </xf>
    <xf numFmtId="0" fontId="33" fillId="25" borderId="0" xfId="0" applyFont="1" applyFill="1" applyAlignment="1" applyProtection="1">
      <alignment vertical="top" wrapText="1"/>
    </xf>
    <xf numFmtId="0" fontId="0" fillId="51" borderId="107" xfId="0" applyFill="1" applyBorder="1" applyAlignment="1" applyProtection="1">
      <alignment horizontal="center" vertical="top" wrapText="1"/>
    </xf>
    <xf numFmtId="0" fontId="0" fillId="51" borderId="22" xfId="0" applyFill="1" applyBorder="1" applyAlignment="1" applyProtection="1">
      <alignment horizontal="center" vertical="top" wrapText="1"/>
    </xf>
    <xf numFmtId="0" fontId="0" fillId="51" borderId="106" xfId="0" applyFill="1" applyBorder="1" applyAlignment="1" applyProtection="1">
      <alignment horizontal="center" vertical="top" wrapText="1"/>
    </xf>
    <xf numFmtId="0" fontId="0" fillId="51" borderId="19" xfId="0" applyFill="1" applyBorder="1" applyAlignment="1" applyProtection="1">
      <alignment horizontal="center" vertical="top" wrapText="1"/>
    </xf>
    <xf numFmtId="0" fontId="0" fillId="51" borderId="0" xfId="0" applyFill="1" applyBorder="1" applyAlignment="1" applyProtection="1">
      <alignment horizontal="center" vertical="top" wrapText="1"/>
    </xf>
    <xf numFmtId="0" fontId="0" fillId="51" borderId="18" xfId="0" applyFill="1" applyBorder="1" applyAlignment="1" applyProtection="1">
      <alignment horizontal="center" vertical="top" wrapText="1"/>
    </xf>
    <xf numFmtId="0" fontId="0" fillId="51" borderId="63" xfId="0" applyFill="1" applyBorder="1" applyAlignment="1" applyProtection="1">
      <alignment horizontal="center" vertical="top" wrapText="1"/>
    </xf>
    <xf numFmtId="0" fontId="0" fillId="51" borderId="12" xfId="0" applyFill="1" applyBorder="1" applyAlignment="1" applyProtection="1">
      <alignment horizontal="center" vertical="top" wrapText="1"/>
    </xf>
    <xf numFmtId="0" fontId="0" fillId="51" borderId="25" xfId="0" applyFill="1" applyBorder="1" applyAlignment="1" applyProtection="1">
      <alignment horizontal="center" vertical="top" wrapText="1"/>
    </xf>
    <xf numFmtId="0" fontId="33" fillId="25" borderId="0" xfId="0" applyFont="1" applyFill="1" applyAlignment="1" applyProtection="1">
      <alignment horizontal="left" vertical="top" wrapText="1"/>
    </xf>
    <xf numFmtId="0" fontId="10" fillId="25" borderId="0" xfId="0" applyFont="1" applyFill="1" applyAlignment="1" applyProtection="1">
      <alignment vertical="top" wrapText="1"/>
    </xf>
    <xf numFmtId="0" fontId="38" fillId="42" borderId="100" xfId="0" applyNumberFormat="1" applyFont="1" applyFill="1" applyBorder="1" applyAlignment="1" applyProtection="1">
      <alignment horizontal="left" vertical="top"/>
      <protection locked="0"/>
    </xf>
    <xf numFmtId="0" fontId="38" fillId="42" borderId="21" xfId="0" applyNumberFormat="1" applyFont="1" applyFill="1" applyBorder="1" applyAlignment="1" applyProtection="1">
      <alignment horizontal="left" vertical="top"/>
      <protection locked="0"/>
    </xf>
    <xf numFmtId="0" fontId="38" fillId="29" borderId="100" xfId="0" applyNumberFormat="1" applyFont="1" applyFill="1" applyBorder="1" applyAlignment="1" applyProtection="1">
      <alignment vertical="top"/>
      <protection locked="0"/>
    </xf>
    <xf numFmtId="0" fontId="0" fillId="0" borderId="15" xfId="0" applyBorder="1" applyAlignment="1" applyProtection="1">
      <alignment vertical="top"/>
      <protection locked="0"/>
    </xf>
    <xf numFmtId="0" fontId="38" fillId="42" borderId="15" xfId="0" applyNumberFormat="1" applyFont="1" applyFill="1" applyBorder="1" applyAlignment="1" applyProtection="1">
      <alignment horizontal="left" vertical="top"/>
      <protection locked="0"/>
    </xf>
    <xf numFmtId="0" fontId="42" fillId="41" borderId="0" xfId="0" applyFont="1" applyFill="1" applyAlignment="1" applyProtection="1">
      <alignment horizontal="left" vertical="top" wrapText="1"/>
    </xf>
    <xf numFmtId="0" fontId="4" fillId="0" borderId="0" xfId="0" applyFont="1" applyAlignment="1" applyProtection="1">
      <alignment horizontal="left" vertical="top" wrapText="1"/>
    </xf>
    <xf numFmtId="0" fontId="10" fillId="25" borderId="0" xfId="0" applyFont="1" applyFill="1" applyAlignment="1" applyProtection="1">
      <alignment horizontal="left" vertical="top" wrapText="1"/>
    </xf>
    <xf numFmtId="0" fontId="2" fillId="42" borderId="100" xfId="0" applyNumberFormat="1" applyFont="1" applyFill="1" applyBorder="1" applyAlignment="1" applyProtection="1">
      <alignment horizontal="left" vertical="top"/>
      <protection locked="0"/>
    </xf>
    <xf numFmtId="0" fontId="0" fillId="0" borderId="21" xfId="0" applyBorder="1" applyAlignment="1" applyProtection="1">
      <alignment horizontal="left" vertical="top"/>
      <protection locked="0"/>
    </xf>
    <xf numFmtId="0" fontId="38" fillId="29" borderId="101" xfId="0" applyNumberFormat="1" applyFont="1" applyFill="1" applyBorder="1" applyAlignment="1" applyProtection="1">
      <alignment vertical="top"/>
      <protection locked="0"/>
    </xf>
    <xf numFmtId="0" fontId="0" fillId="0" borderId="14" xfId="0" applyBorder="1" applyAlignment="1" applyProtection="1">
      <alignment vertical="top"/>
      <protection locked="0"/>
    </xf>
    <xf numFmtId="0" fontId="38" fillId="42" borderId="101" xfId="0" applyNumberFormat="1" applyFont="1" applyFill="1" applyBorder="1" applyAlignment="1" applyProtection="1">
      <alignment horizontal="left" vertical="top"/>
      <protection locked="0"/>
    </xf>
    <xf numFmtId="0" fontId="0" fillId="0" borderId="20" xfId="0" applyBorder="1" applyAlignment="1" applyProtection="1">
      <alignment horizontal="left" vertical="top"/>
      <protection locked="0"/>
    </xf>
    <xf numFmtId="0" fontId="4" fillId="25" borderId="63" xfId="0" applyNumberFormat="1" applyFont="1" applyFill="1" applyBorder="1" applyAlignment="1" applyProtection="1">
      <alignment wrapText="1"/>
    </xf>
    <xf numFmtId="0" fontId="0" fillId="0" borderId="25" xfId="0" applyBorder="1" applyAlignment="1" applyProtection="1">
      <alignment wrapText="1"/>
    </xf>
    <xf numFmtId="0" fontId="0" fillId="0" borderId="12" xfId="0" applyBorder="1" applyAlignment="1" applyProtection="1">
      <alignment wrapText="1"/>
    </xf>
    <xf numFmtId="0" fontId="38" fillId="42" borderId="20" xfId="0" applyNumberFormat="1" applyFont="1" applyFill="1" applyBorder="1" applyAlignment="1" applyProtection="1">
      <alignment horizontal="left" vertical="top"/>
      <protection locked="0"/>
    </xf>
    <xf numFmtId="0" fontId="38" fillId="25" borderId="100" xfId="0" applyNumberFormat="1" applyFont="1" applyFill="1" applyBorder="1" applyAlignment="1" applyProtection="1">
      <alignment horizontal="left" wrapText="1"/>
    </xf>
    <xf numFmtId="0" fontId="0" fillId="0" borderId="15" xfId="0" applyBorder="1" applyAlignment="1" applyProtection="1">
      <alignment horizontal="left" wrapText="1"/>
    </xf>
    <xf numFmtId="0" fontId="0" fillId="0" borderId="21" xfId="0" applyBorder="1" applyAlignment="1" applyProtection="1">
      <alignment horizontal="left" wrapText="1"/>
    </xf>
    <xf numFmtId="0" fontId="4" fillId="25" borderId="12" xfId="0" applyFont="1" applyFill="1" applyBorder="1" applyAlignment="1" applyProtection="1">
      <alignment vertical="top" wrapText="1"/>
    </xf>
    <xf numFmtId="0" fontId="0" fillId="0" borderId="25" xfId="0" applyBorder="1" applyAlignment="1" applyProtection="1">
      <alignment vertical="top" wrapText="1"/>
    </xf>
    <xf numFmtId="0" fontId="0" fillId="0" borderId="18" xfId="0" applyBorder="1" applyAlignment="1" applyProtection="1">
      <alignment vertical="top" wrapText="1"/>
    </xf>
    <xf numFmtId="0" fontId="52" fillId="25" borderId="0" xfId="0" applyFont="1" applyFill="1" applyAlignment="1" applyProtection="1">
      <alignment vertical="top" wrapText="1"/>
    </xf>
    <xf numFmtId="0" fontId="4" fillId="0" borderId="0" xfId="0" applyFont="1" applyAlignment="1" applyProtection="1">
      <alignment vertical="top" wrapText="1"/>
    </xf>
    <xf numFmtId="0" fontId="2" fillId="47" borderId="70" xfId="0" applyNumberFormat="1" applyFont="1" applyFill="1" applyBorder="1" applyAlignment="1" applyProtection="1">
      <alignment horizontal="left" vertical="top"/>
      <protection locked="0"/>
    </xf>
    <xf numFmtId="0" fontId="2" fillId="47" borderId="27" xfId="0" applyNumberFormat="1" applyFont="1" applyFill="1" applyBorder="1" applyAlignment="1" applyProtection="1">
      <alignment horizontal="left" vertical="top"/>
      <protection locked="0"/>
    </xf>
    <xf numFmtId="0" fontId="2" fillId="25" borderId="0" xfId="0" applyFont="1" applyFill="1" applyAlignment="1" applyProtection="1">
      <alignment horizontal="left" vertical="top" wrapText="1"/>
    </xf>
    <xf numFmtId="0" fontId="2" fillId="25" borderId="18" xfId="0" applyFont="1" applyFill="1" applyBorder="1" applyAlignment="1" applyProtection="1">
      <alignment horizontal="left" vertical="top" wrapText="1"/>
    </xf>
    <xf numFmtId="0" fontId="36" fillId="25" borderId="0" xfId="0" applyFont="1" applyFill="1" applyAlignment="1" applyProtection="1">
      <alignment vertical="top" wrapText="1"/>
    </xf>
    <xf numFmtId="0" fontId="41" fillId="27" borderId="100" xfId="0" applyNumberFormat="1" applyFont="1" applyFill="1" applyBorder="1" applyAlignment="1" applyProtection="1">
      <alignment horizontal="left" vertical="top" wrapText="1"/>
    </xf>
    <xf numFmtId="0" fontId="0" fillId="0" borderId="15" xfId="0" applyBorder="1" applyAlignment="1" applyProtection="1">
      <alignment horizontal="left" vertical="top" wrapText="1"/>
    </xf>
    <xf numFmtId="0" fontId="38" fillId="29" borderId="99" xfId="0" applyNumberFormat="1" applyFont="1" applyFill="1" applyBorder="1" applyAlignment="1" applyProtection="1">
      <alignment horizontal="left" wrapText="1"/>
      <protection locked="0"/>
    </xf>
    <xf numFmtId="0" fontId="0" fillId="0" borderId="16" xfId="0" applyBorder="1" applyAlignment="1" applyProtection="1">
      <alignment horizontal="left" wrapText="1"/>
      <protection locked="0"/>
    </xf>
    <xf numFmtId="0" fontId="0" fillId="0" borderId="24" xfId="0" applyBorder="1" applyAlignment="1" applyProtection="1">
      <alignment horizontal="left" wrapText="1"/>
      <protection locked="0"/>
    </xf>
    <xf numFmtId="0" fontId="38" fillId="25" borderId="99" xfId="0" applyNumberFormat="1" applyFont="1" applyFill="1" applyBorder="1" applyAlignment="1" applyProtection="1">
      <alignment horizontal="left" wrapText="1"/>
    </xf>
    <xf numFmtId="0" fontId="0" fillId="0" borderId="16" xfId="0" applyBorder="1" applyAlignment="1" applyProtection="1">
      <alignment horizontal="left" wrapText="1"/>
    </xf>
    <xf numFmtId="0" fontId="0" fillId="0" borderId="24" xfId="0" applyBorder="1" applyAlignment="1" applyProtection="1">
      <alignment horizontal="left" wrapText="1"/>
    </xf>
    <xf numFmtId="0" fontId="42" fillId="25" borderId="0" xfId="0" applyFont="1" applyFill="1" applyAlignment="1" applyProtection="1">
      <alignment vertical="top" wrapText="1"/>
    </xf>
    <xf numFmtId="0" fontId="41" fillId="27" borderId="99" xfId="0" applyNumberFormat="1" applyFont="1" applyFill="1" applyBorder="1" applyAlignment="1" applyProtection="1">
      <alignment horizontal="left" vertical="top" wrapText="1"/>
    </xf>
    <xf numFmtId="0" fontId="0" fillId="0" borderId="16" xfId="0" applyBorder="1" applyAlignment="1" applyProtection="1">
      <alignment horizontal="left" vertical="top" wrapText="1"/>
    </xf>
    <xf numFmtId="0" fontId="38" fillId="25" borderId="22" xfId="0" applyNumberFormat="1" applyFont="1" applyFill="1" applyBorder="1" applyAlignment="1" applyProtection="1">
      <alignment vertical="top" wrapText="1"/>
    </xf>
    <xf numFmtId="0" fontId="0" fillId="0" borderId="106" xfId="0" applyBorder="1" applyAlignment="1" applyProtection="1">
      <alignment vertical="top" wrapText="1"/>
    </xf>
    <xf numFmtId="0" fontId="41" fillId="27" borderId="101" xfId="0" applyNumberFormat="1" applyFont="1" applyFill="1" applyBorder="1" applyAlignment="1" applyProtection="1">
      <alignment horizontal="left" vertical="top" wrapText="1"/>
    </xf>
    <xf numFmtId="0" fontId="41" fillId="27" borderId="14" xfId="0" applyNumberFormat="1" applyFont="1" applyFill="1" applyBorder="1" applyAlignment="1" applyProtection="1">
      <alignment horizontal="left" vertical="top" wrapText="1"/>
    </xf>
    <xf numFmtId="0" fontId="64" fillId="25" borderId="0" xfId="0" applyFont="1" applyFill="1" applyAlignment="1" applyProtection="1">
      <alignment horizontal="left" vertical="top" wrapText="1"/>
    </xf>
    <xf numFmtId="0" fontId="38" fillId="29" borderId="70" xfId="0" applyNumberFormat="1" applyFont="1" applyFill="1" applyBorder="1" applyAlignment="1" applyProtection="1">
      <alignment horizontal="left" vertical="top" wrapText="1"/>
      <protection locked="0"/>
    </xf>
    <xf numFmtId="0" fontId="38" fillId="29" borderId="26" xfId="0" applyNumberFormat="1" applyFont="1" applyFill="1" applyBorder="1" applyAlignment="1" applyProtection="1">
      <alignment horizontal="left" vertical="top" wrapText="1"/>
      <protection locked="0"/>
    </xf>
    <xf numFmtId="0" fontId="38" fillId="29" borderId="27" xfId="0" applyNumberFormat="1" applyFont="1" applyFill="1" applyBorder="1" applyAlignment="1" applyProtection="1">
      <alignment horizontal="left" vertical="top" wrapText="1"/>
      <protection locked="0"/>
    </xf>
    <xf numFmtId="0" fontId="0" fillId="0" borderId="0" xfId="0" applyAlignment="1" applyProtection="1">
      <alignment wrapText="1"/>
    </xf>
    <xf numFmtId="0" fontId="38" fillId="40" borderId="70" xfId="0" applyNumberFormat="1" applyFont="1" applyFill="1" applyBorder="1" applyAlignment="1" applyProtection="1">
      <alignment horizontal="left" vertical="top"/>
    </xf>
    <xf numFmtId="0" fontId="38" fillId="40" borderId="26" xfId="0" applyNumberFormat="1" applyFont="1" applyFill="1" applyBorder="1" applyAlignment="1" applyProtection="1">
      <alignment horizontal="left" vertical="top"/>
    </xf>
    <xf numFmtId="0" fontId="38" fillId="40" borderId="27" xfId="0" applyNumberFormat="1" applyFont="1" applyFill="1" applyBorder="1" applyAlignment="1" applyProtection="1">
      <alignment horizontal="left" vertical="top"/>
    </xf>
    <xf numFmtId="0" fontId="4" fillId="29" borderId="70" xfId="0" applyNumberFormat="1" applyFont="1" applyFill="1" applyBorder="1" applyAlignment="1" applyProtection="1">
      <alignment horizontal="left" vertical="top"/>
      <protection locked="0"/>
    </xf>
    <xf numFmtId="0" fontId="4" fillId="29" borderId="27" xfId="0" applyNumberFormat="1" applyFont="1" applyFill="1" applyBorder="1" applyAlignment="1" applyProtection="1">
      <alignment horizontal="left" vertical="top"/>
      <protection locked="0"/>
    </xf>
    <xf numFmtId="0" fontId="2" fillId="25" borderId="0" xfId="0" applyFont="1" applyFill="1" applyAlignment="1" applyProtection="1">
      <alignment vertical="top" wrapText="1"/>
    </xf>
    <xf numFmtId="0" fontId="4" fillId="25" borderId="0" xfId="0" applyFont="1" applyFill="1" applyAlignment="1" applyProtection="1">
      <alignment horizontal="left" vertical="top" wrapText="1"/>
    </xf>
    <xf numFmtId="49" fontId="2" fillId="30" borderId="99" xfId="0" applyNumberFormat="1" applyFont="1" applyFill="1" applyBorder="1" applyAlignment="1" applyProtection="1">
      <alignment horizontal="left" vertical="top"/>
      <protection locked="0"/>
    </xf>
    <xf numFmtId="49" fontId="2" fillId="30" borderId="16" xfId="0" applyNumberFormat="1" applyFont="1" applyFill="1" applyBorder="1" applyAlignment="1" applyProtection="1">
      <alignment horizontal="left" vertical="top"/>
      <protection locked="0"/>
    </xf>
    <xf numFmtId="49" fontId="2" fillId="29" borderId="100" xfId="0" applyNumberFormat="1" applyFont="1" applyFill="1" applyBorder="1" applyAlignment="1" applyProtection="1">
      <alignment horizontal="left" vertical="top"/>
      <protection locked="0"/>
    </xf>
    <xf numFmtId="49" fontId="2" fillId="0" borderId="15" xfId="0" applyNumberFormat="1" applyFont="1" applyBorder="1" applyAlignment="1" applyProtection="1">
      <alignment horizontal="left" vertical="top"/>
      <protection locked="0"/>
    </xf>
    <xf numFmtId="0" fontId="2" fillId="25" borderId="14" xfId="0" applyFont="1" applyFill="1" applyBorder="1" applyAlignment="1" applyProtection="1">
      <alignment vertical="top" wrapText="1"/>
    </xf>
    <xf numFmtId="0" fontId="0" fillId="0" borderId="14" xfId="0" applyBorder="1" applyAlignment="1" applyProtection="1">
      <alignment vertical="top" wrapText="1"/>
    </xf>
    <xf numFmtId="0" fontId="0" fillId="0" borderId="20" xfId="0" applyBorder="1" applyAlignment="1" applyProtection="1">
      <alignment vertical="top" wrapText="1"/>
    </xf>
    <xf numFmtId="49" fontId="2" fillId="42" borderId="101" xfId="0" applyNumberFormat="1" applyFont="1" applyFill="1" applyBorder="1" applyAlignment="1" applyProtection="1">
      <alignment horizontal="left" vertical="top"/>
      <protection locked="0"/>
    </xf>
    <xf numFmtId="49" fontId="2" fillId="0" borderId="14" xfId="0" applyNumberFormat="1" applyFont="1" applyBorder="1" applyAlignment="1" applyProtection="1">
      <alignment horizontal="left" vertical="top"/>
      <protection locked="0"/>
    </xf>
    <xf numFmtId="0" fontId="2" fillId="25" borderId="16" xfId="0" applyFont="1" applyFill="1" applyBorder="1" applyAlignment="1" applyProtection="1">
      <alignment vertical="top" wrapText="1"/>
    </xf>
    <xf numFmtId="0" fontId="0" fillId="0" borderId="16" xfId="0" applyBorder="1" applyAlignment="1" applyProtection="1">
      <alignment vertical="top" wrapText="1"/>
    </xf>
    <xf numFmtId="0" fontId="0" fillId="0" borderId="24" xfId="0" applyBorder="1" applyAlignment="1" applyProtection="1">
      <alignment vertical="top" wrapText="1"/>
    </xf>
    <xf numFmtId="0" fontId="2" fillId="25" borderId="15" xfId="0" applyFont="1" applyFill="1" applyBorder="1" applyAlignment="1" applyProtection="1">
      <alignment vertical="top" wrapText="1"/>
    </xf>
    <xf numFmtId="0" fontId="0" fillId="0" borderId="15" xfId="0" applyBorder="1" applyAlignment="1" applyProtection="1">
      <alignment vertical="top" wrapText="1"/>
    </xf>
    <xf numFmtId="0" fontId="0" fillId="0" borderId="21" xfId="0" applyBorder="1" applyAlignment="1" applyProtection="1">
      <alignment vertical="top" wrapText="1"/>
    </xf>
    <xf numFmtId="0" fontId="2" fillId="25" borderId="15" xfId="0" applyNumberFormat="1" applyFont="1" applyFill="1" applyBorder="1" applyAlignment="1" applyProtection="1">
      <alignment vertical="top" wrapText="1"/>
    </xf>
    <xf numFmtId="0" fontId="2" fillId="29" borderId="100" xfId="0" applyFont="1" applyFill="1" applyBorder="1" applyAlignment="1" applyProtection="1">
      <alignment vertical="top" wrapText="1"/>
      <protection locked="0"/>
    </xf>
    <xf numFmtId="0" fontId="2" fillId="29" borderId="15" xfId="0" applyFont="1" applyFill="1" applyBorder="1" applyAlignment="1" applyProtection="1">
      <alignment vertical="top" wrapText="1"/>
      <protection locked="0"/>
    </xf>
    <xf numFmtId="0" fontId="2" fillId="29" borderId="101" xfId="0" applyFont="1" applyFill="1" applyBorder="1" applyAlignment="1" applyProtection="1">
      <alignment vertical="top" wrapText="1"/>
      <protection locked="0"/>
    </xf>
    <xf numFmtId="0" fontId="2" fillId="0" borderId="14" xfId="0" applyFont="1" applyBorder="1" applyAlignment="1" applyProtection="1">
      <alignment wrapText="1"/>
      <protection locked="0"/>
    </xf>
    <xf numFmtId="0" fontId="2" fillId="29" borderId="99" xfId="0" applyFont="1" applyFill="1" applyBorder="1" applyAlignment="1" applyProtection="1">
      <alignment vertical="top" wrapText="1"/>
      <protection locked="0"/>
    </xf>
    <xf numFmtId="0" fontId="2" fillId="29" borderId="16" xfId="0" applyFont="1" applyFill="1" applyBorder="1" applyAlignment="1" applyProtection="1">
      <alignment vertical="top" wrapText="1"/>
      <protection locked="0"/>
    </xf>
    <xf numFmtId="0" fontId="4" fillId="25" borderId="0" xfId="0" applyNumberFormat="1" applyFont="1" applyFill="1" applyAlignment="1" applyProtection="1">
      <alignment vertical="top" wrapText="1"/>
    </xf>
    <xf numFmtId="49" fontId="2" fillId="30" borderId="63" xfId="0" applyNumberFormat="1" applyFont="1" applyFill="1" applyBorder="1" applyAlignment="1" applyProtection="1">
      <alignment horizontal="left" vertical="top"/>
      <protection locked="0"/>
    </xf>
    <xf numFmtId="49" fontId="2" fillId="30" borderId="12" xfId="0" applyNumberFormat="1" applyFont="1" applyFill="1" applyBorder="1" applyAlignment="1" applyProtection="1">
      <alignment horizontal="left" vertical="top"/>
      <protection locked="0"/>
    </xf>
    <xf numFmtId="0" fontId="2" fillId="25" borderId="21" xfId="0" applyNumberFormat="1" applyFont="1" applyFill="1" applyBorder="1" applyAlignment="1" applyProtection="1">
      <alignment vertical="top" wrapText="1"/>
    </xf>
    <xf numFmtId="0" fontId="2" fillId="25" borderId="16" xfId="0" applyNumberFormat="1" applyFont="1" applyFill="1" applyBorder="1" applyAlignment="1" applyProtection="1">
      <alignment vertical="top" wrapText="1"/>
    </xf>
    <xf numFmtId="0" fontId="2" fillId="25" borderId="24" xfId="0" applyNumberFormat="1" applyFont="1" applyFill="1" applyBorder="1" applyAlignment="1" applyProtection="1">
      <alignment vertical="top" wrapText="1"/>
    </xf>
    <xf numFmtId="0" fontId="4" fillId="27" borderId="70" xfId="0" applyNumberFormat="1" applyFont="1" applyFill="1" applyBorder="1" applyAlignment="1" applyProtection="1">
      <alignment horizontal="left" vertical="top"/>
    </xf>
    <xf numFmtId="0" fontId="4" fillId="27" borderId="27" xfId="0" applyNumberFormat="1" applyFont="1" applyFill="1" applyBorder="1" applyAlignment="1" applyProtection="1">
      <alignment horizontal="left" vertical="top"/>
    </xf>
    <xf numFmtId="49" fontId="2" fillId="29" borderId="70" xfId="0" applyNumberFormat="1" applyFont="1" applyFill="1" applyBorder="1" applyAlignment="1" applyProtection="1">
      <alignment horizontal="left" vertical="top"/>
      <protection locked="0"/>
    </xf>
    <xf numFmtId="49" fontId="2" fillId="0" borderId="26" xfId="0" applyNumberFormat="1" applyFont="1" applyBorder="1" applyAlignment="1" applyProtection="1">
      <alignment horizontal="left" vertical="top"/>
      <protection locked="0"/>
    </xf>
    <xf numFmtId="49" fontId="2" fillId="0" borderId="27" xfId="0" applyNumberFormat="1" applyFont="1" applyBorder="1" applyAlignment="1" applyProtection="1">
      <alignment horizontal="left" vertical="top"/>
      <protection locked="0"/>
    </xf>
    <xf numFmtId="0" fontId="8" fillId="25" borderId="0" xfId="0" applyFont="1" applyFill="1" applyAlignment="1" applyProtection="1">
      <alignment vertical="top" wrapText="1"/>
    </xf>
    <xf numFmtId="0" fontId="8" fillId="25" borderId="12" xfId="0" applyFont="1" applyFill="1" applyBorder="1" applyAlignment="1" applyProtection="1">
      <alignment vertical="top" wrapText="1"/>
    </xf>
    <xf numFmtId="0" fontId="38" fillId="29" borderId="99" xfId="0" applyNumberFormat="1" applyFont="1" applyFill="1" applyBorder="1" applyAlignment="1" applyProtection="1">
      <alignment vertical="top"/>
      <protection locked="0"/>
    </xf>
    <xf numFmtId="0" fontId="0" fillId="0" borderId="16" xfId="0" applyBorder="1" applyAlignment="1" applyProtection="1">
      <alignment vertical="top"/>
      <protection locked="0"/>
    </xf>
    <xf numFmtId="0" fontId="38" fillId="42" borderId="99" xfId="0" applyNumberFormat="1" applyFont="1" applyFill="1" applyBorder="1" applyAlignment="1" applyProtection="1">
      <alignment horizontal="left" vertical="top"/>
      <protection locked="0"/>
    </xf>
    <xf numFmtId="0" fontId="0" fillId="0" borderId="24" xfId="0" applyBorder="1" applyAlignment="1" applyProtection="1">
      <alignment horizontal="left" vertical="top"/>
      <protection locked="0"/>
    </xf>
    <xf numFmtId="0" fontId="38" fillId="42" borderId="24" xfId="0" applyNumberFormat="1" applyFont="1" applyFill="1" applyBorder="1" applyAlignment="1" applyProtection="1">
      <alignment horizontal="left" vertical="top"/>
      <protection locked="0"/>
    </xf>
    <xf numFmtId="0" fontId="2" fillId="42" borderId="99" xfId="0" applyNumberFormat="1" applyFont="1" applyFill="1" applyBorder="1" applyAlignment="1" applyProtection="1">
      <alignment horizontal="left" vertical="top"/>
      <protection locked="0"/>
    </xf>
    <xf numFmtId="0" fontId="38" fillId="42" borderId="16" xfId="0" applyNumberFormat="1" applyFont="1" applyFill="1" applyBorder="1" applyAlignment="1" applyProtection="1">
      <alignment horizontal="left" vertical="top"/>
      <protection locked="0"/>
    </xf>
    <xf numFmtId="49" fontId="38" fillId="42" borderId="99" xfId="0" applyNumberFormat="1" applyFont="1" applyFill="1" applyBorder="1" applyAlignment="1" applyProtection="1">
      <alignment horizontal="left" vertical="top"/>
      <protection locked="0"/>
    </xf>
    <xf numFmtId="49" fontId="38" fillId="42" borderId="16" xfId="0" applyNumberFormat="1" applyFont="1" applyFill="1" applyBorder="1" applyAlignment="1" applyProtection="1">
      <alignment horizontal="left" vertical="top"/>
      <protection locked="0"/>
    </xf>
    <xf numFmtId="49" fontId="38" fillId="42" borderId="100" xfId="0" applyNumberFormat="1" applyFont="1" applyFill="1" applyBorder="1" applyAlignment="1" applyProtection="1">
      <alignment horizontal="left" vertical="top"/>
      <protection locked="0"/>
    </xf>
    <xf numFmtId="49" fontId="38" fillId="42" borderId="15" xfId="0" applyNumberFormat="1" applyFont="1" applyFill="1" applyBorder="1" applyAlignment="1" applyProtection="1">
      <alignment horizontal="left" vertical="top"/>
      <protection locked="0"/>
    </xf>
    <xf numFmtId="49" fontId="4" fillId="29" borderId="100" xfId="0" applyNumberFormat="1" applyFont="1" applyFill="1" applyBorder="1" applyAlignment="1" applyProtection="1">
      <alignment vertical="top"/>
      <protection locked="0"/>
    </xf>
    <xf numFmtId="49" fontId="4" fillId="29" borderId="21" xfId="0" applyNumberFormat="1" applyFont="1" applyFill="1" applyBorder="1" applyAlignment="1" applyProtection="1">
      <alignment vertical="top"/>
      <protection locked="0"/>
    </xf>
    <xf numFmtId="49" fontId="4" fillId="29" borderId="101" xfId="0" applyNumberFormat="1" applyFont="1" applyFill="1" applyBorder="1" applyAlignment="1" applyProtection="1">
      <alignment vertical="top"/>
      <protection locked="0"/>
    </xf>
    <xf numFmtId="49" fontId="4" fillId="29" borderId="20" xfId="0" applyNumberFormat="1" applyFont="1" applyFill="1" applyBorder="1" applyAlignment="1" applyProtection="1">
      <alignment vertical="top"/>
      <protection locked="0"/>
    </xf>
    <xf numFmtId="0" fontId="4" fillId="25" borderId="12" xfId="0" applyNumberFormat="1" applyFont="1" applyFill="1" applyBorder="1" applyAlignment="1" applyProtection="1">
      <alignment wrapText="1"/>
    </xf>
    <xf numFmtId="49" fontId="38" fillId="42" borderId="14" xfId="0" applyNumberFormat="1" applyFont="1" applyFill="1" applyBorder="1" applyAlignment="1" applyProtection="1">
      <alignment horizontal="left" vertical="top"/>
      <protection locked="0"/>
    </xf>
    <xf numFmtId="49" fontId="4" fillId="29" borderId="99" xfId="0" applyNumberFormat="1" applyFont="1" applyFill="1" applyBorder="1" applyAlignment="1" applyProtection="1">
      <alignment vertical="top"/>
      <protection locked="0"/>
    </xf>
    <xf numFmtId="49" fontId="4" fillId="29" borderId="24" xfId="0" applyNumberFormat="1" applyFont="1" applyFill="1" applyBorder="1" applyAlignment="1" applyProtection="1">
      <alignment vertical="top"/>
      <protection locked="0"/>
    </xf>
    <xf numFmtId="0" fontId="2" fillId="42" borderId="101" xfId="0" applyNumberFormat="1" applyFont="1" applyFill="1" applyBorder="1" applyAlignment="1" applyProtection="1">
      <alignment horizontal="left" vertical="top"/>
      <protection locked="0"/>
    </xf>
    <xf numFmtId="0" fontId="38" fillId="42" borderId="14" xfId="0" applyNumberFormat="1" applyFont="1" applyFill="1" applyBorder="1" applyAlignment="1" applyProtection="1">
      <alignment horizontal="left" vertical="top"/>
      <protection locked="0"/>
    </xf>
    <xf numFmtId="0" fontId="4" fillId="0" borderId="63" xfId="0" applyNumberFormat="1" applyFont="1" applyFill="1" applyBorder="1" applyAlignment="1" applyProtection="1">
      <alignment wrapText="1"/>
    </xf>
    <xf numFmtId="0" fontId="4" fillId="25" borderId="0" xfId="0" applyNumberFormat="1" applyFont="1" applyFill="1" applyBorder="1" applyAlignment="1" applyProtection="1">
      <alignment vertical="top" wrapText="1"/>
    </xf>
    <xf numFmtId="49" fontId="2" fillId="30" borderId="100" xfId="0" applyNumberFormat="1" applyFont="1" applyFill="1" applyBorder="1" applyAlignment="1" applyProtection="1">
      <alignment horizontal="left" vertical="top"/>
      <protection locked="0"/>
    </xf>
    <xf numFmtId="49" fontId="2" fillId="30" borderId="15" xfId="0" applyNumberFormat="1" applyFont="1" applyFill="1" applyBorder="1" applyAlignment="1" applyProtection="1">
      <alignment horizontal="left" vertical="top"/>
      <protection locked="0"/>
    </xf>
    <xf numFmtId="0" fontId="41" fillId="27" borderId="70" xfId="0" applyNumberFormat="1" applyFont="1" applyFill="1" applyBorder="1" applyAlignment="1" applyProtection="1">
      <alignment vertical="top" wrapText="1"/>
    </xf>
    <xf numFmtId="0" fontId="41" fillId="0" borderId="26" xfId="0" applyFont="1" applyBorder="1" applyAlignment="1" applyProtection="1">
      <alignment vertical="top" wrapText="1"/>
    </xf>
    <xf numFmtId="0" fontId="41" fillId="0" borderId="27" xfId="0" applyFont="1" applyBorder="1" applyAlignment="1" applyProtection="1">
      <alignment vertical="top" wrapText="1"/>
    </xf>
    <xf numFmtId="0" fontId="38" fillId="25" borderId="101" xfId="0" applyNumberFormat="1" applyFont="1" applyFill="1" applyBorder="1" applyAlignment="1" applyProtection="1">
      <alignment horizontal="left" wrapText="1"/>
    </xf>
    <xf numFmtId="0" fontId="0" fillId="0" borderId="14" xfId="0" applyBorder="1" applyAlignment="1" applyProtection="1">
      <alignment horizontal="left" wrapText="1"/>
    </xf>
    <xf numFmtId="0" fontId="0" fillId="0" borderId="20" xfId="0" applyBorder="1" applyAlignment="1" applyProtection="1">
      <alignment horizontal="left" wrapText="1"/>
    </xf>
    <xf numFmtId="0" fontId="38" fillId="29" borderId="100" xfId="0" applyNumberFormat="1" applyFont="1" applyFill="1" applyBorder="1" applyAlignment="1" applyProtection="1">
      <alignment horizontal="left" wrapText="1"/>
      <protection locked="0"/>
    </xf>
    <xf numFmtId="0" fontId="0" fillId="0" borderId="15" xfId="0" applyBorder="1" applyAlignment="1" applyProtection="1">
      <alignment horizontal="left" wrapText="1"/>
      <protection locked="0"/>
    </xf>
    <xf numFmtId="0" fontId="0" fillId="0" borderId="21" xfId="0" applyBorder="1" applyAlignment="1" applyProtection="1">
      <alignment horizontal="left" wrapText="1"/>
      <protection locked="0"/>
    </xf>
    <xf numFmtId="0" fontId="52" fillId="25" borderId="0" xfId="0" applyNumberFormat="1" applyFont="1" applyFill="1" applyBorder="1" applyAlignment="1" applyProtection="1">
      <alignment horizontal="left" vertical="top" wrapText="1"/>
    </xf>
    <xf numFmtId="0" fontId="4" fillId="25" borderId="63" xfId="0" applyNumberFormat="1" applyFont="1" applyFill="1" applyBorder="1" applyAlignment="1" applyProtection="1">
      <alignment horizontal="left" wrapText="1"/>
    </xf>
    <xf numFmtId="0" fontId="4" fillId="25" borderId="12" xfId="0" applyNumberFormat="1" applyFont="1" applyFill="1" applyBorder="1" applyAlignment="1" applyProtection="1">
      <alignment horizontal="left" wrapText="1"/>
    </xf>
    <xf numFmtId="0" fontId="55" fillId="25" borderId="63" xfId="0" applyNumberFormat="1" applyFont="1" applyFill="1" applyBorder="1" applyAlignment="1" applyProtection="1">
      <alignment horizontal="left" wrapText="1"/>
    </xf>
    <xf numFmtId="0" fontId="55" fillId="25" borderId="12" xfId="0" applyNumberFormat="1" applyFont="1" applyFill="1" applyBorder="1" applyAlignment="1" applyProtection="1">
      <alignment horizontal="left" wrapText="1"/>
    </xf>
    <xf numFmtId="0" fontId="55" fillId="25" borderId="25" xfId="0" applyNumberFormat="1" applyFont="1" applyFill="1" applyBorder="1" applyAlignment="1" applyProtection="1">
      <alignment horizontal="left" wrapText="1"/>
    </xf>
    <xf numFmtId="0" fontId="40" fillId="50" borderId="117" xfId="77" applyFont="1" applyFill="1" applyBorder="1" applyAlignment="1" applyProtection="1">
      <alignment horizontal="center" vertical="top" wrapText="1"/>
    </xf>
    <xf numFmtId="0" fontId="6" fillId="50" borderId="134" xfId="77" applyFill="1" applyBorder="1" applyAlignment="1" applyProtection="1">
      <alignment horizontal="center" vertical="top" wrapText="1"/>
    </xf>
    <xf numFmtId="0" fontId="6" fillId="50" borderId="130" xfId="77" applyFill="1" applyBorder="1" applyAlignment="1" applyProtection="1">
      <alignment horizontal="center" vertical="top" wrapText="1"/>
    </xf>
    <xf numFmtId="0" fontId="6" fillId="50" borderId="131" xfId="77" applyFill="1" applyBorder="1" applyAlignment="1" applyProtection="1">
      <alignment horizontal="center" vertical="top" wrapText="1"/>
    </xf>
    <xf numFmtId="0" fontId="6" fillId="50" borderId="132" xfId="77" applyFill="1" applyBorder="1" applyAlignment="1" applyProtection="1">
      <alignment horizontal="center" vertical="top" wrapText="1"/>
    </xf>
    <xf numFmtId="0" fontId="6" fillId="50" borderId="133" xfId="77" applyFill="1" applyBorder="1" applyAlignment="1" applyProtection="1">
      <alignment horizontal="center" vertical="top" wrapText="1"/>
    </xf>
    <xf numFmtId="0" fontId="4" fillId="50" borderId="58" xfId="0" applyFont="1" applyFill="1" applyBorder="1" applyAlignment="1" applyProtection="1">
      <alignment horizontal="center" vertical="center" wrapText="1"/>
    </xf>
    <xf numFmtId="0" fontId="29" fillId="50" borderId="29" xfId="0" applyFont="1" applyFill="1" applyBorder="1" applyAlignment="1" applyProtection="1">
      <alignment horizontal="center" vertical="center" wrapText="1"/>
    </xf>
    <xf numFmtId="0" fontId="29" fillId="50" borderId="31" xfId="0" applyFont="1" applyFill="1" applyBorder="1" applyAlignment="1" applyProtection="1">
      <alignment horizontal="center" vertical="center" wrapText="1"/>
    </xf>
    <xf numFmtId="0" fontId="0" fillId="50" borderId="68" xfId="0" applyFill="1" applyBorder="1" applyAlignment="1" applyProtection="1">
      <alignment horizontal="center" vertical="center" wrapText="1"/>
    </xf>
    <xf numFmtId="0" fontId="0" fillId="50" borderId="0" xfId="0" applyFill="1" applyAlignment="1" applyProtection="1">
      <alignment horizontal="center" vertical="center" wrapText="1"/>
    </xf>
    <xf numFmtId="0" fontId="0" fillId="50" borderId="39" xfId="0" applyFill="1" applyBorder="1" applyAlignment="1" applyProtection="1">
      <alignment horizontal="center" vertical="center" wrapText="1"/>
    </xf>
    <xf numFmtId="0" fontId="0" fillId="50" borderId="67" xfId="0" applyFill="1" applyBorder="1" applyAlignment="1" applyProtection="1">
      <alignment horizontal="center" vertical="center" wrapText="1"/>
    </xf>
    <xf numFmtId="0" fontId="0" fillId="50" borderId="40" xfId="0" applyFill="1" applyBorder="1" applyAlignment="1" applyProtection="1">
      <alignment horizontal="center" vertical="center" wrapText="1"/>
    </xf>
    <xf numFmtId="0" fontId="0" fillId="50" borderId="41" xfId="0" applyFill="1" applyBorder="1" applyAlignment="1" applyProtection="1">
      <alignment horizontal="center" vertical="center" wrapText="1"/>
    </xf>
    <xf numFmtId="0" fontId="6" fillId="50" borderId="87" xfId="77" applyFill="1" applyBorder="1" applyAlignment="1" applyProtection="1">
      <alignment horizontal="center" vertical="top" wrapText="1"/>
    </xf>
    <xf numFmtId="0" fontId="40" fillId="50" borderId="86" xfId="77" applyFont="1" applyFill="1" applyBorder="1" applyAlignment="1" applyProtection="1">
      <alignment horizontal="center" vertical="top" wrapText="1"/>
    </xf>
    <xf numFmtId="0" fontId="2" fillId="42" borderId="70" xfId="0" applyNumberFormat="1" applyFont="1" applyFill="1" applyBorder="1" applyAlignment="1" applyProtection="1">
      <alignment horizontal="left" vertical="top"/>
      <protection locked="0"/>
    </xf>
    <xf numFmtId="0" fontId="2" fillId="42" borderId="26" xfId="0" applyNumberFormat="1" applyFont="1" applyFill="1" applyBorder="1" applyAlignment="1" applyProtection="1">
      <alignment horizontal="left" vertical="top"/>
      <protection locked="0"/>
    </xf>
    <xf numFmtId="0" fontId="2" fillId="42" borderId="27" xfId="0" applyNumberFormat="1" applyFont="1" applyFill="1" applyBorder="1" applyAlignment="1" applyProtection="1">
      <alignment horizontal="left" vertical="top"/>
      <protection locked="0"/>
    </xf>
    <xf numFmtId="49" fontId="2" fillId="30" borderId="101" xfId="0" applyNumberFormat="1" applyFont="1" applyFill="1" applyBorder="1" applyAlignment="1" applyProtection="1">
      <alignment horizontal="left" vertical="top"/>
      <protection locked="0"/>
    </xf>
    <xf numFmtId="49" fontId="2" fillId="30" borderId="14" xfId="0" applyNumberFormat="1" applyFont="1" applyFill="1" applyBorder="1" applyAlignment="1" applyProtection="1">
      <alignment horizontal="left" vertical="top"/>
      <protection locked="0"/>
    </xf>
    <xf numFmtId="0" fontId="2" fillId="27" borderId="70" xfId="0" applyNumberFormat="1" applyFont="1" applyFill="1" applyBorder="1" applyAlignment="1" applyProtection="1">
      <alignment horizontal="left" vertical="top"/>
    </xf>
    <xf numFmtId="0" fontId="2" fillId="27" borderId="26" xfId="0" applyNumberFormat="1" applyFont="1" applyFill="1" applyBorder="1" applyAlignment="1" applyProtection="1">
      <alignment horizontal="left" vertical="top"/>
    </xf>
    <xf numFmtId="0" fontId="2" fillId="27" borderId="27" xfId="0" applyNumberFormat="1" applyFont="1" applyFill="1" applyBorder="1" applyAlignment="1" applyProtection="1">
      <alignment horizontal="left" vertical="top"/>
    </xf>
    <xf numFmtId="49" fontId="2" fillId="29" borderId="99" xfId="0" applyNumberFormat="1" applyFont="1" applyFill="1" applyBorder="1" applyAlignment="1" applyProtection="1">
      <alignment horizontal="left" vertical="top"/>
      <protection locked="0"/>
    </xf>
    <xf numFmtId="49" fontId="2" fillId="0" borderId="16" xfId="0" applyNumberFormat="1" applyFont="1" applyBorder="1" applyAlignment="1" applyProtection="1">
      <alignment horizontal="left" vertical="top"/>
      <protection locked="0"/>
    </xf>
    <xf numFmtId="0" fontId="2" fillId="25" borderId="14" xfId="0" applyNumberFormat="1" applyFont="1" applyFill="1" applyBorder="1" applyAlignment="1" applyProtection="1">
      <alignment vertical="top" wrapText="1"/>
    </xf>
    <xf numFmtId="0" fontId="2" fillId="25" borderId="20" xfId="0" applyNumberFormat="1" applyFont="1" applyFill="1" applyBorder="1" applyAlignment="1" applyProtection="1">
      <alignment vertical="top" wrapText="1"/>
    </xf>
    <xf numFmtId="49" fontId="2" fillId="30" borderId="70" xfId="0" applyNumberFormat="1" applyFont="1" applyFill="1" applyBorder="1" applyAlignment="1" applyProtection="1">
      <alignment horizontal="left" vertical="top"/>
      <protection locked="0"/>
    </xf>
    <xf numFmtId="49" fontId="2" fillId="30" borderId="26" xfId="0" applyNumberFormat="1" applyFont="1" applyFill="1" applyBorder="1" applyAlignment="1" applyProtection="1">
      <alignment horizontal="left" vertical="top"/>
      <protection locked="0"/>
    </xf>
    <xf numFmtId="49" fontId="2" fillId="30" borderId="27" xfId="0" applyNumberFormat="1" applyFont="1" applyFill="1" applyBorder="1" applyAlignment="1" applyProtection="1">
      <alignment horizontal="left" vertical="top"/>
      <protection locked="0"/>
    </xf>
    <xf numFmtId="0" fontId="38" fillId="29" borderId="101" xfId="0" applyNumberFormat="1" applyFont="1" applyFill="1" applyBorder="1" applyAlignment="1" applyProtection="1">
      <alignment horizontal="left" wrapText="1"/>
      <protection locked="0"/>
    </xf>
    <xf numFmtId="0" fontId="0" fillId="0" borderId="14" xfId="0" applyBorder="1" applyAlignment="1" applyProtection="1">
      <alignment horizontal="left" wrapText="1"/>
      <protection locked="0"/>
    </xf>
    <xf numFmtId="0" fontId="0" fillId="0" borderId="20" xfId="0" applyBorder="1" applyAlignment="1" applyProtection="1">
      <alignment horizontal="left" wrapText="1"/>
      <protection locked="0"/>
    </xf>
    <xf numFmtId="0" fontId="4" fillId="29" borderId="84" xfId="0" applyNumberFormat="1" applyFont="1" applyFill="1" applyBorder="1" applyAlignment="1" applyProtection="1">
      <alignment horizontal="center" vertical="top"/>
      <protection locked="0"/>
    </xf>
    <xf numFmtId="0" fontId="4" fillId="29" borderId="86" xfId="0" applyNumberFormat="1" applyFont="1" applyFill="1" applyBorder="1" applyAlignment="1" applyProtection="1">
      <alignment horizontal="center" vertical="top"/>
      <protection locked="0"/>
    </xf>
    <xf numFmtId="0" fontId="41" fillId="27" borderId="0" xfId="0" applyNumberFormat="1" applyFont="1" applyFill="1" applyBorder="1" applyAlignment="1" applyProtection="1">
      <alignment vertical="top" wrapText="1"/>
    </xf>
    <xf numFmtId="0" fontId="57" fillId="25" borderId="0" xfId="0" applyFont="1" applyFill="1" applyBorder="1" applyAlignment="1" applyProtection="1">
      <alignment vertical="top" wrapText="1"/>
    </xf>
    <xf numFmtId="0" fontId="2" fillId="29" borderId="70" xfId="0" applyNumberFormat="1" applyFont="1" applyFill="1" applyBorder="1" applyAlignment="1" applyProtection="1">
      <alignment horizontal="left" vertical="top" wrapText="1"/>
      <protection locked="0"/>
    </xf>
    <xf numFmtId="0" fontId="2" fillId="29" borderId="26" xfId="0" applyNumberFormat="1" applyFont="1" applyFill="1" applyBorder="1" applyAlignment="1" applyProtection="1">
      <alignment horizontal="left" vertical="top" wrapText="1"/>
      <protection locked="0"/>
    </xf>
    <xf numFmtId="0" fontId="2" fillId="29" borderId="27" xfId="0" applyNumberFormat="1" applyFont="1" applyFill="1" applyBorder="1" applyAlignment="1" applyProtection="1">
      <alignment horizontal="left" vertical="top" wrapText="1"/>
      <protection locked="0"/>
    </xf>
    <xf numFmtId="0" fontId="4" fillId="50" borderId="29" xfId="0" applyFont="1" applyFill="1" applyBorder="1" applyAlignment="1" applyProtection="1">
      <alignment horizontal="center" vertical="center" wrapText="1"/>
    </xf>
    <xf numFmtId="0" fontId="4" fillId="50" borderId="31" xfId="0" applyFont="1" applyFill="1" applyBorder="1" applyAlignment="1" applyProtection="1">
      <alignment horizontal="center" vertical="center" wrapText="1"/>
    </xf>
    <xf numFmtId="0" fontId="4" fillId="50" borderId="68" xfId="0" applyFont="1" applyFill="1" applyBorder="1" applyAlignment="1" applyProtection="1">
      <alignment horizontal="center" vertical="center" wrapText="1"/>
    </xf>
    <xf numFmtId="0" fontId="4" fillId="50" borderId="0" xfId="0" applyFont="1" applyFill="1" applyBorder="1" applyAlignment="1" applyProtection="1">
      <alignment horizontal="center" vertical="center" wrapText="1"/>
    </xf>
    <xf numFmtId="0" fontId="4" fillId="50" borderId="39" xfId="0" applyFont="1" applyFill="1" applyBorder="1" applyAlignment="1" applyProtection="1">
      <alignment horizontal="center" vertical="center" wrapText="1"/>
    </xf>
    <xf numFmtId="0" fontId="4" fillId="50" borderId="84" xfId="0" applyFont="1" applyFill="1" applyBorder="1" applyAlignment="1" applyProtection="1">
      <alignment horizontal="center" vertical="top"/>
    </xf>
    <xf numFmtId="0" fontId="4" fillId="50" borderId="85" xfId="0" applyFont="1" applyFill="1" applyBorder="1" applyAlignment="1" applyProtection="1">
      <alignment horizontal="center" vertical="top"/>
    </xf>
    <xf numFmtId="0" fontId="4" fillId="50" borderId="86" xfId="0" applyFont="1" applyFill="1" applyBorder="1" applyAlignment="1" applyProtection="1">
      <alignment horizontal="center" vertical="top"/>
    </xf>
    <xf numFmtId="0" fontId="3" fillId="26" borderId="13" xfId="0" applyFont="1" applyFill="1" applyBorder="1" applyAlignment="1" applyProtection="1">
      <alignment horizontal="center" vertical="center" wrapText="1"/>
    </xf>
    <xf numFmtId="0" fontId="6" fillId="50" borderId="57" xfId="77" applyFill="1" applyBorder="1" applyAlignment="1" applyProtection="1">
      <alignment vertical="top" wrapText="1"/>
    </xf>
    <xf numFmtId="0" fontId="0" fillId="50" borderId="135" xfId="0" applyFill="1" applyBorder="1" applyAlignment="1" applyProtection="1">
      <alignment vertical="top" wrapText="1"/>
    </xf>
    <xf numFmtId="0" fontId="6" fillId="50" borderId="136" xfId="77" applyFill="1" applyBorder="1" applyAlignment="1" applyProtection="1">
      <alignment horizontal="center" vertical="top" wrapText="1"/>
    </xf>
    <xf numFmtId="0" fontId="3" fillId="26" borderId="0" xfId="0" applyFont="1" applyFill="1" applyBorder="1" applyAlignment="1" applyProtection="1">
      <alignment horizontal="left" vertical="top" wrapText="1"/>
    </xf>
    <xf numFmtId="0" fontId="6" fillId="50" borderId="137" xfId="77" applyFill="1" applyBorder="1" applyAlignment="1" applyProtection="1">
      <alignment horizontal="center" vertical="top" wrapText="1"/>
    </xf>
    <xf numFmtId="0" fontId="6" fillId="50" borderId="138" xfId="77" applyFill="1" applyBorder="1" applyAlignment="1" applyProtection="1">
      <alignment horizontal="center" vertical="top" wrapText="1"/>
    </xf>
    <xf numFmtId="0" fontId="9" fillId="25" borderId="0" xfId="0" applyFont="1" applyFill="1" applyAlignment="1" applyProtection="1">
      <alignment horizontal="left" vertical="top" wrapText="1"/>
    </xf>
    <xf numFmtId="0" fontId="9" fillId="25" borderId="18" xfId="0" applyFont="1" applyFill="1" applyBorder="1" applyAlignment="1" applyProtection="1">
      <alignment horizontal="left" vertical="top" wrapText="1"/>
    </xf>
    <xf numFmtId="0" fontId="6" fillId="50" borderId="90" xfId="77" applyFill="1" applyBorder="1" applyAlignment="1" applyProtection="1">
      <alignment horizontal="center" vertical="top" wrapText="1"/>
    </xf>
    <xf numFmtId="0" fontId="6" fillId="50" borderId="13" xfId="0" applyFont="1" applyFill="1" applyBorder="1" applyAlignment="1" applyProtection="1">
      <alignment horizontal="left" vertical="top" wrapText="1"/>
    </xf>
    <xf numFmtId="0" fontId="4" fillId="25" borderId="18" xfId="0" applyFont="1" applyFill="1" applyBorder="1" applyAlignment="1" applyProtection="1">
      <alignment horizontal="left" vertical="top" wrapText="1"/>
    </xf>
    <xf numFmtId="0" fontId="2" fillId="27" borderId="13" xfId="0" applyFont="1" applyFill="1" applyBorder="1" applyAlignment="1" applyProtection="1">
      <alignment horizontal="center" vertical="center"/>
    </xf>
    <xf numFmtId="0" fontId="2" fillId="27" borderId="13" xfId="0" applyFont="1" applyFill="1" applyBorder="1" applyAlignment="1" applyProtection="1">
      <alignment vertical="center"/>
    </xf>
    <xf numFmtId="0" fontId="6" fillId="51" borderId="13" xfId="0" applyFont="1" applyFill="1" applyBorder="1" applyAlignment="1" applyProtection="1">
      <alignment horizontal="left" vertical="top" wrapText="1"/>
    </xf>
    <xf numFmtId="0" fontId="40" fillId="0" borderId="69" xfId="77" applyFont="1" applyBorder="1" applyAlignment="1" applyProtection="1">
      <alignment horizontal="center" vertical="top" wrapText="1"/>
    </xf>
    <xf numFmtId="0" fontId="0" fillId="0" borderId="135" xfId="0" applyBorder="1" applyAlignment="1" applyProtection="1">
      <alignment vertical="top" wrapText="1"/>
    </xf>
    <xf numFmtId="0" fontId="4" fillId="25" borderId="12" xfId="0" applyNumberFormat="1" applyFont="1" applyFill="1" applyBorder="1" applyAlignment="1" applyProtection="1">
      <alignment vertical="top" wrapText="1"/>
    </xf>
    <xf numFmtId="0" fontId="2" fillId="25" borderId="22" xfId="0" applyNumberFormat="1" applyFont="1" applyFill="1" applyBorder="1" applyAlignment="1" applyProtection="1">
      <alignment vertical="top" wrapText="1"/>
    </xf>
    <xf numFmtId="0" fontId="2" fillId="25" borderId="26" xfId="0" applyNumberFormat="1" applyFont="1" applyFill="1" applyBorder="1" applyAlignment="1" applyProtection="1">
      <alignment vertical="top" wrapText="1"/>
    </xf>
    <xf numFmtId="0" fontId="38" fillId="25" borderId="26" xfId="0" applyNumberFormat="1" applyFont="1" applyFill="1" applyBorder="1" applyAlignment="1" applyProtection="1">
      <alignment vertical="top" wrapText="1"/>
    </xf>
    <xf numFmtId="0" fontId="38" fillId="25" borderId="15" xfId="0" applyNumberFormat="1" applyFont="1" applyFill="1" applyBorder="1" applyAlignment="1" applyProtection="1">
      <alignment vertical="top" wrapText="1"/>
    </xf>
    <xf numFmtId="0" fontId="58" fillId="25" borderId="15" xfId="0" applyNumberFormat="1" applyFont="1" applyFill="1" applyBorder="1" applyAlignment="1" applyProtection="1">
      <alignment vertical="top" wrapText="1"/>
    </xf>
    <xf numFmtId="0" fontId="38" fillId="25" borderId="16" xfId="0" applyNumberFormat="1" applyFont="1" applyFill="1" applyBorder="1" applyAlignment="1" applyProtection="1">
      <alignment vertical="top" wrapText="1"/>
    </xf>
    <xf numFmtId="0" fontId="4" fillId="25" borderId="84" xfId="0" applyNumberFormat="1" applyFont="1" applyFill="1" applyBorder="1" applyAlignment="1" applyProtection="1">
      <alignment vertical="top" wrapText="1"/>
    </xf>
    <xf numFmtId="0" fontId="4" fillId="25" borderId="85" xfId="0" applyNumberFormat="1" applyFont="1" applyFill="1" applyBorder="1" applyAlignment="1" applyProtection="1">
      <alignment vertical="top" wrapText="1"/>
    </xf>
    <xf numFmtId="0" fontId="38" fillId="25" borderId="14" xfId="0" applyNumberFormat="1" applyFont="1" applyFill="1" applyBorder="1" applyAlignment="1" applyProtection="1">
      <alignment vertical="top" wrapText="1"/>
    </xf>
    <xf numFmtId="0" fontId="29" fillId="0" borderId="0" xfId="0" applyFont="1" applyAlignment="1" applyProtection="1">
      <alignment vertical="top" wrapText="1"/>
    </xf>
    <xf numFmtId="0" fontId="40" fillId="50" borderId="0" xfId="77" applyFont="1" applyFill="1" applyAlignment="1" applyProtection="1">
      <alignment horizontal="left" vertical="top" wrapText="1"/>
    </xf>
    <xf numFmtId="0" fontId="52" fillId="25" borderId="0" xfId="0" applyFont="1" applyFill="1" applyAlignment="1" applyProtection="1">
      <alignment horizontal="left" vertical="top" wrapText="1"/>
    </xf>
    <xf numFmtId="0" fontId="40" fillId="50" borderId="0" xfId="77" applyFont="1" applyFill="1" applyAlignment="1" applyProtection="1">
      <alignment vertical="top" wrapText="1"/>
    </xf>
    <xf numFmtId="0" fontId="6" fillId="50" borderId="0" xfId="77" applyFill="1" applyAlignment="1" applyProtection="1">
      <alignment horizontal="left" vertical="top" wrapText="1"/>
    </xf>
    <xf numFmtId="0" fontId="5" fillId="0" borderId="0" xfId="0" applyFont="1" applyAlignment="1" applyProtection="1">
      <alignment vertical="top" wrapText="1"/>
    </xf>
    <xf numFmtId="0" fontId="2" fillId="29" borderId="70" xfId="0" applyFont="1" applyFill="1" applyBorder="1" applyAlignment="1" applyProtection="1">
      <alignment horizontal="left" vertical="top"/>
      <protection locked="0"/>
    </xf>
    <xf numFmtId="0" fontId="2" fillId="0" borderId="26" xfId="0" applyFont="1" applyBorder="1" applyAlignment="1" applyProtection="1">
      <alignment horizontal="left" vertical="top"/>
      <protection locked="0"/>
    </xf>
    <xf numFmtId="0" fontId="2" fillId="0" borderId="27" xfId="0" applyFont="1" applyBorder="1" applyAlignment="1" applyProtection="1">
      <alignment horizontal="left" vertical="top"/>
      <protection locked="0"/>
    </xf>
    <xf numFmtId="0" fontId="2" fillId="29" borderId="107" xfId="0" applyFont="1" applyFill="1" applyBorder="1" applyAlignment="1" applyProtection="1">
      <alignment horizontal="left" vertical="top" wrapText="1"/>
      <protection locked="0"/>
    </xf>
    <xf numFmtId="0" fontId="2" fillId="0" borderId="22" xfId="0" applyFont="1" applyBorder="1" applyAlignment="1" applyProtection="1">
      <alignment horizontal="left" vertical="top" wrapText="1"/>
      <protection locked="0"/>
    </xf>
    <xf numFmtId="0" fontId="2" fillId="0" borderId="106" xfId="0" applyFont="1" applyBorder="1" applyAlignment="1" applyProtection="1">
      <alignment horizontal="left" vertical="top" wrapText="1"/>
      <protection locked="0"/>
    </xf>
    <xf numFmtId="0" fontId="2" fillId="0" borderId="63" xfId="0" applyFont="1" applyBorder="1" applyAlignment="1" applyProtection="1">
      <alignment horizontal="left" vertical="top" wrapText="1"/>
      <protection locked="0"/>
    </xf>
    <xf numFmtId="0" fontId="2" fillId="0" borderId="12" xfId="0" applyFont="1" applyBorder="1" applyAlignment="1" applyProtection="1">
      <alignment horizontal="left" vertical="top" wrapText="1"/>
      <protection locked="0"/>
    </xf>
    <xf numFmtId="0" fontId="2" fillId="0" borderId="25" xfId="0" applyFont="1" applyBorder="1" applyAlignment="1" applyProtection="1">
      <alignment horizontal="left" vertical="top" wrapText="1"/>
      <protection locked="0"/>
    </xf>
    <xf numFmtId="0" fontId="39" fillId="29" borderId="70" xfId="0" applyFont="1" applyFill="1" applyBorder="1" applyAlignment="1" applyProtection="1">
      <alignment horizontal="left"/>
      <protection locked="0"/>
    </xf>
    <xf numFmtId="0" fontId="39" fillId="29" borderId="26" xfId="0" applyFont="1" applyFill="1" applyBorder="1" applyAlignment="1" applyProtection="1">
      <alignment horizontal="left"/>
      <protection locked="0"/>
    </xf>
    <xf numFmtId="0" fontId="39" fillId="29" borderId="27" xfId="0" applyFont="1" applyFill="1" applyBorder="1" applyAlignment="1" applyProtection="1">
      <alignment horizontal="left"/>
      <protection locked="0"/>
    </xf>
    <xf numFmtId="0" fontId="4" fillId="25" borderId="18" xfId="0" applyFont="1" applyFill="1" applyBorder="1" applyAlignment="1" applyProtection="1">
      <alignment vertical="top" wrapText="1"/>
    </xf>
    <xf numFmtId="0" fontId="37" fillId="29" borderId="70" xfId="0" applyFont="1" applyFill="1" applyBorder="1" applyAlignment="1" applyProtection="1">
      <alignment horizontal="left"/>
      <protection locked="0"/>
    </xf>
    <xf numFmtId="0" fontId="37" fillId="29" borderId="26" xfId="0" applyFont="1" applyFill="1" applyBorder="1" applyAlignment="1" applyProtection="1">
      <alignment horizontal="left"/>
      <protection locked="0"/>
    </xf>
    <xf numFmtId="0" fontId="37" fillId="29" borderId="27" xfId="0" applyFont="1" applyFill="1" applyBorder="1" applyAlignment="1" applyProtection="1">
      <alignment horizontal="left"/>
      <protection locked="0"/>
    </xf>
    <xf numFmtId="0" fontId="38" fillId="41" borderId="0" xfId="0" applyNumberFormat="1" applyFont="1" applyFill="1" applyBorder="1" applyAlignment="1" applyProtection="1">
      <alignment vertical="top" wrapText="1"/>
    </xf>
    <xf numFmtId="0" fontId="38" fillId="25" borderId="17" xfId="0" applyNumberFormat="1" applyFont="1" applyFill="1" applyBorder="1" applyAlignment="1" applyProtection="1">
      <alignment vertical="top" wrapText="1"/>
    </xf>
    <xf numFmtId="0" fontId="38" fillId="25" borderId="23" xfId="0" applyNumberFormat="1" applyFont="1" applyFill="1" applyBorder="1" applyAlignment="1" applyProtection="1">
      <alignment vertical="top" wrapText="1"/>
    </xf>
    <xf numFmtId="0" fontId="2" fillId="25" borderId="17" xfId="0" applyNumberFormat="1" applyFont="1" applyFill="1" applyBorder="1" applyAlignment="1" applyProtection="1">
      <alignment vertical="top" wrapText="1"/>
    </xf>
    <xf numFmtId="0" fontId="4" fillId="25" borderId="0" xfId="0" applyNumberFormat="1" applyFont="1" applyFill="1" applyBorder="1" applyAlignment="1" applyProtection="1">
      <alignment horizontal="left" vertical="top" wrapText="1"/>
    </xf>
    <xf numFmtId="0" fontId="10" fillId="25" borderId="0" xfId="0" applyFont="1" applyFill="1" applyAlignment="1" applyProtection="1">
      <alignment vertical="center" wrapText="1"/>
    </xf>
    <xf numFmtId="0" fontId="0" fillId="0" borderId="0" xfId="0" applyAlignment="1" applyProtection="1">
      <alignment vertical="center" wrapText="1"/>
    </xf>
    <xf numFmtId="0" fontId="38" fillId="40" borderId="15" xfId="0" applyNumberFormat="1" applyFont="1" applyFill="1" applyBorder="1" applyAlignment="1" applyProtection="1">
      <alignment horizontal="left" vertical="top" wrapText="1"/>
    </xf>
    <xf numFmtId="0" fontId="38" fillId="40" borderId="16" xfId="0" applyNumberFormat="1" applyFont="1" applyFill="1" applyBorder="1" applyAlignment="1" applyProtection="1">
      <alignment horizontal="left" vertical="top" wrapText="1"/>
    </xf>
    <xf numFmtId="0" fontId="4" fillId="25" borderId="12" xfId="0" applyFont="1" applyFill="1" applyBorder="1" applyAlignment="1" applyProtection="1">
      <alignment vertical="center" wrapText="1"/>
    </xf>
    <xf numFmtId="0" fontId="0" fillId="0" borderId="12" xfId="0" applyBorder="1" applyAlignment="1" applyProtection="1">
      <alignment vertical="center" wrapText="1"/>
    </xf>
    <xf numFmtId="0" fontId="38" fillId="25" borderId="26" xfId="0" applyNumberFormat="1" applyFont="1" applyFill="1" applyBorder="1" applyAlignment="1" applyProtection="1">
      <alignment vertical="center" wrapText="1"/>
    </xf>
    <xf numFmtId="0" fontId="4" fillId="25" borderId="0" xfId="0" applyFont="1" applyFill="1" applyAlignment="1" applyProtection="1">
      <alignment vertical="center" wrapText="1"/>
    </xf>
    <xf numFmtId="0" fontId="2" fillId="25" borderId="26" xfId="0" applyNumberFormat="1" applyFont="1" applyFill="1" applyBorder="1" applyAlignment="1" applyProtection="1">
      <alignment vertical="center" wrapText="1"/>
    </xf>
    <xf numFmtId="0" fontId="4" fillId="25" borderId="0" xfId="0" applyFont="1" applyFill="1" applyBorder="1" applyAlignment="1" applyProtection="1">
      <alignment vertical="center" wrapText="1"/>
    </xf>
    <xf numFmtId="0" fontId="0" fillId="0" borderId="0" xfId="0" applyBorder="1" applyAlignment="1" applyProtection="1">
      <alignment vertical="center" wrapText="1"/>
    </xf>
    <xf numFmtId="0" fontId="36" fillId="25" borderId="0" xfId="0" applyFont="1" applyFill="1" applyAlignment="1" applyProtection="1">
      <alignment vertical="center" wrapText="1"/>
    </xf>
    <xf numFmtId="0" fontId="6" fillId="50" borderId="70" xfId="0" applyFont="1" applyFill="1" applyBorder="1" applyAlignment="1" applyProtection="1">
      <alignment horizontal="left" vertical="top" wrapText="1"/>
    </xf>
    <xf numFmtId="0" fontId="6" fillId="50" borderId="26" xfId="0" applyFont="1" applyFill="1" applyBorder="1" applyAlignment="1" applyProtection="1">
      <alignment horizontal="left" vertical="top" wrapText="1"/>
    </xf>
    <xf numFmtId="0" fontId="6" fillId="50" borderId="27" xfId="0" applyFont="1" applyFill="1" applyBorder="1" applyAlignment="1" applyProtection="1">
      <alignment horizontal="left" vertical="top" wrapText="1"/>
    </xf>
    <xf numFmtId="0" fontId="2" fillId="25" borderId="12" xfId="0" applyNumberFormat="1" applyFont="1" applyFill="1" applyBorder="1" applyAlignment="1" applyProtection="1">
      <alignment vertical="center" wrapText="1"/>
    </xf>
    <xf numFmtId="0" fontId="10" fillId="25" borderId="0" xfId="0" applyFont="1" applyFill="1" applyAlignment="1" applyProtection="1">
      <alignment vertical="top"/>
    </xf>
    <xf numFmtId="0" fontId="0" fillId="0" borderId="0" xfId="0" applyAlignment="1" applyProtection="1">
      <alignment vertical="top"/>
    </xf>
    <xf numFmtId="0" fontId="42" fillId="25" borderId="0" xfId="0" applyFont="1" applyFill="1" applyAlignment="1" applyProtection="1">
      <alignment vertical="center" wrapText="1"/>
    </xf>
    <xf numFmtId="0" fontId="4" fillId="25" borderId="18" xfId="0" applyFont="1" applyFill="1" applyBorder="1" applyAlignment="1" applyProtection="1">
      <alignment vertical="center" wrapText="1"/>
    </xf>
    <xf numFmtId="0" fontId="0" fillId="0" borderId="26" xfId="0" applyBorder="1" applyAlignment="1" applyProtection="1">
      <alignment vertical="top" wrapText="1"/>
    </xf>
    <xf numFmtId="0" fontId="0" fillId="0" borderId="26" xfId="0" applyBorder="1" applyAlignment="1" applyProtection="1">
      <alignment vertical="center" wrapText="1"/>
    </xf>
    <xf numFmtId="0" fontId="4" fillId="25" borderId="0" xfId="0" applyNumberFormat="1" applyFont="1" applyFill="1" applyBorder="1" applyAlignment="1" applyProtection="1">
      <alignment vertical="center" wrapText="1"/>
    </xf>
    <xf numFmtId="0" fontId="10" fillId="25" borderId="12" xfId="0" applyFont="1" applyFill="1" applyBorder="1" applyAlignment="1" applyProtection="1">
      <alignment vertical="center" wrapText="1"/>
    </xf>
    <xf numFmtId="0" fontId="2" fillId="25" borderId="14" xfId="0" applyNumberFormat="1" applyFont="1" applyFill="1" applyBorder="1" applyAlignment="1" applyProtection="1">
      <alignment vertical="center" wrapText="1"/>
    </xf>
    <xf numFmtId="0" fontId="0" fillId="0" borderId="14" xfId="0" applyBorder="1" applyAlignment="1" applyProtection="1">
      <alignment vertical="center" wrapText="1"/>
    </xf>
    <xf numFmtId="0" fontId="38" fillId="40" borderId="14" xfId="0" applyNumberFormat="1" applyFont="1" applyFill="1" applyBorder="1" applyAlignment="1" applyProtection="1">
      <alignment horizontal="left" vertical="center" wrapText="1"/>
    </xf>
    <xf numFmtId="0" fontId="38" fillId="40" borderId="15" xfId="0" applyNumberFormat="1" applyFont="1" applyFill="1" applyBorder="1" applyAlignment="1" applyProtection="1">
      <alignment horizontal="left" vertical="center" wrapText="1"/>
    </xf>
    <xf numFmtId="0" fontId="63" fillId="50" borderId="0" xfId="77" applyFont="1" applyFill="1" applyAlignment="1" applyProtection="1">
      <alignment horizontal="left" vertical="top" wrapText="1"/>
    </xf>
    <xf numFmtId="0" fontId="4" fillId="25" borderId="139" xfId="0" applyNumberFormat="1" applyFont="1" applyFill="1" applyBorder="1" applyAlignment="1" applyProtection="1">
      <alignment vertical="center" wrapText="1"/>
    </xf>
    <xf numFmtId="0" fontId="0" fillId="0" borderId="96" xfId="0" applyBorder="1" applyAlignment="1" applyProtection="1">
      <alignment vertical="center" wrapText="1"/>
    </xf>
    <xf numFmtId="0" fontId="0" fillId="0" borderId="140" xfId="0" applyBorder="1" applyAlignment="1" applyProtection="1">
      <alignment vertical="center" wrapText="1"/>
    </xf>
    <xf numFmtId="0" fontId="2" fillId="25" borderId="27" xfId="0" applyNumberFormat="1" applyFont="1" applyFill="1" applyBorder="1" applyAlignment="1" applyProtection="1">
      <alignment vertical="center" wrapText="1"/>
    </xf>
    <xf numFmtId="0" fontId="2" fillId="25" borderId="13" xfId="0" applyNumberFormat="1" applyFont="1" applyFill="1" applyBorder="1" applyAlignment="1" applyProtection="1">
      <alignment vertical="center" wrapText="1"/>
    </xf>
    <xf numFmtId="0" fontId="2" fillId="25" borderId="70" xfId="0" applyNumberFormat="1" applyFont="1" applyFill="1" applyBorder="1" applyAlignment="1" applyProtection="1">
      <alignment vertical="center" wrapText="1"/>
    </xf>
    <xf numFmtId="0" fontId="4" fillId="25" borderId="103" xfId="0" applyNumberFormat="1" applyFont="1" applyFill="1" applyBorder="1" applyAlignment="1" applyProtection="1">
      <alignment vertical="center" wrapText="1"/>
    </xf>
    <xf numFmtId="0" fontId="0" fillId="0" borderId="52" xfId="0" applyBorder="1" applyAlignment="1" applyProtection="1">
      <alignment vertical="center" wrapText="1"/>
    </xf>
    <xf numFmtId="0" fontId="2" fillId="25" borderId="47" xfId="0" applyNumberFormat="1" applyFont="1" applyFill="1" applyBorder="1" applyAlignment="1" applyProtection="1">
      <alignment vertical="center" wrapText="1"/>
    </xf>
    <xf numFmtId="0" fontId="2" fillId="25" borderId="75" xfId="0" applyNumberFormat="1" applyFont="1" applyFill="1" applyBorder="1" applyAlignment="1" applyProtection="1">
      <alignment vertical="center" wrapText="1"/>
    </xf>
    <xf numFmtId="0" fontId="2" fillId="25" borderId="102" xfId="0" applyNumberFormat="1" applyFont="1" applyFill="1" applyBorder="1" applyAlignment="1" applyProtection="1">
      <alignment vertical="center" wrapText="1"/>
    </xf>
    <xf numFmtId="0" fontId="2" fillId="41" borderId="26" xfId="0" applyNumberFormat="1" applyFont="1" applyFill="1" applyBorder="1" applyAlignment="1" applyProtection="1">
      <alignment horizontal="left" vertical="top" wrapText="1"/>
    </xf>
    <xf numFmtId="0" fontId="4" fillId="25" borderId="57" xfId="0" applyNumberFormat="1" applyFont="1" applyFill="1" applyBorder="1" applyAlignment="1" applyProtection="1">
      <alignment vertical="center" wrapText="1"/>
    </xf>
    <xf numFmtId="0" fontId="0" fillId="0" borderId="37" xfId="0" applyBorder="1" applyAlignment="1" applyProtection="1">
      <alignment vertical="center" wrapText="1"/>
    </xf>
    <xf numFmtId="0" fontId="2" fillId="41" borderId="42" xfId="0" applyNumberFormat="1" applyFont="1" applyFill="1" applyBorder="1" applyAlignment="1" applyProtection="1">
      <alignment horizontal="left" vertical="top" wrapText="1"/>
    </xf>
    <xf numFmtId="0" fontId="4" fillId="25" borderId="26" xfId="0" applyNumberFormat="1" applyFont="1" applyFill="1" applyBorder="1" applyAlignment="1" applyProtection="1">
      <alignment vertical="center" wrapText="1"/>
    </xf>
    <xf numFmtId="0" fontId="63" fillId="50" borderId="0" xfId="77" applyFont="1" applyFill="1" applyBorder="1" applyAlignment="1" applyProtection="1">
      <alignment horizontal="left" vertical="top" wrapText="1"/>
    </xf>
    <xf numFmtId="0" fontId="2" fillId="0" borderId="14" xfId="0" applyNumberFormat="1" applyFont="1" applyFill="1" applyBorder="1" applyAlignment="1" applyProtection="1">
      <alignment vertical="center" wrapText="1"/>
    </xf>
    <xf numFmtId="0" fontId="38" fillId="0" borderId="14" xfId="0" applyNumberFormat="1" applyFont="1" applyFill="1" applyBorder="1" applyAlignment="1" applyProtection="1">
      <alignment vertical="center" wrapText="1"/>
    </xf>
    <xf numFmtId="0" fontId="2" fillId="0" borderId="15" xfId="0" applyNumberFormat="1" applyFont="1" applyFill="1" applyBorder="1" applyAlignment="1" applyProtection="1">
      <alignment vertical="center" wrapText="1"/>
    </xf>
    <xf numFmtId="0" fontId="38" fillId="0" borderId="15" xfId="0" applyNumberFormat="1" applyFont="1" applyFill="1" applyBorder="1" applyAlignment="1" applyProtection="1">
      <alignment vertical="center" wrapText="1"/>
    </xf>
    <xf numFmtId="0" fontId="38" fillId="25" borderId="109" xfId="0" applyNumberFormat="1" applyFont="1" applyFill="1" applyBorder="1" applyAlignment="1" applyProtection="1">
      <alignment vertical="center" wrapText="1"/>
    </xf>
    <xf numFmtId="0" fontId="0" fillId="0" borderId="15" xfId="0" applyBorder="1" applyAlignment="1" applyProtection="1">
      <alignment vertical="center" wrapText="1"/>
    </xf>
    <xf numFmtId="0" fontId="4" fillId="25" borderId="40" xfId="0" applyFont="1" applyFill="1" applyBorder="1" applyAlignment="1" applyProtection="1">
      <alignment vertical="center" wrapText="1"/>
    </xf>
    <xf numFmtId="0" fontId="0" fillId="0" borderId="40" xfId="0" applyBorder="1" applyAlignment="1" applyProtection="1">
      <alignment vertical="center" wrapText="1"/>
    </xf>
    <xf numFmtId="0" fontId="38" fillId="25" borderId="103" xfId="0" applyNumberFormat="1" applyFont="1" applyFill="1" applyBorder="1" applyAlignment="1" applyProtection="1">
      <alignment vertical="center" wrapText="1"/>
    </xf>
    <xf numFmtId="0" fontId="38" fillId="25" borderId="57" xfId="0" applyNumberFormat="1" applyFont="1" applyFill="1" applyBorder="1" applyAlignment="1" applyProtection="1">
      <alignment vertical="center" wrapText="1"/>
    </xf>
    <xf numFmtId="0" fontId="38" fillId="25" borderId="12" xfId="0" applyNumberFormat="1" applyFont="1" applyFill="1" applyBorder="1" applyAlignment="1" applyProtection="1">
      <alignment vertical="center" wrapText="1"/>
    </xf>
    <xf numFmtId="0" fontId="4" fillId="25" borderId="36" xfId="0" applyNumberFormat="1" applyFont="1" applyFill="1" applyBorder="1" applyAlignment="1" applyProtection="1">
      <alignment vertical="center" wrapText="1"/>
    </xf>
    <xf numFmtId="0" fontId="0" fillId="0" borderId="54" xfId="0" applyBorder="1" applyAlignment="1" applyProtection="1">
      <alignment vertical="center" wrapText="1"/>
    </xf>
    <xf numFmtId="0" fontId="0" fillId="0" borderId="127" xfId="0" applyBorder="1" applyAlignment="1" applyProtection="1">
      <alignment vertical="center" wrapText="1"/>
    </xf>
    <xf numFmtId="0" fontId="38" fillId="29" borderId="17" xfId="0" applyNumberFormat="1" applyFont="1" applyFill="1" applyBorder="1" applyAlignment="1" applyProtection="1">
      <alignment horizontal="left" vertical="top"/>
      <protection locked="0"/>
    </xf>
    <xf numFmtId="0" fontId="2" fillId="25" borderId="12" xfId="0" applyNumberFormat="1" applyFont="1" applyFill="1" applyBorder="1" applyAlignment="1" applyProtection="1">
      <alignment horizontal="left" vertical="center" wrapText="1"/>
    </xf>
    <xf numFmtId="0" fontId="10" fillId="25" borderId="0" xfId="0" applyNumberFormat="1" applyFont="1" applyFill="1" applyAlignment="1" applyProtection="1">
      <alignment vertical="top" wrapText="1"/>
    </xf>
    <xf numFmtId="0" fontId="65" fillId="25" borderId="0" xfId="0" applyFont="1" applyFill="1" applyAlignment="1" applyProtection="1">
      <alignment vertical="top" wrapText="1"/>
    </xf>
    <xf numFmtId="0" fontId="65" fillId="0" borderId="0" xfId="0" applyFont="1" applyAlignment="1" applyProtection="1">
      <alignment vertical="top" wrapText="1"/>
    </xf>
    <xf numFmtId="0" fontId="65" fillId="0" borderId="0" xfId="0" applyFont="1" applyAlignment="1" applyProtection="1">
      <alignment vertical="top"/>
    </xf>
    <xf numFmtId="0" fontId="38" fillId="25" borderId="99" xfId="0" applyNumberFormat="1" applyFont="1" applyFill="1" applyBorder="1" applyAlignment="1" applyProtection="1">
      <alignment vertical="center" wrapText="1"/>
    </xf>
    <xf numFmtId="0" fontId="38" fillId="25" borderId="16" xfId="0" applyNumberFormat="1" applyFont="1" applyFill="1" applyBorder="1" applyAlignment="1" applyProtection="1">
      <alignment vertical="center" wrapText="1"/>
    </xf>
    <xf numFmtId="0" fontId="38" fillId="25" borderId="100" xfId="0" applyNumberFormat="1" applyFont="1" applyFill="1" applyBorder="1" applyAlignment="1" applyProtection="1">
      <alignment vertical="center" wrapText="1"/>
    </xf>
    <xf numFmtId="0" fontId="38" fillId="25" borderId="15" xfId="0" applyNumberFormat="1" applyFont="1" applyFill="1" applyBorder="1" applyAlignment="1" applyProtection="1">
      <alignment vertical="center" wrapText="1"/>
    </xf>
    <xf numFmtId="0" fontId="3" fillId="26" borderId="0" xfId="0" applyFont="1" applyFill="1" applyBorder="1" applyAlignment="1" applyProtection="1">
      <alignment vertical="center" wrapText="1"/>
    </xf>
    <xf numFmtId="0" fontId="0" fillId="50" borderId="131" xfId="0" applyFill="1" applyBorder="1" applyAlignment="1" applyProtection="1">
      <alignment horizontal="center" vertical="top" wrapText="1"/>
    </xf>
    <xf numFmtId="0" fontId="0" fillId="29" borderId="70" xfId="0" applyFill="1" applyBorder="1" applyAlignment="1" applyProtection="1">
      <alignment horizontal="left"/>
      <protection locked="0"/>
    </xf>
    <xf numFmtId="0" fontId="0" fillId="29" borderId="27" xfId="0" applyFill="1" applyBorder="1" applyAlignment="1" applyProtection="1">
      <alignment horizontal="left"/>
      <protection locked="0"/>
    </xf>
    <xf numFmtId="0" fontId="6" fillId="50" borderId="82" xfId="77" applyFill="1" applyBorder="1" applyAlignment="1" applyProtection="1">
      <alignment horizontal="center" vertical="top" wrapText="1"/>
    </xf>
    <xf numFmtId="0" fontId="6" fillId="50" borderId="141" xfId="77" applyFill="1" applyBorder="1" applyAlignment="1" applyProtection="1">
      <alignment horizontal="center" vertical="top" wrapText="1"/>
    </xf>
    <xf numFmtId="0" fontId="38" fillId="40" borderId="14" xfId="0" applyNumberFormat="1" applyFont="1" applyFill="1" applyBorder="1" applyAlignment="1" applyProtection="1">
      <alignment horizontal="left" vertical="top" wrapText="1"/>
    </xf>
    <xf numFmtId="0" fontId="38" fillId="40" borderId="16" xfId="0" applyNumberFormat="1" applyFont="1" applyFill="1" applyBorder="1" applyAlignment="1" applyProtection="1">
      <alignment horizontal="left" vertical="center" wrapText="1"/>
    </xf>
    <xf numFmtId="0" fontId="4" fillId="25" borderId="42" xfId="0" applyNumberFormat="1" applyFont="1" applyFill="1" applyBorder="1" applyAlignment="1" applyProtection="1">
      <alignment vertical="center" wrapText="1"/>
    </xf>
    <xf numFmtId="0" fontId="0" fillId="0" borderId="42" xfId="0" applyBorder="1" applyAlignment="1" applyProtection="1">
      <alignment vertical="center" wrapText="1"/>
    </xf>
    <xf numFmtId="0" fontId="38" fillId="25" borderId="101" xfId="0" applyNumberFormat="1" applyFont="1" applyFill="1" applyBorder="1" applyAlignment="1" applyProtection="1">
      <alignment vertical="center" wrapText="1"/>
    </xf>
    <xf numFmtId="0" fontId="38" fillId="25" borderId="14" xfId="0" applyNumberFormat="1" applyFont="1" applyFill="1" applyBorder="1" applyAlignment="1" applyProtection="1">
      <alignment vertical="center" wrapText="1"/>
    </xf>
    <xf numFmtId="0" fontId="2" fillId="25" borderId="16" xfId="0" applyNumberFormat="1" applyFont="1" applyFill="1" applyBorder="1" applyAlignment="1" applyProtection="1">
      <alignment vertical="center" wrapText="1"/>
    </xf>
    <xf numFmtId="0" fontId="0" fillId="0" borderId="16" xfId="0" applyBorder="1" applyAlignment="1" applyProtection="1">
      <alignment vertical="center" wrapText="1"/>
    </xf>
    <xf numFmtId="0" fontId="42" fillId="43" borderId="0" xfId="0" applyFont="1" applyFill="1" applyBorder="1" applyAlignment="1" applyProtection="1">
      <alignment vertical="top" wrapText="1"/>
    </xf>
    <xf numFmtId="0" fontId="4" fillId="43" borderId="0" xfId="0" applyFont="1" applyFill="1" applyBorder="1" applyAlignment="1" applyProtection="1">
      <alignment vertical="top" wrapText="1"/>
    </xf>
    <xf numFmtId="0" fontId="4" fillId="43" borderId="39" xfId="0" applyFont="1" applyFill="1" applyBorder="1" applyAlignment="1" applyProtection="1">
      <alignment vertical="top" wrapText="1"/>
    </xf>
    <xf numFmtId="0" fontId="10" fillId="43" borderId="0" xfId="0" applyFont="1" applyFill="1" applyBorder="1" applyAlignment="1" applyProtection="1">
      <alignment vertical="top" wrapText="1"/>
    </xf>
    <xf numFmtId="0" fontId="0" fillId="43" borderId="0" xfId="0" applyFill="1" applyBorder="1" applyAlignment="1" applyProtection="1">
      <alignment vertical="top" wrapText="1"/>
    </xf>
    <xf numFmtId="0" fontId="0" fillId="43" borderId="39" xfId="0" applyFill="1" applyBorder="1" applyAlignment="1" applyProtection="1">
      <alignment vertical="top" wrapText="1"/>
    </xf>
    <xf numFmtId="0" fontId="79" fillId="53" borderId="0" xfId="0" quotePrefix="1" applyFont="1" applyFill="1" applyAlignment="1" applyProtection="1">
      <alignment horizontal="left" vertical="top" wrapText="1"/>
    </xf>
    <xf numFmtId="0" fontId="10" fillId="43" borderId="0" xfId="0" applyFont="1" applyFill="1" applyBorder="1" applyAlignment="1" applyProtection="1">
      <alignment horizontal="left" vertical="top" wrapText="1"/>
    </xf>
    <xf numFmtId="0" fontId="0" fillId="0" borderId="39" xfId="0" applyBorder="1" applyAlignment="1" applyProtection="1">
      <alignment horizontal="left" vertical="top" wrapText="1"/>
    </xf>
    <xf numFmtId="0" fontId="2" fillId="43" borderId="26" xfId="0" applyNumberFormat="1" applyFont="1" applyFill="1" applyBorder="1" applyAlignment="1" applyProtection="1">
      <alignment vertical="top" wrapText="1"/>
    </xf>
    <xf numFmtId="0" fontId="38" fillId="43" borderId="26" xfId="0" applyNumberFormat="1" applyFont="1" applyFill="1" applyBorder="1" applyAlignment="1" applyProtection="1">
      <alignment vertical="top" wrapText="1"/>
    </xf>
    <xf numFmtId="0" fontId="4" fillId="43" borderId="0" xfId="0" applyFont="1" applyFill="1" applyAlignment="1" applyProtection="1">
      <alignment horizontal="left" vertical="top"/>
    </xf>
    <xf numFmtId="0" fontId="4" fillId="43" borderId="18" xfId="0" applyFont="1" applyFill="1" applyBorder="1" applyAlignment="1" applyProtection="1">
      <alignment horizontal="left" vertical="top"/>
    </xf>
    <xf numFmtId="0" fontId="2" fillId="43" borderId="16" xfId="0" applyNumberFormat="1" applyFont="1" applyFill="1" applyBorder="1" applyAlignment="1" applyProtection="1">
      <alignment vertical="top" wrapText="1"/>
    </xf>
    <xf numFmtId="0" fontId="38" fillId="43" borderId="16" xfId="0" applyNumberFormat="1" applyFont="1" applyFill="1" applyBorder="1" applyAlignment="1" applyProtection="1">
      <alignment vertical="top" wrapText="1"/>
    </xf>
    <xf numFmtId="0" fontId="10" fillId="43" borderId="0" xfId="0" quotePrefix="1" applyFont="1" applyFill="1" applyAlignment="1" applyProtection="1">
      <alignment horizontal="left" vertical="top" wrapText="1"/>
    </xf>
    <xf numFmtId="0" fontId="10" fillId="43" borderId="39" xfId="0" quotePrefix="1" applyFont="1" applyFill="1" applyBorder="1" applyAlignment="1" applyProtection="1">
      <alignment horizontal="left" vertical="top" wrapText="1"/>
    </xf>
    <xf numFmtId="0" fontId="38" fillId="42" borderId="16" xfId="0" applyNumberFormat="1" applyFont="1" applyFill="1" applyBorder="1" applyAlignment="1" applyProtection="1">
      <alignment vertical="top" wrapText="1"/>
      <protection locked="0"/>
    </xf>
    <xf numFmtId="0" fontId="2" fillId="43" borderId="0" xfId="0" applyNumberFormat="1" applyFont="1" applyFill="1" applyBorder="1" applyAlignment="1" applyProtection="1">
      <alignment horizontal="left" vertical="top"/>
    </xf>
    <xf numFmtId="0" fontId="2" fillId="42" borderId="107" xfId="0" applyFont="1" applyFill="1" applyBorder="1" applyAlignment="1" applyProtection="1">
      <alignment horizontal="left" vertical="top"/>
      <protection locked="0"/>
    </xf>
    <xf numFmtId="0" fontId="2" fillId="42" borderId="22" xfId="0" applyFont="1" applyFill="1" applyBorder="1" applyAlignment="1" applyProtection="1">
      <alignment horizontal="left" vertical="top"/>
      <protection locked="0"/>
    </xf>
    <xf numFmtId="0" fontId="2" fillId="42" borderId="106" xfId="0" applyFont="1" applyFill="1" applyBorder="1" applyAlignment="1" applyProtection="1">
      <alignment horizontal="left" vertical="top"/>
      <protection locked="0"/>
    </xf>
    <xf numFmtId="0" fontId="2" fillId="42" borderId="63" xfId="0" applyFont="1" applyFill="1" applyBorder="1" applyAlignment="1" applyProtection="1">
      <alignment horizontal="left" vertical="top"/>
      <protection locked="0"/>
    </xf>
    <xf numFmtId="0" fontId="2" fillId="42" borderId="12" xfId="0" applyFont="1" applyFill="1" applyBorder="1" applyAlignment="1" applyProtection="1">
      <alignment horizontal="left" vertical="top"/>
      <protection locked="0"/>
    </xf>
    <xf numFmtId="0" fontId="2" fillId="42" borderId="25" xfId="0" applyFont="1" applyFill="1" applyBorder="1" applyAlignment="1" applyProtection="1">
      <alignment horizontal="left" vertical="top"/>
      <protection locked="0"/>
    </xf>
    <xf numFmtId="0" fontId="2" fillId="43" borderId="0" xfId="0" applyFont="1" applyFill="1" applyAlignment="1" applyProtection="1">
      <alignment horizontal="left" vertical="top"/>
    </xf>
    <xf numFmtId="0" fontId="2" fillId="43" borderId="18" xfId="0" applyFont="1" applyFill="1" applyBorder="1" applyAlignment="1" applyProtection="1">
      <alignment horizontal="left" vertical="top"/>
    </xf>
    <xf numFmtId="0" fontId="4" fillId="43" borderId="12" xfId="0" applyFont="1" applyFill="1" applyBorder="1" applyAlignment="1" applyProtection="1">
      <alignment vertical="top" wrapText="1"/>
    </xf>
    <xf numFmtId="0" fontId="0" fillId="43" borderId="12" xfId="0" applyFill="1" applyBorder="1" applyAlignment="1" applyProtection="1">
      <alignment vertical="top" wrapText="1"/>
    </xf>
    <xf numFmtId="0" fontId="38" fillId="42" borderId="14" xfId="0" applyNumberFormat="1" applyFont="1" applyFill="1" applyBorder="1" applyAlignment="1" applyProtection="1">
      <alignment vertical="top" wrapText="1"/>
      <protection locked="0"/>
    </xf>
    <xf numFmtId="0" fontId="4" fillId="43" borderId="0" xfId="0" applyFont="1" applyFill="1" applyBorder="1" applyAlignment="1" applyProtection="1">
      <alignment horizontal="left" vertical="top" wrapText="1"/>
    </xf>
    <xf numFmtId="0" fontId="4" fillId="43" borderId="39" xfId="0" applyFont="1" applyFill="1" applyBorder="1" applyAlignment="1" applyProtection="1">
      <alignment horizontal="left" vertical="top" wrapText="1"/>
    </xf>
    <xf numFmtId="0" fontId="2" fillId="40" borderId="26" xfId="0" applyNumberFormat="1" applyFont="1" applyFill="1" applyBorder="1" applyAlignment="1" applyProtection="1">
      <alignment vertical="top" wrapText="1"/>
    </xf>
    <xf numFmtId="0" fontId="2" fillId="42" borderId="70" xfId="0" applyFont="1" applyFill="1" applyBorder="1" applyAlignment="1" applyProtection="1">
      <alignment horizontal="left" vertical="top" wrapText="1"/>
      <protection locked="0"/>
    </xf>
    <xf numFmtId="0" fontId="0" fillId="42" borderId="26" xfId="0" applyFill="1" applyBorder="1" applyAlignment="1" applyProtection="1">
      <alignment horizontal="left" vertical="top" wrapText="1"/>
      <protection locked="0"/>
    </xf>
    <xf numFmtId="0" fontId="0" fillId="42" borderId="27" xfId="0" applyFill="1" applyBorder="1" applyAlignment="1" applyProtection="1">
      <alignment horizontal="left" vertical="top" wrapText="1"/>
      <protection locked="0"/>
    </xf>
    <xf numFmtId="0" fontId="2" fillId="43" borderId="14" xfId="0" applyNumberFormat="1" applyFont="1" applyFill="1" applyBorder="1" applyAlignment="1" applyProtection="1">
      <alignment vertical="top" wrapText="1"/>
    </xf>
    <xf numFmtId="0" fontId="38" fillId="43" borderId="14" xfId="0" applyNumberFormat="1" applyFont="1" applyFill="1" applyBorder="1" applyAlignment="1" applyProtection="1">
      <alignment vertical="top" wrapText="1"/>
    </xf>
    <xf numFmtId="0" fontId="10" fillId="43" borderId="39" xfId="0" applyFont="1" applyFill="1" applyBorder="1" applyAlignment="1" applyProtection="1">
      <alignment vertical="top" wrapText="1"/>
    </xf>
    <xf numFmtId="0" fontId="58" fillId="43" borderId="15" xfId="0" applyNumberFormat="1" applyFont="1" applyFill="1" applyBorder="1" applyAlignment="1" applyProtection="1">
      <alignment vertical="top" wrapText="1"/>
    </xf>
    <xf numFmtId="0" fontId="38" fillId="43" borderId="22" xfId="0" applyNumberFormat="1" applyFont="1" applyFill="1" applyBorder="1" applyAlignment="1" applyProtection="1">
      <alignment vertical="top" wrapText="1"/>
    </xf>
    <xf numFmtId="0" fontId="38" fillId="43" borderId="15" xfId="0" applyNumberFormat="1" applyFont="1" applyFill="1" applyBorder="1" applyAlignment="1" applyProtection="1">
      <alignment vertical="top" wrapText="1"/>
    </xf>
    <xf numFmtId="0" fontId="2" fillId="43" borderId="12" xfId="0" applyNumberFormat="1" applyFont="1" applyFill="1" applyBorder="1" applyAlignment="1" applyProtection="1">
      <alignment vertical="top" wrapText="1"/>
    </xf>
    <xf numFmtId="0" fontId="38" fillId="43" borderId="12" xfId="0" applyNumberFormat="1" applyFont="1" applyFill="1" applyBorder="1" applyAlignment="1" applyProtection="1">
      <alignment vertical="top" wrapText="1"/>
    </xf>
    <xf numFmtId="0" fontId="2" fillId="43" borderId="0" xfId="0" applyFont="1" applyFill="1" applyAlignment="1" applyProtection="1">
      <alignment horizontal="left" vertical="top" wrapText="1"/>
    </xf>
    <xf numFmtId="0" fontId="2" fillId="43" borderId="18" xfId="0" applyFont="1" applyFill="1" applyBorder="1" applyAlignment="1" applyProtection="1">
      <alignment horizontal="left" vertical="top" wrapText="1"/>
    </xf>
    <xf numFmtId="0" fontId="36" fillId="43" borderId="0" xfId="0" applyFont="1" applyFill="1" applyBorder="1" applyAlignment="1" applyProtection="1">
      <alignment vertical="top" wrapText="1"/>
    </xf>
    <xf numFmtId="0" fontId="36" fillId="43" borderId="39" xfId="0" applyFont="1" applyFill="1" applyBorder="1" applyAlignment="1" applyProtection="1">
      <alignment vertical="top" wrapText="1"/>
    </xf>
    <xf numFmtId="0" fontId="60" fillId="43" borderId="0" xfId="0" applyFont="1" applyFill="1" applyAlignment="1" applyProtection="1">
      <alignment vertical="top" wrapText="1"/>
    </xf>
    <xf numFmtId="0" fontId="2" fillId="43" borderId="0" xfId="0" applyFont="1" applyFill="1" applyAlignment="1" applyProtection="1">
      <alignment vertical="top" wrapText="1"/>
    </xf>
    <xf numFmtId="0" fontId="2" fillId="43" borderId="18" xfId="0" applyFont="1" applyFill="1" applyBorder="1" applyAlignment="1" applyProtection="1">
      <alignment vertical="top" wrapText="1"/>
    </xf>
    <xf numFmtId="0" fontId="39" fillId="27" borderId="70" xfId="0" applyFont="1" applyFill="1" applyBorder="1" applyAlignment="1" applyProtection="1">
      <alignment vertical="top" wrapText="1"/>
    </xf>
    <xf numFmtId="0" fontId="0" fillId="0" borderId="51" xfId="0" applyBorder="1" applyAlignment="1" applyProtection="1">
      <alignment vertical="top" wrapText="1"/>
    </xf>
    <xf numFmtId="0" fontId="66" fillId="50" borderId="0" xfId="77" applyFont="1" applyFill="1" applyAlignment="1" applyProtection="1">
      <alignment horizontal="left" vertical="top" wrapText="1"/>
    </xf>
    <xf numFmtId="0" fontId="38" fillId="42" borderId="100" xfId="0" applyNumberFormat="1" applyFont="1" applyFill="1" applyBorder="1" applyAlignment="1" applyProtection="1">
      <alignment horizontal="left" vertical="top" wrapText="1"/>
      <protection locked="0"/>
    </xf>
    <xf numFmtId="0" fontId="38" fillId="42" borderId="21" xfId="0" applyNumberFormat="1" applyFont="1" applyFill="1" applyBorder="1" applyAlignment="1" applyProtection="1">
      <alignment horizontal="left" vertical="top" wrapText="1"/>
      <protection locked="0"/>
    </xf>
    <xf numFmtId="0" fontId="38" fillId="42" borderId="99" xfId="0" applyNumberFormat="1" applyFont="1" applyFill="1" applyBorder="1" applyAlignment="1" applyProtection="1">
      <alignment horizontal="left" vertical="top" wrapText="1"/>
      <protection locked="0"/>
    </xf>
    <xf numFmtId="0" fontId="38" fillId="42" borderId="24" xfId="0" applyNumberFormat="1" applyFont="1" applyFill="1" applyBorder="1" applyAlignment="1" applyProtection="1">
      <alignment horizontal="left" vertical="top" wrapText="1"/>
      <protection locked="0"/>
    </xf>
    <xf numFmtId="0" fontId="38" fillId="25" borderId="13" xfId="0" applyNumberFormat="1" applyFont="1" applyFill="1" applyBorder="1" applyAlignment="1" applyProtection="1">
      <alignment horizontal="left" vertical="top" wrapText="1"/>
    </xf>
    <xf numFmtId="0" fontId="4" fillId="25" borderId="63" xfId="0" applyFont="1" applyFill="1" applyBorder="1" applyAlignment="1" applyProtection="1">
      <alignment horizontal="left" vertical="top" wrapText="1"/>
    </xf>
    <xf numFmtId="0" fontId="4" fillId="25" borderId="25" xfId="0" applyFont="1" applyFill="1" applyBorder="1" applyAlignment="1" applyProtection="1">
      <alignment horizontal="left" vertical="top" wrapText="1"/>
    </xf>
    <xf numFmtId="0" fontId="38" fillId="42" borderId="101" xfId="0" applyNumberFormat="1" applyFont="1" applyFill="1" applyBorder="1" applyAlignment="1" applyProtection="1">
      <alignment horizontal="left" vertical="top" wrapText="1"/>
      <protection locked="0"/>
    </xf>
    <xf numFmtId="0" fontId="38" fillId="42" borderId="20" xfId="0" applyNumberFormat="1" applyFont="1" applyFill="1" applyBorder="1" applyAlignment="1" applyProtection="1">
      <alignment horizontal="left" vertical="top" wrapText="1"/>
      <protection locked="0"/>
    </xf>
    <xf numFmtId="0" fontId="2" fillId="42" borderId="100" xfId="0" applyNumberFormat="1" applyFont="1" applyFill="1" applyBorder="1" applyAlignment="1" applyProtection="1">
      <alignment horizontal="left" vertical="top" wrapText="1"/>
      <protection locked="0"/>
    </xf>
    <xf numFmtId="0" fontId="2" fillId="42" borderId="21" xfId="0" applyNumberFormat="1" applyFont="1" applyFill="1" applyBorder="1" applyAlignment="1" applyProtection="1">
      <alignment horizontal="left" vertical="top" wrapText="1"/>
      <protection locked="0"/>
    </xf>
    <xf numFmtId="0" fontId="63" fillId="25" borderId="0" xfId="0" applyFont="1" applyFill="1" applyAlignment="1" applyProtection="1">
      <alignment horizontal="left" vertical="top"/>
    </xf>
    <xf numFmtId="0" fontId="6" fillId="50" borderId="70" xfId="0" applyFont="1" applyFill="1" applyBorder="1" applyAlignment="1" applyProtection="1">
      <alignment vertical="top" wrapText="1"/>
    </xf>
    <xf numFmtId="0" fontId="0" fillId="50" borderId="26" xfId="0" applyFill="1" applyBorder="1" applyAlignment="1" applyProtection="1">
      <alignment vertical="top" wrapText="1"/>
    </xf>
    <xf numFmtId="0" fontId="0" fillId="50" borderId="27" xfId="0" applyFill="1" applyBorder="1" applyAlignment="1" applyProtection="1">
      <alignment vertical="top" wrapText="1"/>
    </xf>
    <xf numFmtId="0" fontId="2" fillId="41" borderId="12" xfId="0" applyNumberFormat="1" applyFont="1" applyFill="1" applyBorder="1" applyAlignment="1" applyProtection="1">
      <alignment vertical="top" wrapText="1"/>
    </xf>
    <xf numFmtId="0" fontId="38" fillId="41" borderId="12" xfId="0" applyNumberFormat="1" applyFont="1" applyFill="1" applyBorder="1" applyAlignment="1" applyProtection="1">
      <alignment vertical="top" wrapText="1"/>
    </xf>
    <xf numFmtId="0" fontId="38" fillId="27" borderId="26" xfId="0" applyNumberFormat="1" applyFont="1" applyFill="1" applyBorder="1" applyAlignment="1" applyProtection="1">
      <alignment vertical="top" wrapText="1"/>
    </xf>
    <xf numFmtId="0" fontId="6" fillId="50" borderId="26" xfId="0" applyFont="1" applyFill="1" applyBorder="1" applyAlignment="1" applyProtection="1">
      <alignment vertical="top" wrapText="1"/>
    </xf>
    <xf numFmtId="0" fontId="6" fillId="50" borderId="27" xfId="0" applyFont="1" applyFill="1" applyBorder="1" applyAlignment="1" applyProtection="1">
      <alignment vertical="top" wrapText="1"/>
    </xf>
    <xf numFmtId="0" fontId="2" fillId="43" borderId="0" xfId="0" applyFont="1" applyFill="1" applyBorder="1" applyAlignment="1" applyProtection="1">
      <alignment vertical="top" wrapText="1"/>
    </xf>
    <xf numFmtId="0" fontId="2" fillId="43" borderId="39" xfId="0" applyFont="1" applyFill="1" applyBorder="1" applyAlignment="1" applyProtection="1">
      <alignment vertical="top" wrapText="1"/>
    </xf>
    <xf numFmtId="0" fontId="2" fillId="42" borderId="101" xfId="0" applyNumberFormat="1" applyFont="1" applyFill="1" applyBorder="1" applyAlignment="1" applyProtection="1">
      <alignment horizontal="left" vertical="top" wrapText="1"/>
      <protection locked="0"/>
    </xf>
    <xf numFmtId="0" fontId="68" fillId="50" borderId="131" xfId="0" applyFont="1" applyFill="1" applyBorder="1" applyAlignment="1" applyProtection="1">
      <alignment horizontal="left" vertical="top" wrapText="1"/>
    </xf>
    <xf numFmtId="0" fontId="68" fillId="50" borderId="131" xfId="0" applyFont="1" applyFill="1" applyBorder="1" applyAlignment="1" applyProtection="1">
      <alignment horizontal="left" vertical="top"/>
    </xf>
    <xf numFmtId="0" fontId="42" fillId="41" borderId="0" xfId="0" applyFont="1" applyFill="1" applyAlignment="1" applyProtection="1">
      <alignment vertical="top" wrapText="1"/>
    </xf>
    <xf numFmtId="0" fontId="4" fillId="41" borderId="0" xfId="0" applyFont="1" applyFill="1" applyAlignment="1" applyProtection="1">
      <alignment vertical="top" wrapText="1"/>
    </xf>
    <xf numFmtId="0" fontId="4" fillId="50" borderId="58" xfId="0" applyFont="1" applyFill="1" applyBorder="1" applyAlignment="1" applyProtection="1">
      <alignment horizontal="center" vertical="top" wrapText="1"/>
    </xf>
    <xf numFmtId="0" fontId="29" fillId="50" borderId="29" xfId="0" applyFont="1" applyFill="1" applyBorder="1" applyAlignment="1" applyProtection="1">
      <alignment horizontal="center" vertical="top" wrapText="1"/>
    </xf>
    <xf numFmtId="0" fontId="29" fillId="50" borderId="31" xfId="0" applyFont="1" applyFill="1" applyBorder="1" applyAlignment="1" applyProtection="1">
      <alignment horizontal="center" vertical="top" wrapText="1"/>
    </xf>
    <xf numFmtId="0" fontId="0" fillId="50" borderId="0" xfId="0" applyFill="1" applyAlignment="1" applyProtection="1">
      <alignment horizontal="center" vertical="top" wrapText="1"/>
    </xf>
    <xf numFmtId="0" fontId="0" fillId="50" borderId="39" xfId="0" applyFill="1" applyBorder="1" applyAlignment="1" applyProtection="1">
      <alignment horizontal="center" vertical="top" wrapText="1"/>
    </xf>
    <xf numFmtId="0" fontId="0" fillId="50" borderId="67" xfId="0" applyFill="1" applyBorder="1" applyAlignment="1" applyProtection="1">
      <alignment horizontal="center" vertical="top" wrapText="1"/>
    </xf>
    <xf numFmtId="0" fontId="0" fillId="50" borderId="40" xfId="0" applyFill="1" applyBorder="1" applyAlignment="1" applyProtection="1">
      <alignment horizontal="center" vertical="top" wrapText="1"/>
    </xf>
    <xf numFmtId="0" fontId="0" fillId="50" borderId="41" xfId="0" applyFill="1" applyBorder="1" applyAlignment="1" applyProtection="1">
      <alignment horizontal="center" vertical="top" wrapText="1"/>
    </xf>
    <xf numFmtId="0" fontId="0" fillId="50" borderId="142" xfId="0" applyFill="1" applyBorder="1" applyAlignment="1" applyProtection="1">
      <alignment horizontal="center" vertical="top" wrapText="1"/>
    </xf>
    <xf numFmtId="0" fontId="0" fillId="50" borderId="133" xfId="0" applyFill="1" applyBorder="1" applyAlignment="1" applyProtection="1">
      <alignment horizontal="center" vertical="top" wrapText="1"/>
    </xf>
    <xf numFmtId="0" fontId="0" fillId="50" borderId="141" xfId="0" applyFill="1" applyBorder="1" applyAlignment="1" applyProtection="1">
      <alignment horizontal="center" vertical="top" wrapText="1"/>
    </xf>
    <xf numFmtId="0" fontId="0" fillId="50" borderId="17" xfId="0" applyFill="1" applyBorder="1" applyAlignment="1" applyProtection="1">
      <alignment horizontal="center" vertical="top"/>
    </xf>
    <xf numFmtId="0" fontId="0" fillId="50" borderId="143" xfId="0" applyFill="1" applyBorder="1" applyAlignment="1" applyProtection="1">
      <alignment horizontal="center" vertical="top"/>
    </xf>
    <xf numFmtId="0" fontId="0" fillId="50" borderId="144" xfId="0" applyFill="1" applyBorder="1" applyAlignment="1" applyProtection="1">
      <alignment horizontal="center" vertical="top" wrapText="1"/>
    </xf>
    <xf numFmtId="0" fontId="68" fillId="50" borderId="141" xfId="0" applyFont="1" applyFill="1" applyBorder="1" applyAlignment="1" applyProtection="1">
      <alignment horizontal="left" vertical="top"/>
    </xf>
    <xf numFmtId="0" fontId="6" fillId="50" borderId="131" xfId="77" applyFill="1" applyBorder="1" applyAlignment="1" applyProtection="1">
      <alignment horizontal="left" vertical="top"/>
    </xf>
    <xf numFmtId="0" fontId="68" fillId="50" borderId="133" xfId="0" applyFont="1" applyFill="1" applyBorder="1" applyAlignment="1" applyProtection="1">
      <alignment horizontal="left" vertical="top"/>
    </xf>
    <xf numFmtId="0" fontId="6" fillId="50" borderId="143" xfId="77" applyFill="1" applyBorder="1" applyAlignment="1" applyProtection="1">
      <alignment horizontal="left" vertical="top"/>
    </xf>
    <xf numFmtId="0" fontId="73" fillId="42" borderId="100" xfId="0" applyNumberFormat="1" applyFont="1" applyFill="1" applyBorder="1" applyAlignment="1" applyProtection="1">
      <alignment horizontal="left" vertical="top"/>
      <protection locked="0"/>
    </xf>
    <xf numFmtId="0" fontId="73" fillId="42" borderId="21" xfId="0" applyNumberFormat="1" applyFont="1" applyFill="1" applyBorder="1" applyAlignment="1" applyProtection="1">
      <alignment horizontal="left" vertical="top"/>
      <protection locked="0"/>
    </xf>
    <xf numFmtId="49" fontId="73" fillId="42" borderId="100" xfId="0" applyNumberFormat="1" applyFont="1" applyFill="1" applyBorder="1" applyAlignment="1" applyProtection="1">
      <alignment horizontal="left" vertical="top"/>
      <protection locked="0"/>
    </xf>
    <xf numFmtId="49" fontId="73" fillId="42" borderId="15" xfId="0" applyNumberFormat="1" applyFont="1" applyFill="1" applyBorder="1" applyAlignment="1" applyProtection="1">
      <alignment horizontal="left" vertical="top"/>
      <protection locked="0"/>
    </xf>
    <xf numFmtId="49" fontId="73" fillId="42" borderId="21" xfId="0" applyNumberFormat="1" applyFont="1" applyFill="1" applyBorder="1" applyAlignment="1" applyProtection="1">
      <alignment horizontal="left" vertical="top"/>
      <protection locked="0"/>
    </xf>
    <xf numFmtId="49" fontId="2" fillId="42" borderId="100" xfId="0" applyNumberFormat="1" applyFont="1" applyFill="1" applyBorder="1" applyAlignment="1" applyProtection="1">
      <alignment horizontal="left" vertical="top"/>
      <protection locked="0"/>
    </xf>
    <xf numFmtId="0" fontId="42" fillId="43" borderId="0" xfId="0" quotePrefix="1" applyFont="1" applyFill="1" applyAlignment="1" applyProtection="1">
      <alignment horizontal="left" vertical="top" wrapText="1"/>
    </xf>
    <xf numFmtId="0" fontId="42" fillId="43" borderId="39" xfId="0" quotePrefix="1" applyFont="1" applyFill="1" applyBorder="1" applyAlignment="1" applyProtection="1">
      <alignment horizontal="left" vertical="top" wrapText="1"/>
    </xf>
    <xf numFmtId="0" fontId="38" fillId="42" borderId="100" xfId="0" applyNumberFormat="1" applyFont="1" applyFill="1" applyBorder="1" applyAlignment="1" applyProtection="1">
      <alignment vertical="top"/>
      <protection locked="0"/>
    </xf>
    <xf numFmtId="0" fontId="0" fillId="42" borderId="15" xfId="0" applyFill="1" applyBorder="1" applyAlignment="1" applyProtection="1">
      <alignment vertical="top"/>
      <protection locked="0"/>
    </xf>
    <xf numFmtId="0" fontId="38" fillId="27" borderId="100" xfId="0" applyNumberFormat="1" applyFont="1" applyFill="1" applyBorder="1" applyAlignment="1" applyProtection="1">
      <alignment horizontal="left" vertical="top" wrapText="1"/>
    </xf>
    <xf numFmtId="0" fontId="0" fillId="0" borderId="21" xfId="0" applyBorder="1" applyAlignment="1" applyProtection="1">
      <alignment horizontal="left" vertical="top" wrapText="1"/>
    </xf>
    <xf numFmtId="0" fontId="38" fillId="27" borderId="99" xfId="0" applyNumberFormat="1" applyFont="1" applyFill="1" applyBorder="1" applyAlignment="1" applyProtection="1">
      <alignment horizontal="left" vertical="top" wrapText="1"/>
    </xf>
    <xf numFmtId="0" fontId="0" fillId="0" borderId="24" xfId="0" applyBorder="1" applyAlignment="1" applyProtection="1">
      <alignment horizontal="left" vertical="top" wrapText="1"/>
    </xf>
    <xf numFmtId="49" fontId="0" fillId="29" borderId="16" xfId="0" applyNumberFormat="1" applyFill="1" applyBorder="1" applyAlignment="1" applyProtection="1">
      <alignment vertical="top"/>
      <protection locked="0"/>
    </xf>
    <xf numFmtId="49" fontId="0" fillId="29" borderId="24" xfId="0" applyNumberFormat="1" applyFill="1" applyBorder="1" applyAlignment="1" applyProtection="1">
      <alignment vertical="top"/>
      <protection locked="0"/>
    </xf>
    <xf numFmtId="49" fontId="0" fillId="29" borderId="15" xfId="0" applyNumberFormat="1" applyFill="1" applyBorder="1" applyAlignment="1" applyProtection="1">
      <alignment vertical="top"/>
      <protection locked="0"/>
    </xf>
    <xf numFmtId="49" fontId="0" fillId="29" borderId="21" xfId="0" applyNumberFormat="1" applyFill="1" applyBorder="1" applyAlignment="1" applyProtection="1">
      <alignment vertical="top"/>
      <protection locked="0"/>
    </xf>
    <xf numFmtId="0" fontId="38" fillId="42" borderId="99" xfId="0" applyNumberFormat="1" applyFont="1" applyFill="1" applyBorder="1" applyAlignment="1" applyProtection="1">
      <alignment vertical="top"/>
      <protection locked="0"/>
    </xf>
    <xf numFmtId="0" fontId="0" fillId="42" borderId="16" xfId="0" applyFill="1" applyBorder="1" applyAlignment="1" applyProtection="1">
      <alignment vertical="top"/>
      <protection locked="0"/>
    </xf>
    <xf numFmtId="0" fontId="38" fillId="25" borderId="70" xfId="0" applyNumberFormat="1" applyFont="1" applyFill="1" applyBorder="1" applyAlignment="1" applyProtection="1">
      <alignment vertical="top" wrapText="1"/>
    </xf>
    <xf numFmtId="49" fontId="2" fillId="29" borderId="15" xfId="0" applyNumberFormat="1" applyFont="1" applyFill="1" applyBorder="1" applyAlignment="1" applyProtection="1">
      <alignment horizontal="left" vertical="top"/>
      <protection locked="0"/>
    </xf>
    <xf numFmtId="49" fontId="2" fillId="29" borderId="21" xfId="0" applyNumberFormat="1" applyFont="1" applyFill="1" applyBorder="1" applyAlignment="1" applyProtection="1">
      <alignment horizontal="left" vertical="top"/>
      <protection locked="0"/>
    </xf>
    <xf numFmtId="0" fontId="4" fillId="25" borderId="63" xfId="0" applyFont="1" applyFill="1" applyBorder="1" applyAlignment="1" applyProtection="1">
      <alignment vertical="top" wrapText="1"/>
    </xf>
    <xf numFmtId="0" fontId="0" fillId="42" borderId="15" xfId="0" applyFill="1" applyBorder="1" applyAlignment="1" applyProtection="1">
      <alignment horizontal="left" vertical="top" wrapText="1"/>
      <protection locked="0"/>
    </xf>
    <xf numFmtId="0" fontId="0" fillId="42" borderId="21" xfId="0" applyFill="1" applyBorder="1" applyAlignment="1" applyProtection="1">
      <alignment horizontal="left" vertical="top" wrapText="1"/>
      <protection locked="0"/>
    </xf>
    <xf numFmtId="0" fontId="2" fillId="42" borderId="99" xfId="0" applyNumberFormat="1" applyFont="1" applyFill="1" applyBorder="1" applyAlignment="1" applyProtection="1">
      <alignment horizontal="left" vertical="top" wrapText="1"/>
      <protection locked="0"/>
    </xf>
    <xf numFmtId="0" fontId="0" fillId="42" borderId="16" xfId="0" applyFill="1" applyBorder="1" applyAlignment="1" applyProtection="1">
      <alignment horizontal="left" vertical="top" wrapText="1"/>
      <protection locked="0"/>
    </xf>
    <xf numFmtId="0" fontId="0" fillId="42" borderId="24" xfId="0" applyFill="1" applyBorder="1" applyAlignment="1" applyProtection="1">
      <alignment horizontal="left" vertical="top" wrapText="1"/>
      <protection locked="0"/>
    </xf>
    <xf numFmtId="49" fontId="2" fillId="29" borderId="16" xfId="0" applyNumberFormat="1" applyFont="1" applyFill="1" applyBorder="1" applyAlignment="1" applyProtection="1">
      <alignment horizontal="left" vertical="top"/>
      <protection locked="0"/>
    </xf>
    <xf numFmtId="49" fontId="2" fillId="29" borderId="24" xfId="0" applyNumberFormat="1" applyFont="1" applyFill="1" applyBorder="1" applyAlignment="1" applyProtection="1">
      <alignment horizontal="left" vertical="top"/>
      <protection locked="0"/>
    </xf>
    <xf numFmtId="0" fontId="39" fillId="27" borderId="84" xfId="0" applyFont="1" applyFill="1" applyBorder="1" applyAlignment="1" applyProtection="1">
      <alignment horizontal="center"/>
    </xf>
    <xf numFmtId="0" fontId="39" fillId="27" borderId="86" xfId="0" applyFont="1" applyFill="1" applyBorder="1" applyAlignment="1" applyProtection="1">
      <alignment horizontal="center"/>
    </xf>
    <xf numFmtId="0" fontId="0" fillId="42" borderId="14" xfId="0" applyFill="1" applyBorder="1" applyAlignment="1" applyProtection="1">
      <alignment horizontal="left" vertical="top" wrapText="1"/>
      <protection locked="0"/>
    </xf>
    <xf numFmtId="0" fontId="0" fillId="42" borderId="20" xfId="0" applyFill="1" applyBorder="1" applyAlignment="1" applyProtection="1">
      <alignment horizontal="left" vertical="top" wrapText="1"/>
      <protection locked="0"/>
    </xf>
    <xf numFmtId="49" fontId="2" fillId="29" borderId="14" xfId="0" applyNumberFormat="1" applyFont="1" applyFill="1" applyBorder="1" applyAlignment="1" applyProtection="1">
      <alignment horizontal="left" vertical="top"/>
      <protection locked="0"/>
    </xf>
    <xf numFmtId="49" fontId="2" fillId="29" borderId="20" xfId="0" applyNumberFormat="1" applyFont="1" applyFill="1" applyBorder="1" applyAlignment="1" applyProtection="1">
      <alignment horizontal="left" vertical="top"/>
      <protection locked="0"/>
    </xf>
    <xf numFmtId="0" fontId="4" fillId="25" borderId="19" xfId="0" applyFont="1" applyFill="1" applyBorder="1" applyAlignment="1" applyProtection="1">
      <alignment horizontal="left" vertical="top" wrapText="1"/>
    </xf>
    <xf numFmtId="0" fontId="4" fillId="25" borderId="0" xfId="0" applyFont="1" applyFill="1" applyBorder="1" applyAlignment="1" applyProtection="1">
      <alignment horizontal="left" vertical="top" wrapText="1"/>
    </xf>
    <xf numFmtId="0" fontId="6" fillId="50" borderId="0" xfId="77" applyFill="1" applyAlignment="1" applyProtection="1">
      <alignment vertical="top" wrapText="1"/>
    </xf>
    <xf numFmtId="0" fontId="2" fillId="50" borderId="70" xfId="0" applyNumberFormat="1" applyFont="1" applyFill="1" applyBorder="1" applyAlignment="1" applyProtection="1">
      <alignment horizontal="left" vertical="top"/>
    </xf>
    <xf numFmtId="0" fontId="2" fillId="50" borderId="26" xfId="0" applyFont="1" applyFill="1" applyBorder="1" applyAlignment="1" applyProtection="1">
      <alignment horizontal="left" vertical="top"/>
    </xf>
    <xf numFmtId="0" fontId="2" fillId="50" borderId="12" xfId="0" applyFont="1" applyFill="1" applyBorder="1" applyAlignment="1" applyProtection="1">
      <alignment horizontal="left" vertical="top"/>
    </xf>
    <xf numFmtId="0" fontId="2" fillId="50" borderId="25" xfId="0" applyFont="1" applyFill="1" applyBorder="1" applyAlignment="1" applyProtection="1">
      <alignment horizontal="left" vertical="top"/>
    </xf>
    <xf numFmtId="0" fontId="38" fillId="27" borderId="101" xfId="0" applyNumberFormat="1" applyFont="1" applyFill="1" applyBorder="1" applyAlignment="1" applyProtection="1">
      <alignment horizontal="left" vertical="top" wrapText="1"/>
    </xf>
    <xf numFmtId="0" fontId="0" fillId="0" borderId="14" xfId="0" applyBorder="1" applyAlignment="1" applyProtection="1">
      <alignment horizontal="left" vertical="top" wrapText="1"/>
    </xf>
    <xf numFmtId="0" fontId="0" fillId="0" borderId="20" xfId="0" applyBorder="1" applyAlignment="1" applyProtection="1">
      <alignment horizontal="left" vertical="top" wrapText="1"/>
    </xf>
    <xf numFmtId="0" fontId="4" fillId="43" borderId="26" xfId="0" applyNumberFormat="1" applyFont="1" applyFill="1" applyBorder="1" applyAlignment="1" applyProtection="1">
      <alignment vertical="top" wrapText="1"/>
    </xf>
    <xf numFmtId="49" fontId="73" fillId="42" borderId="14" xfId="0" applyNumberFormat="1" applyFont="1" applyFill="1" applyBorder="1" applyAlignment="1" applyProtection="1">
      <alignment horizontal="left" vertical="top"/>
      <protection locked="0"/>
    </xf>
    <xf numFmtId="49" fontId="73" fillId="42" borderId="20" xfId="0" applyNumberFormat="1" applyFont="1" applyFill="1" applyBorder="1" applyAlignment="1" applyProtection="1">
      <alignment horizontal="left" vertical="top"/>
      <protection locked="0"/>
    </xf>
    <xf numFmtId="0" fontId="38" fillId="41" borderId="15" xfId="0" applyNumberFormat="1" applyFont="1" applyFill="1" applyBorder="1" applyAlignment="1" applyProtection="1">
      <alignment horizontal="left" vertical="top"/>
    </xf>
    <xf numFmtId="0" fontId="38" fillId="41" borderId="21" xfId="0" applyNumberFormat="1" applyFont="1" applyFill="1" applyBorder="1" applyAlignment="1" applyProtection="1">
      <alignment horizontal="left" vertical="top"/>
    </xf>
    <xf numFmtId="0" fontId="38" fillId="41" borderId="16" xfId="0" applyNumberFormat="1" applyFont="1" applyFill="1" applyBorder="1" applyAlignment="1" applyProtection="1">
      <alignment horizontal="left" vertical="top"/>
    </xf>
    <xf numFmtId="0" fontId="38" fillId="41" borderId="24" xfId="0" applyNumberFormat="1" applyFont="1" applyFill="1" applyBorder="1" applyAlignment="1" applyProtection="1">
      <alignment horizontal="left" vertical="top"/>
    </xf>
    <xf numFmtId="0" fontId="2" fillId="41" borderId="14" xfId="0" applyNumberFormat="1" applyFont="1" applyFill="1" applyBorder="1" applyAlignment="1" applyProtection="1">
      <alignment horizontal="left" vertical="top"/>
    </xf>
    <xf numFmtId="0" fontId="38" fillId="41" borderId="20" xfId="0" applyNumberFormat="1" applyFont="1" applyFill="1" applyBorder="1" applyAlignment="1" applyProtection="1">
      <alignment horizontal="left" vertical="top"/>
    </xf>
    <xf numFmtId="0" fontId="4" fillId="25" borderId="63" xfId="0" applyNumberFormat="1" applyFont="1" applyFill="1" applyBorder="1" applyAlignment="1" applyProtection="1">
      <alignment vertical="top" wrapText="1"/>
    </xf>
    <xf numFmtId="49" fontId="2" fillId="29" borderId="107" xfId="0" applyNumberFormat="1" applyFont="1" applyFill="1" applyBorder="1" applyAlignment="1" applyProtection="1">
      <alignment horizontal="left" vertical="top" wrapText="1"/>
      <protection locked="0"/>
    </xf>
    <xf numFmtId="49" fontId="0" fillId="29" borderId="22" xfId="0" applyNumberFormat="1" applyFill="1" applyBorder="1" applyAlignment="1" applyProtection="1">
      <alignment vertical="top" wrapText="1"/>
      <protection locked="0"/>
    </xf>
    <xf numFmtId="49" fontId="0" fillId="29" borderId="106" xfId="0" applyNumberFormat="1" applyFill="1" applyBorder="1" applyAlignment="1" applyProtection="1">
      <alignment vertical="top" wrapText="1"/>
      <protection locked="0"/>
    </xf>
    <xf numFmtId="0" fontId="74" fillId="50" borderId="133" xfId="0" applyFont="1" applyFill="1" applyBorder="1" applyAlignment="1" applyProtection="1">
      <alignment horizontal="left"/>
    </xf>
    <xf numFmtId="0" fontId="74" fillId="50" borderId="131" xfId="0" applyFont="1" applyFill="1" applyBorder="1" applyAlignment="1" applyProtection="1">
      <alignment horizontal="left"/>
    </xf>
    <xf numFmtId="0" fontId="63" fillId="50" borderId="0" xfId="77" applyFont="1" applyFill="1" applyAlignment="1" applyProtection="1">
      <alignment vertical="top" wrapText="1"/>
    </xf>
    <xf numFmtId="0" fontId="79" fillId="53" borderId="0" xfId="0" quotePrefix="1" applyFont="1" applyFill="1" applyAlignment="1" applyProtection="1">
      <alignment horizontal="left" vertical="center" wrapText="1"/>
    </xf>
    <xf numFmtId="0" fontId="38" fillId="42" borderId="100" xfId="0" applyNumberFormat="1" applyFont="1" applyFill="1" applyBorder="1" applyAlignment="1" applyProtection="1">
      <alignment vertical="top" wrapText="1"/>
      <protection locked="0"/>
    </xf>
    <xf numFmtId="0" fontId="0" fillId="42" borderId="15" xfId="0" applyFill="1" applyBorder="1" applyAlignment="1" applyProtection="1">
      <alignment vertical="top" wrapText="1"/>
      <protection locked="0"/>
    </xf>
    <xf numFmtId="0" fontId="0" fillId="0" borderId="0" xfId="0" applyAlignment="1" applyProtection="1"/>
    <xf numFmtId="49" fontId="2" fillId="42" borderId="100" xfId="0" applyNumberFormat="1" applyFont="1" applyFill="1" applyBorder="1" applyAlignment="1" applyProtection="1">
      <alignment horizontal="left" vertical="top" wrapText="1"/>
      <protection locked="0"/>
    </xf>
    <xf numFmtId="49" fontId="0" fillId="29" borderId="15" xfId="0" applyNumberFormat="1" applyFill="1" applyBorder="1" applyAlignment="1" applyProtection="1">
      <alignment vertical="top" wrapText="1"/>
      <protection locked="0"/>
    </xf>
    <xf numFmtId="49" fontId="0" fillId="29" borderId="21" xfId="0" applyNumberFormat="1" applyFill="1" applyBorder="1" applyAlignment="1" applyProtection="1">
      <alignment vertical="top" wrapText="1"/>
      <protection locked="0"/>
    </xf>
    <xf numFmtId="0" fontId="38" fillId="42" borderId="101" xfId="0" applyNumberFormat="1" applyFont="1" applyFill="1" applyBorder="1" applyAlignment="1" applyProtection="1">
      <alignment vertical="top" wrapText="1"/>
      <protection locked="0"/>
    </xf>
    <xf numFmtId="0" fontId="0" fillId="42" borderId="14" xfId="0" applyFill="1" applyBorder="1" applyAlignment="1" applyProtection="1">
      <alignment vertical="top" wrapText="1"/>
      <protection locked="0"/>
    </xf>
    <xf numFmtId="0" fontId="38" fillId="42" borderId="101" xfId="0" applyNumberFormat="1" applyFont="1" applyFill="1" applyBorder="1" applyAlignment="1" applyProtection="1">
      <alignment vertical="top"/>
      <protection locked="0"/>
    </xf>
    <xf numFmtId="0" fontId="0" fillId="42" borderId="14" xfId="0" applyFill="1" applyBorder="1" applyAlignment="1" applyProtection="1">
      <alignment vertical="top"/>
      <protection locked="0"/>
    </xf>
    <xf numFmtId="0" fontId="4" fillId="25" borderId="63" xfId="0" applyNumberFormat="1" applyFont="1" applyFill="1" applyBorder="1" applyAlignment="1" applyProtection="1">
      <alignment horizontal="left" vertical="top" wrapText="1"/>
    </xf>
    <xf numFmtId="0" fontId="4" fillId="25" borderId="12" xfId="0" applyNumberFormat="1" applyFont="1" applyFill="1" applyBorder="1" applyAlignment="1" applyProtection="1">
      <alignment horizontal="left" vertical="top" wrapText="1"/>
    </xf>
    <xf numFmtId="0" fontId="4" fillId="25" borderId="25" xfId="0" applyNumberFormat="1" applyFont="1" applyFill="1" applyBorder="1" applyAlignment="1" applyProtection="1">
      <alignment horizontal="left" vertical="top" wrapText="1"/>
    </xf>
    <xf numFmtId="0" fontId="73" fillId="42" borderId="101" xfId="0" applyNumberFormat="1" applyFont="1" applyFill="1" applyBorder="1" applyAlignment="1" applyProtection="1">
      <alignment horizontal="left" vertical="top"/>
      <protection locked="0"/>
    </xf>
    <xf numFmtId="0" fontId="73" fillId="42" borderId="20" xfId="0" applyNumberFormat="1" applyFont="1" applyFill="1" applyBorder="1" applyAlignment="1" applyProtection="1">
      <alignment horizontal="left" vertical="top"/>
      <protection locked="0"/>
    </xf>
    <xf numFmtId="0" fontId="73" fillId="42" borderId="99" xfId="0" applyNumberFormat="1" applyFont="1" applyFill="1" applyBorder="1" applyAlignment="1" applyProtection="1">
      <alignment horizontal="left" vertical="top"/>
      <protection locked="0"/>
    </xf>
    <xf numFmtId="0" fontId="73" fillId="42" borderId="24" xfId="0" applyNumberFormat="1" applyFont="1" applyFill="1" applyBorder="1" applyAlignment="1" applyProtection="1">
      <alignment horizontal="left" vertical="top"/>
      <protection locked="0"/>
    </xf>
    <xf numFmtId="49" fontId="73" fillId="42" borderId="99" xfId="0" applyNumberFormat="1" applyFont="1" applyFill="1" applyBorder="1" applyAlignment="1" applyProtection="1">
      <alignment horizontal="left" vertical="top"/>
      <protection locked="0"/>
    </xf>
    <xf numFmtId="49" fontId="73" fillId="42" borderId="16" xfId="0" applyNumberFormat="1" applyFont="1" applyFill="1" applyBorder="1" applyAlignment="1" applyProtection="1">
      <alignment horizontal="left" vertical="top"/>
      <protection locked="0"/>
    </xf>
    <xf numFmtId="49" fontId="73" fillId="42" borderId="24" xfId="0" applyNumberFormat="1" applyFont="1" applyFill="1" applyBorder="1" applyAlignment="1" applyProtection="1">
      <alignment horizontal="left" vertical="top"/>
      <protection locked="0"/>
    </xf>
    <xf numFmtId="0" fontId="39" fillId="27" borderId="70" xfId="0" applyFont="1" applyFill="1" applyBorder="1" applyAlignment="1" applyProtection="1">
      <alignment horizontal="left"/>
    </xf>
    <xf numFmtId="0" fontId="39" fillId="27" borderId="26" xfId="0" applyFont="1" applyFill="1" applyBorder="1" applyAlignment="1" applyProtection="1">
      <alignment horizontal="left"/>
    </xf>
    <xf numFmtId="0" fontId="39" fillId="27" borderId="27" xfId="0" applyFont="1" applyFill="1" applyBorder="1" applyAlignment="1" applyProtection="1">
      <alignment horizontal="left"/>
    </xf>
    <xf numFmtId="0" fontId="67" fillId="50" borderId="70" xfId="0" applyFont="1" applyFill="1" applyBorder="1" applyAlignment="1" applyProtection="1">
      <alignment vertical="top" wrapText="1"/>
    </xf>
    <xf numFmtId="0" fontId="67" fillId="50" borderId="26" xfId="0" applyFont="1" applyFill="1" applyBorder="1" applyAlignment="1" applyProtection="1">
      <alignment vertical="top" wrapText="1"/>
    </xf>
    <xf numFmtId="0" fontId="67" fillId="50" borderId="27" xfId="0" applyFont="1" applyFill="1" applyBorder="1" applyAlignment="1" applyProtection="1">
      <alignment vertical="top" wrapText="1"/>
    </xf>
    <xf numFmtId="0" fontId="6" fillId="50" borderId="143" xfId="77" applyFill="1" applyBorder="1" applyAlignment="1" applyProtection="1">
      <alignment horizontal="center" vertical="top" wrapText="1"/>
    </xf>
    <xf numFmtId="0" fontId="40" fillId="50" borderId="0" xfId="77" applyNumberFormat="1" applyFont="1" applyFill="1" applyAlignment="1" applyProtection="1">
      <alignment vertical="top" wrapText="1"/>
    </xf>
    <xf numFmtId="0" fontId="38" fillId="25" borderId="24" xfId="0" applyNumberFormat="1" applyFont="1" applyFill="1" applyBorder="1" applyAlignment="1" applyProtection="1">
      <alignment vertical="top" wrapText="1"/>
    </xf>
    <xf numFmtId="0" fontId="38" fillId="25" borderId="20" xfId="0" applyNumberFormat="1" applyFont="1" applyFill="1" applyBorder="1" applyAlignment="1" applyProtection="1">
      <alignment vertical="top" wrapText="1"/>
    </xf>
    <xf numFmtId="0" fontId="38" fillId="25" borderId="21" xfId="0" applyNumberFormat="1" applyFont="1" applyFill="1" applyBorder="1" applyAlignment="1" applyProtection="1">
      <alignment vertical="top" wrapText="1"/>
    </xf>
    <xf numFmtId="0" fontId="40" fillId="50" borderId="0" xfId="77" applyNumberFormat="1" applyFont="1" applyFill="1" applyBorder="1" applyAlignment="1" applyProtection="1">
      <alignment vertical="top" wrapText="1"/>
    </xf>
    <xf numFmtId="0" fontId="2" fillId="30" borderId="16" xfId="0" applyFont="1" applyFill="1" applyBorder="1" applyAlignment="1" applyProtection="1">
      <alignment horizontal="left" vertical="top" wrapText="1"/>
      <protection locked="0"/>
    </xf>
    <xf numFmtId="0" fontId="0" fillId="30" borderId="24" xfId="0" applyFill="1" applyBorder="1" applyAlignment="1" applyProtection="1">
      <alignment horizontal="left" vertical="top" wrapText="1"/>
      <protection locked="0"/>
    </xf>
    <xf numFmtId="0" fontId="2" fillId="29" borderId="14" xfId="0" applyFont="1" applyFill="1" applyBorder="1" applyAlignment="1" applyProtection="1">
      <alignment horizontal="left" vertical="top" wrapText="1"/>
      <protection locked="0"/>
    </xf>
    <xf numFmtId="0" fontId="0" fillId="0" borderId="20" xfId="0" applyBorder="1" applyAlignment="1" applyProtection="1">
      <alignment horizontal="left" vertical="top" wrapText="1"/>
      <protection locked="0"/>
    </xf>
    <xf numFmtId="0" fontId="2" fillId="30" borderId="15" xfId="0" applyFont="1" applyFill="1" applyBorder="1" applyAlignment="1" applyProtection="1">
      <alignment horizontal="left" vertical="top" wrapText="1"/>
      <protection locked="0"/>
    </xf>
    <xf numFmtId="0" fontId="0" fillId="30" borderId="21" xfId="0" applyFill="1" applyBorder="1" applyAlignment="1" applyProtection="1">
      <alignment horizontal="left" vertical="top" wrapText="1"/>
      <protection locked="0"/>
    </xf>
    <xf numFmtId="0" fontId="2" fillId="29" borderId="101" xfId="0" applyFont="1" applyFill="1"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2" fillId="30" borderId="100" xfId="0" applyFont="1" applyFill="1" applyBorder="1" applyAlignment="1" applyProtection="1">
      <alignment horizontal="left" vertical="top" wrapText="1"/>
      <protection locked="0"/>
    </xf>
    <xf numFmtId="0" fontId="0" fillId="30" borderId="15" xfId="0" applyFill="1" applyBorder="1" applyAlignment="1" applyProtection="1">
      <alignment horizontal="left" vertical="top" wrapText="1"/>
      <protection locked="0"/>
    </xf>
    <xf numFmtId="0" fontId="2" fillId="30" borderId="99" xfId="0" applyFont="1" applyFill="1" applyBorder="1" applyAlignment="1" applyProtection="1">
      <alignment horizontal="left" vertical="top" wrapText="1"/>
      <protection locked="0"/>
    </xf>
    <xf numFmtId="0" fontId="0" fillId="30" borderId="16" xfId="0" applyFill="1" applyBorder="1" applyAlignment="1" applyProtection="1">
      <alignment horizontal="left" vertical="top" wrapText="1"/>
      <protection locked="0"/>
    </xf>
    <xf numFmtId="0" fontId="2" fillId="30" borderId="15" xfId="0" applyFont="1" applyFill="1" applyBorder="1" applyAlignment="1" applyProtection="1">
      <alignment horizontal="left" vertical="top"/>
      <protection locked="0"/>
    </xf>
    <xf numFmtId="0" fontId="0" fillId="30" borderId="21" xfId="0" applyFill="1" applyBorder="1" applyAlignment="1" applyProtection="1">
      <alignment horizontal="left" vertical="top"/>
      <protection locked="0"/>
    </xf>
    <xf numFmtId="0" fontId="2" fillId="30" borderId="100" xfId="0" applyFont="1" applyFill="1" applyBorder="1" applyAlignment="1" applyProtection="1">
      <alignment horizontal="left" vertical="top"/>
      <protection locked="0"/>
    </xf>
    <xf numFmtId="0" fontId="0" fillId="30" borderId="15" xfId="0" applyFill="1" applyBorder="1" applyAlignment="1" applyProtection="1">
      <alignment horizontal="left" vertical="top"/>
      <protection locked="0"/>
    </xf>
    <xf numFmtId="0" fontId="2" fillId="30" borderId="14" xfId="0" applyFont="1" applyFill="1" applyBorder="1" applyAlignment="1" applyProtection="1">
      <alignment horizontal="left" vertical="top"/>
      <protection locked="0"/>
    </xf>
    <xf numFmtId="0" fontId="0" fillId="30" borderId="20" xfId="0" applyFill="1" applyBorder="1" applyAlignment="1" applyProtection="1">
      <alignment horizontal="left" vertical="top"/>
      <protection locked="0"/>
    </xf>
    <xf numFmtId="0" fontId="2" fillId="30" borderId="101" xfId="0" applyFont="1" applyFill="1" applyBorder="1" applyAlignment="1" applyProtection="1">
      <alignment horizontal="left" vertical="top"/>
      <protection locked="0"/>
    </xf>
    <xf numFmtId="0" fontId="0" fillId="30" borderId="14" xfId="0" applyFill="1" applyBorder="1" applyAlignment="1" applyProtection="1">
      <alignment horizontal="left" vertical="top"/>
      <protection locked="0"/>
    </xf>
    <xf numFmtId="0" fontId="10" fillId="41" borderId="0" xfId="0" applyFont="1" applyFill="1" applyBorder="1" applyAlignment="1" applyProtection="1">
      <alignment vertical="top" wrapText="1"/>
    </xf>
    <xf numFmtId="0" fontId="36" fillId="25" borderId="12" xfId="0" applyFont="1" applyFill="1" applyBorder="1" applyAlignment="1" applyProtection="1">
      <alignment horizontal="left" vertical="top" wrapText="1"/>
    </xf>
    <xf numFmtId="0" fontId="2" fillId="30" borderId="16" xfId="0" applyFont="1" applyFill="1" applyBorder="1" applyAlignment="1" applyProtection="1">
      <alignment horizontal="left" vertical="top"/>
      <protection locked="0"/>
    </xf>
    <xf numFmtId="0" fontId="0" fillId="30" borderId="24" xfId="0" applyFill="1" applyBorder="1" applyAlignment="1" applyProtection="1">
      <alignment horizontal="left" vertical="top"/>
      <protection locked="0"/>
    </xf>
    <xf numFmtId="0" fontId="2" fillId="30" borderId="99" xfId="0" applyFont="1" applyFill="1" applyBorder="1" applyAlignment="1" applyProtection="1">
      <alignment horizontal="left" vertical="top"/>
      <protection locked="0"/>
    </xf>
    <xf numFmtId="0" fontId="0" fillId="30" borderId="16" xfId="0" applyFill="1" applyBorder="1" applyAlignment="1" applyProtection="1">
      <alignment horizontal="left" vertical="top"/>
      <protection locked="0"/>
    </xf>
    <xf numFmtId="0" fontId="4" fillId="25" borderId="11" xfId="0" applyFont="1" applyFill="1" applyBorder="1" applyAlignment="1" applyProtection="1">
      <alignment horizontal="center" wrapText="1"/>
    </xf>
    <xf numFmtId="0" fontId="4" fillId="25" borderId="63" xfId="0" applyFont="1" applyFill="1" applyBorder="1" applyAlignment="1" applyProtection="1">
      <alignment horizontal="left" wrapText="1"/>
    </xf>
    <xf numFmtId="0" fontId="4" fillId="25" borderId="25" xfId="0" applyFont="1" applyFill="1" applyBorder="1" applyAlignment="1" applyProtection="1">
      <alignment horizontal="left" wrapText="1"/>
    </xf>
    <xf numFmtId="0" fontId="0" fillId="42" borderId="13" xfId="0" applyFill="1" applyBorder="1" applyAlignment="1" applyProtection="1">
      <alignment horizontal="left" wrapText="1"/>
      <protection locked="0"/>
    </xf>
    <xf numFmtId="0" fontId="0" fillId="42" borderId="70" xfId="0" applyFill="1" applyBorder="1" applyAlignment="1" applyProtection="1">
      <alignment horizontal="left" wrapText="1"/>
      <protection locked="0"/>
    </xf>
    <xf numFmtId="0" fontId="0" fillId="42" borderId="27" xfId="0" applyFill="1" applyBorder="1" applyAlignment="1" applyProtection="1">
      <alignment horizontal="left" wrapText="1"/>
      <protection locked="0"/>
    </xf>
    <xf numFmtId="0" fontId="2" fillId="25" borderId="13" xfId="0" applyNumberFormat="1" applyFont="1" applyFill="1" applyBorder="1" applyAlignment="1" applyProtection="1">
      <alignment horizontal="left" vertical="top" wrapText="1"/>
    </xf>
    <xf numFmtId="0" fontId="39" fillId="27" borderId="70" xfId="0" applyFont="1" applyFill="1" applyBorder="1" applyAlignment="1" applyProtection="1">
      <alignment horizontal="left" vertical="top" wrapText="1"/>
    </xf>
    <xf numFmtId="0" fontId="39" fillId="27" borderId="26" xfId="0" applyFont="1" applyFill="1" applyBorder="1" applyAlignment="1" applyProtection="1">
      <alignment horizontal="left" vertical="top" wrapText="1"/>
    </xf>
    <xf numFmtId="0" fontId="39" fillId="27" borderId="51" xfId="0" applyFont="1" applyFill="1" applyBorder="1" applyAlignment="1" applyProtection="1">
      <alignment horizontal="left" vertical="top" wrapText="1"/>
    </xf>
    <xf numFmtId="0" fontId="36" fillId="25" borderId="0" xfId="0" applyFont="1" applyFill="1" applyBorder="1" applyAlignment="1" applyProtection="1">
      <alignment horizontal="left" vertical="top" wrapText="1"/>
    </xf>
    <xf numFmtId="0" fontId="4" fillId="25" borderId="0" xfId="0" applyFont="1" applyFill="1" applyAlignment="1" applyProtection="1">
      <alignment horizontal="left" vertical="top"/>
    </xf>
    <xf numFmtId="0" fontId="4" fillId="25" borderId="18" xfId="0" applyFont="1" applyFill="1" applyBorder="1" applyAlignment="1" applyProtection="1">
      <alignment horizontal="left" vertical="top"/>
    </xf>
    <xf numFmtId="0" fontId="2" fillId="25" borderId="13" xfId="0" applyNumberFormat="1" applyFont="1" applyFill="1" applyBorder="1" applyAlignment="1" applyProtection="1">
      <alignment horizontal="left" vertical="top"/>
    </xf>
    <xf numFmtId="0" fontId="2" fillId="25" borderId="10" xfId="0" applyNumberFormat="1" applyFont="1" applyFill="1" applyBorder="1" applyAlignment="1" applyProtection="1">
      <alignment horizontal="left" vertical="top" wrapText="1"/>
    </xf>
    <xf numFmtId="0" fontId="49" fillId="34" borderId="84" xfId="0" applyFont="1" applyFill="1" applyBorder="1" applyAlignment="1" applyProtection="1">
      <alignment horizontal="left" vertical="center" wrapText="1"/>
    </xf>
    <xf numFmtId="0" fontId="49" fillId="34" borderId="85" xfId="0" applyFont="1" applyFill="1" applyBorder="1" applyAlignment="1" applyProtection="1">
      <alignment horizontal="left" vertical="center" wrapText="1"/>
    </xf>
    <xf numFmtId="0" fontId="49" fillId="34" borderId="86" xfId="0" applyFont="1" applyFill="1" applyBorder="1" applyAlignment="1" applyProtection="1">
      <alignment horizontal="left" vertical="center" wrapText="1"/>
    </xf>
    <xf numFmtId="0" fontId="2" fillId="25" borderId="11" xfId="0" applyNumberFormat="1" applyFont="1" applyFill="1" applyBorder="1" applyAlignment="1" applyProtection="1">
      <alignment horizontal="left" vertical="top"/>
    </xf>
    <xf numFmtId="0" fontId="2" fillId="25" borderId="75" xfId="0" applyNumberFormat="1" applyFont="1" applyFill="1" applyBorder="1" applyAlignment="1" applyProtection="1">
      <alignment horizontal="left" vertical="top" wrapText="1"/>
    </xf>
    <xf numFmtId="0" fontId="2" fillId="25" borderId="61" xfId="0" applyNumberFormat="1" applyFont="1" applyFill="1" applyBorder="1" applyAlignment="1" applyProtection="1">
      <alignment horizontal="left" vertical="top" wrapText="1"/>
    </xf>
    <xf numFmtId="0" fontId="10" fillId="25" borderId="0" xfId="0" applyNumberFormat="1" applyFont="1" applyFill="1" applyBorder="1" applyAlignment="1" applyProtection="1">
      <alignment vertical="top" wrapText="1"/>
    </xf>
    <xf numFmtId="0" fontId="2" fillId="25" borderId="11" xfId="0" applyNumberFormat="1" applyFont="1" applyFill="1" applyBorder="1" applyAlignment="1" applyProtection="1">
      <alignment horizontal="left" vertical="top" wrapText="1"/>
    </xf>
    <xf numFmtId="0" fontId="2" fillId="43" borderId="26" xfId="0" applyFont="1" applyFill="1" applyBorder="1" applyAlignment="1" applyProtection="1">
      <alignment vertical="top" wrapText="1"/>
    </xf>
    <xf numFmtId="0" fontId="2" fillId="40" borderId="70" xfId="0" applyNumberFormat="1" applyFont="1" applyFill="1" applyBorder="1" applyAlignment="1" applyProtection="1">
      <alignment horizontal="left" vertical="top"/>
    </xf>
    <xf numFmtId="0" fontId="2" fillId="40" borderId="26" xfId="0" applyFont="1" applyFill="1" applyBorder="1" applyAlignment="1" applyProtection="1">
      <alignment horizontal="left" vertical="top"/>
    </xf>
    <xf numFmtId="0" fontId="2" fillId="40" borderId="27" xfId="0" applyFont="1" applyFill="1" applyBorder="1" applyAlignment="1" applyProtection="1">
      <alignment horizontal="left" vertical="top"/>
    </xf>
    <xf numFmtId="0" fontId="4" fillId="25" borderId="26" xfId="0" applyNumberFormat="1" applyFont="1" applyFill="1" applyBorder="1" applyAlignment="1" applyProtection="1">
      <alignment vertical="top" wrapText="1"/>
    </xf>
    <xf numFmtId="0" fontId="38" fillId="40" borderId="15" xfId="0" applyNumberFormat="1" applyFont="1" applyFill="1" applyBorder="1" applyAlignment="1" applyProtection="1">
      <alignment horizontal="left" vertical="top"/>
    </xf>
    <xf numFmtId="0" fontId="38" fillId="40" borderId="16" xfId="0" applyNumberFormat="1" applyFont="1" applyFill="1" applyBorder="1" applyAlignment="1" applyProtection="1">
      <alignment horizontal="left" vertical="top"/>
    </xf>
    <xf numFmtId="0" fontId="38" fillId="40" borderId="14" xfId="0" applyNumberFormat="1" applyFont="1" applyFill="1" applyBorder="1" applyAlignment="1" applyProtection="1">
      <alignment horizontal="left" vertical="top"/>
    </xf>
    <xf numFmtId="0" fontId="37" fillId="40" borderId="70" xfId="0" applyNumberFormat="1" applyFont="1" applyFill="1" applyBorder="1" applyAlignment="1" applyProtection="1">
      <alignment horizontal="left"/>
    </xf>
    <xf numFmtId="0" fontId="37" fillId="40" borderId="26" xfId="0" applyFont="1" applyFill="1" applyBorder="1" applyAlignment="1" applyProtection="1">
      <alignment horizontal="left"/>
    </xf>
    <xf numFmtId="0" fontId="37" fillId="40" borderId="27" xfId="0" applyFont="1" applyFill="1" applyBorder="1" applyAlignment="1" applyProtection="1">
      <alignment horizontal="left"/>
    </xf>
    <xf numFmtId="0" fontId="10" fillId="25" borderId="15" xfId="0" applyFont="1" applyFill="1" applyBorder="1" applyAlignment="1" applyProtection="1">
      <alignment vertical="top" wrapText="1"/>
    </xf>
    <xf numFmtId="0" fontId="10" fillId="25" borderId="15" xfId="0" applyFont="1" applyFill="1" applyBorder="1" applyAlignment="1" applyProtection="1">
      <alignment vertical="top"/>
    </xf>
    <xf numFmtId="0" fontId="38" fillId="25" borderId="37" xfId="0" applyNumberFormat="1" applyFont="1" applyFill="1" applyBorder="1" applyAlignment="1" applyProtection="1">
      <alignment vertical="top" wrapText="1"/>
    </xf>
    <xf numFmtId="0" fontId="0" fillId="0" borderId="15" xfId="0" applyBorder="1" applyAlignment="1" applyProtection="1">
      <alignment vertical="top"/>
    </xf>
    <xf numFmtId="0" fontId="2" fillId="41" borderId="0" xfId="0" applyNumberFormat="1" applyFont="1" applyFill="1" applyBorder="1" applyAlignment="1" applyProtection="1">
      <alignment horizontal="left" vertical="top" wrapText="1"/>
    </xf>
    <xf numFmtId="0" fontId="2" fillId="41" borderId="12" xfId="0" applyNumberFormat="1" applyFont="1" applyFill="1" applyBorder="1" applyAlignment="1" applyProtection="1">
      <alignment horizontal="left" vertical="top" wrapText="1"/>
    </xf>
    <xf numFmtId="0" fontId="4" fillId="25" borderId="103" xfId="0" applyNumberFormat="1" applyFont="1" applyFill="1" applyBorder="1" applyAlignment="1" applyProtection="1">
      <alignment vertical="top" wrapText="1"/>
    </xf>
    <xf numFmtId="0" fontId="4" fillId="25" borderId="52" xfId="0" applyNumberFormat="1" applyFont="1" applyFill="1" applyBorder="1" applyAlignment="1" applyProtection="1">
      <alignment vertical="top" wrapText="1"/>
    </xf>
    <xf numFmtId="0" fontId="4" fillId="25" borderId="57" xfId="0" applyNumberFormat="1" applyFont="1" applyFill="1" applyBorder="1" applyAlignment="1" applyProtection="1">
      <alignment vertical="top" wrapText="1"/>
    </xf>
    <xf numFmtId="0" fontId="4" fillId="25" borderId="37" xfId="0" applyNumberFormat="1" applyFont="1" applyFill="1" applyBorder="1" applyAlignment="1" applyProtection="1">
      <alignment vertical="top" wrapText="1"/>
    </xf>
    <xf numFmtId="0" fontId="38" fillId="40" borderId="14" xfId="0" applyNumberFormat="1" applyFont="1" applyFill="1" applyBorder="1" applyAlignment="1" applyProtection="1">
      <alignment vertical="top" wrapText="1"/>
    </xf>
    <xf numFmtId="0" fontId="36" fillId="25" borderId="0" xfId="0" applyFont="1" applyFill="1" applyAlignment="1" applyProtection="1">
      <alignment horizontal="left" vertical="top" wrapText="1"/>
    </xf>
    <xf numFmtId="0" fontId="2" fillId="25" borderId="18" xfId="0" applyNumberFormat="1" applyFont="1" applyFill="1" applyBorder="1" applyAlignment="1" applyProtection="1">
      <alignment horizontal="left" vertical="top" wrapText="1"/>
    </xf>
    <xf numFmtId="0" fontId="2" fillId="41" borderId="0" xfId="0" applyNumberFormat="1" applyFont="1" applyFill="1" applyBorder="1" applyAlignment="1" applyProtection="1">
      <alignment vertical="top" wrapText="1"/>
    </xf>
    <xf numFmtId="0" fontId="2" fillId="27" borderId="70" xfId="0" applyNumberFormat="1" applyFont="1" applyFill="1" applyBorder="1" applyAlignment="1" applyProtection="1">
      <alignment vertical="top" wrapText="1"/>
    </xf>
    <xf numFmtId="0" fontId="0" fillId="0" borderId="26" xfId="0" applyNumberFormat="1" applyBorder="1" applyAlignment="1" applyProtection="1">
      <alignment vertical="top" wrapText="1"/>
    </xf>
    <xf numFmtId="0" fontId="0" fillId="0" borderId="27" xfId="0" applyNumberFormat="1" applyBorder="1" applyAlignment="1" applyProtection="1">
      <alignment vertical="top" wrapText="1"/>
    </xf>
    <xf numFmtId="0" fontId="4" fillId="50" borderId="69" xfId="0" applyFont="1" applyFill="1" applyBorder="1" applyAlignment="1" applyProtection="1">
      <alignment horizontal="center" vertical="top" wrapText="1"/>
    </xf>
    <xf numFmtId="0" fontId="0" fillId="0" borderId="52" xfId="0" applyBorder="1" applyAlignment="1" applyProtection="1">
      <alignment vertical="top" wrapText="1"/>
    </xf>
    <xf numFmtId="0" fontId="2" fillId="27" borderId="70" xfId="0" applyNumberFormat="1" applyFont="1" applyFill="1" applyBorder="1" applyAlignment="1" applyProtection="1">
      <alignment horizontal="left" vertical="top" wrapText="1"/>
    </xf>
    <xf numFmtId="0" fontId="0" fillId="0" borderId="26" xfId="0" applyNumberFormat="1" applyBorder="1" applyAlignment="1" applyProtection="1">
      <alignment horizontal="left" vertical="top" wrapText="1"/>
    </xf>
    <xf numFmtId="0" fontId="0" fillId="0" borderId="27" xfId="0" applyNumberFormat="1" applyBorder="1" applyAlignment="1" applyProtection="1">
      <alignment horizontal="left" vertical="top" wrapText="1"/>
    </xf>
    <xf numFmtId="0" fontId="2" fillId="27" borderId="27" xfId="0" applyNumberFormat="1" applyFont="1" applyFill="1" applyBorder="1" applyAlignment="1" applyProtection="1">
      <alignment vertical="top" wrapText="1"/>
    </xf>
    <xf numFmtId="0" fontId="40" fillId="50" borderId="84" xfId="77" applyFont="1" applyFill="1" applyBorder="1" applyAlignment="1" applyProtection="1">
      <alignment horizontal="center" vertical="center" wrapText="1"/>
    </xf>
    <xf numFmtId="0" fontId="40" fillId="50" borderId="85" xfId="77" applyFont="1" applyFill="1" applyBorder="1" applyAlignment="1" applyProtection="1">
      <alignment horizontal="center" vertical="center" wrapText="1"/>
    </xf>
    <xf numFmtId="0" fontId="40" fillId="50" borderId="86" xfId="77" applyFont="1" applyFill="1" applyBorder="1" applyAlignment="1" applyProtection="1">
      <alignment horizontal="center" vertical="center" wrapText="1"/>
    </xf>
    <xf numFmtId="0" fontId="0" fillId="0" borderId="39" xfId="0" applyBorder="1" applyAlignment="1" applyProtection="1">
      <alignment vertical="top" wrapText="1"/>
    </xf>
    <xf numFmtId="0" fontId="0" fillId="0" borderId="37" xfId="0" applyBorder="1" applyAlignment="1" applyProtection="1">
      <alignment vertical="top" wrapText="1"/>
    </xf>
    <xf numFmtId="0" fontId="0" fillId="0" borderId="27" xfId="0" applyBorder="1" applyAlignment="1" applyProtection="1">
      <alignment horizontal="left" vertical="top" wrapText="1"/>
    </xf>
    <xf numFmtId="0" fontId="2" fillId="25" borderId="63" xfId="0" applyNumberFormat="1" applyFont="1" applyFill="1" applyBorder="1" applyAlignment="1" applyProtection="1">
      <alignment vertical="top" wrapText="1"/>
    </xf>
    <xf numFmtId="0" fontId="2" fillId="25" borderId="25" xfId="0" applyNumberFormat="1" applyFont="1" applyFill="1" applyBorder="1" applyAlignment="1" applyProtection="1">
      <alignment vertical="top" wrapText="1"/>
    </xf>
    <xf numFmtId="0" fontId="2" fillId="40" borderId="13" xfId="0" applyNumberFormat="1" applyFont="1" applyFill="1" applyBorder="1" applyAlignment="1" applyProtection="1">
      <alignment horizontal="left" vertical="top"/>
    </xf>
    <xf numFmtId="49" fontId="2" fillId="40" borderId="13" xfId="0" applyNumberFormat="1" applyFont="1" applyFill="1" applyBorder="1" applyAlignment="1" applyProtection="1">
      <alignment horizontal="left" vertical="top"/>
    </xf>
    <xf numFmtId="0" fontId="2" fillId="27" borderId="10" xfId="0" applyNumberFormat="1" applyFont="1" applyFill="1" applyBorder="1" applyAlignment="1" applyProtection="1">
      <alignment horizontal="left" vertical="top"/>
    </xf>
    <xf numFmtId="49" fontId="2" fillId="40" borderId="27" xfId="0" applyNumberFormat="1" applyFont="1" applyFill="1" applyBorder="1" applyAlignment="1" applyProtection="1">
      <alignment horizontal="left" vertical="top"/>
    </xf>
    <xf numFmtId="0" fontId="38" fillId="40" borderId="17" xfId="0" applyNumberFormat="1" applyFont="1" applyFill="1" applyBorder="1" applyAlignment="1" applyProtection="1">
      <alignment horizontal="left" vertical="top"/>
    </xf>
    <xf numFmtId="0" fontId="2" fillId="40" borderId="70" xfId="0" applyNumberFormat="1" applyFont="1" applyFill="1" applyBorder="1" applyAlignment="1" applyProtection="1">
      <alignment horizontal="center" vertical="top"/>
    </xf>
    <xf numFmtId="0" fontId="2" fillId="40" borderId="27" xfId="0" applyNumberFormat="1" applyFont="1" applyFill="1" applyBorder="1" applyAlignment="1" applyProtection="1">
      <alignment horizontal="center" vertical="top"/>
    </xf>
    <xf numFmtId="0" fontId="10" fillId="25" borderId="17" xfId="0" applyFont="1" applyFill="1" applyBorder="1" applyAlignment="1" applyProtection="1">
      <alignment vertical="top" wrapText="1"/>
    </xf>
    <xf numFmtId="0" fontId="36" fillId="25" borderId="18" xfId="0" applyFont="1" applyFill="1" applyBorder="1" applyAlignment="1" applyProtection="1">
      <alignment vertical="top" wrapText="1"/>
    </xf>
    <xf numFmtId="0" fontId="39" fillId="27" borderId="26" xfId="0" applyFont="1" applyFill="1" applyBorder="1" applyAlignment="1" applyProtection="1">
      <alignment vertical="top" wrapText="1"/>
    </xf>
    <xf numFmtId="0" fontId="39" fillId="27" borderId="27" xfId="0" applyFont="1" applyFill="1" applyBorder="1" applyAlignment="1" applyProtection="1">
      <alignment vertical="top" wrapText="1"/>
    </xf>
    <xf numFmtId="0" fontId="10" fillId="52" borderId="15" xfId="0" applyFont="1" applyFill="1" applyBorder="1" applyAlignment="1" applyProtection="1">
      <alignment vertical="top" wrapText="1"/>
    </xf>
    <xf numFmtId="0" fontId="4" fillId="25" borderId="111" xfId="0" applyNumberFormat="1" applyFont="1" applyFill="1" applyBorder="1" applyAlignment="1" applyProtection="1">
      <alignment horizontal="left" vertical="top" wrapText="1"/>
    </xf>
    <xf numFmtId="0" fontId="4" fillId="25" borderId="42" xfId="0" applyNumberFormat="1" applyFont="1" applyFill="1" applyBorder="1" applyAlignment="1" applyProtection="1">
      <alignment horizontal="left" vertical="top" wrapText="1"/>
    </xf>
    <xf numFmtId="0" fontId="4" fillId="25" borderId="112" xfId="0" applyNumberFormat="1" applyFont="1" applyFill="1" applyBorder="1" applyAlignment="1" applyProtection="1">
      <alignment horizontal="left" vertical="center" wrapText="1"/>
    </xf>
    <xf numFmtId="0" fontId="4" fillId="25" borderId="26" xfId="0" applyNumberFormat="1" applyFont="1" applyFill="1" applyBorder="1" applyAlignment="1" applyProtection="1">
      <alignment horizontal="left" vertical="center" wrapText="1"/>
    </xf>
  </cellXfs>
  <cellStyles count="124">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Akzent1" xfId="13"/>
    <cellStyle name="20% - Akzent2" xfId="14"/>
    <cellStyle name="20% - Akzent3" xfId="15"/>
    <cellStyle name="20% - Akzent4" xfId="16"/>
    <cellStyle name="20% - Akzent5" xfId="17"/>
    <cellStyle name="20% - Akzent6" xfId="18"/>
    <cellStyle name="40% - Accent1" xfId="19"/>
    <cellStyle name="40% - Accent1 2" xfId="20"/>
    <cellStyle name="40% - Accent2" xfId="21"/>
    <cellStyle name="40% - Accent2 2" xfId="22"/>
    <cellStyle name="40% - Accent3" xfId="23"/>
    <cellStyle name="40% - Accent3 2" xfId="24"/>
    <cellStyle name="40% - Accent4" xfId="25"/>
    <cellStyle name="40% - Accent4 2" xfId="26"/>
    <cellStyle name="40% - Accent5" xfId="27"/>
    <cellStyle name="40% - Accent5 2" xfId="28"/>
    <cellStyle name="40% - Accent6" xfId="29"/>
    <cellStyle name="40% - Accent6 2" xfId="30"/>
    <cellStyle name="40% - Akzent1" xfId="31"/>
    <cellStyle name="40% - Akzent2" xfId="32"/>
    <cellStyle name="40% - Akzent3" xfId="33"/>
    <cellStyle name="40% - Akzent4" xfId="34"/>
    <cellStyle name="40% - Akzent5" xfId="35"/>
    <cellStyle name="40% - Akzent6" xfId="36"/>
    <cellStyle name="5x indented GHG Textfiels" xfId="37"/>
    <cellStyle name="60% - Accent1" xfId="38"/>
    <cellStyle name="60% - Accent2" xfId="39"/>
    <cellStyle name="60% - Accent3" xfId="40"/>
    <cellStyle name="60% - Accent4" xfId="41"/>
    <cellStyle name="60% - Accent5" xfId="42"/>
    <cellStyle name="60% - Accent6" xfId="43"/>
    <cellStyle name="60% - Akzent1" xfId="44"/>
    <cellStyle name="60% - Akzent2" xfId="45"/>
    <cellStyle name="60% - Akzent3" xfId="46"/>
    <cellStyle name="60% - Akzent4" xfId="47"/>
    <cellStyle name="60% - Akzent5" xfId="48"/>
    <cellStyle name="60% - Akzent6" xfId="49"/>
    <cellStyle name="Accent1" xfId="50"/>
    <cellStyle name="Accent2" xfId="51"/>
    <cellStyle name="Accent3" xfId="52"/>
    <cellStyle name="Accent4" xfId="53"/>
    <cellStyle name="Accent5" xfId="54"/>
    <cellStyle name="Accent6" xfId="55"/>
    <cellStyle name="Akcent 1" xfId="118" builtinId="29" hidden="1"/>
    <cellStyle name="Akcent 2" xfId="119" builtinId="33" hidden="1"/>
    <cellStyle name="Akcent 3" xfId="120" builtinId="37" hidden="1"/>
    <cellStyle name="Akcent 4" xfId="121" builtinId="41" hidden="1"/>
    <cellStyle name="Akcent 5" xfId="122" builtinId="45" hidden="1"/>
    <cellStyle name="Akcent 6" xfId="123" builtinId="49" hidden="1"/>
    <cellStyle name="Akzent1" xfId="56"/>
    <cellStyle name="Akzent2" xfId="57"/>
    <cellStyle name="Akzent3" xfId="58"/>
    <cellStyle name="Akzent4" xfId="59"/>
    <cellStyle name="Akzent5" xfId="60"/>
    <cellStyle name="Akzent6" xfId="61"/>
    <cellStyle name="Ausgabe" xfId="62"/>
    <cellStyle name="Bad" xfId="63"/>
    <cellStyle name="Berechnung" xfId="64"/>
    <cellStyle name="Calculation" xfId="65"/>
    <cellStyle name="Check Cell" xfId="66"/>
    <cellStyle name="Dane wejściowe" xfId="109" builtinId="20" hidden="1"/>
    <cellStyle name="Dane wyjściowe" xfId="110" builtinId="21" hidden="1"/>
    <cellStyle name="Dobry" xfId="106" builtinId="26" hidden="1"/>
    <cellStyle name="Eingabe" xfId="67"/>
    <cellStyle name="Ergebnis" xfId="68"/>
    <cellStyle name="Erklärender Text" xfId="69"/>
    <cellStyle name="Explanatory Text" xfId="70"/>
    <cellStyle name="Good" xfId="71"/>
    <cellStyle name="Gut" xfId="72"/>
    <cellStyle name="Heading 1" xfId="73"/>
    <cellStyle name="Heading 2" xfId="74"/>
    <cellStyle name="Heading 3" xfId="75"/>
    <cellStyle name="Heading 4" xfId="76"/>
    <cellStyle name="Hiperłącze" xfId="77" builtinId="8"/>
    <cellStyle name="Input" xfId="78"/>
    <cellStyle name="Komórka połączona" xfId="112" builtinId="24" hidden="1"/>
    <cellStyle name="Komórka zaznaczona" xfId="113" builtinId="23" hidden="1"/>
    <cellStyle name="Linked Cell" xfId="79"/>
    <cellStyle name="Nagłówek 1" xfId="102" builtinId="16" hidden="1"/>
    <cellStyle name="Nagłówek 2" xfId="103" builtinId="17" hidden="1"/>
    <cellStyle name="Nagłówek 3" xfId="104" builtinId="18" hidden="1"/>
    <cellStyle name="Nagłówek 4" xfId="105" builtinId="19" hidden="1"/>
    <cellStyle name="Neutral" xfId="80"/>
    <cellStyle name="Neutralny" xfId="108" builtinId="28" hidden="1"/>
    <cellStyle name="Normalny" xfId="0" builtinId="0"/>
    <cellStyle name="Note" xfId="81"/>
    <cellStyle name="Notiz" xfId="82"/>
    <cellStyle name="Obliczenia" xfId="111" builtinId="22" hidden="1"/>
    <cellStyle name="Output" xfId="83"/>
    <cellStyle name="Procentowy" xfId="84" builtinId="5"/>
    <cellStyle name="Schlecht" xfId="85"/>
    <cellStyle name="Standard 2" xfId="86"/>
    <cellStyle name="Standard 3" xfId="87"/>
    <cellStyle name="Standard_Outline NIMs template 10-09-30" xfId="88"/>
    <cellStyle name="Suma" xfId="117" builtinId="25" hidden="1"/>
    <cellStyle name="Tekst objaśnienia" xfId="116" builtinId="53" hidden="1"/>
    <cellStyle name="Tekst ostrzeżenia" xfId="114" builtinId="11" hidden="1"/>
    <cellStyle name="Title" xfId="89"/>
    <cellStyle name="Total" xfId="90"/>
    <cellStyle name="Tytuł" xfId="101" builtinId="15" hidden="1"/>
    <cellStyle name="Überschrift" xfId="91"/>
    <cellStyle name="Überschrift 1" xfId="92"/>
    <cellStyle name="Überschrift 2" xfId="93"/>
    <cellStyle name="Überschrift 3" xfId="94"/>
    <cellStyle name="Überschrift 4" xfId="95"/>
    <cellStyle name="Uwaga" xfId="115" builtinId="10" hidden="1"/>
    <cellStyle name="Verknüpfte Zelle" xfId="96"/>
    <cellStyle name="Warnender Text" xfId="97"/>
    <cellStyle name="Warning Text" xfId="98"/>
    <cellStyle name="Zelle überprüfen" xfId="99"/>
    <cellStyle name="Zły" xfId="107" builtinId="27" hidden="1"/>
    <cellStyle name="Обычный_CRF2002 (1)" xfId="100"/>
  </cellStyles>
  <dxfs count="388">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bgColor indexed="53"/>
        </patternFill>
      </fill>
    </dxf>
    <dxf>
      <font>
        <color theme="0" tint="-0.34998626667073579"/>
      </font>
    </dxf>
    <dxf>
      <font>
        <color rgb="FFFF0000"/>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ndense val="0"/>
        <extend val="0"/>
        <color indexed="10"/>
      </font>
    </dxf>
    <dxf>
      <font>
        <condense val="0"/>
        <extend val="0"/>
        <color indexed="10"/>
      </font>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9"/>
        </patternFill>
      </fill>
    </dxf>
    <dxf>
      <fill>
        <patternFill patternType="lightUp">
          <bgColor indexed="65"/>
        </patternFill>
      </fill>
    </dxf>
    <dxf>
      <fill>
        <patternFill patternType="lightUp">
          <bgColor indexed="65"/>
        </patternFill>
      </fill>
    </dxf>
    <dxf>
      <fill>
        <patternFill patternType="lightUp">
          <bgColor indexed="9"/>
        </patternFill>
      </fill>
    </dxf>
    <dxf>
      <fill>
        <patternFill patternType="lightUp">
          <bgColor indexed="65"/>
        </patternFill>
      </fill>
    </dxf>
    <dxf>
      <fill>
        <patternFill patternType="lightUp">
          <bgColor indexed="65"/>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00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1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fgColor indexed="64"/>
          <bgColor indexed="9"/>
        </patternFill>
      </fill>
    </dxf>
    <dxf>
      <fill>
        <patternFill>
          <bgColor rgb="FFFF0000"/>
        </patternFill>
      </fill>
    </dxf>
    <dxf>
      <fill>
        <patternFill patternType="lightUp">
          <bgColor indexed="65"/>
        </patternFill>
      </fill>
    </dxf>
    <dxf>
      <fill>
        <patternFill>
          <bgColor indexed="1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ont>
        <b/>
        <i val="0"/>
        <condense val="0"/>
        <extend val="0"/>
        <color indexed="10"/>
      </font>
    </dxf>
    <dxf>
      <fill>
        <patternFill patternType="lightUp">
          <fgColor indexed="64"/>
          <bgColor indexed="65"/>
        </patternFill>
      </fill>
    </dxf>
    <dxf>
      <fill>
        <patternFill>
          <bgColor indexed="26"/>
        </patternFill>
      </fill>
    </dxf>
    <dxf>
      <font>
        <b/>
        <i val="0"/>
        <condense val="0"/>
        <extend val="0"/>
        <color indexed="1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00"/>
        </patternFill>
      </fill>
    </dxf>
    <dxf>
      <fill>
        <patternFill>
          <bgColor rgb="FFFFFF00"/>
        </patternFill>
      </fill>
    </dxf>
    <dxf>
      <fill>
        <patternFill patternType="lightUp">
          <bgColor indexed="65"/>
        </patternFill>
      </fill>
    </dxf>
    <dxf>
      <fill>
        <patternFill>
          <bgColor indexed="2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26"/>
        </patternFill>
      </fill>
    </dxf>
    <dxf>
      <fill>
        <patternFill>
          <bgColor indexed="13"/>
        </patternFill>
      </fill>
    </dxf>
    <dxf>
      <fill>
        <patternFill patternType="lightUp">
          <fgColor indexed="64"/>
          <bgColor indexed="9"/>
        </patternFill>
      </fill>
    </dxf>
    <dxf>
      <fill>
        <patternFill>
          <bgColor indexed="26"/>
        </patternFill>
      </fill>
    </dxf>
    <dxf>
      <fill>
        <patternFill patternType="lightUp">
          <fgColor indexed="64"/>
          <bgColor indexed="9"/>
        </patternFill>
      </fill>
    </dxf>
    <dxf>
      <fill>
        <patternFill>
          <bgColor indexed="26"/>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E_Fall-backApproach"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Fall-backApproach"/>
    </sheetNames>
    <sheetDataSet>
      <sheetData sheetId="0" refreshError="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hyperlink" Target="http://ec.europa.eu/eurostat/ramon/nomenclatures/index.cfm?TargetUrl=LST_CLS_DLD&amp;StrNom=PRD_2010&amp;StrLanguageCode=EN&amp;StrLayoutCode=HIERARCHIC" TargetMode="External"/><Relationship Id="rId13" Type="http://schemas.openxmlformats.org/officeDocument/2006/relationships/vmlDrawing" Target="../drawings/vmlDrawing2.vml"/><Relationship Id="rId3" Type="http://schemas.openxmlformats.org/officeDocument/2006/relationships/hyperlink" Target="http://ec.europa.eu/eurostat/ramon/nomenclatures/index.cfm?TargetUrl=LST_CLS_DLD&amp;StrNom=PRD_2010&amp;StrLanguageCode=EN&amp;StrLayoutCode=HIERARCHIC" TargetMode="External"/><Relationship Id="rId7" Type="http://schemas.openxmlformats.org/officeDocument/2006/relationships/hyperlink" Target="http://ec.europa.eu/eurostat/ramon/nomenclatures/index.cfm?TargetUrl=LST_CLS_DLD&amp;StrNom=PRD_2010&amp;StrLanguageCode=EN&amp;StrLayoutCode=HIERARCHIC" TargetMode="External"/><Relationship Id="rId12" Type="http://schemas.openxmlformats.org/officeDocument/2006/relationships/printerSettings" Target="../printerSettings/printerSettings11.bin"/><Relationship Id="rId2" Type="http://schemas.openxmlformats.org/officeDocument/2006/relationships/hyperlink" Target="http://ec.europa.eu/eurostat/ramon/nomenclatures/index.cfm?TargetUrl=LST_CLS_DLD&amp;StrNom=PRD_2010&amp;StrLanguageCode=EN&amp;StrLayoutCode=HIERARCHIC" TargetMode="External"/><Relationship Id="rId1" Type="http://schemas.openxmlformats.org/officeDocument/2006/relationships/hyperlink" Target="http://ec.europa.eu/eurostat/ramon/nomenclatures/index.cfm?TargetUrl=LST_CLS_DLD&amp;StrNom=PRD_2010&amp;StrLanguageCode=EN&amp;StrLayoutCode=HIERARCHIC" TargetMode="External"/><Relationship Id="rId6" Type="http://schemas.openxmlformats.org/officeDocument/2006/relationships/hyperlink" Target="http://ec.europa.eu/eurostat/ramon/nomenclatures/index.cfm?TargetUrl=LST_CLS_DLD&amp;StrNom=PRD_2010&amp;StrLanguageCode=EN&amp;StrLayoutCode=HIERARCHIC" TargetMode="External"/><Relationship Id="rId11" Type="http://schemas.openxmlformats.org/officeDocument/2006/relationships/hyperlink" Target="https://ec.europa.eu/clima/policies/ets/allowances_en" TargetMode="External"/><Relationship Id="rId5" Type="http://schemas.openxmlformats.org/officeDocument/2006/relationships/hyperlink" Target="http://ec.europa.eu/eurostat/ramon/nomenclatures/index.cfm?TargetUrl=LST_CLS_DLD&amp;StrNom=PRD_2010&amp;StrLanguageCode=EN&amp;StrLayoutCode=HIERARCHIC" TargetMode="External"/><Relationship Id="rId10" Type="http://schemas.openxmlformats.org/officeDocument/2006/relationships/hyperlink" Target="http://ec.europa.eu/eurostat/ramon/nomenclatures/index.cfm?TargetUrl=LST_CLS_DLD&amp;StrNom=PRD_2010&amp;StrLanguageCode=EN&amp;StrLayoutCode=HIERARCHIC" TargetMode="External"/><Relationship Id="rId4" Type="http://schemas.openxmlformats.org/officeDocument/2006/relationships/hyperlink" Target="http://ec.europa.eu/eurostat/ramon/nomenclatures/index.cfm?TargetUrl=LST_CLS_DLD&amp;StrNom=PRD_2010&amp;StrLanguageCode=EN&amp;StrLayoutCode=HIERARCHIC" TargetMode="External"/><Relationship Id="rId9" Type="http://schemas.openxmlformats.org/officeDocument/2006/relationships/hyperlink" Target="http://ec.europa.eu/eurostat/ramon/nomenclatures/index.cfm?TargetUrl=LST_CLS_DLD&amp;StrNom=PRD_2010&amp;StrLanguageCode=EN&amp;StrLayoutCode=HIERARCHIC" TargetMode="External"/><Relationship Id="rId1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hyperlink" Target="https://ec.europa.eu/clima/sites/clima/files/ets/allowances/docs/p4_gd3_data_collection_en.pdf" TargetMode="External"/><Relationship Id="rId7" Type="http://schemas.openxmlformats.org/officeDocument/2006/relationships/vmlDrawing" Target="../drawings/vmlDrawing3.vml"/><Relationship Id="rId2" Type="http://schemas.openxmlformats.org/officeDocument/2006/relationships/hyperlink" Target="https://ec.europa.eu/clima/policies/ets/allowances_en" TargetMode="External"/><Relationship Id="rId1" Type="http://schemas.openxmlformats.org/officeDocument/2006/relationships/hyperlink" Target="http://ec.europa.eu/eurostat/ramon/nomenclatures/index.cfm?TargetUrl=LST_CLS_DLD&amp;StrNom=PRD_2010&amp;StrLanguageCode=EN&amp;StrLayoutCode=HIERARCHIC" TargetMode="External"/><Relationship Id="rId6" Type="http://schemas.openxmlformats.org/officeDocument/2006/relationships/printerSettings" Target="../printerSettings/printerSettings12.bin"/><Relationship Id="rId5" Type="http://schemas.openxmlformats.org/officeDocument/2006/relationships/hyperlink" Target="https://ec.europa.eu/clima/sites/clima/files/ets/allowances/docs/p4_gd3_data_collection_en.pdf" TargetMode="External"/><Relationship Id="rId4" Type="http://schemas.openxmlformats.org/officeDocument/2006/relationships/hyperlink" Target="https://ec.europa.eu/clima/sites/clima/files/ets/allowances/docs/p4_gd3_data_collection_en.pdf"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eur-lex.europa.eu/eli/reg_del/2019/331/oj?locale=pl" TargetMode="External"/><Relationship Id="rId1" Type="http://schemas.openxmlformats.org/officeDocument/2006/relationships/hyperlink" Target="https://eur-lex.europa.eu/eli/dir/2003/87/2018-04-08?locale=p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mailto:ksw@kobize.pl" TargetMode="External"/><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www.kobize.pl/" TargetMode="External"/><Relationship Id="rId2" Type="http://schemas.openxmlformats.org/officeDocument/2006/relationships/hyperlink" Target="http://ec.europa.eu/clima/policies/ets/index_en.htm" TargetMode="External"/><Relationship Id="rId1" Type="http://schemas.openxmlformats.org/officeDocument/2006/relationships/hyperlink" Target="http://eur-lex.europa.eu/en/index.htm" TargetMode="External"/><Relationship Id="rId6" Type="http://schemas.openxmlformats.org/officeDocument/2006/relationships/hyperlink" Target="http://data.europa.eu/eli/reg_del/2019/331/oj" TargetMode="External"/><Relationship Id="rId5" Type="http://schemas.openxmlformats.org/officeDocument/2006/relationships/hyperlink" Target="https://ec.europa.eu/info/law/better-regulation/initiatives/ares-2018-5486983_en" TargetMode="External"/><Relationship Id="rId4" Type="http://schemas.openxmlformats.org/officeDocument/2006/relationships/hyperlink" Target="https://eur-lex.europa.eu/eli/dir/2003/87/2018-04-08" TargetMode="External"/><Relationship Id="rId9"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hyperlink" Target="http://ec.europa.eu/eurostat/ramon/nomenclatures/index.cfm?TargetUrl=LST_CLS_DLD&amp;StrNom=NACE_REV2&amp;StrLanguageCode=EN&amp;StrLayoutCode=HIERARCHIC"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eur-lex.europa.eu/eli/reg_del/2015/2402/oj"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L71"/>
  <sheetViews>
    <sheetView zoomScaleNormal="100" workbookViewId="0">
      <pane ySplit="3" topLeftCell="A4" activePane="bottomLeft" state="frozen"/>
      <selection pane="bottomLeft" sqref="A1:A3"/>
    </sheetView>
  </sheetViews>
  <sheetFormatPr defaultColWidth="11.42578125" defaultRowHeight="12.75" x14ac:dyDescent="0.2"/>
  <cols>
    <col min="1" max="1" width="4.7109375" style="6" customWidth="1"/>
    <col min="2" max="3" width="4.7109375" style="199" customWidth="1"/>
    <col min="4" max="12" width="12.7109375" style="199" customWidth="1"/>
    <col min="13" max="16384" width="11.42578125" style="199"/>
  </cols>
  <sheetData>
    <row r="1" spans="1:12" ht="13.5" customHeight="1" thickBot="1" x14ac:dyDescent="0.25">
      <c r="A1" s="1348" t="s">
        <v>86</v>
      </c>
      <c r="B1" s="793" t="str">
        <f>Translations!$B$2</f>
        <v>Obszar nawigacji:</v>
      </c>
      <c r="C1" s="791"/>
      <c r="D1" s="791"/>
      <c r="E1" s="1339"/>
      <c r="F1" s="1339"/>
      <c r="G1" s="1339"/>
      <c r="H1" s="1339"/>
      <c r="I1" s="1339" t="str">
        <f>Translations!$B$3</f>
        <v>Następny arkusz</v>
      </c>
      <c r="J1" s="1339"/>
      <c r="K1" s="1339" t="str">
        <f>Translations!$B$4</f>
        <v>Podsumowanie</v>
      </c>
      <c r="L1" s="1339"/>
    </row>
    <row r="2" spans="1:12" x14ac:dyDescent="0.2">
      <c r="A2" s="1349"/>
      <c r="B2" s="1352" t="str">
        <f>Translations!$B$5</f>
        <v>Początek arkusza</v>
      </c>
      <c r="C2" s="1353"/>
      <c r="D2" s="1354"/>
      <c r="E2" s="1340"/>
      <c r="F2" s="1341"/>
      <c r="G2" s="1341"/>
      <c r="H2" s="1341"/>
      <c r="I2" s="1341"/>
      <c r="J2" s="1341"/>
      <c r="K2" s="1341"/>
      <c r="L2" s="1341"/>
    </row>
    <row r="3" spans="1:12" ht="13.5" thickBot="1" x14ac:dyDescent="0.25">
      <c r="A3" s="1350"/>
      <c r="B3" s="1355" t="str">
        <f>Translations!$B$6</f>
        <v>Koniec arkusza</v>
      </c>
      <c r="C3" s="1356"/>
      <c r="D3" s="1357"/>
      <c r="E3" s="1351"/>
      <c r="F3" s="1334"/>
      <c r="G3" s="1334"/>
      <c r="H3" s="1334"/>
      <c r="I3" s="1334"/>
      <c r="J3" s="1334"/>
      <c r="K3" s="1334"/>
      <c r="L3" s="1334"/>
    </row>
    <row r="4" spans="1:12" x14ac:dyDescent="0.2">
      <c r="B4" s="357"/>
      <c r="E4" s="357"/>
    </row>
    <row r="5" spans="1:12" ht="35.25" customHeight="1" x14ac:dyDescent="0.4">
      <c r="B5" s="358" t="str">
        <f>Translations!$B$7</f>
        <v>RAPORT DOTYCZĄCY DANYCH PODSTAWOWYCH w odniesieniu do IV etapu EU ETS</v>
      </c>
      <c r="E5" s="358"/>
    </row>
    <row r="6" spans="1:12" x14ac:dyDescent="0.2">
      <c r="B6" s="357"/>
      <c r="E6" s="357"/>
    </row>
    <row r="7" spans="1:12" ht="29.25" customHeight="1" x14ac:dyDescent="0.2">
      <c r="A7" s="366"/>
      <c r="B7" s="359" t="str">
        <f>Translations!$B$8</f>
        <v>SPIS TREŚCI</v>
      </c>
      <c r="C7" s="208"/>
      <c r="D7" s="208"/>
      <c r="E7" s="359"/>
      <c r="F7" s="359"/>
      <c r="G7" s="359"/>
      <c r="H7" s="359"/>
      <c r="I7" s="359"/>
      <c r="J7" s="359"/>
      <c r="K7" s="359"/>
      <c r="L7" s="359"/>
    </row>
    <row r="8" spans="1:12" x14ac:dyDescent="0.2">
      <c r="A8" s="406"/>
      <c r="B8" s="407"/>
      <c r="C8" s="1337" t="str">
        <f>'b_Guidelines &amp; conditions'!B5</f>
        <v>WYTYCZNE I WARUNKI</v>
      </c>
      <c r="D8" s="1337"/>
      <c r="E8" s="1342"/>
      <c r="F8" s="1342"/>
      <c r="G8" s="1342"/>
      <c r="H8" s="1342"/>
      <c r="I8" s="1342"/>
      <c r="J8" s="1342"/>
      <c r="K8" s="1342"/>
      <c r="L8" s="26"/>
    </row>
    <row r="9" spans="1:12" x14ac:dyDescent="0.2">
      <c r="A9" s="355"/>
      <c r="B9" s="355" t="s">
        <v>262</v>
      </c>
      <c r="C9" s="1330" t="str">
        <f>A_InstallationData!D6</f>
        <v>Arkusz „InstallationData” (Dane dotyczące instalacji) – OGÓLNE INFORMACJE O NINIEJSZYM SPRAWOZDANIU</v>
      </c>
      <c r="D9" s="1330"/>
      <c r="E9" s="1331"/>
      <c r="F9" s="1331"/>
      <c r="G9" s="1331"/>
      <c r="H9" s="1331"/>
      <c r="I9" s="1331"/>
      <c r="J9" s="1331"/>
      <c r="K9" s="1331"/>
      <c r="L9" s="26"/>
    </row>
    <row r="10" spans="1:12" x14ac:dyDescent="0.2">
      <c r="A10" s="408"/>
      <c r="B10" s="409" t="s">
        <v>407</v>
      </c>
      <c r="C10" s="1337" t="str">
        <f>A_InstallationData!D8</f>
        <v>Dane identyfikacje instalacji</v>
      </c>
      <c r="D10" s="1337"/>
      <c r="E10" s="1346"/>
      <c r="F10" s="1346"/>
      <c r="G10" s="1346"/>
      <c r="H10" s="1346"/>
      <c r="I10" s="1346"/>
      <c r="J10" s="1346"/>
      <c r="K10" s="369"/>
    </row>
    <row r="11" spans="1:12" x14ac:dyDescent="0.2">
      <c r="A11" s="408"/>
      <c r="B11" s="409" t="s">
        <v>352</v>
      </c>
      <c r="C11" s="1337" t="str">
        <f>A_InstallationData!D166</f>
        <v>Informacje o niniejszym raporcie dotyczącym danych podstawowych</v>
      </c>
      <c r="D11" s="1337"/>
      <c r="E11" s="1346"/>
      <c r="F11" s="1346"/>
      <c r="G11" s="1346"/>
      <c r="H11" s="1346"/>
      <c r="I11" s="1346"/>
      <c r="J11" s="1346"/>
      <c r="K11" s="369"/>
    </row>
    <row r="12" spans="1:12" x14ac:dyDescent="0.2">
      <c r="A12" s="408"/>
      <c r="B12" s="409" t="s">
        <v>357</v>
      </c>
      <c r="C12" s="1337" t="str">
        <f>A_InstallationData!D222</f>
        <v>Wykaz podinstalacji</v>
      </c>
      <c r="D12" s="1337"/>
      <c r="E12" s="1346"/>
      <c r="F12" s="1346"/>
      <c r="G12" s="1346"/>
      <c r="H12" s="1346"/>
      <c r="I12" s="1346"/>
      <c r="J12" s="1346"/>
      <c r="K12" s="369"/>
    </row>
    <row r="13" spans="1:12" x14ac:dyDescent="0.2">
      <c r="A13" s="408"/>
      <c r="B13" s="409" t="s">
        <v>5</v>
      </c>
      <c r="C13" s="1337" t="str">
        <f>A_InstallationData!D270</f>
        <v>Wykaz powiązań technicznych</v>
      </c>
      <c r="D13" s="1337"/>
      <c r="E13" s="1346"/>
      <c r="F13" s="1346"/>
      <c r="G13" s="1346"/>
      <c r="H13" s="1346"/>
      <c r="I13" s="1346"/>
      <c r="J13" s="1346"/>
      <c r="K13" s="369"/>
    </row>
    <row r="14" spans="1:12" x14ac:dyDescent="0.2">
      <c r="A14" s="355"/>
      <c r="B14" s="355" t="s">
        <v>640</v>
      </c>
      <c r="C14" s="1330" t="str">
        <f>'B+C_Emissions_Y1'!D6</f>
        <v>Arkusz „Annual Emissions Data” (Dane roczne dotyczące emisji) w odniesieniu do roku:</v>
      </c>
      <c r="D14" s="1330"/>
      <c r="E14" s="1331"/>
      <c r="F14" s="1331"/>
      <c r="G14" s="1331"/>
      <c r="H14" s="1331"/>
      <c r="I14" s="1331"/>
      <c r="J14" s="1331"/>
      <c r="K14" s="1331"/>
      <c r="L14" s="26"/>
    </row>
    <row r="15" spans="1:12" x14ac:dyDescent="0.2">
      <c r="A15" s="408"/>
      <c r="B15" s="409"/>
      <c r="C15" s="1332">
        <f>A_InstallationData!I218</f>
        <v>2014</v>
      </c>
      <c r="D15" s="1332"/>
      <c r="E15" s="1333"/>
      <c r="F15" s="1333"/>
      <c r="G15" s="1333"/>
      <c r="H15" s="1333"/>
      <c r="I15" s="1333"/>
      <c r="J15" s="1333"/>
      <c r="K15" s="369"/>
    </row>
    <row r="16" spans="1:12" x14ac:dyDescent="0.2">
      <c r="A16" s="408"/>
      <c r="B16" s="409"/>
      <c r="C16" s="1332">
        <f>A_InstallationData!J218</f>
        <v>2015</v>
      </c>
      <c r="D16" s="1332"/>
      <c r="E16" s="1333"/>
      <c r="F16" s="1333"/>
      <c r="G16" s="1333"/>
      <c r="H16" s="1333"/>
      <c r="I16" s="1333"/>
      <c r="J16" s="1333"/>
      <c r="K16" s="369"/>
    </row>
    <row r="17" spans="1:12" x14ac:dyDescent="0.2">
      <c r="A17" s="408"/>
      <c r="B17" s="409"/>
      <c r="C17" s="1332">
        <f>A_InstallationData!K218</f>
        <v>2016</v>
      </c>
      <c r="D17" s="1332"/>
      <c r="E17" s="1333"/>
      <c r="F17" s="1333"/>
      <c r="G17" s="1333"/>
      <c r="H17" s="1333"/>
      <c r="I17" s="1333"/>
      <c r="J17" s="1333"/>
      <c r="K17" s="369"/>
    </row>
    <row r="18" spans="1:12" x14ac:dyDescent="0.2">
      <c r="A18" s="408"/>
      <c r="B18" s="409"/>
      <c r="C18" s="1332">
        <f>A_InstallationData!L218</f>
        <v>2017</v>
      </c>
      <c r="D18" s="1332"/>
      <c r="E18" s="1333"/>
      <c r="F18" s="1333"/>
      <c r="G18" s="1333"/>
      <c r="H18" s="1333"/>
      <c r="I18" s="1333"/>
      <c r="J18" s="1333"/>
      <c r="K18" s="369"/>
    </row>
    <row r="19" spans="1:12" x14ac:dyDescent="0.2">
      <c r="A19" s="408"/>
      <c r="B19" s="409"/>
      <c r="C19" s="1332">
        <f>A_InstallationData!M218</f>
        <v>2018</v>
      </c>
      <c r="D19" s="1332"/>
      <c r="E19" s="1333"/>
      <c r="F19" s="1333"/>
      <c r="G19" s="1333"/>
      <c r="H19" s="1333"/>
      <c r="I19" s="1333"/>
      <c r="J19" s="1333"/>
      <c r="K19" s="369"/>
    </row>
    <row r="20" spans="1:12" x14ac:dyDescent="0.2">
      <c r="A20" s="355"/>
      <c r="B20" s="355" t="s">
        <v>263</v>
      </c>
      <c r="C20" s="1330" t="str">
        <f>D_Emissions!D6</f>
        <v>Arkusz „Emissions” (Emisje) – PRZYPISYWANIE EMISJI</v>
      </c>
      <c r="D20" s="1330"/>
      <c r="E20" s="1331"/>
      <c r="F20" s="1331"/>
      <c r="G20" s="1331"/>
      <c r="H20" s="1331"/>
      <c r="I20" s="1331"/>
      <c r="J20" s="1331"/>
      <c r="K20" s="1331"/>
      <c r="L20" s="26"/>
    </row>
    <row r="21" spans="1:12" x14ac:dyDescent="0.2">
      <c r="A21" s="408"/>
      <c r="B21" s="409" t="s">
        <v>407</v>
      </c>
      <c r="C21" s="1337" t="str">
        <f>D_Emissions!D8</f>
        <v>Całkowite bezpośrednie emisje gazów cieplarnianych i energia wejściowa z paliw</v>
      </c>
      <c r="D21" s="1337"/>
      <c r="E21" s="1338"/>
      <c r="F21" s="1338"/>
      <c r="G21" s="1338"/>
      <c r="H21" s="1338"/>
      <c r="I21" s="1338"/>
      <c r="J21" s="1338"/>
      <c r="K21" s="369"/>
    </row>
    <row r="22" spans="1:12" x14ac:dyDescent="0.2">
      <c r="A22" s="408"/>
      <c r="B22" s="409" t="s">
        <v>352</v>
      </c>
      <c r="C22" s="1337" t="str">
        <f>D_Emissions!D61</f>
        <v>Przypisywanie emisji do podinstalacji</v>
      </c>
      <c r="D22" s="1337"/>
      <c r="E22" s="1338"/>
      <c r="F22" s="1338"/>
      <c r="G22" s="1338"/>
      <c r="H22" s="1338"/>
      <c r="I22" s="1338"/>
      <c r="J22" s="1338"/>
      <c r="K22" s="369"/>
    </row>
    <row r="23" spans="1:12" x14ac:dyDescent="0.2">
      <c r="A23" s="408"/>
      <c r="B23" s="409" t="s">
        <v>357</v>
      </c>
      <c r="C23" s="1337" t="str">
        <f>D_Emissions!D74</f>
        <v>Narzędzie dotyczące kogeneracji</v>
      </c>
      <c r="D23" s="1337"/>
      <c r="E23" s="1338"/>
      <c r="F23" s="1338"/>
      <c r="G23" s="1338"/>
      <c r="H23" s="1338"/>
      <c r="I23" s="1338"/>
      <c r="J23" s="1338"/>
      <c r="K23" s="369"/>
    </row>
    <row r="24" spans="1:12" x14ac:dyDescent="0.2">
      <c r="A24" s="408"/>
      <c r="B24" s="409" t="s">
        <v>5</v>
      </c>
      <c r="C24" s="1337" t="str">
        <f>D_Emissions!D185</f>
        <v>Narzędzie dotyczące gazów odlotowych</v>
      </c>
      <c r="D24" s="1337"/>
      <c r="E24" s="1338"/>
      <c r="F24" s="1338"/>
      <c r="G24" s="1338"/>
      <c r="H24" s="1338"/>
      <c r="I24" s="1338"/>
      <c r="J24" s="1338"/>
      <c r="K24" s="369"/>
    </row>
    <row r="25" spans="1:12" ht="25.5" customHeight="1" x14ac:dyDescent="0.2">
      <c r="A25" s="355"/>
      <c r="B25" s="355" t="s">
        <v>264</v>
      </c>
      <c r="C25" s="1335" t="str">
        <f>E_EnergyFlows!D6</f>
        <v>Arkusz „EnergyFlows” (Przepływy energii) – DANE DOTYCZĄCE ENERGII WEJŚCIOWEJ, MIERZALNEGO CIEPŁA I ENERGII ELEKTRYCZNEJ</v>
      </c>
      <c r="D25" s="1335"/>
      <c r="E25" s="1336"/>
      <c r="F25" s="1336"/>
      <c r="G25" s="1336"/>
      <c r="H25" s="1336"/>
      <c r="I25" s="1336"/>
      <c r="J25" s="1336"/>
      <c r="K25" s="1336"/>
      <c r="L25" s="26"/>
    </row>
    <row r="26" spans="1:12" x14ac:dyDescent="0.2">
      <c r="A26" s="408"/>
      <c r="B26" s="409" t="s">
        <v>407</v>
      </c>
      <c r="C26" s="1337" t="str">
        <f>E_EnergyFlows!D8</f>
        <v>Energia wejściowa z paliw</v>
      </c>
      <c r="D26" s="1337"/>
      <c r="E26" s="1338"/>
      <c r="F26" s="1338"/>
      <c r="G26" s="1338"/>
      <c r="H26" s="1338"/>
      <c r="I26" s="1338"/>
      <c r="J26" s="1338"/>
      <c r="K26" s="369"/>
    </row>
    <row r="27" spans="1:12" x14ac:dyDescent="0.2">
      <c r="A27" s="408"/>
      <c r="B27" s="409" t="s">
        <v>352</v>
      </c>
      <c r="C27" s="1337" t="str">
        <f>E_EnergyFlows!D51</f>
        <v>Mierzalne ciepło</v>
      </c>
      <c r="D27" s="1337"/>
      <c r="E27" s="1338"/>
      <c r="F27" s="1338"/>
      <c r="G27" s="1338"/>
      <c r="H27" s="1338"/>
      <c r="I27" s="1338"/>
      <c r="J27" s="1338"/>
      <c r="K27" s="369"/>
    </row>
    <row r="28" spans="1:12" x14ac:dyDescent="0.2">
      <c r="A28" s="408"/>
      <c r="B28" s="409" t="s">
        <v>357</v>
      </c>
      <c r="C28" s="1337" t="str">
        <f>E_EnergyFlows!D235</f>
        <v>Bilans gazów odlotowych</v>
      </c>
      <c r="D28" s="1337"/>
      <c r="E28" s="1338"/>
      <c r="F28" s="1338"/>
      <c r="G28" s="1338"/>
      <c r="H28" s="1338"/>
      <c r="I28" s="1338"/>
      <c r="J28" s="1338"/>
      <c r="K28" s="369"/>
    </row>
    <row r="29" spans="1:12" x14ac:dyDescent="0.2">
      <c r="A29" s="408"/>
      <c r="B29" s="409" t="s">
        <v>5</v>
      </c>
      <c r="C29" s="1337" t="str">
        <f>E_EnergyFlows!D341</f>
        <v>Energia elektryczna</v>
      </c>
      <c r="D29" s="1337"/>
      <c r="E29" s="1338"/>
      <c r="F29" s="1338"/>
      <c r="G29" s="1338"/>
      <c r="H29" s="1338"/>
      <c r="I29" s="1338"/>
      <c r="J29" s="1338"/>
      <c r="K29" s="369"/>
    </row>
    <row r="30" spans="1:12" ht="25.5" customHeight="1" x14ac:dyDescent="0.2">
      <c r="A30" s="355"/>
      <c r="B30" s="355" t="s">
        <v>265</v>
      </c>
      <c r="C30" s="1335" t="str">
        <f>F_ProductBM!D7</f>
        <v>Arkusz „ProductBM” (Wskaźnik emisyjności dla produktów) – DANE DOTYCZĄCE PODINSTALACJI ODNOSZĄCE SIĘ DO WSKAŹNIKÓW EMISYJNOŚCI DLA PRODUKTÓW</v>
      </c>
      <c r="D30" s="1335"/>
      <c r="E30" s="1336"/>
      <c r="F30" s="1336"/>
      <c r="G30" s="1336"/>
      <c r="H30" s="1336"/>
      <c r="I30" s="1336"/>
      <c r="J30" s="1336"/>
      <c r="K30" s="1336"/>
      <c r="L30" s="26"/>
    </row>
    <row r="31" spans="1:12" x14ac:dyDescent="0.2">
      <c r="A31" s="408"/>
      <c r="B31" s="409" t="s">
        <v>407</v>
      </c>
      <c r="C31" s="1337" t="str">
        <f>F_ProductBM!D11</f>
        <v>Historyczne poziomy działalności oraz zdezagregowane dane szczegółowe dotyczące produkcji</v>
      </c>
      <c r="D31" s="1337"/>
      <c r="E31" s="1338"/>
      <c r="F31" s="1338"/>
      <c r="G31" s="1338"/>
      <c r="H31" s="1338"/>
      <c r="I31" s="1338"/>
      <c r="J31" s="1338"/>
      <c r="K31" s="369"/>
    </row>
    <row r="32" spans="1:12" ht="25.5" customHeight="1" x14ac:dyDescent="0.2">
      <c r="A32" s="355"/>
      <c r="B32" s="355" t="s">
        <v>266</v>
      </c>
      <c r="C32" s="1335" t="str">
        <f>'G_Fall-back'!D6</f>
        <v>Arkusz „Fall-back” (Podinstalacje, dla których wprowadzono rozwiązania rezerwowe) – DANE DOTYCZĄCE PODINSTALACJI ODNOSZĄCE SIĘ DO PODINSTALACJI REZERWOWYCH</v>
      </c>
      <c r="D32" s="1335"/>
      <c r="E32" s="1336"/>
      <c r="F32" s="1336"/>
      <c r="G32" s="1336"/>
      <c r="H32" s="1336"/>
      <c r="I32" s="1336"/>
      <c r="J32" s="1336"/>
      <c r="K32" s="1336"/>
      <c r="L32" s="26"/>
    </row>
    <row r="33" spans="1:12" x14ac:dyDescent="0.2">
      <c r="A33" s="408"/>
      <c r="B33" s="409" t="s">
        <v>407</v>
      </c>
      <c r="C33" s="1337" t="str">
        <f>'G_Fall-back'!D10</f>
        <v>Historyczne poziomy działalności oraz zdezagregowane dane szczegółowe dotyczące produkcji</v>
      </c>
      <c r="D33" s="1337"/>
      <c r="E33" s="1338"/>
      <c r="F33" s="1338"/>
      <c r="G33" s="1338"/>
      <c r="H33" s="1338"/>
      <c r="I33" s="1338"/>
      <c r="J33" s="1338"/>
      <c r="K33" s="369"/>
    </row>
    <row r="34" spans="1:12" ht="25.5" customHeight="1" x14ac:dyDescent="0.2">
      <c r="A34" s="355"/>
      <c r="B34" s="355" t="s">
        <v>267</v>
      </c>
      <c r="C34" s="1335" t="str">
        <f>H_SpecialBM!D7</f>
        <v>Arkusz „SpecialBM” (Szczególne wskaźniki emisyjności) – SZCZEGÓLNE DANE DOTYCZĄCE NIEKTÓRYCH WSKAŹNIKÓW EMISYJNOŚCI DLA PRODUKTÓW</v>
      </c>
      <c r="D34" s="1335"/>
      <c r="E34" s="1343"/>
      <c r="F34" s="1343"/>
      <c r="G34" s="1343"/>
      <c r="H34" s="1343"/>
      <c r="I34" s="1343"/>
      <c r="J34" s="1343"/>
      <c r="K34" s="1343"/>
      <c r="L34" s="26"/>
    </row>
    <row r="35" spans="1:12" x14ac:dyDescent="0.2">
      <c r="A35" s="408"/>
      <c r="B35" s="409" t="s">
        <v>407</v>
      </c>
      <c r="C35" s="1337" t="str">
        <f>H_SpecialBM!D9</f>
        <v>CWT (Produkty rafineryjne)</v>
      </c>
      <c r="D35" s="1337"/>
      <c r="E35" s="1338"/>
      <c r="F35" s="1338"/>
      <c r="G35" s="1338"/>
      <c r="H35" s="1338"/>
      <c r="I35" s="1338"/>
      <c r="J35" s="1338"/>
      <c r="K35" s="369"/>
    </row>
    <row r="36" spans="1:12" x14ac:dyDescent="0.2">
      <c r="A36" s="408"/>
      <c r="B36" s="409" t="s">
        <v>352</v>
      </c>
      <c r="C36" s="1337" t="str">
        <f>H_SpecialBM!D99</f>
        <v>Wapno</v>
      </c>
      <c r="D36" s="1337"/>
      <c r="E36" s="1338"/>
      <c r="F36" s="1338"/>
      <c r="G36" s="1338"/>
      <c r="H36" s="1338"/>
      <c r="I36" s="1338"/>
      <c r="J36" s="1338"/>
      <c r="K36" s="369"/>
    </row>
    <row r="37" spans="1:12" x14ac:dyDescent="0.2">
      <c r="A37" s="408"/>
      <c r="B37" s="409" t="s">
        <v>357</v>
      </c>
      <c r="C37" s="1337" t="str">
        <f>H_SpecialBM!D133</f>
        <v>Dolomit kalcynowany</v>
      </c>
      <c r="D37" s="1337"/>
      <c r="E37" s="1338"/>
      <c r="F37" s="1338"/>
      <c r="G37" s="1338"/>
      <c r="H37" s="1338"/>
      <c r="I37" s="1338"/>
      <c r="J37" s="1338"/>
      <c r="K37" s="369"/>
    </row>
    <row r="38" spans="1:12" x14ac:dyDescent="0.2">
      <c r="A38" s="408"/>
      <c r="B38" s="409" t="s">
        <v>5</v>
      </c>
      <c r="C38" s="1337" t="str">
        <f>H_SpecialBM!D167</f>
        <v>Kraking parowy</v>
      </c>
      <c r="D38" s="1337"/>
      <c r="E38" s="1338"/>
      <c r="F38" s="1338"/>
      <c r="G38" s="1338"/>
      <c r="H38" s="1338"/>
      <c r="I38" s="1338"/>
      <c r="J38" s="1338"/>
      <c r="K38" s="369"/>
    </row>
    <row r="39" spans="1:12" x14ac:dyDescent="0.2">
      <c r="A39" s="408"/>
      <c r="B39" s="409" t="s">
        <v>253</v>
      </c>
      <c r="C39" s="1337" t="str">
        <f>H_SpecialBM!D219</f>
        <v>CWT (Związki aromatyczne)</v>
      </c>
      <c r="D39" s="1337"/>
      <c r="E39" s="1338"/>
      <c r="F39" s="1338"/>
      <c r="G39" s="1338"/>
      <c r="H39" s="1338"/>
      <c r="I39" s="1338"/>
      <c r="J39" s="1338"/>
      <c r="K39" s="369"/>
    </row>
    <row r="40" spans="1:12" x14ac:dyDescent="0.2">
      <c r="A40" s="408"/>
      <c r="B40" s="409" t="s">
        <v>14</v>
      </c>
      <c r="C40" s="1337" t="str">
        <f>H_SpecialBM!D259</f>
        <v>Wodór</v>
      </c>
      <c r="D40" s="1337"/>
      <c r="E40" s="1338"/>
      <c r="F40" s="1338"/>
      <c r="G40" s="1338"/>
      <c r="H40" s="1338"/>
      <c r="I40" s="1338"/>
      <c r="J40" s="1338"/>
      <c r="K40" s="369"/>
    </row>
    <row r="41" spans="1:12" x14ac:dyDescent="0.2">
      <c r="A41" s="408"/>
      <c r="B41" s="409" t="s">
        <v>382</v>
      </c>
      <c r="C41" s="1337" t="str">
        <f>H_SpecialBM!D292</f>
        <v>Gaz syntezowy</v>
      </c>
      <c r="D41" s="1337"/>
      <c r="E41" s="1338"/>
      <c r="F41" s="1338"/>
      <c r="G41" s="1338"/>
      <c r="H41" s="1338"/>
      <c r="I41" s="1338"/>
      <c r="J41" s="1338"/>
      <c r="K41" s="369"/>
    </row>
    <row r="42" spans="1:12" x14ac:dyDescent="0.2">
      <c r="A42" s="408"/>
      <c r="B42" s="409" t="s">
        <v>383</v>
      </c>
      <c r="C42" s="1337" t="str">
        <f>H_SpecialBM!D325</f>
        <v>Tlenek etylenu / glikole etylenowe</v>
      </c>
      <c r="D42" s="1337"/>
      <c r="E42" s="1338"/>
      <c r="F42" s="1338"/>
      <c r="G42" s="1338"/>
      <c r="H42" s="1338"/>
      <c r="I42" s="1338"/>
      <c r="J42" s="1338"/>
      <c r="K42" s="369"/>
    </row>
    <row r="43" spans="1:12" x14ac:dyDescent="0.2">
      <c r="A43" s="408"/>
      <c r="B43" s="409" t="s">
        <v>77</v>
      </c>
      <c r="C43" s="1337" t="str">
        <f>H_SpecialBM!D354</f>
        <v>Monomer chlorku winylu (VCM)</v>
      </c>
      <c r="D43" s="1337"/>
      <c r="E43" s="1338"/>
      <c r="F43" s="1338"/>
      <c r="G43" s="1338"/>
      <c r="H43" s="1338"/>
      <c r="I43" s="1338"/>
      <c r="J43" s="1338"/>
      <c r="K43" s="369"/>
    </row>
    <row r="44" spans="1:12" ht="25.5" customHeight="1" x14ac:dyDescent="0.2">
      <c r="A44" s="355"/>
      <c r="B44" s="355" t="s">
        <v>268</v>
      </c>
      <c r="C44" s="1335" t="str">
        <f>I_MSspecific!C5</f>
        <v>Arkusz „MSspecific” (Dane właściwe dla danego państwa członkowskiego) – DODATKOWE WYMOGI DOTYCZĄCE DANYCH, USTANAWIANE PRZEZ PAŃSTWA CZŁONKOWSKIE</v>
      </c>
      <c r="D44" s="1335"/>
      <c r="E44" s="1336"/>
      <c r="F44" s="1336"/>
      <c r="G44" s="1336"/>
      <c r="H44" s="1336"/>
      <c r="I44" s="1336"/>
      <c r="J44" s="1336"/>
      <c r="K44" s="1336"/>
      <c r="L44" s="26"/>
    </row>
    <row r="45" spans="1:12" x14ac:dyDescent="0.2">
      <c r="A45" s="408"/>
      <c r="B45" s="409" t="s">
        <v>407</v>
      </c>
      <c r="C45" s="1337" t="str">
        <f>I_MSspecific!C7</f>
        <v>Określa państwo członkowskie</v>
      </c>
      <c r="D45" s="1337"/>
      <c r="E45" s="1338"/>
      <c r="F45" s="1338"/>
      <c r="G45" s="1338"/>
      <c r="H45" s="1338"/>
      <c r="I45" s="1338"/>
      <c r="J45" s="1338"/>
      <c r="K45" s="369"/>
    </row>
    <row r="46" spans="1:12" x14ac:dyDescent="0.2">
      <c r="A46" s="355"/>
      <c r="B46" s="355" t="s">
        <v>269</v>
      </c>
      <c r="C46" s="1330" t="str">
        <f>J_Comments!C5</f>
        <v>Arkusz „Comments” (Uwagi) – UWAGI I DALSZE INFORMACJE</v>
      </c>
      <c r="D46" s="1330"/>
      <c r="E46" s="1331"/>
      <c r="F46" s="1331"/>
      <c r="G46" s="1331"/>
      <c r="H46" s="1331"/>
      <c r="I46" s="1331"/>
      <c r="J46" s="1331"/>
      <c r="K46" s="1331"/>
      <c r="L46" s="26"/>
    </row>
    <row r="47" spans="1:12" x14ac:dyDescent="0.2">
      <c r="A47" s="408"/>
      <c r="B47" s="409" t="s">
        <v>407</v>
      </c>
      <c r="C47" s="1337" t="str">
        <f>J_Comments!C7</f>
        <v>Dokumenty uzupełniające do niniejszego raportu</v>
      </c>
      <c r="D47" s="1337"/>
      <c r="E47" s="1338"/>
      <c r="F47" s="1338"/>
      <c r="G47" s="1338"/>
      <c r="H47" s="1338"/>
      <c r="I47" s="1338"/>
      <c r="J47" s="1338"/>
      <c r="K47" s="369"/>
    </row>
    <row r="48" spans="1:12" x14ac:dyDescent="0.2">
      <c r="A48" s="408"/>
      <c r="B48" s="409" t="s">
        <v>352</v>
      </c>
      <c r="C48" s="1337" t="str">
        <f>J_Comments!C57</f>
        <v>Miejsce na wszelkiego rodzaje informacje dodatkowe</v>
      </c>
      <c r="D48" s="1337"/>
      <c r="E48" s="1338"/>
      <c r="F48" s="1338"/>
      <c r="G48" s="1338"/>
      <c r="H48" s="1338"/>
      <c r="I48" s="1338"/>
      <c r="J48" s="1338"/>
      <c r="K48" s="369"/>
    </row>
    <row r="49" spans="1:12" x14ac:dyDescent="0.2">
      <c r="A49" s="355"/>
      <c r="B49" s="355" t="s">
        <v>99</v>
      </c>
      <c r="C49" s="1330" t="str">
        <f>K_Summary!D6</f>
        <v>Arkusz „Summary” (Podsumowanie) – PRZEGLĄD NAJWAŻNIEJSZYCH DANYCH</v>
      </c>
      <c r="D49" s="1330"/>
      <c r="E49" s="1331"/>
      <c r="F49" s="1331"/>
      <c r="G49" s="1331"/>
      <c r="H49" s="1331"/>
      <c r="I49" s="1331"/>
      <c r="J49" s="1331"/>
      <c r="K49" s="1331"/>
      <c r="L49" s="26"/>
    </row>
    <row r="50" spans="1:12" x14ac:dyDescent="0.2">
      <c r="A50" s="408"/>
      <c r="B50" s="409" t="s">
        <v>407</v>
      </c>
      <c r="C50" s="1337" t="str">
        <f>K_Summary!D8</f>
        <v>Dane dotyczące instalacji</v>
      </c>
      <c r="D50" s="1337"/>
      <c r="E50" s="1337"/>
      <c r="F50" s="1337"/>
      <c r="G50" s="1337"/>
      <c r="H50" s="1337"/>
      <c r="I50" s="1337"/>
      <c r="J50" s="1337"/>
      <c r="K50" s="369"/>
    </row>
    <row r="51" spans="1:12" x14ac:dyDescent="0.2">
      <c r="A51" s="408"/>
      <c r="B51" s="409" t="s">
        <v>352</v>
      </c>
      <c r="C51" s="1347" t="str">
        <f>K_Summary!D44</f>
        <v>Okres odniesienia i kwalifikowalność</v>
      </c>
      <c r="D51" s="1347"/>
      <c r="E51" s="1347"/>
      <c r="F51" s="1347"/>
      <c r="G51" s="1347"/>
      <c r="H51" s="1347"/>
      <c r="I51" s="1347"/>
      <c r="J51" s="1347"/>
      <c r="K51" s="369"/>
    </row>
    <row r="52" spans="1:12" x14ac:dyDescent="0.2">
      <c r="A52" s="408"/>
      <c r="B52" s="409" t="s">
        <v>357</v>
      </c>
      <c r="C52" s="1347" t="str">
        <f>K_Summary!D60</f>
        <v>Emisje i przepływy energii</v>
      </c>
      <c r="D52" s="1347"/>
      <c r="E52" s="1347"/>
      <c r="F52" s="1347"/>
      <c r="G52" s="1347"/>
      <c r="H52" s="1347"/>
      <c r="I52" s="1347"/>
      <c r="J52" s="1347"/>
      <c r="K52" s="369"/>
    </row>
    <row r="53" spans="1:12" x14ac:dyDescent="0.2">
      <c r="A53" s="408"/>
      <c r="B53" s="409" t="s">
        <v>5</v>
      </c>
      <c r="C53" s="1347" t="str">
        <f>K_Summary!D444</f>
        <v>Dane dotyczące podinstalacji istotne dla rozdziału uprawnień i aktualizacji wskaźników</v>
      </c>
      <c r="D53" s="1347"/>
      <c r="E53" s="1347"/>
      <c r="F53" s="1347"/>
      <c r="G53" s="1347"/>
      <c r="H53" s="1347"/>
      <c r="I53" s="1347"/>
      <c r="J53" s="1347"/>
      <c r="K53" s="369"/>
    </row>
    <row r="54" spans="1:12" x14ac:dyDescent="0.2">
      <c r="A54" s="408"/>
      <c r="B54" s="409" t="s">
        <v>253</v>
      </c>
      <c r="C54" s="1347" t="str">
        <f>K_Summary!D1290</f>
        <v>Obliczenie wstępnej rocznej liczby uprawnień przydzielonych bezpłatnie</v>
      </c>
      <c r="D54" s="1347"/>
      <c r="E54" s="1347"/>
      <c r="F54" s="1347"/>
      <c r="G54" s="1347"/>
      <c r="H54" s="1347"/>
      <c r="I54" s="1347"/>
      <c r="J54" s="1347"/>
      <c r="K54" s="369"/>
    </row>
    <row r="55" spans="1:12" ht="25.5" customHeight="1" thickBot="1" x14ac:dyDescent="0.25">
      <c r="A55" s="408"/>
      <c r="B55" s="408"/>
      <c r="C55" s="408"/>
      <c r="D55" s="408"/>
      <c r="E55" s="369"/>
      <c r="F55" s="369"/>
      <c r="G55" s="369"/>
      <c r="H55" s="369"/>
      <c r="I55" s="369"/>
      <c r="J55" s="369"/>
      <c r="K55" s="369"/>
      <c r="L55" s="26"/>
    </row>
    <row r="56" spans="1:12" x14ac:dyDescent="0.2">
      <c r="A56" s="366"/>
      <c r="B56" s="208"/>
      <c r="C56" s="410" t="str">
        <f>Translations!$B$9</f>
        <v>Wersja językowa:</v>
      </c>
      <c r="D56" s="411"/>
      <c r="E56" s="411"/>
      <c r="F56" s="412"/>
      <c r="G56" s="413" t="str">
        <f>VersionDocumentation!B5</f>
        <v>Polish</v>
      </c>
      <c r="H56" s="413"/>
      <c r="I56" s="413"/>
      <c r="J56" s="414"/>
      <c r="K56" s="208"/>
    </row>
    <row r="57" spans="1:12" ht="13.5" thickBot="1" x14ac:dyDescent="0.25">
      <c r="A57" s="366"/>
      <c r="B57" s="208"/>
      <c r="C57" s="415" t="str">
        <f>Translations!$B$10</f>
        <v>Nazwa dokumentu:</v>
      </c>
      <c r="D57" s="416"/>
      <c r="E57" s="416"/>
      <c r="F57" s="417"/>
      <c r="G57" s="418" t="str">
        <f>VersionDocumentation!C3</f>
        <v>NIMs P4 baseline_COM_pl_040419.xls</v>
      </c>
      <c r="H57" s="418"/>
      <c r="I57" s="418"/>
      <c r="J57" s="419"/>
      <c r="K57" s="208"/>
    </row>
    <row r="58" spans="1:12" x14ac:dyDescent="0.2">
      <c r="A58" s="366"/>
      <c r="B58" s="208"/>
      <c r="C58" s="208"/>
      <c r="D58" s="208"/>
      <c r="E58" s="208"/>
      <c r="F58" s="208"/>
      <c r="G58" s="208"/>
      <c r="H58" s="208"/>
      <c r="I58" s="208"/>
      <c r="J58" s="208"/>
      <c r="K58" s="208"/>
    </row>
    <row r="59" spans="1:12" ht="13.5" thickBot="1" x14ac:dyDescent="0.25">
      <c r="A59" s="366"/>
      <c r="B59" s="208"/>
      <c r="C59" s="397" t="str">
        <f>Translations!$B$11</f>
        <v>Informacje o dokumencie:</v>
      </c>
      <c r="D59" s="397"/>
      <c r="E59" s="397"/>
      <c r="F59" s="208"/>
      <c r="G59" s="208"/>
      <c r="H59" s="208"/>
      <c r="I59" s="208"/>
      <c r="J59" s="208"/>
      <c r="K59" s="208"/>
    </row>
    <row r="60" spans="1:12" x14ac:dyDescent="0.2">
      <c r="A60" s="366"/>
      <c r="B60" s="208"/>
      <c r="C60" s="410" t="str">
        <f>Translations!$B$12</f>
        <v>Nazwa instalacji:</v>
      </c>
      <c r="D60" s="411"/>
      <c r="E60" s="411"/>
      <c r="F60" s="412"/>
      <c r="G60" s="413" t="str">
        <f>IF(ISBLANK(A_InstallationData!J12),"",A_InstallationData!J12)</f>
        <v>Ciepłownia</v>
      </c>
      <c r="H60" s="413"/>
      <c r="I60" s="413"/>
      <c r="J60" s="414"/>
      <c r="K60" s="208"/>
    </row>
    <row r="61" spans="1:12" x14ac:dyDescent="0.2">
      <c r="A61" s="366"/>
      <c r="B61" s="208"/>
      <c r="C61" s="613" t="str">
        <f>Translations!$B$13</f>
        <v>Niepowtarzalny identyfikator instalacji:</v>
      </c>
      <c r="D61" s="614"/>
      <c r="E61" s="614"/>
      <c r="F61" s="615"/>
      <c r="G61" s="616" t="str">
        <f>IF(A_InstallationData!J29="","",A_InstallationData!J29)</f>
        <v>PL000000000009999</v>
      </c>
      <c r="H61" s="616"/>
      <c r="I61" s="616"/>
      <c r="J61" s="617"/>
      <c r="K61" s="208"/>
    </row>
    <row r="62" spans="1:12" ht="13.5" thickBot="1" x14ac:dyDescent="0.25">
      <c r="A62" s="366"/>
      <c r="B62" s="208"/>
      <c r="C62" s="623" t="str">
        <f>Translations!$B$14</f>
        <v>Odpowiedni okres odniesienia</v>
      </c>
      <c r="D62" s="618"/>
      <c r="E62" s="618"/>
      <c r="F62" s="619"/>
      <c r="G62" s="620" t="str">
        <f>IF(ISBLANK(A_InstallationData!J212),"",A_InstallationData!J212)</f>
        <v>2014-2018</v>
      </c>
      <c r="H62" s="621"/>
      <c r="I62" s="621"/>
      <c r="J62" s="622"/>
      <c r="K62" s="208"/>
    </row>
    <row r="63" spans="1:12" x14ac:dyDescent="0.2">
      <c r="A63" s="366"/>
      <c r="B63" s="208"/>
      <c r="C63" s="208"/>
      <c r="D63" s="208"/>
      <c r="E63" s="208"/>
      <c r="F63" s="208"/>
      <c r="G63" s="208"/>
      <c r="H63" s="208"/>
      <c r="I63" s="208"/>
      <c r="J63" s="208"/>
      <c r="K63" s="208"/>
    </row>
    <row r="64" spans="1:12" ht="12.75" customHeight="1" x14ac:dyDescent="0.2">
      <c r="A64" s="366"/>
      <c r="B64" s="208"/>
      <c r="C64" s="1328" t="str">
        <f>Translations!$B$15</f>
        <v>W przypadku gdy właściwy organ wymaga od Państwa złożenia podpisanego sprawozdania w wersji papierowej, proszę złożyć podpis poniżej:</v>
      </c>
      <c r="D64" s="1328"/>
      <c r="E64" s="1328"/>
      <c r="F64" s="1329"/>
      <c r="G64" s="1329"/>
      <c r="H64" s="1329"/>
      <c r="I64" s="1329"/>
      <c r="J64" s="1329"/>
      <c r="K64" s="208"/>
    </row>
    <row r="65" spans="1:11" x14ac:dyDescent="0.2">
      <c r="A65" s="366"/>
      <c r="B65" s="208"/>
      <c r="C65" s="208"/>
      <c r="D65" s="208"/>
      <c r="E65" s="208"/>
      <c r="F65" s="366"/>
      <c r="G65" s="208"/>
      <c r="H65" s="208"/>
      <c r="I65" s="208"/>
      <c r="J65" s="208"/>
      <c r="K65" s="208"/>
    </row>
    <row r="66" spans="1:11" x14ac:dyDescent="0.2">
      <c r="A66" s="366"/>
      <c r="B66" s="208"/>
      <c r="C66" s="208"/>
      <c r="D66" s="208"/>
      <c r="E66" s="208"/>
      <c r="F66" s="208"/>
      <c r="G66" s="208"/>
      <c r="H66" s="208"/>
      <c r="I66" s="208"/>
      <c r="J66" s="208"/>
      <c r="K66" s="208"/>
    </row>
    <row r="67" spans="1:11" x14ac:dyDescent="0.2">
      <c r="A67" s="366"/>
      <c r="B67" s="208"/>
      <c r="C67" s="208"/>
      <c r="D67" s="208"/>
      <c r="E67" s="208"/>
      <c r="F67" s="208"/>
      <c r="G67" s="208"/>
      <c r="H67" s="208"/>
      <c r="I67" s="208"/>
      <c r="J67" s="208"/>
      <c r="K67" s="208"/>
    </row>
    <row r="68" spans="1:11" x14ac:dyDescent="0.2">
      <c r="A68" s="366"/>
      <c r="B68" s="208"/>
      <c r="C68" s="208"/>
      <c r="D68" s="208"/>
      <c r="E68" s="208"/>
      <c r="F68" s="208"/>
      <c r="G68" s="208"/>
      <c r="H68" s="208"/>
      <c r="I68" s="208"/>
      <c r="J68" s="208"/>
      <c r="K68" s="208"/>
    </row>
    <row r="69" spans="1:11" x14ac:dyDescent="0.2">
      <c r="A69" s="366"/>
      <c r="B69" s="208"/>
      <c r="C69" s="420"/>
      <c r="D69" s="420"/>
      <c r="E69" s="420"/>
      <c r="F69" s="208"/>
      <c r="G69" s="420"/>
      <c r="H69" s="208"/>
      <c r="I69" s="208"/>
      <c r="J69" s="208"/>
      <c r="K69" s="208"/>
    </row>
    <row r="70" spans="1:11" ht="25.5" customHeight="1" x14ac:dyDescent="0.2">
      <c r="A70" s="366"/>
      <c r="B70" s="208"/>
      <c r="C70" s="1344" t="str">
        <f>Translations!$B$16</f>
        <v>Data</v>
      </c>
      <c r="D70" s="1344"/>
      <c r="E70" s="1344"/>
      <c r="F70" s="366"/>
      <c r="G70" s="1344" t="str">
        <f>Translations!$B$17</f>
        <v>Imię, nazwisko i podpis
osoby prawnie odpowiedzialnej</v>
      </c>
      <c r="H70" s="1345"/>
      <c r="I70" s="1345"/>
      <c r="J70" s="1345"/>
      <c r="K70" s="208"/>
    </row>
    <row r="71" spans="1:11" x14ac:dyDescent="0.2">
      <c r="H71" s="356"/>
      <c r="I71" s="356"/>
      <c r="J71" s="356"/>
      <c r="K71" s="356"/>
    </row>
  </sheetData>
  <sheetProtection sheet="1" objects="1" scenarios="1" formatCells="0" formatColumns="0" formatRows="0"/>
  <mergeCells count="65">
    <mergeCell ref="C42:J42"/>
    <mergeCell ref="C43:J43"/>
    <mergeCell ref="C50:J50"/>
    <mergeCell ref="C51:J51"/>
    <mergeCell ref="C54:J54"/>
    <mergeCell ref="C46:K46"/>
    <mergeCell ref="C47:J47"/>
    <mergeCell ref="C48:J48"/>
    <mergeCell ref="C49:K49"/>
    <mergeCell ref="C44:K44"/>
    <mergeCell ref="C45:J45"/>
    <mergeCell ref="A1:A3"/>
    <mergeCell ref="E1:F1"/>
    <mergeCell ref="G1:H1"/>
    <mergeCell ref="I1:J1"/>
    <mergeCell ref="E3:F3"/>
    <mergeCell ref="B2:D2"/>
    <mergeCell ref="B3:D3"/>
    <mergeCell ref="G70:J70"/>
    <mergeCell ref="C70:E70"/>
    <mergeCell ref="C9:K9"/>
    <mergeCell ref="C10:J10"/>
    <mergeCell ref="C11:J11"/>
    <mergeCell ref="C16:J16"/>
    <mergeCell ref="C13:J13"/>
    <mergeCell ref="C12:J12"/>
    <mergeCell ref="C20:K20"/>
    <mergeCell ref="C21:J21"/>
    <mergeCell ref="C22:J22"/>
    <mergeCell ref="C25:K25"/>
    <mergeCell ref="C52:J52"/>
    <mergeCell ref="C53:J53"/>
    <mergeCell ref="C27:J27"/>
    <mergeCell ref="C28:J28"/>
    <mergeCell ref="C36:J36"/>
    <mergeCell ref="C37:J37"/>
    <mergeCell ref="C38:J38"/>
    <mergeCell ref="C39:J39"/>
    <mergeCell ref="C26:J26"/>
    <mergeCell ref="C34:K34"/>
    <mergeCell ref="C35:J35"/>
    <mergeCell ref="C29:J29"/>
    <mergeCell ref="K1:L1"/>
    <mergeCell ref="E2:F2"/>
    <mergeCell ref="G2:H2"/>
    <mergeCell ref="I2:J2"/>
    <mergeCell ref="C8:K8"/>
    <mergeCell ref="K2:L2"/>
    <mergeCell ref="K3:L3"/>
    <mergeCell ref="C64:J64"/>
    <mergeCell ref="C14:K14"/>
    <mergeCell ref="C15:J15"/>
    <mergeCell ref="G3:H3"/>
    <mergeCell ref="I3:J3"/>
    <mergeCell ref="C32:K32"/>
    <mergeCell ref="C33:J33"/>
    <mergeCell ref="C30:K30"/>
    <mergeCell ref="C31:J31"/>
    <mergeCell ref="C23:J23"/>
    <mergeCell ref="C24:J24"/>
    <mergeCell ref="C40:J40"/>
    <mergeCell ref="C41:J41"/>
    <mergeCell ref="C17:J17"/>
    <mergeCell ref="C18:J18"/>
    <mergeCell ref="C19:J19"/>
  </mergeCells>
  <phoneticPr fontId="7" type="noConversion"/>
  <hyperlinks>
    <hyperlink ref="C10" location="JUMP_A_I" display="I"/>
    <hyperlink ref="C11" location="JUMP_A_II" display="II"/>
    <hyperlink ref="C12" location="JUMP_A_III" display="III"/>
    <hyperlink ref="C13" location="JUMP_A_IV" display="IV"/>
    <hyperlink ref="B10" location="JUMP_A_I" display="I"/>
    <hyperlink ref="B11" location="JUMP_A_II" display="II"/>
    <hyperlink ref="B12" location="JUMP_A_III" display="III"/>
    <hyperlink ref="B13" location="JUMP_A_IV" display="IV"/>
    <hyperlink ref="C8:K8" location="JUMP_Guidelines_Home" display="GUIDELINES AND CONDITIONS"/>
    <hyperlink ref="K1:L1" location="JUMP_K_I" display="Summary"/>
    <hyperlink ref="B2:C2" location="JUMP_Guidelines_Home" display="Top of sheet"/>
    <hyperlink ref="B3:C3" location="JUMP_Guidelines_Bottom" display="End of sheet"/>
    <hyperlink ref="I1:J1" location="JUMP_Guidelines_Home" display="Next sheet"/>
    <hyperlink ref="B2:D2" location="JUMP_Coverpage_Top" display="Top of sheet"/>
    <hyperlink ref="B3:D3" location="JUMP_Coverpage_Bottom" display="End of sheet"/>
    <hyperlink ref="C15" location="JUMP_A_I" display="I"/>
    <hyperlink ref="C21" location="JUMP_A_I" display="I"/>
    <hyperlink ref="C22" location="JUMP_A_II" display="II"/>
    <hyperlink ref="B21" location="JUMP_D_I" display="I"/>
    <hyperlink ref="B22" location="JUMP_D_II" display="II"/>
    <hyperlink ref="C31" location="JUMP_A_I" display="I"/>
    <hyperlink ref="B31" location="JUMP_F_I" display="I"/>
    <hyperlink ref="C23" location="JUMP_A_II" display="II"/>
    <hyperlink ref="C24" location="JUMP_A_II" display="II"/>
    <hyperlink ref="C21:J21" location="JUMP_D_I" display="JUMP_D_I"/>
    <hyperlink ref="C22:J22" location="JUMP_D_II" display="JUMP_D_II"/>
    <hyperlink ref="B23" location="JUMP_D_III" display="III"/>
    <hyperlink ref="C23:J23" location="JUMP_D_III" display="JUMP_D_III"/>
    <hyperlink ref="B24" location="JUMP_D_IV" display="IV"/>
    <hyperlink ref="C24:J24" location="JUMP_D_IV" display="JUMP_D_IV"/>
    <hyperlink ref="C26" location="JUMP_A_I" display="I"/>
    <hyperlink ref="C27" location="JUMP_A_II" display="II"/>
    <hyperlink ref="B26" location="JUMP_E_I" display="I"/>
    <hyperlink ref="B27" location="JUMP_E_II" display="II"/>
    <hyperlink ref="C28" location="JUMP_A_II" display="II"/>
    <hyperlink ref="C29" location="JUMP_A_II" display="II"/>
    <hyperlink ref="C26:J26" location="JUMP_E_I" display="JUMP_E_I"/>
    <hyperlink ref="C27:J27" location="JUMP_E_II" display="JUMP_E_II"/>
    <hyperlink ref="B28" location="JUMP_E_III" display="III"/>
    <hyperlink ref="C28:J28" location="JUMP_E_III" display="JUMP_E_III"/>
    <hyperlink ref="B29" location="JUMP_E_IV" display="IV"/>
    <hyperlink ref="C29:J29" location="JUMP_E_IV" display="JUMP_E_IV"/>
    <hyperlink ref="C33" location="JUMP_A_I" display="I"/>
    <hyperlink ref="B33" location="JUMP_G_I" display="I"/>
    <hyperlink ref="C31:J31" location="JUMP_F_I" display="JUMP_F_I"/>
    <hyperlink ref="C33:J33" location="JUMP_G_I" display="JUMP_G_I"/>
    <hyperlink ref="C35:J35" location="JUMP_H_I" display="I"/>
    <hyperlink ref="C36:J36" location="JUMP_H_II" display="II"/>
    <hyperlink ref="C37:J37" location="JUMP_H_III" display="III"/>
    <hyperlink ref="C38:J38" location="JUMP_H_IV" display="IV"/>
    <hyperlink ref="C39:J39" location="JUMP_H_V" display="V"/>
    <hyperlink ref="C40:J40" location="JUMP_H_VI" display="VI"/>
    <hyperlink ref="C41:J41" location="JUMP_H_VII" display="VII"/>
    <hyperlink ref="C42:J42" location="JUMP_H_VIII" display="VIII"/>
    <hyperlink ref="C43:J43" location="JUMP_H_IX" display="IX"/>
    <hyperlink ref="B35" location="JUMP_H_I" display="I"/>
    <hyperlink ref="B36" location="JUMP_H_II" display="II"/>
    <hyperlink ref="B37" location="JUMP_H_III" display="III"/>
    <hyperlink ref="B38" location="JUMP_H_IV" display="IV"/>
    <hyperlink ref="B39" location="JUMP_H_V" display="V"/>
    <hyperlink ref="B40" location="JUMP_H_VI" display="VI"/>
    <hyperlink ref="B41" location="JUMP_H_VII" display="VII"/>
    <hyperlink ref="B42" location="JUMP_H_VIII" display="VIII"/>
    <hyperlink ref="B43" location="JUMP_H_IX" display="IX"/>
    <hyperlink ref="C47:J47" location="JUMP_J_I" display="I"/>
    <hyperlink ref="C48:J48" location="JUMP_J_II" display="II"/>
    <hyperlink ref="C45:J45" location="JUMP_I_MSspecific" display="I"/>
    <hyperlink ref="B45" location="JUMP_I_MSspecific" display="I"/>
    <hyperlink ref="B47" location="JUMP_J_I" display="I"/>
    <hyperlink ref="B48" location="JUMP_J_II" display="II"/>
    <hyperlink ref="C50:J50" location="JUMP_K_I" display="I"/>
    <hyperlink ref="B50" location="JUMP_K_I" display="I"/>
    <hyperlink ref="B51:J51" location="JUMP_K_II" display="II"/>
    <hyperlink ref="B52:J52" location="JUMP_K_III" display="III"/>
    <hyperlink ref="B53:J53" location="JUMP_K_IV" display="IV"/>
    <hyperlink ref="B54:J54" location="JUMP_K_V" display="V"/>
    <hyperlink ref="C16" location="JUMP_A_I" display="I"/>
    <hyperlink ref="C17" location="JUMP_A_I" display="I"/>
    <hyperlink ref="C18" location="JUMP_A_I" display="I"/>
    <hyperlink ref="C19" location="JUMP_A_I" display="I"/>
    <hyperlink ref="C15:J15" location="JUMP_BY1_Top" display="JUMP_BY1_Top"/>
    <hyperlink ref="C16:J16" location="JUMP_BY2_Top" display="JUMP_BY2_Top"/>
    <hyperlink ref="C17:J17" location="JUMP_BY3_Top" display="JUMP_BY3_Top"/>
    <hyperlink ref="C18:J18" location="JUMP_BY4_Top" display="JUMP_BY4_Top"/>
    <hyperlink ref="C19:J19" location="JUMP_BY5_Top" display="JUMP_BY5_Top"/>
  </hyperlinks>
  <pageMargins left="0.78740157480314965" right="0.78740157480314965" top="0.78740157480314965" bottom="0.78740157480314965" header="0.39370078740157483" footer="0.39370078740157483"/>
  <pageSetup paperSize="9" scale="66"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indexed="52"/>
    <pageSetUpPr fitToPage="1"/>
  </sheetPr>
  <dimension ref="A1:U423"/>
  <sheetViews>
    <sheetView topLeftCell="B1" zoomScaleNormal="100" workbookViewId="0">
      <pane ySplit="4" topLeftCell="A5" activePane="bottomLeft" state="frozen"/>
      <selection activeCell="B2" sqref="B2"/>
      <selection pane="bottomLeft" activeCell="I196" sqref="I196"/>
    </sheetView>
  </sheetViews>
  <sheetFormatPr defaultColWidth="11.42578125" defaultRowHeight="12.75" x14ac:dyDescent="0.2"/>
  <cols>
    <col min="1" max="1" width="4.7109375" style="430" hidden="1" customWidth="1"/>
    <col min="2" max="2" width="2.7109375" style="1" customWidth="1"/>
    <col min="3" max="4" width="4.7109375" style="1" customWidth="1"/>
    <col min="5" max="6" width="12.7109375" style="1" customWidth="1"/>
    <col min="7" max="7" width="18.85546875" style="1" customWidth="1"/>
    <col min="8" max="14" width="12.7109375" style="1" customWidth="1"/>
    <col min="15" max="15" width="4.7109375" style="1" customWidth="1"/>
    <col min="16" max="16" width="12.7109375" style="430" hidden="1" customWidth="1"/>
    <col min="17" max="19" width="11.42578125" style="430" hidden="1" customWidth="1"/>
    <col min="20" max="16384" width="11.42578125" style="700"/>
  </cols>
  <sheetData>
    <row r="1" spans="1:19" s="2" customFormat="1" ht="13.5" hidden="1" thickBot="1" x14ac:dyDescent="0.25">
      <c r="A1" s="430" t="s">
        <v>101</v>
      </c>
      <c r="P1" s="430" t="s">
        <v>101</v>
      </c>
      <c r="Q1" s="430" t="s">
        <v>101</v>
      </c>
      <c r="R1" s="430" t="s">
        <v>101</v>
      </c>
      <c r="S1" s="430" t="s">
        <v>101</v>
      </c>
    </row>
    <row r="2" spans="1:19" ht="13.5" thickBot="1" x14ac:dyDescent="0.25">
      <c r="B2" s="1548" t="str">
        <f>Translations!$B$483</f>
        <v>E. Energy flows</v>
      </c>
      <c r="C2" s="1549"/>
      <c r="D2" s="1550"/>
      <c r="E2" s="790" t="str">
        <f>Translations!$B$2</f>
        <v>Obszar nawigacji:</v>
      </c>
      <c r="F2" s="791"/>
      <c r="G2" s="1558" t="str">
        <f>Translations!$B$18</f>
        <v>Spis treści</v>
      </c>
      <c r="H2" s="1339"/>
      <c r="I2" s="1339" t="str">
        <f>Translations!$B$19</f>
        <v>Poprzedni arkusz</v>
      </c>
      <c r="J2" s="1339"/>
      <c r="K2" s="1339" t="str">
        <f>Translations!$B$3</f>
        <v>Następny arkusz</v>
      </c>
      <c r="L2" s="1339"/>
      <c r="M2" s="1339" t="str">
        <f>Translations!$B$4</f>
        <v>Podsumowanie</v>
      </c>
      <c r="N2" s="1339"/>
      <c r="O2" s="7"/>
      <c r="P2" s="626"/>
    </row>
    <row r="3" spans="1:19" ht="13.5" customHeight="1" thickBot="1" x14ac:dyDescent="0.25">
      <c r="B3" s="1551"/>
      <c r="C3" s="1552"/>
      <c r="D3" s="1553"/>
      <c r="E3" s="1339" t="str">
        <f>Translations!$B$5</f>
        <v>Początek arkusza</v>
      </c>
      <c r="F3" s="1542"/>
      <c r="G3" s="1720" t="str">
        <f>Translations!$B$484</f>
        <v>Przypisanie paliw</v>
      </c>
      <c r="H3" s="1721"/>
      <c r="I3" s="1721" t="str">
        <f>Translations!$B$249</f>
        <v>Mierzalne ciepło</v>
      </c>
      <c r="J3" s="1721"/>
      <c r="K3" s="1721" t="str">
        <f>Translations!$B$485</f>
        <v>Ciepło (wynik końcowy)</v>
      </c>
      <c r="L3" s="1721"/>
      <c r="M3" s="1721" t="str">
        <f>Translations!$B$486</f>
        <v>Gazy odlotowe</v>
      </c>
      <c r="N3" s="1721"/>
      <c r="O3" s="7"/>
      <c r="P3" s="626"/>
    </row>
    <row r="4" spans="1:19" ht="13.5" customHeight="1" thickBot="1" x14ac:dyDescent="0.25">
      <c r="B4" s="1554"/>
      <c r="C4" s="1555"/>
      <c r="D4" s="1556"/>
      <c r="E4" s="1339" t="str">
        <f>Translations!$B$6</f>
        <v>Koniec arkusza</v>
      </c>
      <c r="F4" s="1339"/>
      <c r="G4" s="1557" t="str">
        <f>Translations!$B$487</f>
        <v>Energia elektryczna</v>
      </c>
      <c r="H4" s="1545"/>
      <c r="I4" s="1545"/>
      <c r="J4" s="1545"/>
      <c r="K4" s="1545"/>
      <c r="L4" s="1545"/>
      <c r="M4" s="1717"/>
      <c r="N4" s="1717"/>
      <c r="O4" s="7"/>
      <c r="P4" s="626"/>
    </row>
    <row r="5" spans="1:19" x14ac:dyDescent="0.2">
      <c r="B5" s="3"/>
      <c r="C5" s="4"/>
      <c r="D5" s="5"/>
      <c r="E5" s="5"/>
      <c r="F5" s="6"/>
      <c r="G5" s="6"/>
      <c r="H5" s="6"/>
      <c r="I5" s="3"/>
      <c r="J5" s="3"/>
      <c r="K5" s="3"/>
      <c r="L5" s="3"/>
      <c r="M5" s="7"/>
      <c r="N5" s="7"/>
      <c r="O5" s="7"/>
      <c r="P5" s="626"/>
    </row>
    <row r="6" spans="1:19" ht="38.25" customHeight="1" x14ac:dyDescent="0.2">
      <c r="B6" s="3"/>
      <c r="C6" s="9" t="s">
        <v>264</v>
      </c>
      <c r="D6" s="1371" t="str">
        <f>Translations!$B$488</f>
        <v>Arkusz „EnergyFlows” (Przepływy energii) – DANE DOTYCZĄCE ENERGII WEJŚCIOWEJ, MIERZALNEGO CIEPŁA I ENERGII ELEKTRYCZNEJ</v>
      </c>
      <c r="E6" s="1370"/>
      <c r="F6" s="1370"/>
      <c r="G6" s="1370"/>
      <c r="H6" s="1370"/>
      <c r="I6" s="1370"/>
      <c r="J6" s="1370"/>
      <c r="K6" s="1370"/>
      <c r="L6" s="1370"/>
      <c r="M6" s="1370"/>
      <c r="N6" s="1370"/>
      <c r="O6" s="7"/>
      <c r="P6" s="627" t="s">
        <v>75</v>
      </c>
      <c r="Q6" s="627" t="s">
        <v>75</v>
      </c>
      <c r="R6" s="627" t="s">
        <v>75</v>
      </c>
      <c r="S6" s="627" t="s">
        <v>75</v>
      </c>
    </row>
    <row r="7" spans="1:19" x14ac:dyDescent="0.2">
      <c r="B7" s="3"/>
      <c r="C7" s="3"/>
      <c r="D7" s="3"/>
      <c r="E7" s="3"/>
      <c r="F7" s="3"/>
      <c r="G7" s="3"/>
      <c r="H7" s="3"/>
      <c r="I7" s="3"/>
      <c r="J7" s="3"/>
      <c r="K7" s="3"/>
      <c r="L7" s="3"/>
      <c r="M7" s="7"/>
      <c r="N7" s="7"/>
      <c r="O7" s="7"/>
      <c r="P7" s="628" t="s">
        <v>274</v>
      </c>
      <c r="Q7" s="628" t="s">
        <v>274</v>
      </c>
      <c r="R7" s="628" t="s">
        <v>274</v>
      </c>
      <c r="S7" s="628" t="s">
        <v>274</v>
      </c>
    </row>
    <row r="8" spans="1:19" ht="15.75" x14ac:dyDescent="0.25">
      <c r="B8" s="3"/>
      <c r="C8" s="12" t="s">
        <v>407</v>
      </c>
      <c r="D8" s="1384" t="str">
        <f>Translations!$B$489</f>
        <v>Energia wejściowa z paliw</v>
      </c>
      <c r="E8" s="1384"/>
      <c r="F8" s="1384"/>
      <c r="G8" s="1384"/>
      <c r="H8" s="1384"/>
      <c r="I8" s="1384"/>
      <c r="J8" s="1384"/>
      <c r="K8" s="1384"/>
      <c r="L8" s="1384"/>
      <c r="M8" s="1384"/>
      <c r="N8" s="1384"/>
      <c r="O8" s="7"/>
      <c r="P8" s="626"/>
    </row>
    <row r="9" spans="1:19" ht="5.0999999999999996" customHeight="1" x14ac:dyDescent="0.2">
      <c r="B9" s="3"/>
      <c r="C9" s="3"/>
      <c r="D9" s="3"/>
      <c r="E9" s="3"/>
      <c r="F9" s="3"/>
      <c r="G9" s="3"/>
      <c r="H9" s="3"/>
      <c r="I9" s="3"/>
      <c r="J9" s="3"/>
      <c r="K9" s="3"/>
      <c r="L9" s="3"/>
      <c r="M9" s="7"/>
      <c r="N9" s="7"/>
      <c r="O9" s="7"/>
      <c r="P9" s="626"/>
    </row>
    <row r="10" spans="1:19" ht="15" x14ac:dyDescent="0.25">
      <c r="B10" s="3"/>
      <c r="C10" s="18">
        <v>1</v>
      </c>
      <c r="D10" s="1439" t="str">
        <f>Translations!$B$490</f>
        <v>Przegląd i podział na kategorie wykorzystania</v>
      </c>
      <c r="E10" s="1370"/>
      <c r="F10" s="1370"/>
      <c r="G10" s="1370"/>
      <c r="H10" s="1370"/>
      <c r="I10" s="1370"/>
      <c r="J10" s="1370"/>
      <c r="K10" s="1370"/>
      <c r="L10" s="1370"/>
      <c r="M10" s="1370"/>
      <c r="N10" s="1370"/>
      <c r="O10" s="7"/>
      <c r="P10" s="626"/>
    </row>
    <row r="11" spans="1:19" ht="5.0999999999999996" customHeight="1" x14ac:dyDescent="0.2">
      <c r="B11" s="3"/>
      <c r="C11" s="3"/>
      <c r="D11" s="3"/>
      <c r="E11" s="3"/>
      <c r="F11" s="3"/>
      <c r="G11" s="3"/>
      <c r="H11" s="3"/>
      <c r="I11" s="3"/>
      <c r="J11" s="3"/>
      <c r="K11" s="3"/>
      <c r="L11" s="3"/>
      <c r="M11" s="3"/>
      <c r="N11" s="3"/>
      <c r="O11" s="7"/>
      <c r="P11" s="626"/>
    </row>
    <row r="12" spans="1:19" ht="5.0999999999999996" customHeight="1" x14ac:dyDescent="0.2">
      <c r="B12" s="3"/>
      <c r="C12" s="3"/>
      <c r="D12" s="3"/>
      <c r="E12" s="3"/>
      <c r="F12" s="3"/>
      <c r="G12" s="3"/>
      <c r="H12" s="3"/>
      <c r="I12" s="3"/>
      <c r="J12" s="3"/>
      <c r="K12" s="3"/>
      <c r="L12" s="3"/>
      <c r="M12" s="3"/>
      <c r="N12" s="3"/>
      <c r="O12" s="7"/>
      <c r="P12" s="626"/>
    </row>
    <row r="13" spans="1:19" x14ac:dyDescent="0.2">
      <c r="B13" s="3"/>
      <c r="C13" s="3"/>
      <c r="D13" s="14" t="s">
        <v>173</v>
      </c>
      <c r="E13" s="1375" t="str">
        <f>Translations!$B$491</f>
        <v>Energia wejściowa z paliw, cała instalacja (informacje pobrane z arkusza „D_Emissions” część I):</v>
      </c>
      <c r="F13" s="1370"/>
      <c r="G13" s="1370"/>
      <c r="H13" s="1370"/>
      <c r="I13" s="1370"/>
      <c r="J13" s="1370"/>
      <c r="K13" s="1370"/>
      <c r="L13" s="1370"/>
      <c r="M13" s="1370"/>
      <c r="N13" s="1370"/>
      <c r="O13" s="7"/>
      <c r="P13" s="626"/>
    </row>
    <row r="14" spans="1:19" ht="5.0999999999999996" customHeight="1" x14ac:dyDescent="0.2">
      <c r="B14" s="3"/>
      <c r="C14" s="3"/>
      <c r="D14" s="3"/>
      <c r="E14" s="3"/>
      <c r="F14" s="3"/>
      <c r="G14" s="3"/>
      <c r="H14" s="3"/>
      <c r="I14" s="3"/>
      <c r="J14" s="3"/>
      <c r="K14" s="3"/>
      <c r="L14" s="3"/>
      <c r="M14" s="3"/>
      <c r="N14" s="3"/>
      <c r="O14" s="7"/>
      <c r="P14" s="626"/>
    </row>
    <row r="15" spans="1:19" x14ac:dyDescent="0.2">
      <c r="B15" s="20"/>
      <c r="C15" s="20"/>
      <c r="D15" s="20"/>
      <c r="E15" s="25"/>
      <c r="F15" s="22"/>
      <c r="G15" s="22"/>
      <c r="H15" s="34" t="str">
        <f>EUconst_Unit</f>
        <v>Jednostka</v>
      </c>
      <c r="I15" s="396">
        <f>I$380</f>
        <v>2014</v>
      </c>
      <c r="J15" s="396">
        <f>J$380</f>
        <v>2015</v>
      </c>
      <c r="K15" s="396">
        <f>K$380</f>
        <v>2016</v>
      </c>
      <c r="L15" s="396">
        <f>L$380</f>
        <v>2017</v>
      </c>
      <c r="M15" s="396">
        <f>M$380</f>
        <v>2018</v>
      </c>
      <c r="N15" s="3"/>
      <c r="O15" s="7"/>
    </row>
    <row r="16" spans="1:19" x14ac:dyDescent="0.2">
      <c r="B16" s="20"/>
      <c r="C16" s="20"/>
      <c r="D16" s="20"/>
      <c r="E16" s="1612" t="str">
        <f>Translations!$B$372</f>
        <v>Łączna energia wejściowa z paliw</v>
      </c>
      <c r="F16" s="1612"/>
      <c r="G16" s="1612"/>
      <c r="H16" s="48" t="str">
        <f>EUconst_TJpa</f>
        <v>TJ / rok</v>
      </c>
      <c r="I16" s="311">
        <f>IF(ISNUMBER(D_Emissions!I$59),D_Emissions!I$59,"")</f>
        <v>2800</v>
      </c>
      <c r="J16" s="311">
        <f>IF(ISNUMBER(D_Emissions!J$59),D_Emissions!J$59,"")</f>
        <v>2625</v>
      </c>
      <c r="K16" s="311">
        <f>IF(ISNUMBER(D_Emissions!K$59),D_Emissions!K$59,"")</f>
        <v>2905</v>
      </c>
      <c r="L16" s="311">
        <f>IF(ISNUMBER(D_Emissions!L$59),D_Emissions!L$59,"")</f>
        <v>2520</v>
      </c>
      <c r="M16" s="311">
        <f>IF(ISNUMBER(D_Emissions!M$59),D_Emissions!M$59,"")</f>
        <v>2835</v>
      </c>
      <c r="N16" s="3"/>
      <c r="O16" s="7"/>
    </row>
    <row r="17" spans="1:19" s="701" customFormat="1" ht="5.0999999999999996" customHeight="1" thickBot="1" x14ac:dyDescent="0.25">
      <c r="A17" s="437"/>
      <c r="B17" s="3"/>
      <c r="C17" s="3"/>
      <c r="D17" s="3"/>
      <c r="E17" s="3"/>
      <c r="F17" s="3"/>
      <c r="G17" s="3"/>
      <c r="H17" s="3"/>
      <c r="I17" s="3"/>
      <c r="J17" s="3"/>
      <c r="K17" s="3"/>
      <c r="L17" s="3"/>
      <c r="M17" s="3"/>
      <c r="N17" s="3"/>
      <c r="O17" s="7"/>
      <c r="P17" s="626"/>
      <c r="Q17" s="437"/>
      <c r="R17" s="437"/>
      <c r="S17" s="437"/>
    </row>
    <row r="18" spans="1:19" s="701" customFormat="1" ht="13.5" thickBot="1" x14ac:dyDescent="0.25">
      <c r="A18" s="437"/>
      <c r="B18" s="3"/>
      <c r="C18" s="3"/>
      <c r="D18" s="14" t="s">
        <v>353</v>
      </c>
      <c r="E18" s="1375" t="str">
        <f>Translations!$B$492</f>
        <v>Metoda wprowadzania:</v>
      </c>
      <c r="F18" s="1375"/>
      <c r="G18" s="1375"/>
      <c r="H18" s="1637"/>
      <c r="I18" s="1718" t="s">
        <v>3448</v>
      </c>
      <c r="J18" s="1719"/>
      <c r="K18" s="186" t="str">
        <f>IF(AND(ISBLANK(I18),COUNT(I34:N37)&gt;0),EUconst_Incomplete,"")</f>
        <v/>
      </c>
      <c r="L18" s="3"/>
      <c r="M18" s="3"/>
      <c r="N18" s="3"/>
      <c r="O18" s="7"/>
      <c r="P18" s="647">
        <f>IF(ISBLANK($I$18),EUconst_NA,MATCH($I$18,EUconst_AbsRel,0))</f>
        <v>1</v>
      </c>
      <c r="Q18" s="437"/>
      <c r="R18" s="437"/>
      <c r="S18" s="437"/>
    </row>
    <row r="19" spans="1:19" s="701" customFormat="1" x14ac:dyDescent="0.2">
      <c r="A19" s="437"/>
      <c r="B19" s="3"/>
      <c r="C19" s="3"/>
      <c r="D19" s="16"/>
      <c r="E19" s="1408" t="str">
        <f>Translations!$B$493</f>
        <v>Metodę wprowadzania wartości można wybrać w tabeli w lit. c) poniżej. Dostępne warianty to: „wartości bezwzględne” (należy podać TJ/rok) lub „wartości procentowe”.</v>
      </c>
      <c r="F19" s="1370"/>
      <c r="G19" s="1370"/>
      <c r="H19" s="1370"/>
      <c r="I19" s="1370"/>
      <c r="J19" s="1370"/>
      <c r="K19" s="1370"/>
      <c r="L19" s="1370"/>
      <c r="M19" s="1370"/>
      <c r="N19" s="1370"/>
      <c r="O19" s="7"/>
      <c r="P19" s="626" t="s">
        <v>551</v>
      </c>
      <c r="Q19" s="437"/>
      <c r="R19" s="437"/>
      <c r="S19" s="437"/>
    </row>
    <row r="20" spans="1:19" s="701" customFormat="1" x14ac:dyDescent="0.2">
      <c r="A20" s="437"/>
      <c r="B20" s="3"/>
      <c r="C20" s="3"/>
      <c r="D20" s="16"/>
      <c r="E20" s="1408" t="str">
        <f>Translations!$B$494</f>
        <v>Aby szybko wprowadzić dane w prostych przypadkach, gdy większość wpisów to „100%” lub zero, lepszym wyborem będą wartości procentowe.</v>
      </c>
      <c r="F20" s="1370"/>
      <c r="G20" s="1370"/>
      <c r="H20" s="1370"/>
      <c r="I20" s="1370"/>
      <c r="J20" s="1370"/>
      <c r="K20" s="1370"/>
      <c r="L20" s="1370"/>
      <c r="M20" s="1370"/>
      <c r="N20" s="1370"/>
      <c r="O20" s="7"/>
      <c r="P20" s="626"/>
      <c r="Q20" s="437"/>
      <c r="R20" s="437"/>
      <c r="S20" s="437"/>
    </row>
    <row r="21" spans="1:19" s="701" customFormat="1" ht="5.0999999999999996" customHeight="1" x14ac:dyDescent="0.2">
      <c r="A21" s="437"/>
      <c r="B21" s="3"/>
      <c r="C21" s="3"/>
      <c r="D21" s="3"/>
      <c r="E21" s="3"/>
      <c r="F21" s="3"/>
      <c r="G21" s="3"/>
      <c r="H21" s="3"/>
      <c r="I21" s="3"/>
      <c r="J21" s="3"/>
      <c r="K21" s="3"/>
      <c r="L21" s="3"/>
      <c r="M21" s="3"/>
      <c r="N21" s="3"/>
      <c r="O21" s="7"/>
      <c r="P21" s="626"/>
      <c r="Q21" s="437"/>
      <c r="R21" s="437"/>
      <c r="S21" s="437"/>
    </row>
    <row r="22" spans="1:19" s="701" customFormat="1" x14ac:dyDescent="0.2">
      <c r="A22" s="437"/>
      <c r="B22" s="3"/>
      <c r="C22" s="3"/>
      <c r="D22" s="14" t="s">
        <v>11</v>
      </c>
      <c r="E22" s="1653" t="str">
        <f>Translations!$B$495</f>
        <v>Podział wsadu paliwa ze względu na rodzaj wykorzystania</v>
      </c>
      <c r="F22" s="1647"/>
      <c r="G22" s="1647"/>
      <c r="H22" s="1647"/>
      <c r="I22" s="1647"/>
      <c r="J22" s="1647"/>
      <c r="K22" s="1647"/>
      <c r="L22" s="1647"/>
      <c r="M22" s="1647"/>
      <c r="N22" s="1647"/>
      <c r="O22" s="7"/>
      <c r="P22" s="626"/>
      <c r="Q22" s="437"/>
      <c r="R22" s="437"/>
      <c r="S22" s="437"/>
    </row>
    <row r="23" spans="1:19" s="701" customFormat="1" x14ac:dyDescent="0.2">
      <c r="A23" s="437"/>
      <c r="B23" s="3"/>
      <c r="C23" s="3"/>
      <c r="D23" s="16"/>
      <c r="E23" s="1408" t="str">
        <f>Translations!$B$496</f>
        <v>W tabeli poniżej proszę podać ilość energii zużytej dla każdego rodzaju wykorzystania lub – w zależności od danych w lit. b) – wartość procentową wartości z lit. a).</v>
      </c>
      <c r="F23" s="1370"/>
      <c r="G23" s="1370"/>
      <c r="H23" s="1370"/>
      <c r="I23" s="1370"/>
      <c r="J23" s="1370"/>
      <c r="K23" s="1370"/>
      <c r="L23" s="1370"/>
      <c r="M23" s="1370"/>
      <c r="N23" s="1370"/>
      <c r="O23" s="7"/>
      <c r="P23" s="626"/>
      <c r="Q23" s="437"/>
      <c r="R23" s="437"/>
      <c r="S23" s="437"/>
    </row>
    <row r="24" spans="1:19" s="701" customFormat="1" ht="25.5" customHeight="1" x14ac:dyDescent="0.2">
      <c r="A24" s="437"/>
      <c r="B24" s="3"/>
      <c r="C24" s="3"/>
      <c r="D24" s="16"/>
      <c r="E24" s="123" t="s">
        <v>408</v>
      </c>
      <c r="F24" s="1416" t="str">
        <f>Translations!$B$497</f>
        <v>Wsad paliwa do wskaźnika emisyjności dla produktów to suma bezpośredniego wsadu paliwa i wsadu paliwa do mierzalnego ciepła zużytego przez podinstalację.</v>
      </c>
      <c r="G24" s="1416"/>
      <c r="H24" s="1416"/>
      <c r="I24" s="1416"/>
      <c r="J24" s="1416"/>
      <c r="K24" s="1416"/>
      <c r="L24" s="1416"/>
      <c r="M24" s="1416"/>
      <c r="N24" s="1416"/>
      <c r="O24" s="7"/>
      <c r="P24" s="626"/>
      <c r="Q24" s="437"/>
      <c r="R24" s="437"/>
      <c r="S24" s="437"/>
    </row>
    <row r="25" spans="1:19" s="701" customFormat="1" ht="12.75" customHeight="1" x14ac:dyDescent="0.2">
      <c r="A25" s="437"/>
      <c r="B25" s="3"/>
      <c r="C25" s="3"/>
      <c r="D25" s="16"/>
      <c r="E25" s="123" t="s">
        <v>408</v>
      </c>
      <c r="F25" s="1416" t="str">
        <f>Translations!$B$498</f>
        <v>Wsad paliwa do wytworzenia mierzalnego ciepła niewykorzystanego na potrzeby wskaźnika emisyjności dla produktów ani wytworzenia energii elektrycznej</v>
      </c>
      <c r="G25" s="1416"/>
      <c r="H25" s="1416"/>
      <c r="I25" s="1416"/>
      <c r="J25" s="1416"/>
      <c r="K25" s="1416"/>
      <c r="L25" s="1416"/>
      <c r="M25" s="1416"/>
      <c r="N25" s="1416"/>
      <c r="O25" s="7"/>
      <c r="P25" s="626"/>
      <c r="Q25" s="437"/>
      <c r="R25" s="437"/>
      <c r="S25" s="437"/>
    </row>
    <row r="26" spans="1:19" s="701" customFormat="1" x14ac:dyDescent="0.2">
      <c r="A26" s="437"/>
      <c r="B26" s="3"/>
      <c r="C26" s="3"/>
      <c r="D26" s="16"/>
      <c r="E26" s="123" t="s">
        <v>408</v>
      </c>
      <c r="F26" s="1416" t="str">
        <f>Translations!$B$499</f>
        <v>Wsad paliwa do podinstalacji objętych wskaźnikiem emisyjności opartym na paliwie</v>
      </c>
      <c r="G26" s="1416"/>
      <c r="H26" s="1416"/>
      <c r="I26" s="1416"/>
      <c r="J26" s="1416"/>
      <c r="K26" s="1416"/>
      <c r="L26" s="1416"/>
      <c r="M26" s="1416"/>
      <c r="N26" s="1416"/>
      <c r="O26" s="7"/>
      <c r="P26" s="626"/>
      <c r="Q26" s="437"/>
      <c r="R26" s="437"/>
      <c r="S26" s="437"/>
    </row>
    <row r="27" spans="1:19" s="701" customFormat="1" x14ac:dyDescent="0.2">
      <c r="A27" s="437"/>
      <c r="B27" s="3"/>
      <c r="C27" s="3"/>
      <c r="D27" s="16"/>
      <c r="E27" s="123" t="s">
        <v>408</v>
      </c>
      <c r="F27" s="1416" t="str">
        <f>Translations!$B$500</f>
        <v>Wsad paliwa do wytworzenia energii elektrycznej</v>
      </c>
      <c r="G27" s="1416"/>
      <c r="H27" s="1416"/>
      <c r="I27" s="1416"/>
      <c r="J27" s="1416"/>
      <c r="K27" s="1416"/>
      <c r="L27" s="1416"/>
      <c r="M27" s="1416"/>
      <c r="N27" s="1416"/>
      <c r="O27" s="7"/>
      <c r="P27" s="626"/>
      <c r="Q27" s="437"/>
      <c r="R27" s="437"/>
      <c r="S27" s="437"/>
    </row>
    <row r="28" spans="1:19" ht="12.75" customHeight="1" x14ac:dyDescent="0.2">
      <c r="B28" s="3"/>
      <c r="C28" s="3"/>
      <c r="D28" s="16"/>
      <c r="E28" s="1674" t="str">
        <f>Translations!$B$501</f>
        <v>W celu przypisania wsadu paliwa do kogeneracji (CHP) do wytworzenia mierzalnego ciepła i energii elektrycznej należy zastosować „narzędzie dotyczące CHP” w części D.III.</v>
      </c>
      <c r="F28" s="1674"/>
      <c r="G28" s="1674"/>
      <c r="H28" s="1674"/>
      <c r="I28" s="1674"/>
      <c r="J28" s="1674"/>
      <c r="K28" s="1674"/>
      <c r="L28" s="1674"/>
      <c r="M28" s="1674"/>
      <c r="N28" s="398"/>
      <c r="O28" s="7"/>
      <c r="P28" s="626"/>
    </row>
    <row r="29" spans="1:19" s="701" customFormat="1" x14ac:dyDescent="0.2">
      <c r="A29" s="437"/>
      <c r="B29" s="3"/>
      <c r="C29" s="3"/>
      <c r="D29" s="16"/>
      <c r="E29" s="1448" t="str">
        <f>Translations!$B$502</f>
        <v xml:space="preserve">Szczególną uwagę należy zwrócić na przypisanie energii wejściowej do obu podinstalacji, które są istotne do celów przydziału: </v>
      </c>
      <c r="F29" s="1434"/>
      <c r="G29" s="1434"/>
      <c r="H29" s="1434"/>
      <c r="I29" s="1434"/>
      <c r="J29" s="1434"/>
      <c r="K29" s="1434"/>
      <c r="L29" s="1434"/>
      <c r="M29" s="1434"/>
      <c r="N29" s="1434"/>
      <c r="O29" s="7"/>
      <c r="P29" s="626"/>
      <c r="Q29" s="437"/>
      <c r="R29" s="437"/>
      <c r="S29" s="437"/>
    </row>
    <row r="30" spans="1:19" s="701" customFormat="1" ht="12.75" customHeight="1" x14ac:dyDescent="0.2">
      <c r="A30" s="437"/>
      <c r="B30" s="3"/>
      <c r="C30" s="3"/>
      <c r="D30" s="16"/>
      <c r="E30" s="1408" t="str">
        <f>Translations!$B$503</f>
        <v>Podinstalacja objęta wskaźnikiem emisyjności opartym na paliwie „CL” (narażona na znaczące ryzyko ucieczki emisji) oraz „nie-CL” (nienarażona na ryzyko ucieczki emisji)</v>
      </c>
      <c r="F30" s="1370"/>
      <c r="G30" s="1370"/>
      <c r="H30" s="1370"/>
      <c r="I30" s="1370"/>
      <c r="J30" s="1370"/>
      <c r="K30" s="1370"/>
      <c r="L30" s="1370"/>
      <c r="M30" s="1370"/>
      <c r="N30" s="1370"/>
      <c r="O30" s="7"/>
      <c r="P30" s="626"/>
      <c r="Q30" s="437"/>
      <c r="R30" s="437"/>
      <c r="S30" s="437"/>
    </row>
    <row r="31" spans="1:19" s="701" customFormat="1" ht="25.5" customHeight="1" x14ac:dyDescent="0.2">
      <c r="A31" s="437"/>
      <c r="B31" s="3"/>
      <c r="C31" s="3"/>
      <c r="D31" s="16"/>
      <c r="E31" s="1408" t="str">
        <f>Translations!$B$504</f>
        <v>Do celów kontroli pozostała część (100% minus całość czynników produkcji) jest wyświetlana w wierszu na dole. Odnosi się to do energii wejściowej, która nie kwalifikuje się do przydziału.</v>
      </c>
      <c r="F31" s="1370"/>
      <c r="G31" s="1370"/>
      <c r="H31" s="1370"/>
      <c r="I31" s="1370"/>
      <c r="J31" s="1370"/>
      <c r="K31" s="1370"/>
      <c r="L31" s="1370"/>
      <c r="M31" s="1370"/>
      <c r="N31" s="1370"/>
      <c r="O31" s="7"/>
      <c r="P31" s="626"/>
      <c r="Q31" s="437"/>
      <c r="R31" s="437"/>
      <c r="S31" s="437"/>
    </row>
    <row r="32" spans="1:19" s="701" customFormat="1" ht="5.0999999999999996" customHeight="1" x14ac:dyDescent="0.2">
      <c r="A32" s="437"/>
      <c r="B32" s="3"/>
      <c r="C32" s="3"/>
      <c r="D32" s="3"/>
      <c r="E32" s="3"/>
      <c r="F32" s="3"/>
      <c r="G32" s="3"/>
      <c r="H32" s="3"/>
      <c r="I32" s="3"/>
      <c r="J32" s="3"/>
      <c r="K32" s="3"/>
      <c r="L32" s="3"/>
      <c r="M32" s="3"/>
      <c r="N32" s="3"/>
      <c r="O32" s="7"/>
      <c r="P32" s="626"/>
      <c r="Q32" s="437"/>
      <c r="R32" s="437"/>
      <c r="S32" s="437"/>
    </row>
    <row r="33" spans="1:19" s="701" customFormat="1" ht="13.5" thickBot="1" x14ac:dyDescent="0.25">
      <c r="A33" s="437"/>
      <c r="B33" s="398"/>
      <c r="C33" s="398"/>
      <c r="D33" s="398"/>
      <c r="E33" s="1655" t="str">
        <f>Translations!$B$505</f>
        <v>Rodzaj wykorzystania wsadu paliwa</v>
      </c>
      <c r="F33" s="1656"/>
      <c r="G33" s="1656"/>
      <c r="H33" s="431" t="str">
        <f>EUconst_Unit</f>
        <v>Jednostka</v>
      </c>
      <c r="I33" s="396">
        <f>I$380</f>
        <v>2014</v>
      </c>
      <c r="J33" s="396">
        <f>J$380</f>
        <v>2015</v>
      </c>
      <c r="K33" s="396">
        <f>K$380</f>
        <v>2016</v>
      </c>
      <c r="L33" s="396">
        <f>L$380</f>
        <v>2017</v>
      </c>
      <c r="M33" s="396">
        <f>M$380</f>
        <v>2018</v>
      </c>
      <c r="N33" s="7"/>
      <c r="O33" s="7"/>
      <c r="P33" s="437"/>
      <c r="Q33" s="437"/>
      <c r="R33" s="437"/>
      <c r="S33" s="437" t="s">
        <v>466</v>
      </c>
    </row>
    <row r="34" spans="1:19" s="701" customFormat="1" ht="25.5" customHeight="1" x14ac:dyDescent="0.2">
      <c r="A34" s="437"/>
      <c r="B34" s="398"/>
      <c r="C34" s="398"/>
      <c r="D34" s="425" t="s">
        <v>2</v>
      </c>
      <c r="E34" s="1678" t="str">
        <f>Translations!$B$506</f>
        <v>Wsad paliwa do podinstalacji objętych wskaźnikiem emisyjności dla produktów</v>
      </c>
      <c r="F34" s="1679"/>
      <c r="G34" s="1680"/>
      <c r="H34" s="746" t="str">
        <f t="shared" ref="H34:H39" si="0">IF(CTRL_InputMethodFuelDistribution=EUconst_NA,EUconst_relOrTJpa,IF(CTRL_InputMethodFuelDistribution=1,EUconst_TJpa,"%"))</f>
        <v>TJ / rok</v>
      </c>
      <c r="I34" s="747"/>
      <c r="J34" s="747"/>
      <c r="K34" s="747"/>
      <c r="L34" s="747"/>
      <c r="M34" s="747"/>
      <c r="N34" s="7"/>
      <c r="O34" s="7"/>
      <c r="P34" s="437"/>
      <c r="Q34" s="437"/>
      <c r="R34" s="437"/>
      <c r="S34" s="788" t="b">
        <f>IF(CNTR_HasEntries_A_I,NOT(OR(CNTR_SubInstListIsProdBM)),FALSE)</f>
        <v>1</v>
      </c>
    </row>
    <row r="35" spans="1:19" s="701" customFormat="1" ht="25.5" customHeight="1" thickBot="1" x14ac:dyDescent="0.25">
      <c r="A35" s="437"/>
      <c r="B35" s="398"/>
      <c r="C35" s="398"/>
      <c r="D35" s="425" t="s">
        <v>3</v>
      </c>
      <c r="E35" s="1678" t="str">
        <f>Translations!$B$507</f>
        <v>Wsad paliwa do wytworzenia mierzalnego ciepła</v>
      </c>
      <c r="F35" s="1679"/>
      <c r="G35" s="1680"/>
      <c r="H35" s="746" t="str">
        <f t="shared" si="0"/>
        <v>TJ / rok</v>
      </c>
      <c r="I35" s="747">
        <v>2800</v>
      </c>
      <c r="J35" s="747">
        <v>2625</v>
      </c>
      <c r="K35" s="747">
        <v>2905</v>
      </c>
      <c r="L35" s="747">
        <v>2520</v>
      </c>
      <c r="M35" s="747">
        <v>2835</v>
      </c>
      <c r="N35" s="7"/>
      <c r="O35" s="7"/>
      <c r="P35" s="437"/>
      <c r="Q35" s="437"/>
      <c r="R35" s="437"/>
      <c r="S35" s="761"/>
    </row>
    <row r="36" spans="1:19" s="701" customFormat="1" ht="25.5" customHeight="1" x14ac:dyDescent="0.2">
      <c r="A36" s="437"/>
      <c r="B36" s="398"/>
      <c r="C36" s="398"/>
      <c r="D36" s="425" t="s">
        <v>4</v>
      </c>
      <c r="E36" s="1675" t="str">
        <f>INDEX(EUconst_FallBackListNames,Q36)</f>
        <v>Podinstalacja objęta wskaźnikiem emisyjności opartym na paliwie, „CL”</v>
      </c>
      <c r="F36" s="1676"/>
      <c r="G36" s="1677"/>
      <c r="H36" s="751" t="str">
        <f t="shared" si="0"/>
        <v>TJ / rok</v>
      </c>
      <c r="I36" s="752"/>
      <c r="J36" s="752"/>
      <c r="K36" s="752"/>
      <c r="L36" s="752"/>
      <c r="M36" s="753"/>
      <c r="N36" s="7"/>
      <c r="O36" s="7"/>
      <c r="P36" s="788" t="str">
        <f>IF(CTRL_InputMethodFuelDistribution=1,EUconst_CNTR_HAL&amp;E36,"")</f>
        <v>HAL_Podinstalacja objęta wskaźnikiem emisyjności opartym na paliwie, „CL”</v>
      </c>
      <c r="Q36" s="957">
        <v>4</v>
      </c>
      <c r="R36" s="437"/>
      <c r="S36" s="788" t="b">
        <f>IF(ISBLANK(INDEX(CNTR_FallBackSubInstRelevant,Q36)),FALSE,IF(INDEX(CNTR_FallBackSubInstRelevant,Q36),FALSE,TRUE))</f>
        <v>1</v>
      </c>
    </row>
    <row r="37" spans="1:19" s="701" customFormat="1" ht="25.5" customHeight="1" thickBot="1" x14ac:dyDescent="0.25">
      <c r="A37" s="437"/>
      <c r="B37" s="398"/>
      <c r="C37" s="398"/>
      <c r="D37" s="425" t="s">
        <v>6</v>
      </c>
      <c r="E37" s="1703" t="str">
        <f>INDEX(EUconst_FallBackListNames,Q37)</f>
        <v>Podinstalacja objęta wskaźnikiem emisyjności opartym na paliwie, „nie-CL”</v>
      </c>
      <c r="F37" s="1704"/>
      <c r="G37" s="1705"/>
      <c r="H37" s="754" t="str">
        <f t="shared" si="0"/>
        <v>TJ / rok</v>
      </c>
      <c r="I37" s="755"/>
      <c r="J37" s="755"/>
      <c r="K37" s="755"/>
      <c r="L37" s="755"/>
      <c r="M37" s="756"/>
      <c r="N37" s="7"/>
      <c r="O37" s="7"/>
      <c r="P37" s="789" t="str">
        <f>IF(CTRL_InputMethodFuelDistribution=1,EUconst_CNTR_HAL&amp;E37,"")</f>
        <v>HAL_Podinstalacja objęta wskaźnikiem emisyjności opartym na paliwie, „nie-CL”</v>
      </c>
      <c r="Q37" s="958">
        <v>5</v>
      </c>
      <c r="R37" s="437"/>
      <c r="S37" s="789" t="b">
        <f>IF(ISBLANK(INDEX(CNTR_FallBackSubInstRelevant,Q37)),FALSE,IF(INDEX(CNTR_FallBackSubInstRelevant,Q37),FALSE,TRUE))</f>
        <v>1</v>
      </c>
    </row>
    <row r="38" spans="1:19" s="701" customFormat="1" ht="25.5" customHeight="1" x14ac:dyDescent="0.2">
      <c r="A38" s="437"/>
      <c r="B38" s="398"/>
      <c r="C38" s="398"/>
      <c r="D38" s="425" t="s">
        <v>316</v>
      </c>
      <c r="E38" s="1683" t="str">
        <f>Translations!$B$500</f>
        <v>Wsad paliwa do wytworzenia energii elektrycznej</v>
      </c>
      <c r="F38" s="1684"/>
      <c r="G38" s="1685"/>
      <c r="H38" s="959" t="str">
        <f t="shared" si="0"/>
        <v>TJ / rok</v>
      </c>
      <c r="I38" s="961"/>
      <c r="J38" s="961"/>
      <c r="K38" s="961"/>
      <c r="L38" s="961"/>
      <c r="M38" s="961"/>
      <c r="N38" s="7"/>
      <c r="O38" s="7"/>
      <c r="P38" s="761"/>
      <c r="Q38" s="437"/>
      <c r="R38" s="437"/>
      <c r="S38" s="437"/>
    </row>
    <row r="39" spans="1:19" s="701" customFormat="1" x14ac:dyDescent="0.2">
      <c r="A39" s="437"/>
      <c r="B39" s="398"/>
      <c r="C39" s="398"/>
      <c r="D39" s="425" t="s">
        <v>317</v>
      </c>
      <c r="E39" s="1707" t="str">
        <f>Translations!$B$508</f>
        <v>Pozostała część</v>
      </c>
      <c r="F39" s="1707"/>
      <c r="G39" s="1707"/>
      <c r="H39" s="748" t="str">
        <f t="shared" si="0"/>
        <v>TJ / rok</v>
      </c>
      <c r="I39" s="757">
        <f>IF(AND(COUNT(I34:I38,I16)&gt;0,ISNUMBER(CTRL_InputMethodFuelDistribution)),IF(CTRL_InputMethodFuelDistribution=1,I16-SUM(I34:I38),100-SUM(I34:I38)),"")</f>
        <v>0</v>
      </c>
      <c r="J39" s="757">
        <f>IF(AND(COUNT(J34:J38,J16)&gt;0,ISNUMBER(CTRL_InputMethodFuelDistribution)),IF(CTRL_InputMethodFuelDistribution=1,J16-SUM(J34:J38),100-SUM(J34:J38)),"")</f>
        <v>0</v>
      </c>
      <c r="K39" s="757">
        <f>IF(AND(COUNT(K34:K38,K16)&gt;0,ISNUMBER(CTRL_InputMethodFuelDistribution)),IF(CTRL_InputMethodFuelDistribution=1,K16-SUM(K34:K38),100-SUM(K34:K38)),"")</f>
        <v>0</v>
      </c>
      <c r="L39" s="757">
        <f>IF(AND(COUNT(L34:L38,L16)&gt;0,ISNUMBER(CTRL_InputMethodFuelDistribution)),IF(CTRL_InputMethodFuelDistribution=1,L16-SUM(L34:L38),100-SUM(L34:L38)),"")</f>
        <v>0</v>
      </c>
      <c r="M39" s="757">
        <f>IF(AND(COUNT(M34:M38,M16)&gt;0,ISNUMBER(CTRL_InputMethodFuelDistribution)),IF(CTRL_InputMethodFuelDistribution=1,M16-SUM(M34:M38),100-SUM(M34:M38)),"")</f>
        <v>0</v>
      </c>
      <c r="N39" s="7"/>
      <c r="O39" s="7"/>
      <c r="P39" s="761"/>
      <c r="Q39" s="437"/>
      <c r="R39" s="437"/>
      <c r="S39" s="437"/>
    </row>
    <row r="40" spans="1:19" s="701" customFormat="1" x14ac:dyDescent="0.2">
      <c r="A40" s="437"/>
      <c r="B40" s="398"/>
      <c r="C40" s="398"/>
      <c r="D40" s="398"/>
      <c r="E40" s="398"/>
      <c r="F40" s="398"/>
      <c r="G40" s="398"/>
      <c r="H40" s="398"/>
      <c r="I40" s="398"/>
      <c r="J40" s="398"/>
      <c r="K40" s="398"/>
      <c r="L40" s="398"/>
      <c r="M40" s="398"/>
      <c r="N40" s="398"/>
      <c r="O40" s="7"/>
      <c r="P40" s="761"/>
      <c r="Q40" s="437"/>
      <c r="R40" s="437"/>
      <c r="S40" s="437"/>
    </row>
    <row r="41" spans="1:19" s="701" customFormat="1" x14ac:dyDescent="0.2">
      <c r="A41" s="437"/>
      <c r="B41" s="3"/>
      <c r="C41" s="3"/>
      <c r="D41" s="16"/>
      <c r="E41" s="1408" t="str">
        <f>Translations!$B$509</f>
        <v>Do celów kontroli wprowadzane dane są tutaj wyświetlane w jednostce, której Państwo nie wybrali do celów wprowadzania danych:</v>
      </c>
      <c r="F41" s="1370"/>
      <c r="G41" s="1370"/>
      <c r="H41" s="1370"/>
      <c r="I41" s="1370"/>
      <c r="J41" s="1370"/>
      <c r="K41" s="1370"/>
      <c r="L41" s="1370"/>
      <c r="M41" s="1370"/>
      <c r="N41" s="1370"/>
      <c r="O41" s="7"/>
      <c r="P41" s="762"/>
      <c r="Q41" s="437"/>
      <c r="R41" s="437"/>
      <c r="S41" s="437"/>
    </row>
    <row r="42" spans="1:19" s="701" customFormat="1" ht="5.0999999999999996" customHeight="1" x14ac:dyDescent="0.2">
      <c r="A42" s="437"/>
      <c r="B42" s="3"/>
      <c r="C42" s="3"/>
      <c r="D42" s="3"/>
      <c r="E42" s="3"/>
      <c r="F42" s="3"/>
      <c r="G42" s="3"/>
      <c r="H42" s="3"/>
      <c r="I42" s="3"/>
      <c r="J42" s="3"/>
      <c r="K42" s="3"/>
      <c r="L42" s="3"/>
      <c r="M42" s="3"/>
      <c r="N42" s="3"/>
      <c r="O42" s="7"/>
      <c r="P42" s="762"/>
      <c r="Q42" s="437"/>
      <c r="R42" s="437"/>
      <c r="S42" s="437"/>
    </row>
    <row r="43" spans="1:19" s="701" customFormat="1" x14ac:dyDescent="0.2">
      <c r="A43" s="437"/>
      <c r="B43" s="398"/>
      <c r="C43" s="398"/>
      <c r="D43" s="398"/>
      <c r="E43" s="1655" t="str">
        <f t="shared" ref="E43:E49" si="1">E33</f>
        <v>Rodzaj wykorzystania wsadu paliwa</v>
      </c>
      <c r="F43" s="1656"/>
      <c r="G43" s="1656"/>
      <c r="H43" s="431" t="str">
        <f>EUconst_Unit</f>
        <v>Jednostka</v>
      </c>
      <c r="I43" s="396">
        <f>I$380</f>
        <v>2014</v>
      </c>
      <c r="J43" s="396">
        <f>J$380</f>
        <v>2015</v>
      </c>
      <c r="K43" s="396">
        <f>K$380</f>
        <v>2016</v>
      </c>
      <c r="L43" s="396">
        <f>L$380</f>
        <v>2017</v>
      </c>
      <c r="M43" s="396">
        <f>M$380</f>
        <v>2018</v>
      </c>
      <c r="N43" s="398"/>
      <c r="O43" s="7"/>
      <c r="P43" s="761"/>
      <c r="Q43" s="437"/>
      <c r="R43" s="437"/>
      <c r="S43" s="437"/>
    </row>
    <row r="44" spans="1:19" s="701" customFormat="1" ht="25.5" customHeight="1" x14ac:dyDescent="0.2">
      <c r="A44" s="437"/>
      <c r="B44" s="398"/>
      <c r="C44" s="398"/>
      <c r="D44" s="425" t="s">
        <v>318</v>
      </c>
      <c r="E44" s="1686" t="str">
        <f t="shared" si="1"/>
        <v>Wsad paliwa do podinstalacji objętych wskaźnikiem emisyjności dla produktów</v>
      </c>
      <c r="F44" s="1686"/>
      <c r="G44" s="1686"/>
      <c r="H44" s="746" t="str">
        <f t="shared" ref="H44:H49" si="2">IF(CTRL_InputMethodFuelDistribution=EUconst_NA,EUconst_relOrTJpa,IF(CTRL_InputMethodFuelDistribution=2,EUconst_TJpa,"%"))</f>
        <v>%</v>
      </c>
      <c r="I44" s="470" t="str">
        <f t="shared" ref="I44:M49" si="3">IF(AND(ISNUMBER(I$16),ISNUMBER(I34),CTRL_InputMethodFuelDistribution&lt;&gt;EUconst_NA),IF(CTRL_InputMethodFuelDistribution=1,I34/I$16*100,I34*I$16/100),"")</f>
        <v/>
      </c>
      <c r="J44" s="470" t="str">
        <f t="shared" si="3"/>
        <v/>
      </c>
      <c r="K44" s="470" t="str">
        <f t="shared" si="3"/>
        <v/>
      </c>
      <c r="L44" s="470" t="str">
        <f t="shared" si="3"/>
        <v/>
      </c>
      <c r="M44" s="470" t="str">
        <f t="shared" si="3"/>
        <v/>
      </c>
      <c r="N44" s="398"/>
      <c r="O44" s="7"/>
      <c r="P44" s="761"/>
      <c r="Q44" s="437"/>
      <c r="R44" s="437"/>
      <c r="S44" s="437"/>
    </row>
    <row r="45" spans="1:19" s="701" customFormat="1" ht="25.5" customHeight="1" thickBot="1" x14ac:dyDescent="0.25">
      <c r="A45" s="437"/>
      <c r="B45" s="398"/>
      <c r="C45" s="398"/>
      <c r="D45" s="425" t="s">
        <v>319</v>
      </c>
      <c r="E45" s="1686" t="str">
        <f t="shared" si="1"/>
        <v>Wsad paliwa do wytworzenia mierzalnego ciepła</v>
      </c>
      <c r="F45" s="1686"/>
      <c r="G45" s="1686"/>
      <c r="H45" s="746" t="str">
        <f t="shared" si="2"/>
        <v>%</v>
      </c>
      <c r="I45" s="470">
        <f t="shared" si="3"/>
        <v>100</v>
      </c>
      <c r="J45" s="470">
        <f t="shared" si="3"/>
        <v>100</v>
      </c>
      <c r="K45" s="470">
        <f t="shared" si="3"/>
        <v>100</v>
      </c>
      <c r="L45" s="470">
        <f t="shared" si="3"/>
        <v>100</v>
      </c>
      <c r="M45" s="470">
        <f t="shared" si="3"/>
        <v>100</v>
      </c>
      <c r="N45" s="398"/>
      <c r="O45" s="7"/>
      <c r="P45" s="761"/>
      <c r="Q45" s="437"/>
      <c r="R45" s="437"/>
      <c r="S45" s="437"/>
    </row>
    <row r="46" spans="1:19" s="701" customFormat="1" ht="25.5" customHeight="1" x14ac:dyDescent="0.2">
      <c r="A46" s="437"/>
      <c r="B46" s="398"/>
      <c r="C46" s="398"/>
      <c r="D46" s="425" t="s">
        <v>320</v>
      </c>
      <c r="E46" s="1681" t="str">
        <f t="shared" si="1"/>
        <v>Podinstalacja objęta wskaźnikiem emisyjności opartym na paliwie, „CL”</v>
      </c>
      <c r="F46" s="1682"/>
      <c r="G46" s="1682"/>
      <c r="H46" s="751" t="str">
        <f t="shared" si="2"/>
        <v>%</v>
      </c>
      <c r="I46" s="758" t="str">
        <f t="shared" si="3"/>
        <v/>
      </c>
      <c r="J46" s="758" t="str">
        <f t="shared" si="3"/>
        <v/>
      </c>
      <c r="K46" s="758" t="str">
        <f t="shared" si="3"/>
        <v/>
      </c>
      <c r="L46" s="758" t="str">
        <f t="shared" si="3"/>
        <v/>
      </c>
      <c r="M46" s="759" t="str">
        <f t="shared" si="3"/>
        <v/>
      </c>
      <c r="N46" s="398"/>
      <c r="O46" s="7"/>
      <c r="P46" s="749" t="str">
        <f>IF(CTRL_InputMethodFuelDistribution=2,EUconst_CNTR_HAL&amp;E46,"")</f>
        <v/>
      </c>
      <c r="Q46" s="437"/>
      <c r="R46" s="437"/>
      <c r="S46" s="437"/>
    </row>
    <row r="47" spans="1:19" s="701" customFormat="1" ht="25.5" customHeight="1" thickBot="1" x14ac:dyDescent="0.25">
      <c r="A47" s="437"/>
      <c r="B47" s="398"/>
      <c r="C47" s="398"/>
      <c r="D47" s="425" t="s">
        <v>16</v>
      </c>
      <c r="E47" s="1687" t="str">
        <f t="shared" si="1"/>
        <v>Podinstalacja objęta wskaźnikiem emisyjności opartym na paliwie, „nie-CL”</v>
      </c>
      <c r="F47" s="1688"/>
      <c r="G47" s="1688"/>
      <c r="H47" s="754" t="str">
        <f t="shared" si="2"/>
        <v>%</v>
      </c>
      <c r="I47" s="314" t="str">
        <f t="shared" si="3"/>
        <v/>
      </c>
      <c r="J47" s="314" t="str">
        <f t="shared" si="3"/>
        <v/>
      </c>
      <c r="K47" s="314" t="str">
        <f t="shared" si="3"/>
        <v/>
      </c>
      <c r="L47" s="314" t="str">
        <f t="shared" si="3"/>
        <v/>
      </c>
      <c r="M47" s="760" t="str">
        <f t="shared" si="3"/>
        <v/>
      </c>
      <c r="N47" s="398"/>
      <c r="O47" s="7"/>
      <c r="P47" s="750" t="str">
        <f>IF(CTRL_InputMethodFuelDistribution=2,EUconst_CNTR_HAL&amp;E47,"")</f>
        <v/>
      </c>
      <c r="Q47" s="437"/>
      <c r="R47" s="437"/>
      <c r="S47" s="437"/>
    </row>
    <row r="48" spans="1:19" s="701" customFormat="1" ht="25.5" customHeight="1" x14ac:dyDescent="0.2">
      <c r="A48" s="437"/>
      <c r="B48" s="398"/>
      <c r="C48" s="398"/>
      <c r="D48" s="425" t="s">
        <v>17</v>
      </c>
      <c r="E48" s="1689" t="str">
        <f t="shared" si="1"/>
        <v>Wsad paliwa do wytworzenia energii elektrycznej</v>
      </c>
      <c r="F48" s="1689"/>
      <c r="G48" s="1689"/>
      <c r="H48" s="959" t="str">
        <f t="shared" si="2"/>
        <v>%</v>
      </c>
      <c r="I48" s="960" t="str">
        <f t="shared" si="3"/>
        <v/>
      </c>
      <c r="J48" s="960" t="str">
        <f t="shared" si="3"/>
        <v/>
      </c>
      <c r="K48" s="960" t="str">
        <f t="shared" si="3"/>
        <v/>
      </c>
      <c r="L48" s="960" t="str">
        <f t="shared" si="3"/>
        <v/>
      </c>
      <c r="M48" s="960" t="str">
        <f t="shared" si="3"/>
        <v/>
      </c>
      <c r="N48" s="398"/>
      <c r="O48" s="7"/>
      <c r="P48" s="437"/>
      <c r="Q48" s="437"/>
      <c r="R48" s="437"/>
      <c r="S48" s="437"/>
    </row>
    <row r="49" spans="1:19" s="701" customFormat="1" x14ac:dyDescent="0.2">
      <c r="A49" s="437"/>
      <c r="B49" s="398"/>
      <c r="C49" s="398"/>
      <c r="D49" s="425" t="s">
        <v>18</v>
      </c>
      <c r="E49" s="1661" t="str">
        <f t="shared" si="1"/>
        <v>Pozostała część</v>
      </c>
      <c r="F49" s="1661"/>
      <c r="G49" s="1661"/>
      <c r="H49" s="748" t="str">
        <f t="shared" si="2"/>
        <v>%</v>
      </c>
      <c r="I49" s="757">
        <f t="shared" si="3"/>
        <v>0</v>
      </c>
      <c r="J49" s="757">
        <f t="shared" si="3"/>
        <v>0</v>
      </c>
      <c r="K49" s="757">
        <f t="shared" si="3"/>
        <v>0</v>
      </c>
      <c r="L49" s="757">
        <f t="shared" si="3"/>
        <v>0</v>
      </c>
      <c r="M49" s="757">
        <f t="shared" si="3"/>
        <v>0</v>
      </c>
      <c r="N49" s="398"/>
      <c r="O49" s="7"/>
      <c r="P49" s="437"/>
      <c r="Q49" s="437"/>
      <c r="R49" s="437"/>
      <c r="S49" s="437"/>
    </row>
    <row r="50" spans="1:19" x14ac:dyDescent="0.2">
      <c r="B50" s="20"/>
      <c r="C50" s="20"/>
      <c r="D50" s="20"/>
      <c r="E50" s="20"/>
      <c r="F50" s="20"/>
      <c r="G50" s="20"/>
      <c r="H50" s="20"/>
      <c r="I50" s="20"/>
      <c r="J50" s="20"/>
      <c r="K50" s="20"/>
      <c r="L50" s="20"/>
      <c r="M50" s="20"/>
      <c r="N50" s="20"/>
      <c r="O50" s="7"/>
    </row>
    <row r="51" spans="1:19" ht="15.75" x14ac:dyDescent="0.25">
      <c r="B51" s="3"/>
      <c r="C51" s="12" t="s">
        <v>352</v>
      </c>
      <c r="D51" s="1716" t="str">
        <f>Translations!$B$249</f>
        <v>Mierzalne ciepło</v>
      </c>
      <c r="E51" s="1716"/>
      <c r="F51" s="1716"/>
      <c r="G51" s="1716"/>
      <c r="H51" s="1716"/>
      <c r="I51" s="1716"/>
      <c r="J51" s="1716"/>
      <c r="K51" s="1716"/>
      <c r="L51" s="1716"/>
      <c r="M51" s="1716"/>
      <c r="N51" s="1716"/>
      <c r="O51" s="7"/>
      <c r="P51" s="626"/>
    </row>
    <row r="52" spans="1:19" ht="5.0999999999999996" customHeight="1" x14ac:dyDescent="0.2">
      <c r="B52" s="3"/>
      <c r="C52" s="3"/>
      <c r="D52" s="3"/>
      <c r="E52" s="3"/>
      <c r="F52" s="3"/>
      <c r="G52" s="3"/>
      <c r="H52" s="3"/>
      <c r="I52" s="3"/>
      <c r="J52" s="3"/>
      <c r="K52" s="3"/>
      <c r="L52" s="3"/>
      <c r="M52" s="7"/>
      <c r="N52" s="7"/>
      <c r="O52" s="7"/>
      <c r="P52" s="626"/>
    </row>
    <row r="53" spans="1:19" ht="15" x14ac:dyDescent="0.25">
      <c r="B53" s="3"/>
      <c r="C53" s="18"/>
      <c r="D53" s="1439" t="str">
        <f>Translations!$B$510</f>
        <v>Pełny bilans mierzalnego ciepła w instalacji</v>
      </c>
      <c r="E53" s="1370"/>
      <c r="F53" s="1370"/>
      <c r="G53" s="1370"/>
      <c r="H53" s="1370"/>
      <c r="I53" s="1370"/>
      <c r="J53" s="1370"/>
      <c r="K53" s="1370"/>
      <c r="L53" s="1370"/>
      <c r="M53" s="1370"/>
      <c r="N53" s="1370"/>
      <c r="O53" s="7"/>
      <c r="P53" s="626"/>
    </row>
    <row r="54" spans="1:19" ht="5.0999999999999996" customHeight="1" x14ac:dyDescent="0.2">
      <c r="B54" s="3"/>
      <c r="C54" s="3"/>
      <c r="D54" s="3"/>
      <c r="E54" s="3"/>
      <c r="F54" s="3"/>
      <c r="G54" s="3"/>
      <c r="H54" s="3"/>
      <c r="I54" s="3"/>
      <c r="J54" s="3"/>
      <c r="K54" s="3"/>
      <c r="L54" s="3"/>
      <c r="M54" s="3"/>
      <c r="N54" s="3"/>
      <c r="O54" s="7"/>
      <c r="P54" s="626"/>
    </row>
    <row r="55" spans="1:19" ht="25.5" customHeight="1" x14ac:dyDescent="0.2">
      <c r="A55" s="2"/>
      <c r="B55" s="3"/>
      <c r="C55" s="3"/>
      <c r="D55" s="722"/>
      <c r="E55" s="1466" t="str">
        <f>Translations!$B$511</f>
        <v>Czy instalacja posiada podinstalację objętą wskaźnikiem emisyjności opartym na cieple czy też podinstalację sieci ciepłowniczej?</v>
      </c>
      <c r="F55" s="1466"/>
      <c r="G55" s="1466"/>
      <c r="H55" s="1466"/>
      <c r="I55" s="1466"/>
      <c r="J55" s="1466"/>
      <c r="K55" s="1466"/>
      <c r="L55" s="1603"/>
      <c r="M55" s="829" t="b">
        <f>COUNTIF(A_InstallationData!$I$259:$I$261,TRUE)&gt;0</f>
        <v>1</v>
      </c>
      <c r="N55" s="7"/>
      <c r="O55" s="7"/>
      <c r="P55" s="8"/>
      <c r="Q55" s="2"/>
    </row>
    <row r="56" spans="1:19" ht="12.75" customHeight="1" x14ac:dyDescent="0.2">
      <c r="B56" s="3"/>
      <c r="C56" s="16"/>
      <c r="D56" s="123"/>
      <c r="E56" s="1408" t="str">
        <f>Translations!$B$512</f>
        <v>Nazwa podinstalacji objętej wskaźnikiem emisyjności dla produktów jest wyświetlana automatycznie na podstawie danych wprowadzonych w arkuszu „A_InstallationData”.</v>
      </c>
      <c r="F56" s="1370"/>
      <c r="G56" s="1370"/>
      <c r="H56" s="1370"/>
      <c r="I56" s="1370"/>
      <c r="J56" s="1370"/>
      <c r="K56" s="1370"/>
      <c r="L56" s="1370"/>
      <c r="M56" s="1370"/>
      <c r="N56" s="1663"/>
      <c r="O56" s="7"/>
      <c r="P56" s="626"/>
    </row>
    <row r="57" spans="1:19" ht="25.5" customHeight="1" x14ac:dyDescent="0.2">
      <c r="B57" s="3"/>
      <c r="C57" s="16"/>
      <c r="D57" s="123"/>
      <c r="E57" s="1408" t="str">
        <f>Translations!$B$513</f>
        <v>Jeżeli w tym miejscu pojawi się tekst „PRAWDA”, wpisy w tej części są istotne w każdym przypadku. Na poniższe pytanie należy odpowiedzieć jedynie w przypadku, gdy żadna z tych podinstalacji nie jest istotna.</v>
      </c>
      <c r="F57" s="1370"/>
      <c r="G57" s="1370"/>
      <c r="H57" s="1370"/>
      <c r="I57" s="1370"/>
      <c r="J57" s="1370"/>
      <c r="K57" s="1370"/>
      <c r="L57" s="1370"/>
      <c r="M57" s="1370"/>
      <c r="N57" s="1663"/>
      <c r="O57" s="7"/>
      <c r="P57" s="626"/>
    </row>
    <row r="58" spans="1:19" ht="5.0999999999999996" customHeight="1" x14ac:dyDescent="0.2">
      <c r="B58" s="3"/>
      <c r="C58" s="3"/>
      <c r="D58" s="3"/>
      <c r="E58" s="3"/>
      <c r="F58" s="3"/>
      <c r="G58" s="3"/>
      <c r="H58" s="3"/>
      <c r="I58" s="3"/>
      <c r="J58" s="3"/>
      <c r="K58" s="3"/>
      <c r="L58" s="3"/>
      <c r="M58" s="3"/>
      <c r="N58" s="3"/>
      <c r="O58" s="7"/>
      <c r="P58" s="626"/>
    </row>
    <row r="59" spans="1:19" ht="25.5" customHeight="1" x14ac:dyDescent="0.2">
      <c r="A59" s="2"/>
      <c r="B59" s="3"/>
      <c r="C59" s="3"/>
      <c r="D59" s="722"/>
      <c r="E59" s="1466" t="str">
        <f>Translations!$B$514</f>
        <v>Czy jakiekolwiek przepływy mierzalnego ciepła są wytwarzane lub zużywane w instalacji, wprowadzane do instalacji lub z niej wyprowadzane?</v>
      </c>
      <c r="F59" s="1466"/>
      <c r="G59" s="1466"/>
      <c r="H59" s="1466"/>
      <c r="I59" s="1466"/>
      <c r="J59" s="1466"/>
      <c r="K59" s="1466"/>
      <c r="L59" s="1603"/>
      <c r="M59" s="964"/>
      <c r="N59" s="7"/>
      <c r="O59" s="7"/>
      <c r="P59" s="8"/>
      <c r="Q59" s="2"/>
    </row>
    <row r="60" spans="1:19" ht="12.75" customHeight="1" x14ac:dyDescent="0.2">
      <c r="B60" s="3"/>
      <c r="C60" s="3"/>
      <c r="D60" s="3"/>
      <c r="E60" s="1658" t="str">
        <f>IF(AND(M59&lt;&gt;"",M59=FALSE),HYPERLINK(Q60,EUconst_MsgGoOn),HYPERLINK("",EUconst_MsgEnterThisSection))</f>
        <v>Proszę podać dane w tej części!</v>
      </c>
      <c r="F60" s="1659"/>
      <c r="G60" s="1659"/>
      <c r="H60" s="1659"/>
      <c r="I60" s="1659"/>
      <c r="J60" s="1659"/>
      <c r="K60" s="1659"/>
      <c r="L60" s="1659"/>
      <c r="M60" s="1660"/>
      <c r="N60" s="3"/>
      <c r="O60" s="7"/>
      <c r="P60" s="2" t="s">
        <v>199</v>
      </c>
      <c r="Q60" s="346" t="str">
        <f>"#"&amp;ADDRESS(ROW(C235),COLUMN(C235))</f>
        <v>#$C$235</v>
      </c>
    </row>
    <row r="61" spans="1:19" ht="5.0999999999999996" customHeight="1" x14ac:dyDescent="0.2">
      <c r="B61" s="3"/>
      <c r="C61" s="3"/>
      <c r="D61" s="3"/>
      <c r="E61" s="3"/>
      <c r="F61" s="3"/>
      <c r="G61" s="3"/>
      <c r="H61" s="3"/>
      <c r="I61" s="3"/>
      <c r="J61" s="3"/>
      <c r="K61" s="3"/>
      <c r="L61" s="3"/>
      <c r="M61" s="7"/>
      <c r="N61" s="7"/>
      <c r="O61" s="7"/>
      <c r="P61" s="626"/>
    </row>
    <row r="62" spans="1:19" ht="25.5" customHeight="1" x14ac:dyDescent="0.2">
      <c r="B62" s="3"/>
      <c r="C62" s="3"/>
      <c r="D62" s="1664" t="str">
        <f>Translations!$B$515</f>
        <v>Wszystkie dane dotyczące ciepła powinny odnosić się do „ilości netto mierzalnego ciepła” (tj. zawartości ciepła przepływu ciepła do użytkownika pomniejszonej o zawartość ciepła przepływu powrotnego).</v>
      </c>
      <c r="E62" s="1647"/>
      <c r="F62" s="1647"/>
      <c r="G62" s="1647"/>
      <c r="H62" s="1647"/>
      <c r="I62" s="1647"/>
      <c r="J62" s="1647"/>
      <c r="K62" s="1647"/>
      <c r="L62" s="1647"/>
      <c r="M62" s="1647"/>
      <c r="N62" s="1647"/>
      <c r="O62" s="7"/>
      <c r="P62" s="626"/>
    </row>
    <row r="63" spans="1:19" ht="5.0999999999999996" customHeight="1" x14ac:dyDescent="0.2">
      <c r="B63" s="3"/>
      <c r="C63" s="3"/>
      <c r="D63" s="3"/>
      <c r="E63" s="3"/>
      <c r="F63" s="3"/>
      <c r="G63" s="3"/>
      <c r="H63" s="3"/>
      <c r="I63" s="3"/>
      <c r="J63" s="3"/>
      <c r="K63" s="3"/>
      <c r="L63" s="7"/>
      <c r="M63" s="7"/>
      <c r="N63" s="3"/>
      <c r="O63" s="7"/>
      <c r="P63" s="626"/>
    </row>
    <row r="64" spans="1:19" x14ac:dyDescent="0.2">
      <c r="B64" s="3"/>
      <c r="C64" s="16"/>
      <c r="D64" s="1664" t="str">
        <f>Translations!$B$516</f>
        <v>Opis zastosowanej metody obliczeniowej:</v>
      </c>
      <c r="E64" s="1647"/>
      <c r="F64" s="1647"/>
      <c r="G64" s="1647"/>
      <c r="H64" s="1647"/>
      <c r="I64" s="1647"/>
      <c r="J64" s="1647"/>
      <c r="K64" s="1647"/>
      <c r="L64" s="1647"/>
      <c r="M64" s="1647"/>
      <c r="N64" s="1647"/>
      <c r="O64" s="7"/>
      <c r="P64" s="626"/>
    </row>
    <row r="65" spans="2:16" ht="51" customHeight="1" x14ac:dyDescent="0.2">
      <c r="B65" s="3"/>
      <c r="C65" s="16"/>
      <c r="D65" s="1708" t="str">
        <f>Translations!$B$517</f>
        <v>Jeżeli oba rodzaje wsadu ciepła są istotne, „kwalifikujący się” (wytworzony samodzielnie lub wprowadzony z instalacji objętych EU ETS) oraz „niekwalifikujący się” (wprowadzony z instalacji lub podmiotów nieobjętych EU ETS lub wytworzony z podinstalacji wytwarzającej kwas azotowy), ORAZ jeżeli ma miejsce wykorzystanie obu rodzajów ciepła, tj. „kwalifikujące się” (wykorzystanie wewnętrzne lub wyprowadzenie do instalacji nieobjętych EU ETS) oraz „niekwalifikujące się” (wyprowadzenie do instalacji objętych EU ETS), konieczne jest wyodrębnienie kwalifikujących się i niekwalifikujących się przypadków.</v>
      </c>
      <c r="E65" s="1370"/>
      <c r="F65" s="1370"/>
      <c r="G65" s="1370"/>
      <c r="H65" s="1370"/>
      <c r="I65" s="1370"/>
      <c r="J65" s="1370"/>
      <c r="K65" s="1370"/>
      <c r="L65" s="1370"/>
      <c r="M65" s="1370"/>
      <c r="N65" s="1663"/>
      <c r="O65" s="7"/>
      <c r="P65" s="626"/>
    </row>
    <row r="66" spans="2:16" x14ac:dyDescent="0.2">
      <c r="B66" s="3"/>
      <c r="C66" s="16"/>
      <c r="D66" s="1646" t="str">
        <f>Translations!$B$518</f>
        <v>Do celów tego wyodrębnienia proponuje się hierarchię metod:</v>
      </c>
      <c r="E66" s="1647"/>
      <c r="F66" s="1647"/>
      <c r="G66" s="1647"/>
      <c r="H66" s="1647"/>
      <c r="I66" s="1647"/>
      <c r="J66" s="1647"/>
      <c r="K66" s="1647"/>
      <c r="L66" s="1647"/>
      <c r="M66" s="1647"/>
      <c r="N66" s="1647"/>
      <c r="O66" s="7"/>
      <c r="P66" s="626"/>
    </row>
    <row r="67" spans="2:16" ht="25.5" customHeight="1" x14ac:dyDescent="0.2">
      <c r="B67" s="3"/>
      <c r="C67" s="16"/>
      <c r="D67" s="123" t="s">
        <v>408</v>
      </c>
      <c r="E67" s="1408" t="str">
        <f>Translations!$B$519</f>
        <v>Jeżeli ilość ciepła można wyodrębnić w sposób wyraźny (z uwagi na jasno określone powiązania w sieci ciepłowniczej lub poziomy ciśnienia pary itp.), ilości ciepła kwalifikującego się i niekwalifikującego się należy zgłosić zgodnie z rzeczywistym stanem rzeczy.</v>
      </c>
      <c r="F67" s="1370"/>
      <c r="G67" s="1370"/>
      <c r="H67" s="1370"/>
      <c r="I67" s="1370"/>
      <c r="J67" s="1370"/>
      <c r="K67" s="1370"/>
      <c r="L67" s="1370"/>
      <c r="M67" s="1370"/>
      <c r="N67" s="1663"/>
      <c r="O67" s="7"/>
      <c r="P67" s="626"/>
    </row>
    <row r="68" spans="2:16" x14ac:dyDescent="0.2">
      <c r="B68" s="3"/>
      <c r="C68" s="16"/>
      <c r="D68" s="123" t="s">
        <v>408</v>
      </c>
      <c r="E68" s="1662" t="str">
        <f>Translations!$B$520</f>
        <v>Jeżeli nie jest to możliwe, wszystkie rodzaje wykorzystania są rozpatrywane według stosunku czynników produkcji (wsady z systemu ETS: łączne wsady), jak określono powyżej.</v>
      </c>
      <c r="F68" s="1663"/>
      <c r="G68" s="1663"/>
      <c r="H68" s="1663"/>
      <c r="I68" s="1663"/>
      <c r="J68" s="1663"/>
      <c r="K68" s="1663"/>
      <c r="L68" s="1663"/>
      <c r="M68" s="1663"/>
      <c r="N68" s="1663"/>
      <c r="O68" s="7"/>
      <c r="P68" s="626"/>
    </row>
    <row r="69" spans="2:16" x14ac:dyDescent="0.2">
      <c r="B69" s="3"/>
      <c r="C69" s="16"/>
      <c r="D69" s="1664" t="str">
        <f>Translations!$B$521</f>
        <v>Do celów niniejszego formularza zastosowano następujące podejście etapowe:</v>
      </c>
      <c r="E69" s="1647"/>
      <c r="F69" s="1647"/>
      <c r="G69" s="1647"/>
      <c r="H69" s="1647"/>
      <c r="I69" s="1647"/>
      <c r="J69" s="1647"/>
      <c r="K69" s="1647"/>
      <c r="L69" s="1647"/>
      <c r="M69" s="1647"/>
      <c r="N69" s="1647"/>
      <c r="O69" s="7"/>
      <c r="P69" s="626"/>
    </row>
    <row r="70" spans="2:16" x14ac:dyDescent="0.2">
      <c r="B70" s="3"/>
      <c r="C70" s="16"/>
      <c r="D70" s="123" t="s">
        <v>408</v>
      </c>
      <c r="E70" s="1646" t="str">
        <f>Translations!$B$522</f>
        <v>Osobno oblicza się bilans zużycia „kwalifikującego się” i „niekwalifikującego się” ciepła.</v>
      </c>
      <c r="F70" s="1647"/>
      <c r="G70" s="1647"/>
      <c r="H70" s="1647"/>
      <c r="I70" s="1647"/>
      <c r="J70" s="1647"/>
      <c r="K70" s="1647"/>
      <c r="L70" s="1647"/>
      <c r="M70" s="1647"/>
      <c r="N70" s="1647"/>
      <c r="O70" s="7"/>
      <c r="P70" s="626"/>
    </row>
    <row r="71" spans="2:16" ht="25.5" customHeight="1" x14ac:dyDescent="0.2">
      <c r="B71" s="3"/>
      <c r="C71" s="16"/>
      <c r="D71" s="123" t="s">
        <v>408</v>
      </c>
      <c r="E71" s="1408" t="str">
        <f>Translations!$B$523</f>
        <v>W przypadku wytwarzania energii elektrycznej zużycie ciepła dzieli się według stosunku wyświetlanego w lit. f), chyba że ilość ciepła z niekwalifikujących się źródeł jest ręcznie wprowadzana w lit. g) ppkt (iii).</v>
      </c>
      <c r="F71" s="1709"/>
      <c r="G71" s="1709"/>
      <c r="H71" s="1709"/>
      <c r="I71" s="1709"/>
      <c r="J71" s="1709"/>
      <c r="K71" s="1709"/>
      <c r="L71" s="1709"/>
      <c r="M71" s="1709"/>
      <c r="N71" s="1709"/>
      <c r="O71" s="7"/>
      <c r="P71" s="626"/>
    </row>
    <row r="72" spans="2:16" ht="25.5" customHeight="1" x14ac:dyDescent="0.2">
      <c r="B72" s="3"/>
      <c r="C72" s="16"/>
      <c r="D72" s="123" t="s">
        <v>408</v>
      </c>
      <c r="E72" s="1408" t="str">
        <f>Translations!$B$524</f>
        <v>Całkowitą ilość zmierzonego ciepła w przypadku wskaźników emisyjności dla produktów podaje się w lit. g) poniżej. Ilość „niekwalifikującego się” ciepła przyjmuje się jako sumę wsadów każdej podinstalacji wprowadzonych w arkuszu „F_ProductBM” lit. f) ppkt (iii) (podaną poniżej w lit. h) ppkt (xii)).</v>
      </c>
      <c r="F72" s="1710"/>
      <c r="G72" s="1710"/>
      <c r="H72" s="1710"/>
      <c r="I72" s="1710"/>
      <c r="J72" s="1710"/>
      <c r="K72" s="1710"/>
      <c r="L72" s="1710"/>
      <c r="M72" s="1710"/>
      <c r="N72" s="1711"/>
      <c r="O72" s="7"/>
      <c r="P72" s="626"/>
    </row>
    <row r="73" spans="2:16" ht="39.950000000000003" customHeight="1" x14ac:dyDescent="0.2">
      <c r="B73" s="3"/>
      <c r="C73" s="16"/>
      <c r="D73" s="123" t="s">
        <v>408</v>
      </c>
      <c r="E73" s="1408" t="str">
        <f>Translations!$B$525</f>
        <v>Wyprowadzanie ciepła do instalacji objętych EU ETS (lit. i) poniżej) należy zawsze uznawać za ciepło z kwalifikujących się źródeł, ponieważ konsument ciepła nie będzie posiadał informacji na temat kwalifikowalności ciepła wytworzonego na wcześniejszym etapie. W związku z tym, aby uniknąć podwójnego liczenia, ciepło należy odjąć od kwalifikującej się ilości w tej instalacji. Ograniczenie tej ilości powinna stanowić suma dostępnego „kwalifikującego się” ciepła z instalacji.</v>
      </c>
      <c r="F73" s="1370"/>
      <c r="G73" s="1370"/>
      <c r="H73" s="1370"/>
      <c r="I73" s="1370"/>
      <c r="J73" s="1370"/>
      <c r="K73" s="1370"/>
      <c r="L73" s="1370"/>
      <c r="M73" s="1370"/>
      <c r="N73" s="1663"/>
      <c r="O73" s="7"/>
      <c r="P73" s="626"/>
    </row>
    <row r="74" spans="2:16" ht="25.5" customHeight="1" x14ac:dyDescent="0.2">
      <c r="B74" s="3"/>
      <c r="C74" s="16"/>
      <c r="D74" s="123" t="s">
        <v>408</v>
      </c>
      <c r="E74" s="1408" t="str">
        <f>Translations!$B$526</f>
        <v>Na podstawie pozostałej ilości mierzalnego ciepła należy ustalić, ile ciepła zużywa się w instalacji (z wyjątkiem ciepła na potrzeby wytwarzania energii elektrycznej oraz podinstalacji objętych wskaźnikiem emisyjności dla produktów). Górną granicę stanowi ilość „kwalifikującego się” ciepła pozostającego po zakończeniu wcześniejszych etapów.</v>
      </c>
      <c r="F74" s="1370"/>
      <c r="G74" s="1370"/>
      <c r="H74" s="1370"/>
      <c r="I74" s="1370"/>
      <c r="J74" s="1370"/>
      <c r="K74" s="1370"/>
      <c r="L74" s="1370"/>
      <c r="M74" s="1370"/>
      <c r="N74" s="1663"/>
      <c r="O74" s="7"/>
      <c r="P74" s="626"/>
    </row>
    <row r="75" spans="2:16" x14ac:dyDescent="0.2">
      <c r="B75" s="3"/>
      <c r="C75" s="16"/>
      <c r="D75" s="123" t="s">
        <v>408</v>
      </c>
      <c r="E75" s="1408" t="str">
        <f>Translations!$B$527</f>
        <v>Po odjęciu ciepła od dostępnej ilości obliczany jest nowy „współczynnik kwalifikowalności” (lit. k)).</v>
      </c>
      <c r="F75" s="1370"/>
      <c r="G75" s="1370"/>
      <c r="H75" s="1370"/>
      <c r="I75" s="1370"/>
      <c r="J75" s="1370"/>
      <c r="K75" s="1370"/>
      <c r="L75" s="1370"/>
      <c r="M75" s="1370"/>
      <c r="N75" s="1663"/>
      <c r="O75" s="7"/>
      <c r="P75" s="626"/>
    </row>
    <row r="76" spans="2:16" x14ac:dyDescent="0.2">
      <c r="B76" s="3"/>
      <c r="C76" s="16"/>
      <c r="D76" s="123" t="s">
        <v>408</v>
      </c>
      <c r="E76" s="1662" t="str">
        <f>Translations!$B$528</f>
        <v>Następnie pozostałą kwalifikującą się ilość można przypisać do obu podinstalacji objętych wskaźnikiem emisyjności opartym na cieple.</v>
      </c>
      <c r="F76" s="1663"/>
      <c r="G76" s="1663"/>
      <c r="H76" s="1663"/>
      <c r="I76" s="1663"/>
      <c r="J76" s="1663"/>
      <c r="K76" s="1663"/>
      <c r="L76" s="1663"/>
      <c r="M76" s="1663"/>
      <c r="N76" s="1663"/>
      <c r="O76" s="7"/>
      <c r="P76" s="626"/>
    </row>
    <row r="77" spans="2:16" x14ac:dyDescent="0.2">
      <c r="B77" s="20"/>
      <c r="C77" s="20"/>
      <c r="D77" s="20"/>
      <c r="E77" s="20"/>
      <c r="F77" s="20"/>
      <c r="G77" s="20"/>
      <c r="H77" s="20"/>
      <c r="I77" s="20"/>
      <c r="J77" s="20"/>
      <c r="K77" s="20"/>
      <c r="L77" s="20"/>
      <c r="M77" s="20"/>
      <c r="N77" s="20"/>
      <c r="O77" s="7"/>
    </row>
    <row r="78" spans="2:16" ht="15" x14ac:dyDescent="0.25">
      <c r="B78" s="3"/>
      <c r="C78" s="18"/>
      <c r="D78" s="19"/>
      <c r="E78" s="1657" t="str">
        <f>Translations!$B$529</f>
        <v>Wsady ciepła</v>
      </c>
      <c r="F78" s="1647"/>
      <c r="G78" s="1647"/>
      <c r="H78" s="1647"/>
      <c r="I78" s="1647"/>
      <c r="J78" s="1647"/>
      <c r="K78" s="1647"/>
      <c r="L78" s="1647"/>
      <c r="M78" s="1647"/>
      <c r="N78" s="1647"/>
      <c r="O78" s="7"/>
      <c r="P78" s="626"/>
    </row>
    <row r="79" spans="2:16" ht="5.0999999999999996" customHeight="1" x14ac:dyDescent="0.2">
      <c r="B79" s="3"/>
      <c r="C79" s="3"/>
      <c r="D79" s="3"/>
      <c r="E79" s="3"/>
      <c r="F79" s="3"/>
      <c r="G79" s="3"/>
      <c r="H79" s="3"/>
      <c r="I79" s="3"/>
      <c r="J79" s="3"/>
      <c r="K79" s="3"/>
      <c r="L79" s="3"/>
      <c r="M79" s="3"/>
      <c r="N79" s="3"/>
      <c r="O79" s="7"/>
      <c r="P79" s="626"/>
    </row>
    <row r="80" spans="2:16" x14ac:dyDescent="0.2">
      <c r="B80" s="3"/>
      <c r="C80" s="14"/>
      <c r="D80" s="14" t="s">
        <v>173</v>
      </c>
      <c r="E80" s="1653" t="str">
        <f>Translations!$B$530</f>
        <v>Całkowita ilość netto mierzalnego ciepła wytworzonego w instalacji:</v>
      </c>
      <c r="F80" s="1647"/>
      <c r="G80" s="1647"/>
      <c r="H80" s="1647"/>
      <c r="I80" s="1647"/>
      <c r="J80" s="1647"/>
      <c r="K80" s="1647"/>
      <c r="L80" s="1647"/>
      <c r="M80" s="1647"/>
      <c r="N80" s="1647"/>
      <c r="O80" s="7"/>
      <c r="P80" s="626"/>
    </row>
    <row r="81" spans="2:19" ht="25.5" customHeight="1" x14ac:dyDescent="0.2">
      <c r="B81" s="3"/>
      <c r="C81" s="3"/>
      <c r="D81" s="400"/>
      <c r="E81" s="1448" t="str">
        <f>Translations!$B$515</f>
        <v>Wszystkie dane dotyczące ciepła powinny odnosić się do „ilości netto mierzalnego ciepła” (tj. zawartości ciepła przepływu ciepła do użytkownika pomniejszonej o zawartość ciepła przepływu powrotnego).</v>
      </c>
      <c r="F81" s="1370"/>
      <c r="G81" s="1370"/>
      <c r="H81" s="1370"/>
      <c r="I81" s="1370"/>
      <c r="J81" s="1370"/>
      <c r="K81" s="1370"/>
      <c r="L81" s="1370"/>
      <c r="M81" s="1370"/>
      <c r="N81" s="1370"/>
      <c r="O81" s="7"/>
      <c r="P81" s="626"/>
    </row>
    <row r="82" spans="2:19" x14ac:dyDescent="0.2">
      <c r="B82" s="3"/>
      <c r="C82" s="16"/>
      <c r="D82" s="16"/>
      <c r="E82" s="1646" t="str">
        <f>Translations!$B$531</f>
        <v>Należy zauważyć, że ciepło wytworzone z podinstalacji wytwarzających kwas azotowy podaje się w lit. c) jako „wprowadzenie z instalacji nieobjętych EU ETS”.</v>
      </c>
      <c r="F82" s="1647"/>
      <c r="G82" s="1647"/>
      <c r="H82" s="1647"/>
      <c r="I82" s="1647"/>
      <c r="J82" s="1647"/>
      <c r="K82" s="1647"/>
      <c r="L82" s="1647"/>
      <c r="M82" s="1647"/>
      <c r="N82" s="1647"/>
      <c r="O82" s="7"/>
      <c r="P82" s="626"/>
    </row>
    <row r="83" spans="2:19" ht="13.5" thickBot="1" x14ac:dyDescent="0.25">
      <c r="B83" s="20"/>
      <c r="C83" s="20"/>
      <c r="D83" s="20"/>
      <c r="E83" s="25"/>
      <c r="F83" s="22"/>
      <c r="G83" s="22"/>
      <c r="H83" s="34" t="str">
        <f>EUconst_Unit</f>
        <v>Jednostka</v>
      </c>
      <c r="I83" s="396">
        <f>I$380</f>
        <v>2014</v>
      </c>
      <c r="J83" s="396">
        <f>J$380</f>
        <v>2015</v>
      </c>
      <c r="K83" s="396">
        <f>K$380</f>
        <v>2016</v>
      </c>
      <c r="L83" s="396">
        <f>L$380</f>
        <v>2017</v>
      </c>
      <c r="M83" s="396">
        <f>M$380</f>
        <v>2018</v>
      </c>
      <c r="N83" s="7"/>
      <c r="O83" s="7"/>
      <c r="S83" s="437" t="s">
        <v>466</v>
      </c>
    </row>
    <row r="84" spans="2:19" ht="12.75" customHeight="1" x14ac:dyDescent="0.2">
      <c r="B84" s="20"/>
      <c r="C84" s="20"/>
      <c r="D84" s="20"/>
      <c r="E84" s="1652" t="str">
        <f>Translations!$B$532</f>
        <v>Wytworzone mierzalne ciepło</v>
      </c>
      <c r="F84" s="1652"/>
      <c r="G84" s="1652"/>
      <c r="H84" s="48" t="str">
        <f>EUconst_TJpa</f>
        <v>TJ / rok</v>
      </c>
      <c r="I84" s="322">
        <v>2319.0669474391434</v>
      </c>
      <c r="J84" s="322">
        <v>2206.877448052287</v>
      </c>
      <c r="K84" s="322">
        <v>2498.7548923123736</v>
      </c>
      <c r="L84" s="322">
        <v>2161.1584218177322</v>
      </c>
      <c r="M84" s="322">
        <v>2444.0539244421657</v>
      </c>
      <c r="N84" s="7"/>
      <c r="O84" s="7"/>
      <c r="S84" s="646" t="b">
        <f>AND(M59&lt;&gt;"",M59=FALSE)</f>
        <v>0</v>
      </c>
    </row>
    <row r="85" spans="2:19" ht="5.0999999999999996" customHeight="1" x14ac:dyDescent="0.2">
      <c r="B85" s="3"/>
      <c r="C85" s="3"/>
      <c r="D85" s="3"/>
      <c r="E85" s="3"/>
      <c r="F85" s="3"/>
      <c r="G85" s="3"/>
      <c r="H85" s="3"/>
      <c r="I85" s="3"/>
      <c r="J85" s="3"/>
      <c r="K85" s="3"/>
      <c r="L85" s="3"/>
      <c r="M85" s="3"/>
      <c r="N85" s="3"/>
      <c r="O85" s="7"/>
      <c r="P85" s="626"/>
      <c r="S85" s="718"/>
    </row>
    <row r="86" spans="2:19" x14ac:dyDescent="0.2">
      <c r="B86" s="3"/>
      <c r="C86" s="14"/>
      <c r="D86" s="14" t="s">
        <v>353</v>
      </c>
      <c r="E86" s="1653" t="str">
        <f>Translations!$B$533</f>
        <v>Mierzalne ciepło wprowadzone z instalacji objętych EU ETS:</v>
      </c>
      <c r="F86" s="1647"/>
      <c r="G86" s="1647"/>
      <c r="H86" s="1647"/>
      <c r="I86" s="1647"/>
      <c r="J86" s="1647"/>
      <c r="K86" s="1647"/>
      <c r="L86" s="1647"/>
      <c r="M86" s="1647"/>
      <c r="N86" s="1647"/>
      <c r="O86" s="7"/>
      <c r="P86" s="626"/>
      <c r="S86" s="718"/>
    </row>
    <row r="87" spans="2:19" x14ac:dyDescent="0.2">
      <c r="B87" s="3"/>
      <c r="C87" s="16"/>
      <c r="D87" s="16"/>
      <c r="E87" s="1646" t="str">
        <f>Translations!$B$534</f>
        <v>Nazwy instalacji na rozwijanej liście pobrano z części A.IV. W związku z tym należy upewnić się, że wprowadzili tam Państwo kompletne dane.</v>
      </c>
      <c r="F87" s="1647"/>
      <c r="G87" s="1647"/>
      <c r="H87" s="1647"/>
      <c r="I87" s="1647"/>
      <c r="J87" s="1647"/>
      <c r="K87" s="1647"/>
      <c r="L87" s="1647"/>
      <c r="M87" s="1647"/>
      <c r="N87" s="1647"/>
      <c r="O87" s="7"/>
      <c r="P87" s="626"/>
      <c r="S87" s="718"/>
    </row>
    <row r="88" spans="2:19" ht="5.0999999999999996" customHeight="1" x14ac:dyDescent="0.2">
      <c r="B88" s="3"/>
      <c r="C88" s="3"/>
      <c r="D88" s="3"/>
      <c r="E88" s="3"/>
      <c r="F88" s="3"/>
      <c r="G88" s="3"/>
      <c r="H88" s="3"/>
      <c r="I88" s="3"/>
      <c r="J88" s="3"/>
      <c r="K88" s="3"/>
      <c r="L88" s="3"/>
      <c r="M88" s="3"/>
      <c r="N88" s="3"/>
      <c r="O88" s="7"/>
      <c r="P88" s="626"/>
      <c r="S88" s="718"/>
    </row>
    <row r="89" spans="2:19" x14ac:dyDescent="0.2">
      <c r="B89" s="20"/>
      <c r="C89" s="20"/>
      <c r="D89" s="20"/>
      <c r="E89" s="1650" t="str">
        <f>Translations!$B$535</f>
        <v>Nazwa instalacji</v>
      </c>
      <c r="F89" s="1651"/>
      <c r="G89" s="1651"/>
      <c r="H89" s="34" t="str">
        <f>EUconst_Unit</f>
        <v>Jednostka</v>
      </c>
      <c r="I89" s="396">
        <f>I$380</f>
        <v>2014</v>
      </c>
      <c r="J89" s="396">
        <f>J$380</f>
        <v>2015</v>
      </c>
      <c r="K89" s="396">
        <f>K$380</f>
        <v>2016</v>
      </c>
      <c r="L89" s="396">
        <f>L$380</f>
        <v>2017</v>
      </c>
      <c r="M89" s="396">
        <f>M$380</f>
        <v>2018</v>
      </c>
      <c r="N89" s="26"/>
      <c r="O89" s="7"/>
      <c r="S89" s="718"/>
    </row>
    <row r="90" spans="2:19" x14ac:dyDescent="0.2">
      <c r="B90" s="20"/>
      <c r="C90" s="195"/>
      <c r="D90" s="195" t="s">
        <v>2</v>
      </c>
      <c r="E90" s="1522" t="s">
        <v>3450</v>
      </c>
      <c r="F90" s="1522"/>
      <c r="G90" s="1522"/>
      <c r="H90" s="37" t="str">
        <f>EUconst_TJpa</f>
        <v>TJ / rok</v>
      </c>
      <c r="I90" s="331"/>
      <c r="J90" s="331"/>
      <c r="K90" s="331"/>
      <c r="L90" s="331"/>
      <c r="M90" s="331"/>
      <c r="N90" s="7"/>
      <c r="O90" s="7"/>
      <c r="S90" s="630" t="b">
        <f>S84</f>
        <v>0</v>
      </c>
    </row>
    <row r="91" spans="2:19" x14ac:dyDescent="0.2">
      <c r="B91" s="20"/>
      <c r="C91" s="195"/>
      <c r="D91" s="195" t="s">
        <v>3</v>
      </c>
      <c r="E91" s="1413" t="s">
        <v>3450</v>
      </c>
      <c r="F91" s="1413"/>
      <c r="G91" s="1413"/>
      <c r="H91" s="38" t="str">
        <f>EUconst_TJpa</f>
        <v>TJ / rok</v>
      </c>
      <c r="I91" s="330"/>
      <c r="J91" s="330"/>
      <c r="K91" s="330"/>
      <c r="L91" s="330"/>
      <c r="M91" s="330"/>
      <c r="N91" s="7"/>
      <c r="O91" s="7"/>
      <c r="S91" s="630" t="b">
        <f>S90</f>
        <v>0</v>
      </c>
    </row>
    <row r="92" spans="2:19" x14ac:dyDescent="0.2">
      <c r="B92" s="20"/>
      <c r="C92" s="195"/>
      <c r="D92" s="195" t="s">
        <v>4</v>
      </c>
      <c r="E92" s="1508" t="s">
        <v>3450</v>
      </c>
      <c r="F92" s="1508"/>
      <c r="G92" s="1508"/>
      <c r="H92" s="41" t="str">
        <f>EUconst_TJpa</f>
        <v>TJ / rok</v>
      </c>
      <c r="I92" s="329"/>
      <c r="J92" s="329"/>
      <c r="K92" s="329"/>
      <c r="L92" s="329"/>
      <c r="M92" s="329"/>
      <c r="N92" s="7"/>
      <c r="O92" s="7"/>
      <c r="S92" s="630" t="b">
        <f>S91</f>
        <v>0</v>
      </c>
    </row>
    <row r="93" spans="2:19" x14ac:dyDescent="0.2">
      <c r="B93" s="20"/>
      <c r="C93" s="195"/>
      <c r="D93" s="195" t="s">
        <v>6</v>
      </c>
      <c r="E93" s="1652" t="str">
        <f>Translations!$B$536</f>
        <v>Suma częściowa</v>
      </c>
      <c r="F93" s="1652"/>
      <c r="G93" s="1652"/>
      <c r="H93" s="52" t="str">
        <f>EUconst_TJpa</f>
        <v>TJ / rok</v>
      </c>
      <c r="I93" s="311" t="str">
        <f>IF(COUNT(I90:I92)&gt;0,SUM(I90:I92),"")</f>
        <v/>
      </c>
      <c r="J93" s="311" t="str">
        <f>IF(COUNT(J90:J92)&gt;0,SUM(J90:J92),"")</f>
        <v/>
      </c>
      <c r="K93" s="311" t="str">
        <f>IF(COUNT(K90:K92)&gt;0,SUM(K90:K92),"")</f>
        <v/>
      </c>
      <c r="L93" s="311" t="str">
        <f>IF(COUNT(L90:L92)&gt;0,SUM(L90:L92),"")</f>
        <v/>
      </c>
      <c r="M93" s="311" t="str">
        <f>IF(COUNT(M90:M92)&gt;0,SUM(M90:M92),"")</f>
        <v/>
      </c>
      <c r="N93" s="7"/>
      <c r="O93" s="7"/>
      <c r="S93" s="718"/>
    </row>
    <row r="94" spans="2:19" ht="5.0999999999999996" customHeight="1" x14ac:dyDescent="0.2">
      <c r="B94" s="3"/>
      <c r="C94" s="3"/>
      <c r="D94" s="3"/>
      <c r="E94" s="3"/>
      <c r="F94" s="3"/>
      <c r="G94" s="3"/>
      <c r="H94" s="3"/>
      <c r="I94" s="3"/>
      <c r="J94" s="3"/>
      <c r="K94" s="3"/>
      <c r="L94" s="3"/>
      <c r="M94" s="3"/>
      <c r="N94" s="3"/>
      <c r="O94" s="7"/>
      <c r="P94" s="626"/>
      <c r="S94" s="718"/>
    </row>
    <row r="95" spans="2:19" ht="25.5" customHeight="1" x14ac:dyDescent="0.2">
      <c r="B95" s="3"/>
      <c r="C95" s="14"/>
      <c r="D95" s="14" t="s">
        <v>11</v>
      </c>
      <c r="E95" s="1653" t="str">
        <f>Translations!$B$537</f>
        <v>Mierzalne ciepło wprowadzone z instalacji i od podmiotów nieobjętych EU ETS (niekwalifikujące się do objęcia wskaźnikiem emisyjności opartym na cieple):</v>
      </c>
      <c r="F95" s="1647"/>
      <c r="G95" s="1647"/>
      <c r="H95" s="1647"/>
      <c r="I95" s="1647"/>
      <c r="J95" s="1647"/>
      <c r="K95" s="1647"/>
      <c r="L95" s="1647"/>
      <c r="M95" s="1647"/>
      <c r="N95" s="1647"/>
      <c r="O95" s="7"/>
      <c r="P95" s="626"/>
      <c r="S95" s="718"/>
    </row>
    <row r="96" spans="2:19" x14ac:dyDescent="0.2">
      <c r="B96" s="3"/>
      <c r="C96" s="16"/>
      <c r="D96" s="16"/>
      <c r="E96" s="1646" t="str">
        <f>Translations!$B$538</f>
        <v xml:space="preserve">Pozycja ta obejmuje podinstalacje wytwarzające kwas azotowy (jako nazwę instalacji należy wybrać „W instalacji”, jeśli wytwarzanie kwasu azotowego jest częścią tej instalacji). </v>
      </c>
      <c r="F96" s="1647"/>
      <c r="G96" s="1647"/>
      <c r="H96" s="1647"/>
      <c r="I96" s="1647"/>
      <c r="J96" s="1647"/>
      <c r="K96" s="1647"/>
      <c r="L96" s="1647"/>
      <c r="M96" s="1647"/>
      <c r="N96" s="1647"/>
      <c r="O96" s="7"/>
      <c r="P96" s="626"/>
      <c r="S96" s="718"/>
    </row>
    <row r="97" spans="2:19" ht="25.5" customHeight="1" x14ac:dyDescent="0.2">
      <c r="B97" s="3"/>
      <c r="C97" s="16"/>
      <c r="D97" s="16"/>
      <c r="E97" s="1646" t="str">
        <f>Translations!$B$539</f>
        <v>Należy pamiętać, że dane wprowadzone w tym miejscu trzeba sprawdzić w celu uniknięcia podwójnego liczenia z odliczeniami w ramach podinstalacji objętych wskaźnikiem emisyjności dla produktów (zob. arkusz „F_ProductBM”).</v>
      </c>
      <c r="F97" s="1647"/>
      <c r="G97" s="1647"/>
      <c r="H97" s="1647"/>
      <c r="I97" s="1647"/>
      <c r="J97" s="1647"/>
      <c r="K97" s="1647"/>
      <c r="L97" s="1647"/>
      <c r="M97" s="1647"/>
      <c r="N97" s="1647"/>
      <c r="O97" s="7"/>
      <c r="P97" s="626"/>
      <c r="S97" s="718"/>
    </row>
    <row r="98" spans="2:19" x14ac:dyDescent="0.2">
      <c r="B98" s="20"/>
      <c r="C98" s="20"/>
      <c r="D98" s="20"/>
      <c r="E98" s="1650" t="str">
        <f>Translations!$B$256</f>
        <v>Nazwa instalacji lub podmiotu</v>
      </c>
      <c r="F98" s="1651"/>
      <c r="G98" s="1651"/>
      <c r="H98" s="34" t="str">
        <f>EUconst_Unit</f>
        <v>Jednostka</v>
      </c>
      <c r="I98" s="396">
        <f>I$380</f>
        <v>2014</v>
      </c>
      <c r="J98" s="396">
        <f>J$380</f>
        <v>2015</v>
      </c>
      <c r="K98" s="396">
        <f>K$380</f>
        <v>2016</v>
      </c>
      <c r="L98" s="396">
        <f>L$380</f>
        <v>2017</v>
      </c>
      <c r="M98" s="396">
        <f>M$380</f>
        <v>2018</v>
      </c>
      <c r="N98" s="7"/>
      <c r="O98" s="7"/>
      <c r="S98" s="718"/>
    </row>
    <row r="99" spans="2:19" x14ac:dyDescent="0.2">
      <c r="B99" s="20"/>
      <c r="C99" s="195"/>
      <c r="D99" s="195" t="s">
        <v>2</v>
      </c>
      <c r="E99" s="1522" t="s">
        <v>3689</v>
      </c>
      <c r="F99" s="1522"/>
      <c r="G99" s="1522"/>
      <c r="H99" s="37" t="str">
        <f>EUconst_TJpa</f>
        <v>TJ / rok</v>
      </c>
      <c r="I99" s="318">
        <v>500</v>
      </c>
      <c r="J99" s="318">
        <v>500</v>
      </c>
      <c r="K99" s="318">
        <v>500</v>
      </c>
      <c r="L99" s="318">
        <v>500</v>
      </c>
      <c r="M99" s="318">
        <v>500</v>
      </c>
      <c r="N99" s="7"/>
      <c r="O99" s="7"/>
      <c r="S99" s="630" t="b">
        <f>S92</f>
        <v>0</v>
      </c>
    </row>
    <row r="100" spans="2:19" x14ac:dyDescent="0.2">
      <c r="B100" s="20"/>
      <c r="C100" s="195"/>
      <c r="D100" s="195" t="s">
        <v>3</v>
      </c>
      <c r="E100" s="1413"/>
      <c r="F100" s="1413"/>
      <c r="G100" s="1413"/>
      <c r="H100" s="38" t="str">
        <f>EUconst_TJpa</f>
        <v>TJ / rok</v>
      </c>
      <c r="I100" s="330"/>
      <c r="J100" s="330"/>
      <c r="K100" s="330"/>
      <c r="L100" s="330"/>
      <c r="M100" s="335"/>
      <c r="N100" s="7"/>
      <c r="O100" s="7"/>
      <c r="S100" s="630" t="b">
        <f>S99</f>
        <v>0</v>
      </c>
    </row>
    <row r="101" spans="2:19" x14ac:dyDescent="0.2">
      <c r="B101" s="20"/>
      <c r="C101" s="195"/>
      <c r="D101" s="195" t="s">
        <v>4</v>
      </c>
      <c r="E101" s="1508"/>
      <c r="F101" s="1508"/>
      <c r="G101" s="1508"/>
      <c r="H101" s="41" t="str">
        <f>EUconst_TJpa</f>
        <v>TJ / rok</v>
      </c>
      <c r="I101" s="329"/>
      <c r="J101" s="329"/>
      <c r="K101" s="329"/>
      <c r="L101" s="329"/>
      <c r="M101" s="334"/>
      <c r="N101" s="7"/>
      <c r="O101" s="7"/>
      <c r="S101" s="630" t="b">
        <f>S100</f>
        <v>0</v>
      </c>
    </row>
    <row r="102" spans="2:19" x14ac:dyDescent="0.2">
      <c r="B102" s="20"/>
      <c r="C102" s="195"/>
      <c r="D102" s="195" t="s">
        <v>6</v>
      </c>
      <c r="E102" s="1652" t="str">
        <f>Translations!$B$536</f>
        <v>Suma częściowa</v>
      </c>
      <c r="F102" s="1652"/>
      <c r="G102" s="1652"/>
      <c r="H102" s="52" t="str">
        <f>EUconst_TJpa</f>
        <v>TJ / rok</v>
      </c>
      <c r="I102" s="311">
        <f>IF(COUNT(I99:I101)&gt;0,SUM(I99:I101),"")</f>
        <v>500</v>
      </c>
      <c r="J102" s="311">
        <f>IF(COUNT(J99:J101)&gt;0,SUM(J99:J101),"")</f>
        <v>500</v>
      </c>
      <c r="K102" s="311">
        <f>IF(COUNT(K99:K101)&gt;0,SUM(K99:K101),"")</f>
        <v>500</v>
      </c>
      <c r="L102" s="311">
        <f>IF(COUNT(L99:L101)&gt;0,SUM(L99:L101),"")</f>
        <v>500</v>
      </c>
      <c r="M102" s="310">
        <f>IF(COUNT(M99:M101)&gt;0,SUM(M99:M101),"")</f>
        <v>500</v>
      </c>
      <c r="N102" s="7"/>
      <c r="O102" s="7"/>
      <c r="S102" s="718"/>
    </row>
    <row r="103" spans="2:19" ht="5.0999999999999996" customHeight="1" x14ac:dyDescent="0.2">
      <c r="B103" s="3"/>
      <c r="C103" s="3"/>
      <c r="D103" s="3"/>
      <c r="E103" s="3"/>
      <c r="F103" s="3"/>
      <c r="G103" s="3"/>
      <c r="H103" s="3"/>
      <c r="I103" s="3"/>
      <c r="J103" s="3"/>
      <c r="K103" s="3"/>
      <c r="L103" s="3"/>
      <c r="M103" s="3"/>
      <c r="N103" s="3"/>
      <c r="O103" s="7"/>
      <c r="P103" s="626"/>
      <c r="S103" s="718"/>
    </row>
    <row r="104" spans="2:19" x14ac:dyDescent="0.2">
      <c r="B104" s="3"/>
      <c r="C104" s="14"/>
      <c r="D104" s="14" t="s">
        <v>356</v>
      </c>
      <c r="E104" s="1653" t="str">
        <f>Translations!$B$540</f>
        <v>Mierzalne ciepło wytworzone z energii elektrycznej</v>
      </c>
      <c r="F104" s="1647"/>
      <c r="G104" s="1647"/>
      <c r="H104" s="1647"/>
      <c r="I104" s="1647"/>
      <c r="J104" s="1647"/>
      <c r="K104" s="1647"/>
      <c r="L104" s="1647"/>
      <c r="M104" s="1647"/>
      <c r="N104" s="1647"/>
      <c r="O104" s="7"/>
      <c r="P104" s="626"/>
      <c r="S104" s="718"/>
    </row>
    <row r="105" spans="2:19" ht="25.5" customHeight="1" x14ac:dyDescent="0.2">
      <c r="B105" s="3"/>
      <c r="C105" s="16"/>
      <c r="D105" s="16"/>
      <c r="E105" s="1646" t="str">
        <f>Translations!$B$541</f>
        <v>Pozycja ta obejmuje ciepło z wszelkich pomp elektrycznych, kotłów elektrycznych itp. Tę ilość ciepła należy włączyć do danych podanych w lit. c) powyżej. Uwzględniono je w tym miejscu jedynie w celu zachowania kompletności, ale ponieważ jest to ciepło niekwalifikujące się, nie zostało ono ujęte w poniższym bilansie.</v>
      </c>
      <c r="F105" s="1647"/>
      <c r="G105" s="1647"/>
      <c r="H105" s="1647"/>
      <c r="I105" s="1647"/>
      <c r="J105" s="1647"/>
      <c r="K105" s="1647"/>
      <c r="L105" s="1647"/>
      <c r="M105" s="1647"/>
      <c r="N105" s="1647"/>
      <c r="O105" s="7"/>
      <c r="P105" s="626"/>
      <c r="S105" s="718"/>
    </row>
    <row r="106" spans="2:19" x14ac:dyDescent="0.2">
      <c r="B106" s="20"/>
      <c r="C106" s="20"/>
      <c r="D106" s="20"/>
      <c r="E106" s="25"/>
      <c r="F106" s="22"/>
      <c r="G106" s="22"/>
      <c r="H106" s="34" t="str">
        <f>EUconst_Unit</f>
        <v>Jednostka</v>
      </c>
      <c r="I106" s="396">
        <f>I$380</f>
        <v>2014</v>
      </c>
      <c r="J106" s="396">
        <f>J$380</f>
        <v>2015</v>
      </c>
      <c r="K106" s="396">
        <f>K$380</f>
        <v>2016</v>
      </c>
      <c r="L106" s="396">
        <f>L$380</f>
        <v>2017</v>
      </c>
      <c r="M106" s="396">
        <f>M$380</f>
        <v>2018</v>
      </c>
      <c r="N106" s="26"/>
      <c r="O106" s="7"/>
      <c r="S106" s="718"/>
    </row>
    <row r="107" spans="2:19" x14ac:dyDescent="0.2">
      <c r="B107" s="20"/>
      <c r="C107" s="20"/>
      <c r="D107" s="20"/>
      <c r="E107" s="1654" t="str">
        <f>Translations!$B$542</f>
        <v>Ciepło z energii elektrycznej</v>
      </c>
      <c r="F107" s="1652"/>
      <c r="G107" s="1652"/>
      <c r="H107" s="48" t="str">
        <f>EUconst_TJpa</f>
        <v>TJ / rok</v>
      </c>
      <c r="I107" s="313"/>
      <c r="J107" s="313"/>
      <c r="K107" s="313"/>
      <c r="L107" s="313"/>
      <c r="M107" s="313"/>
      <c r="N107" s="7"/>
      <c r="O107" s="7"/>
      <c r="S107" s="630" t="b">
        <f>S101</f>
        <v>0</v>
      </c>
    </row>
    <row r="108" spans="2:19" ht="5.0999999999999996" customHeight="1" x14ac:dyDescent="0.2">
      <c r="B108" s="3"/>
      <c r="C108" s="3"/>
      <c r="D108" s="3"/>
      <c r="E108" s="3"/>
      <c r="F108" s="3"/>
      <c r="G108" s="3"/>
      <c r="H108" s="3"/>
      <c r="I108" s="3"/>
      <c r="J108" s="3"/>
      <c r="K108" s="3"/>
      <c r="L108" s="3"/>
      <c r="M108" s="3"/>
      <c r="N108" s="3"/>
      <c r="O108" s="7"/>
      <c r="P108" s="626"/>
      <c r="S108" s="718"/>
    </row>
    <row r="109" spans="2:19" x14ac:dyDescent="0.2">
      <c r="B109" s="3"/>
      <c r="C109" s="14"/>
      <c r="D109" s="14" t="s">
        <v>12</v>
      </c>
      <c r="E109" s="1655" t="str">
        <f>Translations!$B$543</f>
        <v>Suma mierzalnego ciepła dostępnego w instalacji (=a+b+c)</v>
      </c>
      <c r="F109" s="1656"/>
      <c r="G109" s="1656"/>
      <c r="H109" s="1656"/>
      <c r="I109" s="1656"/>
      <c r="J109" s="1656"/>
      <c r="K109" s="1656"/>
      <c r="L109" s="1656"/>
      <c r="M109" s="1656"/>
      <c r="N109" s="1656"/>
      <c r="O109" s="7"/>
      <c r="P109" s="626"/>
      <c r="S109" s="718"/>
    </row>
    <row r="110" spans="2:19" x14ac:dyDescent="0.2">
      <c r="B110" s="20"/>
      <c r="C110" s="20"/>
      <c r="D110" s="20"/>
      <c r="E110" s="1652" t="str">
        <f>Translations!$B$544</f>
        <v>Całkowite mierzalne ciepło</v>
      </c>
      <c r="F110" s="1652"/>
      <c r="G110" s="1652"/>
      <c r="H110" s="52" t="str">
        <f>EUconst_TJpa</f>
        <v>TJ / rok</v>
      </c>
      <c r="I110" s="311">
        <f>IF(COUNT(I102,I93,I84)&gt;0,SUM(I84,I93,I102),"")</f>
        <v>2819.0669474391434</v>
      </c>
      <c r="J110" s="311">
        <f>IF(COUNT(J102,J93,J84)&gt;0,SUM(J84,J93,J102),"")</f>
        <v>2706.877448052287</v>
      </c>
      <c r="K110" s="311">
        <f>IF(COUNT(K102,K93,K84)&gt;0,SUM(K84,K93,K102),"")</f>
        <v>2998.7548923123736</v>
      </c>
      <c r="L110" s="311">
        <f>IF(COUNT(L102,L93,L84)&gt;0,SUM(L84,L93,L102),"")</f>
        <v>2661.1584218177322</v>
      </c>
      <c r="M110" s="311">
        <f>IF(COUNT(M102,M93,M84)&gt;0,SUM(M84,M93,M102),"")</f>
        <v>2944.0539244421657</v>
      </c>
      <c r="N110" s="7"/>
      <c r="O110" s="7"/>
      <c r="S110" s="718"/>
    </row>
    <row r="111" spans="2:19" ht="5.0999999999999996" customHeight="1" x14ac:dyDescent="0.2">
      <c r="B111" s="3"/>
      <c r="C111" s="3"/>
      <c r="D111" s="3"/>
      <c r="E111" s="3"/>
      <c r="F111" s="3"/>
      <c r="G111" s="3"/>
      <c r="H111" s="3"/>
      <c r="I111" s="3"/>
      <c r="J111" s="3"/>
      <c r="K111" s="3"/>
      <c r="L111" s="3"/>
      <c r="M111" s="3"/>
      <c r="N111" s="3"/>
      <c r="O111" s="7"/>
      <c r="P111" s="626"/>
      <c r="S111" s="718"/>
    </row>
    <row r="112" spans="2:19" x14ac:dyDescent="0.2">
      <c r="B112" s="3"/>
      <c r="C112" s="14"/>
      <c r="D112" s="14" t="s">
        <v>13</v>
      </c>
      <c r="E112" s="1653" t="str">
        <f>Translations!$B$545</f>
        <v>Stosunek „ciepła objętego EU ETS” do „całkowitego ciepła”</v>
      </c>
      <c r="F112" s="1647"/>
      <c r="G112" s="1647"/>
      <c r="H112" s="1647"/>
      <c r="I112" s="1647"/>
      <c r="J112" s="1647"/>
      <c r="K112" s="1647"/>
      <c r="L112" s="1647"/>
      <c r="M112" s="1647"/>
      <c r="N112" s="1647"/>
      <c r="O112" s="7"/>
      <c r="P112" s="626"/>
      <c r="S112" s="718"/>
    </row>
    <row r="113" spans="2:19" x14ac:dyDescent="0.2">
      <c r="B113" s="3"/>
      <c r="C113" s="16"/>
      <c r="D113" s="16"/>
      <c r="E113" s="1646" t="str">
        <f>Translations!$B$546</f>
        <v>„Ciepło objęte EU ETS” to ciepło wytworzone przez instalację plus ciepło wprowadzone z instalacji objętych EU ETS (=a+b).</v>
      </c>
      <c r="F113" s="1647"/>
      <c r="G113" s="1647"/>
      <c r="H113" s="1647"/>
      <c r="I113" s="1647"/>
      <c r="J113" s="1647"/>
      <c r="K113" s="1647"/>
      <c r="L113" s="1647"/>
      <c r="M113" s="1647"/>
      <c r="N113" s="1647"/>
      <c r="O113" s="7"/>
      <c r="P113" s="626"/>
      <c r="S113" s="718"/>
    </row>
    <row r="114" spans="2:19" x14ac:dyDescent="0.2">
      <c r="B114" s="3"/>
      <c r="C114" s="16"/>
      <c r="D114" s="16"/>
      <c r="E114" s="1646" t="str">
        <f>Translations!$B$547</f>
        <v xml:space="preserve">Całkowite ciepło to ciepło objęte EU ETS plus ciepło wprowadzone od podmiotów nieobjętych EU ETS i z instalacji nieobjętych EU ETS (=a+b+c). </v>
      </c>
      <c r="F114" s="1647"/>
      <c r="G114" s="1647"/>
      <c r="H114" s="1647"/>
      <c r="I114" s="1647"/>
      <c r="J114" s="1647"/>
      <c r="K114" s="1647"/>
      <c r="L114" s="1647"/>
      <c r="M114" s="1647"/>
      <c r="N114" s="1647"/>
      <c r="O114" s="7"/>
      <c r="P114" s="626"/>
      <c r="S114" s="718"/>
    </row>
    <row r="115" spans="2:19" ht="5.0999999999999996" customHeight="1" x14ac:dyDescent="0.2">
      <c r="B115" s="3"/>
      <c r="C115" s="3"/>
      <c r="D115" s="3"/>
      <c r="E115" s="3"/>
      <c r="F115" s="3"/>
      <c r="G115" s="3"/>
      <c r="H115" s="3"/>
      <c r="I115" s="3"/>
      <c r="J115" s="3"/>
      <c r="K115" s="3"/>
      <c r="L115" s="3"/>
      <c r="M115" s="3"/>
      <c r="N115" s="3"/>
      <c r="O115" s="7"/>
      <c r="P115" s="626"/>
      <c r="S115" s="718"/>
    </row>
    <row r="116" spans="2:19" x14ac:dyDescent="0.2">
      <c r="B116" s="20"/>
      <c r="C116" s="20"/>
      <c r="D116" s="20"/>
      <c r="E116" s="1652" t="str">
        <f>Translations!$B$548</f>
        <v>Stosunek wsadu ciepła (a+b) / (a+b+c):</v>
      </c>
      <c r="F116" s="1652"/>
      <c r="G116" s="1652"/>
      <c r="H116" s="52" t="s">
        <v>409</v>
      </c>
      <c r="I116" s="308">
        <f>IF(AND(COUNT(I84,I93,I102)&gt;0,I110&lt;&gt;0),SUM(I84,I93)/I110*100,"")</f>
        <v>82.26363512032934</v>
      </c>
      <c r="J116" s="308">
        <f>IF(AND(COUNT(J84,J93,J102)&gt;0,J110&lt;&gt;0),SUM(J84,J93)/J110*100,"")</f>
        <v>81.528532059706976</v>
      </c>
      <c r="K116" s="308">
        <f>IF(AND(COUNT(K84,K93,K102)&gt;0,K110&lt;&gt;0),SUM(K84,K93)/K110*100,"")</f>
        <v>83.326413196296798</v>
      </c>
      <c r="L116" s="308">
        <f>IF(AND(COUNT(L84,L93,L102)&gt;0,L110&lt;&gt;0),SUM(L84,L93)/L110*100,"")</f>
        <v>81.211189987762182</v>
      </c>
      <c r="M116" s="308">
        <f>IF(AND(COUNT(M84,M93,M102)&gt;0,M110&lt;&gt;0),SUM(M84,M93)/M110*100,"")</f>
        <v>83.016615427832591</v>
      </c>
      <c r="N116" s="3"/>
      <c r="O116" s="7"/>
      <c r="S116" s="718"/>
    </row>
    <row r="117" spans="2:19" x14ac:dyDescent="0.2">
      <c r="B117" s="3"/>
      <c r="C117" s="3"/>
      <c r="D117" s="3"/>
      <c r="E117" s="3"/>
      <c r="F117" s="3"/>
      <c r="G117" s="3"/>
      <c r="H117" s="3"/>
      <c r="I117" s="3"/>
      <c r="J117" s="3"/>
      <c r="K117" s="3"/>
      <c r="L117" s="3"/>
      <c r="M117" s="3"/>
      <c r="N117" s="3"/>
      <c r="O117" s="7"/>
      <c r="P117" s="626"/>
      <c r="S117" s="718"/>
    </row>
    <row r="118" spans="2:19" ht="15" x14ac:dyDescent="0.25">
      <c r="B118" s="3"/>
      <c r="C118" s="19"/>
      <c r="D118" s="19"/>
      <c r="E118" s="1657" t="str">
        <f>Translations!$B$549</f>
        <v>Ciepło niekwalifikujące się do podinstalacji o wskaźniku emisyjności opartym na cieple</v>
      </c>
      <c r="F118" s="1647"/>
      <c r="G118" s="1647"/>
      <c r="H118" s="1647"/>
      <c r="I118" s="1647"/>
      <c r="J118" s="1647"/>
      <c r="K118" s="1647"/>
      <c r="L118" s="1647"/>
      <c r="M118" s="1647"/>
      <c r="N118" s="1647"/>
      <c r="O118" s="7"/>
      <c r="P118" s="626"/>
      <c r="S118" s="718"/>
    </row>
    <row r="119" spans="2:19" x14ac:dyDescent="0.2">
      <c r="B119" s="3"/>
      <c r="C119" s="16"/>
      <c r="D119" s="16"/>
      <c r="E119" s="1646" t="str">
        <f>Translations!$B$550</f>
        <v>Przed określeniem ilości ciepła wchodzącego w zakres podinstalacji objętych wskaźnikiem emisyjności opartym na cieple należy ustalić ilość niekwalifikującą się do tego celu.</v>
      </c>
      <c r="F119" s="1647"/>
      <c r="G119" s="1647"/>
      <c r="H119" s="1647"/>
      <c r="I119" s="1647"/>
      <c r="J119" s="1647"/>
      <c r="K119" s="1647"/>
      <c r="L119" s="1647"/>
      <c r="M119" s="1647"/>
      <c r="N119" s="1647"/>
      <c r="O119" s="7"/>
      <c r="P119" s="626"/>
      <c r="S119" s="718"/>
    </row>
    <row r="120" spans="2:19" x14ac:dyDescent="0.2">
      <c r="B120" s="3"/>
      <c r="C120" s="16"/>
      <c r="D120" s="16"/>
      <c r="E120" s="1646" t="str">
        <f>Translations!$B$551</f>
        <v>Na pierwszym etapie uwzględnia się ilości ciepła niekwalifikujące się do przydziału bezpłatnych uprawnień w instalacji.</v>
      </c>
      <c r="F120" s="1647"/>
      <c r="G120" s="1647"/>
      <c r="H120" s="1647"/>
      <c r="I120" s="1647"/>
      <c r="J120" s="1647"/>
      <c r="K120" s="1647"/>
      <c r="L120" s="1647"/>
      <c r="M120" s="1647"/>
      <c r="N120" s="1647"/>
      <c r="O120" s="7"/>
      <c r="P120" s="626"/>
      <c r="S120" s="718"/>
    </row>
    <row r="121" spans="2:19" x14ac:dyDescent="0.2">
      <c r="B121" s="3"/>
      <c r="C121" s="16"/>
      <c r="D121" s="16"/>
      <c r="E121" s="1646" t="str">
        <f>Translations!$B$552</f>
        <v xml:space="preserve">Jest to ilość ciepła wykorzystanego do wytworzenia energii elektrycznej oraz ciepła zużytego w podinstalacjach objętych wskaźnikiem emisyjności dla produktów. </v>
      </c>
      <c r="F121" s="1647"/>
      <c r="G121" s="1647"/>
      <c r="H121" s="1647"/>
      <c r="I121" s="1647"/>
      <c r="J121" s="1647"/>
      <c r="K121" s="1647"/>
      <c r="L121" s="1647"/>
      <c r="M121" s="1647"/>
      <c r="N121" s="1647"/>
      <c r="O121" s="7"/>
      <c r="P121" s="626"/>
      <c r="S121" s="718"/>
    </row>
    <row r="122" spans="2:19" ht="5.0999999999999996" customHeight="1" x14ac:dyDescent="0.2">
      <c r="B122" s="3"/>
      <c r="C122" s="3"/>
      <c r="D122" s="3"/>
      <c r="E122" s="3"/>
      <c r="F122" s="3"/>
      <c r="G122" s="3"/>
      <c r="H122" s="3"/>
      <c r="I122" s="3"/>
      <c r="J122" s="3"/>
      <c r="K122" s="3"/>
      <c r="L122" s="3"/>
      <c r="M122" s="3"/>
      <c r="N122" s="3"/>
      <c r="O122" s="7"/>
      <c r="P122" s="626"/>
      <c r="S122" s="718"/>
    </row>
    <row r="123" spans="2:19" ht="25.5" customHeight="1" x14ac:dyDescent="0.2">
      <c r="B123" s="3"/>
      <c r="C123" s="14"/>
      <c r="D123" s="14" t="s">
        <v>87</v>
      </c>
      <c r="E123" s="1653" t="str">
        <f>Translations!$B$553</f>
        <v>Mierzalne ciepło zużyte do wytworzenia energii elektrycznej w ramach instalacji (niekwalifikujące się do objęcia wskaźnikiem emisyjności opartym na cieple):</v>
      </c>
      <c r="F123" s="1647"/>
      <c r="G123" s="1647"/>
      <c r="H123" s="1647"/>
      <c r="I123" s="1647"/>
      <c r="J123" s="1647"/>
      <c r="K123" s="1647"/>
      <c r="L123" s="1647"/>
      <c r="M123" s="1647"/>
      <c r="N123" s="1647"/>
      <c r="O123" s="7"/>
      <c r="P123" s="626"/>
      <c r="S123" s="718"/>
    </row>
    <row r="124" spans="2:19" ht="25.5" customHeight="1" x14ac:dyDescent="0.2">
      <c r="B124" s="3"/>
      <c r="C124" s="16"/>
      <c r="D124" s="16"/>
      <c r="E124" s="1416" t="str">
        <f>Translations!$B$554</f>
        <v>Domyślnie przyjmuje się, że całkowita ilość ciepła wykorzystanego do wytworzenia energii elektrycznej dzieli się na kwalifikujące się i niekwalifikujące się wsady na podstawie stosunku obliczonego w lit. f).</v>
      </c>
      <c r="F124" s="1459"/>
      <c r="G124" s="1459"/>
      <c r="H124" s="1459"/>
      <c r="I124" s="1459"/>
      <c r="J124" s="1459"/>
      <c r="K124" s="1459"/>
      <c r="L124" s="1459"/>
      <c r="M124" s="1459"/>
      <c r="N124" s="1459"/>
      <c r="O124" s="7"/>
      <c r="P124" s="626"/>
      <c r="S124" s="718"/>
    </row>
    <row r="125" spans="2:19" ht="38.25" customHeight="1" x14ac:dyDescent="0.2">
      <c r="B125" s="3"/>
      <c r="C125" s="16"/>
      <c r="D125" s="16"/>
      <c r="E125" s="1416" t="str">
        <f>Translations!$B$555</f>
        <v>Jeżeli jednak dostępne są dokładniejsze informacje (np. w przypadku gdy można dokonać rozróżnienia pary z różnych źródeł na podstawie różnych poziomów ciśnienia itp.), poniżej można podać alternatywne ilości ciepła „niekwalifikującego się”. Jeżeli ilość ta przekracza ilość podaną w lit. c) ppkt (iv), do dalszych obliczeń wykorzystuje się dostępną ilość maksymalną.</v>
      </c>
      <c r="F125" s="1459"/>
      <c r="G125" s="1459"/>
      <c r="H125" s="1459"/>
      <c r="I125" s="1459"/>
      <c r="J125" s="1459"/>
      <c r="K125" s="1459"/>
      <c r="L125" s="1459"/>
      <c r="M125" s="1459"/>
      <c r="N125" s="1459"/>
      <c r="O125" s="7"/>
      <c r="P125" s="626"/>
      <c r="S125" s="718"/>
    </row>
    <row r="126" spans="2:19" x14ac:dyDescent="0.2">
      <c r="B126" s="20"/>
      <c r="C126" s="20"/>
      <c r="D126" s="20"/>
      <c r="E126" s="25"/>
      <c r="F126" s="22"/>
      <c r="G126" s="22"/>
      <c r="H126" s="34" t="str">
        <f>EUconst_Unit</f>
        <v>Jednostka</v>
      </c>
      <c r="I126" s="396">
        <f>I$380</f>
        <v>2014</v>
      </c>
      <c r="J126" s="396">
        <f>J$380</f>
        <v>2015</v>
      </c>
      <c r="K126" s="396">
        <f>K$380</f>
        <v>2016</v>
      </c>
      <c r="L126" s="396">
        <f>L$380</f>
        <v>2017</v>
      </c>
      <c r="M126" s="396">
        <f>M$380</f>
        <v>2018</v>
      </c>
      <c r="N126" s="7"/>
      <c r="O126" s="7"/>
      <c r="S126" s="718"/>
    </row>
    <row r="127" spans="2:19" ht="25.5" customHeight="1" x14ac:dyDescent="0.2">
      <c r="B127" s="20"/>
      <c r="C127" s="195"/>
      <c r="D127" s="195" t="s">
        <v>2</v>
      </c>
      <c r="E127" s="1652" t="str">
        <f>Translations!$B$556</f>
        <v>Ciepło wykorzystane do wytworzenia energii elektrycznej</v>
      </c>
      <c r="F127" s="1652"/>
      <c r="G127" s="1652"/>
      <c r="H127" s="52" t="str">
        <f>EUconst_TJpa</f>
        <v>TJ / rok</v>
      </c>
      <c r="I127" s="313"/>
      <c r="J127" s="313"/>
      <c r="K127" s="313"/>
      <c r="L127" s="313"/>
      <c r="M127" s="313"/>
      <c r="N127" s="7"/>
      <c r="O127" s="7"/>
      <c r="S127" s="630" t="b">
        <f>S107</f>
        <v>0</v>
      </c>
    </row>
    <row r="128" spans="2:19" ht="12.75" customHeight="1" x14ac:dyDescent="0.2">
      <c r="B128" s="20"/>
      <c r="C128" s="195"/>
      <c r="D128" s="195" t="s">
        <v>3</v>
      </c>
      <c r="E128" s="1652" t="str">
        <f>Translations!$B$557</f>
        <v>Ilość ciepła ze źródeł nieobjętych EU ETS</v>
      </c>
      <c r="F128" s="1652"/>
      <c r="G128" s="1652"/>
      <c r="H128" s="194" t="str">
        <f>EUconst_TJpa</f>
        <v>TJ / rok</v>
      </c>
      <c r="I128" s="308" t="str">
        <f>IF(ISNUMBER(I127),IF(ISNUMBER(I116),IF(I127*(1-I116/100)&lt;SUM(I102),I127*(1-I116/100),SUM(I102)),""),"")</f>
        <v/>
      </c>
      <c r="J128" s="308" t="str">
        <f>IF(ISNUMBER(J127),IF(ISNUMBER(J116),IF(J127*(1-J116/100)&lt;SUM(J102),J127*(1-J116/100),SUM(J102)),""),"")</f>
        <v/>
      </c>
      <c r="K128" s="308" t="str">
        <f>IF(ISNUMBER(K127),IF(ISNUMBER(K116),IF(K127*(1-K116/100)&lt;SUM(K102),K127*(1-K116/100),SUM(K102)),""),"")</f>
        <v/>
      </c>
      <c r="L128" s="308" t="str">
        <f>IF(ISNUMBER(L127),IF(ISNUMBER(L116),IF(L127*(1-L116/100)&lt;SUM(L102),L127*(1-L116/100),SUM(L102)),""),"")</f>
        <v/>
      </c>
      <c r="M128" s="308" t="str">
        <f>IF(ISNUMBER(M127),IF(ISNUMBER(M116),IF(M127*(1-M116/100)&lt;SUM(M102),M127*(1-M116/100),SUM(M102)),""),"")</f>
        <v/>
      </c>
      <c r="N128" s="7"/>
      <c r="O128" s="7"/>
      <c r="S128" s="718"/>
    </row>
    <row r="129" spans="2:19" x14ac:dyDescent="0.2">
      <c r="B129" s="20"/>
      <c r="C129" s="195"/>
      <c r="D129" s="195" t="s">
        <v>4</v>
      </c>
      <c r="E129" s="1652" t="str">
        <f>Translations!$B$558</f>
        <v>Ręczna zmiana w ppkt (ii)</v>
      </c>
      <c r="F129" s="1652"/>
      <c r="G129" s="1652"/>
      <c r="H129" s="194" t="str">
        <f>EUconst_TJpa</f>
        <v>TJ / rok</v>
      </c>
      <c r="I129" s="312"/>
      <c r="J129" s="312"/>
      <c r="K129" s="312"/>
      <c r="L129" s="312"/>
      <c r="M129" s="312"/>
      <c r="N129" s="7"/>
      <c r="O129" s="7"/>
      <c r="S129" s="630" t="b">
        <f>S127</f>
        <v>0</v>
      </c>
    </row>
    <row r="130" spans="2:19" ht="5.0999999999999996" customHeight="1" x14ac:dyDescent="0.2">
      <c r="B130" s="3"/>
      <c r="C130" s="3"/>
      <c r="D130" s="3"/>
      <c r="E130" s="3"/>
      <c r="F130" s="3"/>
      <c r="G130" s="3"/>
      <c r="H130" s="3"/>
      <c r="I130" s="3"/>
      <c r="J130" s="3"/>
      <c r="K130" s="3"/>
      <c r="L130" s="3"/>
      <c r="M130" s="3"/>
      <c r="N130" s="3"/>
      <c r="O130" s="7"/>
      <c r="P130" s="626"/>
      <c r="S130" s="718"/>
    </row>
    <row r="131" spans="2:19" ht="25.5" customHeight="1" x14ac:dyDescent="0.2">
      <c r="B131" s="3"/>
      <c r="C131" s="14"/>
      <c r="D131" s="14" t="s">
        <v>88</v>
      </c>
      <c r="E131" s="1653" t="str">
        <f>Translations!$B$559</f>
        <v>Mierzalne ciepło zużyte do celów podinstalacji objętych wskaźnikiem emisyjności dla produktów w ramach instalacji (niekwalifikujące się do objęcia wskaźnikiem emisyjności opartym na cieple):</v>
      </c>
      <c r="F131" s="1647"/>
      <c r="G131" s="1647"/>
      <c r="H131" s="1647"/>
      <c r="I131" s="1647"/>
      <c r="J131" s="1647"/>
      <c r="K131" s="1647"/>
      <c r="L131" s="1647"/>
      <c r="M131" s="1647"/>
      <c r="N131" s="1647"/>
      <c r="O131" s="7"/>
      <c r="P131" s="626"/>
      <c r="S131" s="718"/>
    </row>
    <row r="132" spans="2:19" ht="25.5" customHeight="1" x14ac:dyDescent="0.2">
      <c r="B132" s="3"/>
      <c r="C132" s="16"/>
      <c r="D132" s="16"/>
      <c r="E132" s="1408" t="str">
        <f>Translations!$B$560</f>
        <v>Zgodnie z art. 21 FAR ekwiwalent dwutlenku węgla dotyczący wprowadzania ciepła nieobjętego EU ETS odejmuje się od wstępnych przydziałów uprawnień dla wskaźników emisyjności dla produktów. Dane niezbędne do dokonania tej korekty to dane dotyczące każdej podinstalacji wprowadzone w arkuszu „F_ProductBM” lit. d).</v>
      </c>
      <c r="F132" s="1370"/>
      <c r="G132" s="1370"/>
      <c r="H132" s="1370"/>
      <c r="I132" s="1370"/>
      <c r="J132" s="1370"/>
      <c r="K132" s="1370"/>
      <c r="L132" s="1370"/>
      <c r="M132" s="1370"/>
      <c r="N132" s="1370"/>
      <c r="O132" s="7"/>
      <c r="P132" s="626"/>
      <c r="S132" s="718"/>
    </row>
    <row r="133" spans="2:19" x14ac:dyDescent="0.2">
      <c r="B133" s="3"/>
      <c r="C133" s="16"/>
      <c r="D133" s="16"/>
      <c r="E133" s="1646" t="str">
        <f>Translations!$B$561</f>
        <v>W związku z tym w tym miejscu dane są poddawane kontroli wiarygodności.</v>
      </c>
      <c r="F133" s="1647"/>
      <c r="G133" s="1647"/>
      <c r="H133" s="1647"/>
      <c r="I133" s="1647"/>
      <c r="J133" s="1647"/>
      <c r="K133" s="1647"/>
      <c r="L133" s="1647"/>
      <c r="M133" s="1647"/>
      <c r="N133" s="1647"/>
      <c r="O133" s="7"/>
      <c r="P133" s="626"/>
      <c r="S133" s="718"/>
    </row>
    <row r="134" spans="2:19" ht="13.5" thickBot="1" x14ac:dyDescent="0.25">
      <c r="B134" s="20"/>
      <c r="C134" s="20"/>
      <c r="D134" s="20"/>
      <c r="E134" s="25"/>
      <c r="F134" s="22"/>
      <c r="G134" s="22"/>
      <c r="H134" s="34" t="str">
        <f>EUconst_Unit</f>
        <v>Jednostka</v>
      </c>
      <c r="I134" s="396">
        <f>I$380</f>
        <v>2014</v>
      </c>
      <c r="J134" s="396">
        <f>J$380</f>
        <v>2015</v>
      </c>
      <c r="K134" s="396">
        <f>K$380</f>
        <v>2016</v>
      </c>
      <c r="L134" s="396">
        <f>L$380</f>
        <v>2017</v>
      </c>
      <c r="M134" s="396">
        <f>M$380</f>
        <v>2018</v>
      </c>
      <c r="N134" s="7"/>
      <c r="O134" s="7"/>
      <c r="S134" s="761"/>
    </row>
    <row r="135" spans="2:19" ht="12.75" customHeight="1" x14ac:dyDescent="0.2">
      <c r="B135" s="20"/>
      <c r="C135" s="20"/>
      <c r="D135" s="425" t="s">
        <v>2</v>
      </c>
      <c r="E135" s="1648" t="str">
        <f t="shared" ref="E135:E144" si="4">IF(INDEX(CNTR_SubInstListIsProdBM,P135),INDEX(CNTR_SubInstListNames,P135),"")</f>
        <v/>
      </c>
      <c r="F135" s="1648"/>
      <c r="G135" s="1648"/>
      <c r="H135" s="434" t="str">
        <f t="shared" ref="H135:H145" si="5">EUconst_TJpa</f>
        <v>TJ / rok</v>
      </c>
      <c r="I135" s="331"/>
      <c r="J135" s="331"/>
      <c r="K135" s="331"/>
      <c r="L135" s="331"/>
      <c r="M135" s="331"/>
      <c r="N135" s="7"/>
      <c r="O135" s="7"/>
      <c r="P135" s="719">
        <v>1</v>
      </c>
      <c r="S135" s="646" t="b">
        <f t="shared" ref="S135:S144" si="6">IF(CNTR_ExistSubInstEntries,OR(E135="",$S$129),FALSE)</f>
        <v>1</v>
      </c>
    </row>
    <row r="136" spans="2:19" x14ac:dyDescent="0.2">
      <c r="B136" s="20"/>
      <c r="C136" s="20"/>
      <c r="D136" s="425" t="s">
        <v>3</v>
      </c>
      <c r="E136" s="1648" t="str">
        <f t="shared" si="4"/>
        <v/>
      </c>
      <c r="F136" s="1648"/>
      <c r="G136" s="1648"/>
      <c r="H136" s="435" t="str">
        <f t="shared" si="5"/>
        <v>TJ / rok</v>
      </c>
      <c r="I136" s="330"/>
      <c r="J136" s="330"/>
      <c r="K136" s="330"/>
      <c r="L136" s="330"/>
      <c r="M136" s="330"/>
      <c r="N136" s="7"/>
      <c r="O136" s="7"/>
      <c r="P136" s="720">
        <v>2</v>
      </c>
      <c r="S136" s="777" t="b">
        <f t="shared" si="6"/>
        <v>1</v>
      </c>
    </row>
    <row r="137" spans="2:19" ht="12.75" customHeight="1" x14ac:dyDescent="0.2">
      <c r="B137" s="20"/>
      <c r="C137" s="20"/>
      <c r="D137" s="425" t="s">
        <v>4</v>
      </c>
      <c r="E137" s="1648" t="str">
        <f t="shared" si="4"/>
        <v/>
      </c>
      <c r="F137" s="1648"/>
      <c r="G137" s="1648"/>
      <c r="H137" s="435" t="str">
        <f t="shared" si="5"/>
        <v>TJ / rok</v>
      </c>
      <c r="I137" s="330"/>
      <c r="J137" s="330"/>
      <c r="K137" s="330"/>
      <c r="L137" s="330"/>
      <c r="M137" s="330"/>
      <c r="N137" s="7"/>
      <c r="O137" s="7"/>
      <c r="P137" s="720">
        <v>3</v>
      </c>
      <c r="S137" s="777" t="b">
        <f t="shared" si="6"/>
        <v>1</v>
      </c>
    </row>
    <row r="138" spans="2:19" x14ac:dyDescent="0.2">
      <c r="B138" s="20"/>
      <c r="C138" s="20"/>
      <c r="D138" s="425" t="s">
        <v>6</v>
      </c>
      <c r="E138" s="1648" t="str">
        <f t="shared" si="4"/>
        <v/>
      </c>
      <c r="F138" s="1648"/>
      <c r="G138" s="1648"/>
      <c r="H138" s="435" t="str">
        <f t="shared" si="5"/>
        <v>TJ / rok</v>
      </c>
      <c r="I138" s="330"/>
      <c r="J138" s="330"/>
      <c r="K138" s="330"/>
      <c r="L138" s="330"/>
      <c r="M138" s="330"/>
      <c r="N138" s="7"/>
      <c r="O138" s="7"/>
      <c r="P138" s="720">
        <v>4</v>
      </c>
      <c r="S138" s="777" t="b">
        <f t="shared" si="6"/>
        <v>1</v>
      </c>
    </row>
    <row r="139" spans="2:19" x14ac:dyDescent="0.2">
      <c r="B139" s="20"/>
      <c r="C139" s="20"/>
      <c r="D139" s="425" t="s">
        <v>316</v>
      </c>
      <c r="E139" s="1648" t="str">
        <f t="shared" si="4"/>
        <v/>
      </c>
      <c r="F139" s="1648"/>
      <c r="G139" s="1648"/>
      <c r="H139" s="435" t="str">
        <f t="shared" si="5"/>
        <v>TJ / rok</v>
      </c>
      <c r="I139" s="330"/>
      <c r="J139" s="330"/>
      <c r="K139" s="330"/>
      <c r="L139" s="330"/>
      <c r="M139" s="330"/>
      <c r="N139" s="7"/>
      <c r="O139" s="7"/>
      <c r="P139" s="720">
        <v>5</v>
      </c>
      <c r="S139" s="777" t="b">
        <f t="shared" si="6"/>
        <v>1</v>
      </c>
    </row>
    <row r="140" spans="2:19" x14ac:dyDescent="0.2">
      <c r="B140" s="20"/>
      <c r="C140" s="20"/>
      <c r="D140" s="425" t="s">
        <v>317</v>
      </c>
      <c r="E140" s="1648" t="str">
        <f t="shared" si="4"/>
        <v/>
      </c>
      <c r="F140" s="1648"/>
      <c r="G140" s="1648"/>
      <c r="H140" s="435" t="str">
        <f t="shared" si="5"/>
        <v>TJ / rok</v>
      </c>
      <c r="I140" s="330"/>
      <c r="J140" s="330"/>
      <c r="K140" s="330"/>
      <c r="L140" s="330"/>
      <c r="M140" s="330"/>
      <c r="N140" s="7"/>
      <c r="O140" s="7"/>
      <c r="P140" s="720">
        <v>6</v>
      </c>
      <c r="S140" s="777" t="b">
        <f t="shared" si="6"/>
        <v>1</v>
      </c>
    </row>
    <row r="141" spans="2:19" x14ac:dyDescent="0.2">
      <c r="B141" s="20"/>
      <c r="C141" s="20"/>
      <c r="D141" s="425" t="s">
        <v>318</v>
      </c>
      <c r="E141" s="1648" t="str">
        <f t="shared" si="4"/>
        <v/>
      </c>
      <c r="F141" s="1648"/>
      <c r="G141" s="1648"/>
      <c r="H141" s="435" t="str">
        <f t="shared" si="5"/>
        <v>TJ / rok</v>
      </c>
      <c r="I141" s="330"/>
      <c r="J141" s="330"/>
      <c r="K141" s="330"/>
      <c r="L141" s="330"/>
      <c r="M141" s="330"/>
      <c r="N141" s="7"/>
      <c r="O141" s="7"/>
      <c r="P141" s="720">
        <v>7</v>
      </c>
      <c r="S141" s="777" t="b">
        <f t="shared" si="6"/>
        <v>1</v>
      </c>
    </row>
    <row r="142" spans="2:19" x14ac:dyDescent="0.2">
      <c r="B142" s="20"/>
      <c r="C142" s="20"/>
      <c r="D142" s="425" t="s">
        <v>319</v>
      </c>
      <c r="E142" s="1648" t="str">
        <f t="shared" si="4"/>
        <v/>
      </c>
      <c r="F142" s="1648"/>
      <c r="G142" s="1648"/>
      <c r="H142" s="435" t="str">
        <f t="shared" si="5"/>
        <v>TJ / rok</v>
      </c>
      <c r="I142" s="330"/>
      <c r="J142" s="330"/>
      <c r="K142" s="330"/>
      <c r="L142" s="330"/>
      <c r="M142" s="330"/>
      <c r="N142" s="7"/>
      <c r="O142" s="7"/>
      <c r="P142" s="720">
        <v>8</v>
      </c>
      <c r="S142" s="777" t="b">
        <f t="shared" si="6"/>
        <v>1</v>
      </c>
    </row>
    <row r="143" spans="2:19" x14ac:dyDescent="0.2">
      <c r="B143" s="20"/>
      <c r="C143" s="20"/>
      <c r="D143" s="425" t="s">
        <v>320</v>
      </c>
      <c r="E143" s="1648" t="str">
        <f t="shared" si="4"/>
        <v/>
      </c>
      <c r="F143" s="1648"/>
      <c r="G143" s="1648"/>
      <c r="H143" s="435" t="str">
        <f t="shared" si="5"/>
        <v>TJ / rok</v>
      </c>
      <c r="I143" s="330"/>
      <c r="J143" s="330"/>
      <c r="K143" s="330"/>
      <c r="L143" s="330"/>
      <c r="M143" s="330"/>
      <c r="N143" s="7"/>
      <c r="O143" s="7"/>
      <c r="P143" s="720">
        <v>9</v>
      </c>
      <c r="S143" s="777" t="b">
        <f t="shared" si="6"/>
        <v>1</v>
      </c>
    </row>
    <row r="144" spans="2:19" ht="13.5" thickBot="1" x14ac:dyDescent="0.25">
      <c r="B144" s="20"/>
      <c r="C144" s="20"/>
      <c r="D144" s="425" t="s">
        <v>16</v>
      </c>
      <c r="E144" s="1649" t="str">
        <f t="shared" si="4"/>
        <v/>
      </c>
      <c r="F144" s="1649"/>
      <c r="G144" s="1649"/>
      <c r="H144" s="436" t="str">
        <f t="shared" si="5"/>
        <v>TJ / rok</v>
      </c>
      <c r="I144" s="329"/>
      <c r="J144" s="329"/>
      <c r="K144" s="329"/>
      <c r="L144" s="329"/>
      <c r="M144" s="329"/>
      <c r="N144" s="7"/>
      <c r="O144" s="7"/>
      <c r="P144" s="721">
        <v>10</v>
      </c>
      <c r="S144" s="723" t="b">
        <f t="shared" si="6"/>
        <v>1</v>
      </c>
    </row>
    <row r="145" spans="2:19" ht="12.75" customHeight="1" x14ac:dyDescent="0.2">
      <c r="B145" s="20"/>
      <c r="C145" s="195"/>
      <c r="D145" s="425" t="s">
        <v>17</v>
      </c>
      <c r="E145" s="1652" t="str">
        <f>Translations!$B$536</f>
        <v>Suma częściowa</v>
      </c>
      <c r="F145" s="1652"/>
      <c r="G145" s="1652"/>
      <c r="H145" s="41" t="str">
        <f t="shared" si="5"/>
        <v>TJ / rok</v>
      </c>
      <c r="I145" s="433" t="str">
        <f>IF(COUNT(I135:I144)&gt;0,SUM(I135:I144),"")</f>
        <v/>
      </c>
      <c r="J145" s="433" t="str">
        <f>IF(COUNT(J135:J144)&gt;0,SUM(J135:J144),"")</f>
        <v/>
      </c>
      <c r="K145" s="433" t="str">
        <f>IF(COUNT(K135:K144)&gt;0,SUM(K135:K144),"")</f>
        <v/>
      </c>
      <c r="L145" s="433" t="str">
        <f>IF(COUNT(L135:L144)&gt;0,SUM(L135:L144),"")</f>
        <v/>
      </c>
      <c r="M145" s="433" t="str">
        <f>IF(COUNT(M135:M144)&gt;0,SUM(M135:M144),"")</f>
        <v/>
      </c>
      <c r="N145" s="7"/>
      <c r="O145" s="7"/>
      <c r="S145" s="718"/>
    </row>
    <row r="146" spans="2:19" ht="5.0999999999999996" customHeight="1" x14ac:dyDescent="0.2">
      <c r="B146" s="3"/>
      <c r="C146" s="3"/>
      <c r="D146" s="3"/>
      <c r="E146" s="3"/>
      <c r="F146" s="3"/>
      <c r="G146" s="3"/>
      <c r="H146" s="3"/>
      <c r="I146" s="3"/>
      <c r="J146" s="3"/>
      <c r="K146" s="3"/>
      <c r="L146" s="3"/>
      <c r="M146" s="3"/>
      <c r="N146" s="3"/>
      <c r="O146" s="7"/>
      <c r="P146" s="626"/>
      <c r="S146" s="718"/>
    </row>
    <row r="147" spans="2:19" x14ac:dyDescent="0.2">
      <c r="B147" s="20"/>
      <c r="C147" s="20"/>
      <c r="D147" s="20"/>
      <c r="E147" s="1650" t="str">
        <f>Translations!$B$562</f>
        <v>Wartości podane w arkuszu „F_ProductBM”:</v>
      </c>
      <c r="F147" s="1651"/>
      <c r="G147" s="1651"/>
      <c r="H147" s="1651"/>
      <c r="I147" s="1651"/>
      <c r="J147" s="1651"/>
      <c r="K147" s="1651"/>
      <c r="L147" s="1651"/>
      <c r="M147" s="1651"/>
      <c r="N147" s="1656"/>
      <c r="O147" s="7"/>
      <c r="S147" s="718"/>
    </row>
    <row r="148" spans="2:19" x14ac:dyDescent="0.2">
      <c r="B148" s="20"/>
      <c r="C148" s="195"/>
      <c r="D148" s="425" t="s">
        <v>18</v>
      </c>
      <c r="E148" s="1652" t="str">
        <f>Translations!$B$557</f>
        <v>Ilość ciepła ze źródeł nieobjętych EU ETS</v>
      </c>
      <c r="F148" s="1652"/>
      <c r="G148" s="1652"/>
      <c r="H148" s="194" t="str">
        <f>EUconst_TJpa</f>
        <v>TJ / rok</v>
      </c>
      <c r="I148" s="308" t="str">
        <f>F_ProductBM!I1890</f>
        <v/>
      </c>
      <c r="J148" s="308" t="str">
        <f>F_ProductBM!J1890</f>
        <v/>
      </c>
      <c r="K148" s="308" t="str">
        <f>F_ProductBM!K1890</f>
        <v/>
      </c>
      <c r="L148" s="308" t="str">
        <f>F_ProductBM!L1890</f>
        <v/>
      </c>
      <c r="M148" s="308" t="str">
        <f>F_ProductBM!M1890</f>
        <v/>
      </c>
      <c r="N148" s="26"/>
      <c r="O148" s="7"/>
      <c r="S148" s="718"/>
    </row>
    <row r="149" spans="2:19" ht="5.0999999999999996" customHeight="1" x14ac:dyDescent="0.2">
      <c r="B149" s="3"/>
      <c r="C149" s="3"/>
      <c r="D149" s="3"/>
      <c r="E149" s="3"/>
      <c r="F149" s="3"/>
      <c r="G149" s="3"/>
      <c r="H149" s="3"/>
      <c r="I149" s="3"/>
      <c r="J149" s="3"/>
      <c r="K149" s="3"/>
      <c r="L149" s="3"/>
      <c r="M149" s="3"/>
      <c r="N149" s="7"/>
      <c r="O149" s="7"/>
      <c r="P149" s="626"/>
      <c r="S149" s="718"/>
    </row>
    <row r="150" spans="2:19" x14ac:dyDescent="0.2">
      <c r="B150" s="20"/>
      <c r="C150" s="20"/>
      <c r="D150" s="20"/>
      <c r="E150" s="1653" t="str">
        <f>Translations!$B$563</f>
        <v>Kontrola wiarygodności:</v>
      </c>
      <c r="F150" s="1647"/>
      <c r="G150" s="1647"/>
      <c r="H150" s="1647"/>
      <c r="I150" s="1647"/>
      <c r="J150" s="1647"/>
      <c r="K150" s="1647"/>
      <c r="L150" s="1647"/>
      <c r="M150" s="1647"/>
      <c r="N150" s="1647"/>
      <c r="O150" s="7"/>
      <c r="S150" s="718"/>
    </row>
    <row r="151" spans="2:19" ht="25.5" customHeight="1" x14ac:dyDescent="0.2">
      <c r="B151" s="3"/>
      <c r="C151" s="16"/>
      <c r="D151" s="16"/>
      <c r="E151" s="1664" t="str">
        <f>Translations!$B$564</f>
        <v>W stosownych przypadkach po uzupełnieniu arkusza „F_ProductBM” proszę ponownie sprawdzić treść tej części w celu wyeliminowania danych, których nie można uznać za wiarygodne.</v>
      </c>
      <c r="F151" s="1647"/>
      <c r="G151" s="1647"/>
      <c r="H151" s="1647"/>
      <c r="I151" s="1647"/>
      <c r="J151" s="1647"/>
      <c r="K151" s="1647"/>
      <c r="L151" s="1647"/>
      <c r="M151" s="1647"/>
      <c r="N151" s="1647"/>
      <c r="O151" s="7"/>
      <c r="P151" s="626"/>
      <c r="S151" s="718"/>
    </row>
    <row r="152" spans="2:19" ht="25.5" customHeight="1" x14ac:dyDescent="0.2">
      <c r="B152" s="3"/>
      <c r="C152" s="16"/>
      <c r="D152" s="16"/>
      <c r="E152" s="1664" t="str">
        <f>Translations!$B$565</f>
        <v>Najlepszą proponowaną metodą uzupełniania tej części jest wprowadzenie odpowiednich danych najpierw w arkuszu „F_ProductBM”, a dopiero potem przejście do lit. i) poniżej.</v>
      </c>
      <c r="F152" s="1647"/>
      <c r="G152" s="1647"/>
      <c r="H152" s="1647"/>
      <c r="I152" s="1647"/>
      <c r="J152" s="1647"/>
      <c r="K152" s="1647"/>
      <c r="L152" s="1647"/>
      <c r="M152" s="1647"/>
      <c r="N152" s="1647"/>
      <c r="O152" s="7"/>
      <c r="P152" s="626"/>
      <c r="S152" s="718"/>
    </row>
    <row r="153" spans="2:19" ht="5.0999999999999996" customHeight="1" x14ac:dyDescent="0.2">
      <c r="B153" s="3"/>
      <c r="C153" s="343"/>
      <c r="D153" s="343"/>
      <c r="E153" s="3"/>
      <c r="F153" s="3"/>
      <c r="G153" s="3"/>
      <c r="H153" s="3"/>
      <c r="I153" s="3"/>
      <c r="J153" s="3"/>
      <c r="K153" s="3"/>
      <c r="L153" s="3"/>
      <c r="M153" s="3"/>
      <c r="N153" s="3"/>
      <c r="O153" s="7"/>
      <c r="P153" s="626"/>
      <c r="S153" s="718"/>
    </row>
    <row r="154" spans="2:19" ht="25.5" customHeight="1" x14ac:dyDescent="0.2">
      <c r="B154" s="20"/>
      <c r="C154" s="20"/>
      <c r="D154" s="20"/>
      <c r="E154" s="1650" t="str">
        <f>Translations!$B$566</f>
        <v>Ciepło nieobjęte EU ETS podane w arkuszu „F_ProductBM” w stosunku do całkowitej ilości ciepła dla wszystkich wskaźników emisyjności dla produktów:</v>
      </c>
      <c r="F154" s="1651"/>
      <c r="G154" s="1651"/>
      <c r="H154" s="1651"/>
      <c r="I154" s="1651"/>
      <c r="J154" s="1651"/>
      <c r="K154" s="1651"/>
      <c r="L154" s="1651"/>
      <c r="M154" s="1651"/>
      <c r="N154" s="1656"/>
      <c r="O154" s="7"/>
      <c r="S154" s="718"/>
    </row>
    <row r="155" spans="2:19" x14ac:dyDescent="0.2">
      <c r="B155" s="20"/>
      <c r="C155" s="195"/>
      <c r="D155" s="425" t="s">
        <v>454</v>
      </c>
      <c r="E155" s="1654" t="str">
        <f>Translations!$B$567</f>
        <v>Ppkt (xii) w odniesieniu do ppkt (xi):</v>
      </c>
      <c r="F155" s="1652"/>
      <c r="G155" s="1652"/>
      <c r="H155" s="52" t="s">
        <v>409</v>
      </c>
      <c r="I155" s="308" t="str">
        <f>IF(AND(ISNUMBER(I145),I145&lt;&gt;0,ISNUMBER(I148)),I148/I145*100,"")</f>
        <v/>
      </c>
      <c r="J155" s="308" t="str">
        <f>IF(AND(ISNUMBER(J145),J145&lt;&gt;0,ISNUMBER(J148)),J148/J145*100,"")</f>
        <v/>
      </c>
      <c r="K155" s="308" t="str">
        <f>IF(AND(ISNUMBER(K145),K145&lt;&gt;0,ISNUMBER(K148)),K148/K145*100,"")</f>
        <v/>
      </c>
      <c r="L155" s="308" t="str">
        <f>IF(AND(ISNUMBER(L145),L145&lt;&gt;0,ISNUMBER(L148)),L148/L145*100,"")</f>
        <v/>
      </c>
      <c r="M155" s="308" t="str">
        <f>IF(AND(ISNUMBER(M145),M145&lt;&gt;0,ISNUMBER(M148)),M148/M145*100,"")</f>
        <v/>
      </c>
      <c r="N155" s="26"/>
      <c r="O155" s="7"/>
      <c r="S155" s="718"/>
    </row>
    <row r="156" spans="2:19" ht="5.0999999999999996" customHeight="1" x14ac:dyDescent="0.2">
      <c r="B156" s="3"/>
      <c r="C156" s="343"/>
      <c r="D156" s="343"/>
      <c r="E156" s="3"/>
      <c r="F156" s="3"/>
      <c r="G156" s="3"/>
      <c r="H156" s="3"/>
      <c r="I156" s="3"/>
      <c r="J156" s="3"/>
      <c r="K156" s="3"/>
      <c r="L156" s="3"/>
      <c r="M156" s="3"/>
      <c r="N156" s="3"/>
      <c r="O156" s="7"/>
      <c r="P156" s="626"/>
      <c r="S156" s="718"/>
    </row>
    <row r="157" spans="2:19" ht="25.5" customHeight="1" x14ac:dyDescent="0.2">
      <c r="B157" s="20"/>
      <c r="C157" s="195"/>
      <c r="D157" s="195"/>
      <c r="E157" s="1650" t="str">
        <f>Translations!$B$568</f>
        <v>Ciepło nieobjęte EU ETS podane w arkuszu „F_ProductBM” w stosunku do całkowitej ilości wprowadzeń ciepła nieobjętego ETS podanej powyżej w lit. c):</v>
      </c>
      <c r="F157" s="1651"/>
      <c r="G157" s="1651"/>
      <c r="H157" s="1651"/>
      <c r="I157" s="1651"/>
      <c r="J157" s="1651"/>
      <c r="K157" s="1651"/>
      <c r="L157" s="1651"/>
      <c r="M157" s="1651"/>
      <c r="N157" s="1656"/>
      <c r="O157" s="7"/>
      <c r="S157" s="718"/>
    </row>
    <row r="158" spans="2:19" x14ac:dyDescent="0.2">
      <c r="B158" s="20"/>
      <c r="C158" s="195"/>
      <c r="D158" s="425" t="s">
        <v>455</v>
      </c>
      <c r="E158" s="1654" t="str">
        <f>Translations!$B$569</f>
        <v>Ppkt (xii) w odniesieniu do lit. c) powyżej:</v>
      </c>
      <c r="F158" s="1652"/>
      <c r="G158" s="1652"/>
      <c r="H158" s="52" t="s">
        <v>409</v>
      </c>
      <c r="I158" s="308" t="str">
        <f>IF(AND(ISNUMBER(I102),I102&lt;&gt;0,ISNUMBER(I148)),I148/I102*100,"")</f>
        <v/>
      </c>
      <c r="J158" s="308" t="str">
        <f>IF(AND(ISNUMBER(J102),J102&lt;&gt;0,ISNUMBER(J148)),J148/J102*100,"")</f>
        <v/>
      </c>
      <c r="K158" s="308" t="str">
        <f>IF(AND(ISNUMBER(K102),K102&lt;&gt;0,ISNUMBER(K148)),K148/K102*100,"")</f>
        <v/>
      </c>
      <c r="L158" s="308" t="str">
        <f>IF(AND(ISNUMBER(L102),L102&lt;&gt;0,ISNUMBER(L148)),L148/L102*100,"")</f>
        <v/>
      </c>
      <c r="M158" s="308" t="str">
        <f>IF(AND(ISNUMBER(M102),M102&lt;&gt;0,ISNUMBER(M148)),M148/M102*100,"")</f>
        <v/>
      </c>
      <c r="N158" s="26"/>
      <c r="O158" s="7"/>
      <c r="S158" s="718"/>
    </row>
    <row r="159" spans="2:19" x14ac:dyDescent="0.2">
      <c r="B159" s="20"/>
      <c r="C159" s="20"/>
      <c r="D159" s="20"/>
      <c r="E159" s="20"/>
      <c r="F159" s="20"/>
      <c r="G159" s="20"/>
      <c r="H159" s="20"/>
      <c r="I159" s="20"/>
      <c r="J159" s="20"/>
      <c r="K159" s="20"/>
      <c r="L159" s="20"/>
      <c r="M159" s="20"/>
      <c r="N159" s="20"/>
      <c r="O159" s="7"/>
      <c r="S159" s="718"/>
    </row>
    <row r="160" spans="2:19" ht="12.75" customHeight="1" x14ac:dyDescent="0.2">
      <c r="B160" s="20"/>
      <c r="C160" s="14"/>
      <c r="D160" s="14" t="s">
        <v>89</v>
      </c>
      <c r="E160" s="1668" t="str">
        <f>Translations!$B$570</f>
        <v>Ciepło wyprowadzone do instalacji objętych EU ETS (niekwalifikujące się do objęcia wskaźnikiem emisyjności opartym na cieple):</v>
      </c>
      <c r="F160" s="1647"/>
      <c r="G160" s="1647"/>
      <c r="H160" s="1647"/>
      <c r="I160" s="1647"/>
      <c r="J160" s="1647"/>
      <c r="K160" s="1647"/>
      <c r="L160" s="1647"/>
      <c r="M160" s="1647"/>
      <c r="N160" s="1647"/>
      <c r="O160" s="7"/>
      <c r="S160" s="718"/>
    </row>
    <row r="161" spans="2:19" x14ac:dyDescent="0.2">
      <c r="B161" s="3"/>
      <c r="C161" s="16"/>
      <c r="D161" s="16"/>
      <c r="E161" s="1646" t="str">
        <f>Translations!$B$571</f>
        <v>Ta ilość ciepła jest przydzielana konsumentowi ciepła.</v>
      </c>
      <c r="F161" s="1647"/>
      <c r="G161" s="1647"/>
      <c r="H161" s="1647"/>
      <c r="I161" s="1647"/>
      <c r="J161" s="1647"/>
      <c r="K161" s="1647"/>
      <c r="L161" s="1647"/>
      <c r="M161" s="1647"/>
      <c r="N161" s="1647"/>
      <c r="O161" s="7"/>
      <c r="P161" s="626"/>
      <c r="S161" s="718"/>
    </row>
    <row r="162" spans="2:19" x14ac:dyDescent="0.2">
      <c r="B162" s="3"/>
      <c r="C162" s="16"/>
      <c r="D162" s="16"/>
      <c r="E162" s="1646" t="str">
        <f>Translations!$B$534</f>
        <v>Nazwy instalacji na rozwijanej liście pobrano z części A.IV. W związku z tym należy upewnić się, że wprowadzili tam Państwo kompletne dane.</v>
      </c>
      <c r="F162" s="1647"/>
      <c r="G162" s="1647"/>
      <c r="H162" s="1647"/>
      <c r="I162" s="1647"/>
      <c r="J162" s="1647"/>
      <c r="K162" s="1647"/>
      <c r="L162" s="1647"/>
      <c r="M162" s="1647"/>
      <c r="N162" s="1647"/>
      <c r="O162" s="7"/>
      <c r="P162" s="626"/>
      <c r="S162" s="718"/>
    </row>
    <row r="163" spans="2:19" x14ac:dyDescent="0.2">
      <c r="B163" s="20"/>
      <c r="C163" s="20"/>
      <c r="D163" s="20"/>
      <c r="E163" s="1650" t="str">
        <f>Translations!$B$535</f>
        <v>Nazwa instalacji</v>
      </c>
      <c r="F163" s="1651"/>
      <c r="G163" s="1651"/>
      <c r="H163" s="34" t="str">
        <f>EUconst_Unit</f>
        <v>Jednostka</v>
      </c>
      <c r="I163" s="432">
        <f>I$380</f>
        <v>2014</v>
      </c>
      <c r="J163" s="432">
        <f>J$380</f>
        <v>2015</v>
      </c>
      <c r="K163" s="432">
        <f>K$380</f>
        <v>2016</v>
      </c>
      <c r="L163" s="432">
        <f>L$380</f>
        <v>2017</v>
      </c>
      <c r="M163" s="432">
        <f>M$380</f>
        <v>2018</v>
      </c>
      <c r="N163" s="7"/>
      <c r="O163" s="7"/>
      <c r="S163" s="718"/>
    </row>
    <row r="164" spans="2:19" x14ac:dyDescent="0.2">
      <c r="B164" s="20"/>
      <c r="C164" s="195"/>
      <c r="D164" s="195" t="s">
        <v>2</v>
      </c>
      <c r="E164" s="1706" t="s">
        <v>3676</v>
      </c>
      <c r="F164" s="1706"/>
      <c r="G164" s="1706"/>
      <c r="H164" s="40" t="str">
        <f t="shared" ref="H164:H169" si="7">EUconst_TJpa</f>
        <v>TJ / rok</v>
      </c>
      <c r="I164" s="1313">
        <v>300</v>
      </c>
      <c r="J164" s="1313">
        <v>300</v>
      </c>
      <c r="K164" s="1313">
        <v>300</v>
      </c>
      <c r="L164" s="1313">
        <v>300</v>
      </c>
      <c r="M164" s="1313">
        <v>300</v>
      </c>
      <c r="N164" s="7"/>
      <c r="O164" s="7"/>
      <c r="S164" s="630" t="b">
        <f>S129</f>
        <v>0</v>
      </c>
    </row>
    <row r="165" spans="2:19" x14ac:dyDescent="0.2">
      <c r="B165" s="20"/>
      <c r="C165" s="195"/>
      <c r="D165" s="195" t="s">
        <v>3</v>
      </c>
      <c r="E165" s="1413"/>
      <c r="F165" s="1413"/>
      <c r="G165" s="1413"/>
      <c r="H165" s="38" t="str">
        <f t="shared" si="7"/>
        <v>TJ / rok</v>
      </c>
      <c r="I165" s="330"/>
      <c r="J165" s="330"/>
      <c r="K165" s="330"/>
      <c r="L165" s="330"/>
      <c r="M165" s="330"/>
      <c r="N165" s="7"/>
      <c r="O165" s="7"/>
      <c r="S165" s="630" t="b">
        <f>S164</f>
        <v>0</v>
      </c>
    </row>
    <row r="166" spans="2:19" x14ac:dyDescent="0.2">
      <c r="B166" s="20"/>
      <c r="C166" s="195"/>
      <c r="D166" s="195" t="s">
        <v>4</v>
      </c>
      <c r="E166" s="1413"/>
      <c r="F166" s="1413"/>
      <c r="G166" s="1413"/>
      <c r="H166" s="38" t="str">
        <f t="shared" si="7"/>
        <v>TJ / rok</v>
      </c>
      <c r="I166" s="330"/>
      <c r="J166" s="330"/>
      <c r="K166" s="330"/>
      <c r="L166" s="330"/>
      <c r="M166" s="330"/>
      <c r="N166" s="7"/>
      <c r="O166" s="7"/>
      <c r="S166" s="630" t="b">
        <f>S165</f>
        <v>0</v>
      </c>
    </row>
    <row r="167" spans="2:19" x14ac:dyDescent="0.2">
      <c r="B167" s="20"/>
      <c r="C167" s="195"/>
      <c r="D167" s="195" t="s">
        <v>6</v>
      </c>
      <c r="E167" s="1413"/>
      <c r="F167" s="1413"/>
      <c r="G167" s="1413"/>
      <c r="H167" s="38" t="str">
        <f t="shared" si="7"/>
        <v>TJ / rok</v>
      </c>
      <c r="I167" s="330"/>
      <c r="J167" s="330"/>
      <c r="K167" s="330"/>
      <c r="L167" s="330"/>
      <c r="M167" s="330"/>
      <c r="N167" s="7"/>
      <c r="O167" s="7"/>
      <c r="S167" s="630" t="b">
        <f>S166</f>
        <v>0</v>
      </c>
    </row>
    <row r="168" spans="2:19" x14ac:dyDescent="0.2">
      <c r="B168" s="20"/>
      <c r="C168" s="195"/>
      <c r="D168" s="195" t="s">
        <v>316</v>
      </c>
      <c r="E168" s="1508"/>
      <c r="F168" s="1508"/>
      <c r="G168" s="1508"/>
      <c r="H168" s="41" t="str">
        <f t="shared" si="7"/>
        <v>TJ / rok</v>
      </c>
      <c r="I168" s="329"/>
      <c r="J168" s="329"/>
      <c r="K168" s="329"/>
      <c r="L168" s="329"/>
      <c r="M168" s="329"/>
      <c r="N168" s="7"/>
      <c r="O168" s="7"/>
      <c r="S168" s="630" t="b">
        <f>S167</f>
        <v>0</v>
      </c>
    </row>
    <row r="169" spans="2:19" ht="25.5" customHeight="1" x14ac:dyDescent="0.2">
      <c r="B169" s="20"/>
      <c r="C169" s="195"/>
      <c r="D169" s="195" t="s">
        <v>317</v>
      </c>
      <c r="E169" s="1652" t="str">
        <f>Translations!$B$572</f>
        <v>Całkowite ciepło wyprowadzone do instalacji objętych EU ETS</v>
      </c>
      <c r="F169" s="1652"/>
      <c r="G169" s="1652"/>
      <c r="H169" s="51" t="str">
        <f t="shared" si="7"/>
        <v>TJ / rok</v>
      </c>
      <c r="I169" s="309">
        <f>IF(COUNT(I164:I168)&gt;0,SUM(I164:I168),"")</f>
        <v>300</v>
      </c>
      <c r="J169" s="309">
        <f>IF(COUNT(J164:J168)&gt;0,SUM(J164:J168),"")</f>
        <v>300</v>
      </c>
      <c r="K169" s="309">
        <f>IF(COUNT(K164:K168)&gt;0,SUM(K164:K168),"")</f>
        <v>300</v>
      </c>
      <c r="L169" s="309">
        <f>IF(COUNT(L164:L168)&gt;0,SUM(L164:L168),"")</f>
        <v>300</v>
      </c>
      <c r="M169" s="309">
        <f>IF(COUNT(M164:M168)&gt;0,SUM(M164:M168),"")</f>
        <v>300</v>
      </c>
      <c r="N169" s="7"/>
      <c r="O169" s="7"/>
      <c r="S169" s="718"/>
    </row>
    <row r="170" spans="2:19" x14ac:dyDescent="0.2">
      <c r="B170" s="20"/>
      <c r="C170" s="20"/>
      <c r="D170" s="20"/>
      <c r="E170" s="20"/>
      <c r="F170" s="20"/>
      <c r="G170" s="20"/>
      <c r="H170" s="20"/>
      <c r="I170" s="20"/>
      <c r="J170" s="20"/>
      <c r="K170" s="20"/>
      <c r="L170" s="20"/>
      <c r="M170" s="20"/>
      <c r="N170" s="20"/>
      <c r="O170" s="7"/>
      <c r="S170" s="718"/>
    </row>
    <row r="171" spans="2:19" ht="15" x14ac:dyDescent="0.25">
      <c r="B171" s="3"/>
      <c r="C171" s="19"/>
      <c r="D171" s="19"/>
      <c r="E171" s="1657" t="str">
        <f>Translations!$B$573</f>
        <v>Podinstalacje objęte wskaźnikiem emisyjności opartym na cieple i podinstalacje sieci ciepłowniczej:</v>
      </c>
      <c r="F171" s="1647"/>
      <c r="G171" s="1647"/>
      <c r="H171" s="1647"/>
      <c r="I171" s="1647"/>
      <c r="J171" s="1647"/>
      <c r="K171" s="1647"/>
      <c r="L171" s="1647"/>
      <c r="M171" s="1647"/>
      <c r="N171" s="1647"/>
      <c r="O171" s="7"/>
      <c r="P171" s="626"/>
      <c r="S171" s="718"/>
    </row>
    <row r="172" spans="2:19" ht="5.0999999999999996" customHeight="1" x14ac:dyDescent="0.2">
      <c r="B172" s="3"/>
      <c r="C172" s="3"/>
      <c r="D172" s="3"/>
      <c r="E172" s="3"/>
      <c r="F172" s="3"/>
      <c r="G172" s="3"/>
      <c r="H172" s="3"/>
      <c r="I172" s="3"/>
      <c r="J172" s="3"/>
      <c r="K172" s="3"/>
      <c r="L172" s="3"/>
      <c r="M172" s="3"/>
      <c r="N172" s="3"/>
      <c r="O172" s="7"/>
      <c r="P172" s="626"/>
      <c r="S172" s="718"/>
    </row>
    <row r="173" spans="2:19" ht="25.5" customHeight="1" x14ac:dyDescent="0.2">
      <c r="B173" s="3"/>
      <c r="C173" s="14"/>
      <c r="D173" s="14" t="s">
        <v>218</v>
      </c>
      <c r="E173" s="1653" t="str">
        <f>Translations!$B$574</f>
        <v>Suma częściowa: pozostałe całkowite mierzalne ciepło, potencjalnie należące do podinstalacji objętych wskaźnikiem emisyjności opartym na cieple (=e-g-h-i):</v>
      </c>
      <c r="F173" s="1647"/>
      <c r="G173" s="1647"/>
      <c r="H173" s="1647"/>
      <c r="I173" s="1647"/>
      <c r="J173" s="1647"/>
      <c r="K173" s="1647"/>
      <c r="L173" s="1647"/>
      <c r="M173" s="1647"/>
      <c r="N173" s="1647"/>
      <c r="O173" s="7"/>
      <c r="P173" s="626"/>
      <c r="S173" s="718"/>
    </row>
    <row r="174" spans="2:19" ht="5.0999999999999996" customHeight="1" x14ac:dyDescent="0.2">
      <c r="B174" s="3"/>
      <c r="C174" s="3"/>
      <c r="D174" s="3"/>
      <c r="E174" s="3"/>
      <c r="F174" s="3"/>
      <c r="G174" s="3"/>
      <c r="H174" s="3"/>
      <c r="I174" s="3"/>
      <c r="J174" s="3"/>
      <c r="K174" s="3"/>
      <c r="L174" s="3"/>
      <c r="M174" s="3"/>
      <c r="N174" s="3"/>
      <c r="O174" s="7"/>
      <c r="P174" s="626"/>
      <c r="S174" s="718"/>
    </row>
    <row r="175" spans="2:19" x14ac:dyDescent="0.2">
      <c r="B175" s="20"/>
      <c r="C175" s="20"/>
      <c r="D175" s="20"/>
      <c r="E175" s="25"/>
      <c r="F175" s="22"/>
      <c r="G175" s="22"/>
      <c r="H175" s="34" t="str">
        <f>EUconst_Unit</f>
        <v>Jednostka</v>
      </c>
      <c r="I175" s="396">
        <f>I$380</f>
        <v>2014</v>
      </c>
      <c r="J175" s="396">
        <f>J$380</f>
        <v>2015</v>
      </c>
      <c r="K175" s="396">
        <f>K$380</f>
        <v>2016</v>
      </c>
      <c r="L175" s="396">
        <f>L$380</f>
        <v>2017</v>
      </c>
      <c r="M175" s="396">
        <f>M$380</f>
        <v>2018</v>
      </c>
      <c r="N175" s="7"/>
      <c r="O175" s="7"/>
      <c r="S175" s="718"/>
    </row>
    <row r="176" spans="2:19" x14ac:dyDescent="0.2">
      <c r="B176" s="20"/>
      <c r="C176" s="195"/>
      <c r="D176" s="195" t="s">
        <v>2</v>
      </c>
      <c r="E176" s="1654" t="str">
        <f>Translations!$B$575</f>
        <v>Suma częściowa:</v>
      </c>
      <c r="F176" s="1667"/>
      <c r="G176" s="1667"/>
      <c r="H176" s="52" t="str">
        <f>EUconst_TJpa</f>
        <v>TJ / rok</v>
      </c>
      <c r="I176" s="311">
        <f>IF(COUNT(I110,I127,I145,I169)&gt;0,SUM(I110)-SUM(I127)-SUM(I145)-SUM(I169),"")</f>
        <v>2519.0669474391434</v>
      </c>
      <c r="J176" s="311">
        <f>IF(COUNT(J110,J127,J145,J169)&gt;0,SUM(J110)-SUM(J127)-SUM(J145)-SUM(J169),"")</f>
        <v>2406.877448052287</v>
      </c>
      <c r="K176" s="311">
        <f>IF(COUNT(K110,K127,K145,K169)&gt;0,SUM(K110)-SUM(K127)-SUM(K145)-SUM(K169),"")</f>
        <v>2698.7548923123736</v>
      </c>
      <c r="L176" s="311">
        <f>IF(COUNT(L110,L127,L145,L169)&gt;0,SUM(L110)-SUM(L127)-SUM(L145)-SUM(L169),"")</f>
        <v>2361.1584218177322</v>
      </c>
      <c r="M176" s="311">
        <f>IF(COUNT(M110,M127,M145,M169)&gt;0,SUM(M110)-SUM(M127)-SUM(M145)-SUM(M169),"")</f>
        <v>2644.0539244421657</v>
      </c>
      <c r="N176" s="7"/>
      <c r="O176" s="7"/>
      <c r="S176" s="718"/>
    </row>
    <row r="177" spans="2:19" ht="5.0999999999999996" customHeight="1" x14ac:dyDescent="0.2">
      <c r="B177" s="3"/>
      <c r="C177" s="3"/>
      <c r="D177" s="3"/>
      <c r="E177" s="3"/>
      <c r="F177" s="3"/>
      <c r="G177" s="3"/>
      <c r="H177" s="3"/>
      <c r="I177" s="3"/>
      <c r="J177" s="3"/>
      <c r="K177" s="3"/>
      <c r="L177" s="3"/>
      <c r="M177" s="3"/>
      <c r="N177" s="3"/>
      <c r="O177" s="7"/>
      <c r="P177" s="626"/>
      <c r="S177" s="718"/>
    </row>
    <row r="178" spans="2:19" x14ac:dyDescent="0.2">
      <c r="B178" s="3"/>
      <c r="C178" s="16"/>
      <c r="D178" s="16"/>
      <c r="E178" s="1646" t="str">
        <f>Translations!$B$576</f>
        <v>Ilość tę można podzielić na „kwalifikujące się” i „niekwalifikujące się” ciepło (na podstawie jego pochodzenia, zob. wprowadzenie do tej części powyżej).</v>
      </c>
      <c r="F178" s="1647"/>
      <c r="G178" s="1647"/>
      <c r="H178" s="1647"/>
      <c r="I178" s="1647"/>
      <c r="J178" s="1647"/>
      <c r="K178" s="1647"/>
      <c r="L178" s="1647"/>
      <c r="M178" s="1647"/>
      <c r="N178" s="1647"/>
      <c r="O178" s="7"/>
      <c r="P178" s="626"/>
      <c r="S178" s="718"/>
    </row>
    <row r="179" spans="2:19" ht="25.5" customHeight="1" x14ac:dyDescent="0.2">
      <c r="B179" s="3"/>
      <c r="C179" s="16"/>
      <c r="D179" s="16"/>
      <c r="E179" s="1669" t="str">
        <f>Translations!$B$577</f>
        <v>Następnie dokonuje się korekty współczynnika określonego w lit. e), uwzględniając pozostałą ilość kwalifikującego się i niekwalifikującego się ciepła. Współczynnik ten wykorzystuje się w lit. m).</v>
      </c>
      <c r="F179" s="1651"/>
      <c r="G179" s="1651"/>
      <c r="H179" s="1651"/>
      <c r="I179" s="1651"/>
      <c r="J179" s="1651"/>
      <c r="K179" s="1651"/>
      <c r="L179" s="1651"/>
      <c r="M179" s="1651"/>
      <c r="N179" s="1656"/>
      <c r="O179" s="7"/>
      <c r="P179" s="626"/>
      <c r="S179" s="718"/>
    </row>
    <row r="180" spans="2:19" ht="12.75" customHeight="1" x14ac:dyDescent="0.2">
      <c r="B180" s="20"/>
      <c r="C180" s="195"/>
      <c r="D180" s="195" t="s">
        <v>3</v>
      </c>
      <c r="E180" s="1670" t="str">
        <f>Translations!$B$578</f>
        <v>kwalifikujące się na podstawie pochodzenia:</v>
      </c>
      <c r="F180" s="1671"/>
      <c r="G180" s="1671"/>
      <c r="H180" s="37" t="str">
        <f>EUconst_TJpa</f>
        <v>TJ / rok</v>
      </c>
      <c r="I180" s="328">
        <f t="shared" ref="I180:M181" si="8">IF(ISNUMBER(I$176),I420,"")</f>
        <v>2019.0669474391434</v>
      </c>
      <c r="J180" s="328">
        <f t="shared" si="8"/>
        <v>1906.8774480522866</v>
      </c>
      <c r="K180" s="328">
        <f t="shared" si="8"/>
        <v>2198.7548923123736</v>
      </c>
      <c r="L180" s="328">
        <f t="shared" si="8"/>
        <v>1861.1584218177322</v>
      </c>
      <c r="M180" s="328">
        <f t="shared" si="8"/>
        <v>2144.0539244421657</v>
      </c>
      <c r="N180" s="26"/>
      <c r="O180" s="7"/>
      <c r="S180" s="718"/>
    </row>
    <row r="181" spans="2:19" ht="25.5" customHeight="1" x14ac:dyDescent="0.2">
      <c r="B181" s="20"/>
      <c r="C181" s="195"/>
      <c r="D181" s="195" t="s">
        <v>4</v>
      </c>
      <c r="E181" s="1728" t="str">
        <f>Translations!$B$579</f>
        <v>niekwalifikujące się na podstawie pochodzenia:</v>
      </c>
      <c r="F181" s="1729"/>
      <c r="G181" s="1729"/>
      <c r="H181" s="41" t="str">
        <f>EUconst_TJpa</f>
        <v>TJ / rok</v>
      </c>
      <c r="I181" s="327">
        <f t="shared" si="8"/>
        <v>500.00000000000006</v>
      </c>
      <c r="J181" s="327">
        <f t="shared" si="8"/>
        <v>500.00000000000028</v>
      </c>
      <c r="K181" s="327">
        <f t="shared" si="8"/>
        <v>500</v>
      </c>
      <c r="L181" s="327">
        <f t="shared" si="8"/>
        <v>500.00000000000011</v>
      </c>
      <c r="M181" s="327">
        <f t="shared" si="8"/>
        <v>500.00000000000011</v>
      </c>
      <c r="N181" s="7"/>
      <c r="O181" s="7"/>
      <c r="S181" s="718"/>
    </row>
    <row r="182" spans="2:19" x14ac:dyDescent="0.2">
      <c r="B182" s="20"/>
      <c r="C182" s="20"/>
      <c r="D182" s="20"/>
      <c r="E182" s="20"/>
      <c r="F182" s="20"/>
      <c r="G182" s="20"/>
      <c r="H182" s="20"/>
      <c r="I182" s="20"/>
      <c r="J182" s="20"/>
      <c r="K182" s="20"/>
      <c r="L182" s="20"/>
      <c r="M182" s="20"/>
      <c r="N182" s="20"/>
      <c r="O182" s="7"/>
      <c r="S182" s="718"/>
    </row>
    <row r="183" spans="2:19" x14ac:dyDescent="0.2">
      <c r="B183" s="3"/>
      <c r="C183" s="14"/>
      <c r="D183" s="14" t="s">
        <v>219</v>
      </c>
      <c r="E183" s="1655" t="str">
        <f>Translations!$B$580</f>
        <v>Współczynnik kwalifikowalności dla pozostałej ilości ciepła obliczonej w lit. j):</v>
      </c>
      <c r="F183" s="1656"/>
      <c r="G183" s="1656"/>
      <c r="H183" s="1656"/>
      <c r="I183" s="1656"/>
      <c r="J183" s="1656"/>
      <c r="K183" s="1656"/>
      <c r="L183" s="1656"/>
      <c r="M183" s="1656"/>
      <c r="N183" s="1656"/>
      <c r="O183" s="7"/>
      <c r="P183" s="626"/>
      <c r="S183" s="718"/>
    </row>
    <row r="184" spans="2:19" ht="25.5" customHeight="1" x14ac:dyDescent="0.2">
      <c r="B184" s="20"/>
      <c r="C184" s="195"/>
      <c r="D184" s="195"/>
      <c r="E184" s="1690" t="str">
        <f>Translations!$B$581</f>
        <v>skorygowany współczynnik kwalifikowalności (=j).ii / j).i):</v>
      </c>
      <c r="F184" s="1690"/>
      <c r="G184" s="1690"/>
      <c r="H184" s="610" t="s">
        <v>409</v>
      </c>
      <c r="I184" s="307">
        <f>IF(AND(ISNUMBER(I176),SUM(I180:I181)&lt;&gt;0),I180/SUM(I180:I181)*100,"")</f>
        <v>80.151381029857319</v>
      </c>
      <c r="J184" s="307">
        <f>IF(AND(ISNUMBER(J176),SUM(J180:J181)&lt;&gt;0),J180/SUM(J180:J181)*100,"")</f>
        <v>79.226196148681581</v>
      </c>
      <c r="K184" s="307">
        <f>IF(AND(ISNUMBER(K176),SUM(K180:K181)&lt;&gt;0),K180/SUM(K180:K181)*100,"")</f>
        <v>81.472937708263487</v>
      </c>
      <c r="L184" s="307">
        <f>IF(AND(ISNUMBER(L176),SUM(L180:L181)&lt;&gt;0),L180/SUM(L180:L181)*100,"")</f>
        <v>78.82395372627829</v>
      </c>
      <c r="M184" s="307">
        <f>IF(AND(ISNUMBER(M176),SUM(M180:M181)&lt;&gt;0),M180/SUM(M180:M181)*100,"")</f>
        <v>81.089644376088572</v>
      </c>
      <c r="N184" s="26"/>
      <c r="O184" s="7"/>
      <c r="S184" s="718"/>
    </row>
    <row r="185" spans="2:19" ht="5.0999999999999996" customHeight="1" x14ac:dyDescent="0.2">
      <c r="B185" s="3"/>
      <c r="C185" s="3"/>
      <c r="D185" s="3"/>
      <c r="E185" s="3"/>
      <c r="F185" s="3"/>
      <c r="G185" s="3"/>
      <c r="H185" s="3"/>
      <c r="I185" s="3"/>
      <c r="J185" s="3"/>
      <c r="K185" s="3"/>
      <c r="L185" s="3"/>
      <c r="M185" s="3"/>
      <c r="N185" s="3"/>
      <c r="O185" s="7"/>
      <c r="P185" s="626"/>
      <c r="S185" s="718"/>
    </row>
    <row r="186" spans="2:19" x14ac:dyDescent="0.2">
      <c r="B186" s="3"/>
      <c r="C186" s="14"/>
      <c r="D186" s="14" t="s">
        <v>220</v>
      </c>
      <c r="E186" s="1653" t="str">
        <f>Translations!$B$582</f>
        <v>Ilość mierzalnego ciepła netto zużytego przez instalację i kwalifikującego się do objęcia wskaźnikiem emisyjności opartym na cieple:</v>
      </c>
      <c r="F186" s="1647"/>
      <c r="G186" s="1647"/>
      <c r="H186" s="1647"/>
      <c r="I186" s="1647"/>
      <c r="J186" s="1647"/>
      <c r="K186" s="1647"/>
      <c r="L186" s="1647"/>
      <c r="M186" s="1647"/>
      <c r="N186" s="1647"/>
      <c r="O186" s="7"/>
      <c r="P186" s="626"/>
      <c r="S186" s="718"/>
    </row>
    <row r="187" spans="2:19" x14ac:dyDescent="0.2">
      <c r="B187" s="3"/>
      <c r="C187" s="16"/>
      <c r="D187" s="16"/>
      <c r="E187" s="1669" t="str">
        <f>Translations!$B$583</f>
        <v>Jest to zużycie w instalacji, z wyjątkiem zużycia w celach wymienionych w lit. g) i h).</v>
      </c>
      <c r="F187" s="1651"/>
      <c r="G187" s="1651"/>
      <c r="H187" s="1651"/>
      <c r="I187" s="1651"/>
      <c r="J187" s="1651"/>
      <c r="K187" s="1651"/>
      <c r="L187" s="1651"/>
      <c r="M187" s="1651"/>
      <c r="N187" s="1656"/>
      <c r="O187" s="7"/>
      <c r="P187" s="626"/>
      <c r="S187" s="718"/>
    </row>
    <row r="188" spans="2:19" ht="12.75" customHeight="1" x14ac:dyDescent="0.2">
      <c r="B188" s="20"/>
      <c r="C188" s="20"/>
      <c r="D188" s="20"/>
      <c r="E188" s="1654" t="str">
        <f>Translations!$B$584</f>
        <v>Ciepło zużyte w instalacji</v>
      </c>
      <c r="F188" s="1667"/>
      <c r="G188" s="1667"/>
      <c r="H188" s="52" t="str">
        <f>EUconst_TJpa</f>
        <v>TJ / rok</v>
      </c>
      <c r="I188" s="313">
        <v>32</v>
      </c>
      <c r="J188" s="313">
        <v>25</v>
      </c>
      <c r="K188" s="313">
        <v>25</v>
      </c>
      <c r="L188" s="313">
        <v>33</v>
      </c>
      <c r="M188" s="313">
        <v>42</v>
      </c>
      <c r="N188" s="26"/>
      <c r="O188" s="7"/>
      <c r="S188" s="630" t="b">
        <f>S168</f>
        <v>0</v>
      </c>
    </row>
    <row r="189" spans="2:19" ht="5.0999999999999996" customHeight="1" x14ac:dyDescent="0.2">
      <c r="B189" s="3"/>
      <c r="C189" s="3"/>
      <c r="D189" s="3"/>
      <c r="E189" s="3"/>
      <c r="F189" s="3"/>
      <c r="G189" s="3"/>
      <c r="H189" s="3"/>
      <c r="I189" s="3"/>
      <c r="J189" s="3"/>
      <c r="K189" s="3"/>
      <c r="L189" s="3"/>
      <c r="M189" s="3"/>
      <c r="N189" s="3"/>
      <c r="O189" s="7"/>
      <c r="P189" s="626"/>
      <c r="S189" s="718"/>
    </row>
    <row r="190" spans="2:19" x14ac:dyDescent="0.2">
      <c r="B190" s="20"/>
      <c r="C190" s="14"/>
      <c r="D190" s="14" t="s">
        <v>221</v>
      </c>
      <c r="E190" s="1668" t="str">
        <f>Translations!$B$585</f>
        <v>Ciepło wyprowadzone do instalacji lub podmiotów nieobjętych EU ETS (np. sieci ciepłowniczych):</v>
      </c>
      <c r="F190" s="1647"/>
      <c r="G190" s="1647"/>
      <c r="H190" s="1647"/>
      <c r="I190" s="1647"/>
      <c r="J190" s="1647"/>
      <c r="K190" s="1647"/>
      <c r="L190" s="1647"/>
      <c r="M190" s="1647"/>
      <c r="N190" s="1647"/>
      <c r="O190" s="7"/>
      <c r="S190" s="718"/>
    </row>
    <row r="191" spans="2:19" x14ac:dyDescent="0.2">
      <c r="B191" s="3"/>
      <c r="C191" s="16"/>
      <c r="D191" s="16"/>
      <c r="E191" s="1646" t="str">
        <f>Translations!$B$534</f>
        <v>Nazwy instalacji na rozwijanej liście pobrano z części A.IV. W związku z tym należy upewnić się, że wprowadzili tam Państwo kompletne dane.</v>
      </c>
      <c r="F191" s="1647"/>
      <c r="G191" s="1647"/>
      <c r="H191" s="1647"/>
      <c r="I191" s="1647"/>
      <c r="J191" s="1647"/>
      <c r="K191" s="1647"/>
      <c r="L191" s="1647"/>
      <c r="M191" s="1647"/>
      <c r="N191" s="1647"/>
      <c r="O191" s="7"/>
      <c r="P191" s="626"/>
      <c r="S191" s="718"/>
    </row>
    <row r="192" spans="2:19" ht="5.0999999999999996" customHeight="1" x14ac:dyDescent="0.2">
      <c r="B192" s="3"/>
      <c r="C192" s="3"/>
      <c r="D192" s="3"/>
      <c r="E192" s="3"/>
      <c r="F192" s="3"/>
      <c r="G192" s="3"/>
      <c r="H192" s="3"/>
      <c r="I192" s="3"/>
      <c r="J192" s="3"/>
      <c r="K192" s="3"/>
      <c r="L192" s="3"/>
      <c r="M192" s="3"/>
      <c r="N192" s="3"/>
      <c r="O192" s="7"/>
      <c r="P192" s="626"/>
      <c r="S192" s="718"/>
    </row>
    <row r="193" spans="2:19" x14ac:dyDescent="0.2">
      <c r="B193" s="20"/>
      <c r="C193" s="20"/>
      <c r="D193" s="20"/>
      <c r="E193" s="1650" t="str">
        <f>Translations!$B$586</f>
        <v>Nazwa podmiotu lub instalacji otrzymujących ciepło</v>
      </c>
      <c r="F193" s="1651"/>
      <c r="G193" s="1651"/>
      <c r="H193" s="34" t="str">
        <f>EUconst_Unit</f>
        <v>Jednostka</v>
      </c>
      <c r="I193" s="432">
        <f>I$380</f>
        <v>2014</v>
      </c>
      <c r="J193" s="432">
        <f>J$380</f>
        <v>2015</v>
      </c>
      <c r="K193" s="432">
        <f>K$380</f>
        <v>2016</v>
      </c>
      <c r="L193" s="432">
        <f>L$380</f>
        <v>2017</v>
      </c>
      <c r="M193" s="432">
        <f>M$380</f>
        <v>2018</v>
      </c>
      <c r="N193" s="3"/>
      <c r="O193" s="7"/>
      <c r="S193" s="718"/>
    </row>
    <row r="194" spans="2:19" x14ac:dyDescent="0.2">
      <c r="B194" s="20"/>
      <c r="C194" s="195"/>
      <c r="D194" s="195" t="s">
        <v>2</v>
      </c>
      <c r="E194" s="1522" t="s">
        <v>3677</v>
      </c>
      <c r="F194" s="1522"/>
      <c r="G194" s="1522"/>
      <c r="H194" s="38" t="str">
        <f t="shared" ref="H194:H199" si="9">EUconst_TJpa</f>
        <v>TJ / rok</v>
      </c>
      <c r="I194" s="1313">
        <v>828.02200000000005</v>
      </c>
      <c r="J194" s="1313">
        <v>792.95899999999995</v>
      </c>
      <c r="K194" s="1313">
        <v>890.25199999999995</v>
      </c>
      <c r="L194" s="1313">
        <v>775.053</v>
      </c>
      <c r="M194" s="1313">
        <v>866.351</v>
      </c>
      <c r="N194" s="7"/>
      <c r="O194" s="7"/>
      <c r="S194" s="630" t="b">
        <f>S188</f>
        <v>0</v>
      </c>
    </row>
    <row r="195" spans="2:19" x14ac:dyDescent="0.2">
      <c r="B195" s="20"/>
      <c r="C195" s="195"/>
      <c r="D195" s="195" t="s">
        <v>3</v>
      </c>
      <c r="E195" s="1413" t="s">
        <v>3678</v>
      </c>
      <c r="F195" s="1413"/>
      <c r="G195" s="1413"/>
      <c r="H195" s="38" t="str">
        <f t="shared" si="9"/>
        <v>TJ / rok</v>
      </c>
      <c r="I195" s="1314">
        <v>827.02200000000005</v>
      </c>
      <c r="J195" s="1314">
        <v>791.95899999999995</v>
      </c>
      <c r="K195" s="1314">
        <v>889.25199999999995</v>
      </c>
      <c r="L195" s="1314">
        <v>774.053</v>
      </c>
      <c r="M195" s="1314">
        <v>865.351</v>
      </c>
      <c r="N195" s="7"/>
      <c r="O195" s="7"/>
      <c r="S195" s="630" t="b">
        <f>S194</f>
        <v>0</v>
      </c>
    </row>
    <row r="196" spans="2:19" x14ac:dyDescent="0.2">
      <c r="B196" s="20"/>
      <c r="C196" s="195"/>
      <c r="D196" s="195" t="s">
        <v>4</v>
      </c>
      <c r="E196" s="1413" t="s">
        <v>3679</v>
      </c>
      <c r="F196" s="1413"/>
      <c r="G196" s="1413"/>
      <c r="H196" s="38" t="str">
        <f t="shared" si="9"/>
        <v>TJ / rok</v>
      </c>
      <c r="I196" s="1314">
        <v>826.02200000000005</v>
      </c>
      <c r="J196" s="1314">
        <v>790.95899999999995</v>
      </c>
      <c r="K196" s="1314">
        <v>888.25199999999995</v>
      </c>
      <c r="L196" s="1314">
        <v>773.053</v>
      </c>
      <c r="M196" s="1314">
        <v>864.351</v>
      </c>
      <c r="N196" s="7"/>
      <c r="O196" s="7"/>
      <c r="S196" s="630" t="b">
        <f>S195</f>
        <v>0</v>
      </c>
    </row>
    <row r="197" spans="2:19" x14ac:dyDescent="0.2">
      <c r="B197" s="20"/>
      <c r="C197" s="195"/>
      <c r="D197" s="195" t="s">
        <v>6</v>
      </c>
      <c r="E197" s="1413"/>
      <c r="F197" s="1413"/>
      <c r="G197" s="1413"/>
      <c r="H197" s="38" t="str">
        <f t="shared" si="9"/>
        <v>TJ / rok</v>
      </c>
      <c r="I197" s="330"/>
      <c r="J197" s="330"/>
      <c r="K197" s="330"/>
      <c r="L197" s="330"/>
      <c r="M197" s="330"/>
      <c r="N197" s="7"/>
      <c r="O197" s="7"/>
      <c r="S197" s="630" t="b">
        <f>S196</f>
        <v>0</v>
      </c>
    </row>
    <row r="198" spans="2:19" x14ac:dyDescent="0.2">
      <c r="B198" s="20"/>
      <c r="C198" s="195"/>
      <c r="D198" s="195" t="s">
        <v>316</v>
      </c>
      <c r="E198" s="1508"/>
      <c r="F198" s="1508"/>
      <c r="G198" s="1508"/>
      <c r="H198" s="41" t="str">
        <f t="shared" si="9"/>
        <v>TJ / rok</v>
      </c>
      <c r="I198" s="329"/>
      <c r="J198" s="329"/>
      <c r="K198" s="329"/>
      <c r="L198" s="329"/>
      <c r="M198" s="329"/>
      <c r="N198" s="7"/>
      <c r="O198" s="7"/>
      <c r="S198" s="630" t="b">
        <f>S197</f>
        <v>0</v>
      </c>
    </row>
    <row r="199" spans="2:19" ht="25.5" customHeight="1" x14ac:dyDescent="0.2">
      <c r="B199" s="20"/>
      <c r="C199" s="195"/>
      <c r="D199" s="195" t="s">
        <v>317</v>
      </c>
      <c r="E199" s="1652" t="str">
        <f>Translations!$B$587</f>
        <v>Całkowite ciepło wyprowadzone poza EU ETS:</v>
      </c>
      <c r="F199" s="1652"/>
      <c r="G199" s="1652"/>
      <c r="H199" s="51" t="str">
        <f t="shared" si="9"/>
        <v>TJ / rok</v>
      </c>
      <c r="I199" s="309">
        <f>IF(COUNT(I194:I198)&gt;0,SUM(I194:I198),"")</f>
        <v>2481.0660000000003</v>
      </c>
      <c r="J199" s="309">
        <f>IF(COUNT(J194:J198)&gt;0,SUM(J194:J198),"")</f>
        <v>2375.877</v>
      </c>
      <c r="K199" s="309">
        <f>IF(COUNT(K194:K198)&gt;0,SUM(K194:K198),"")</f>
        <v>2667.7559999999999</v>
      </c>
      <c r="L199" s="309">
        <f>IF(COUNT(L194:L198)&gt;0,SUM(L194:L198),"")</f>
        <v>2322.1590000000001</v>
      </c>
      <c r="M199" s="309">
        <f>IF(COUNT(M194:M198)&gt;0,SUM(M194:M198),"")</f>
        <v>2596.0529999999999</v>
      </c>
      <c r="N199" s="7"/>
      <c r="O199" s="7"/>
      <c r="S199" s="718"/>
    </row>
    <row r="200" spans="2:19" ht="5.0999999999999996" customHeight="1" x14ac:dyDescent="0.2">
      <c r="B200" s="3"/>
      <c r="C200" s="3"/>
      <c r="D200" s="3"/>
      <c r="E200" s="3"/>
      <c r="F200" s="3"/>
      <c r="G200" s="3"/>
      <c r="H200" s="3"/>
      <c r="I200" s="3"/>
      <c r="J200" s="3"/>
      <c r="K200" s="3"/>
      <c r="L200" s="3"/>
      <c r="M200" s="3"/>
      <c r="N200" s="3"/>
      <c r="O200" s="7"/>
      <c r="P200" s="626"/>
      <c r="S200" s="718"/>
    </row>
    <row r="201" spans="2:19" x14ac:dyDescent="0.2">
      <c r="B201" s="20"/>
      <c r="C201" s="14"/>
      <c r="D201" s="14" t="s">
        <v>79</v>
      </c>
      <c r="E201" s="1668" t="str">
        <f>Translations!$B$588</f>
        <v>Straty ciepła (=j-l-m)</v>
      </c>
      <c r="F201" s="1647"/>
      <c r="G201" s="1647"/>
      <c r="H201" s="1647"/>
      <c r="I201" s="1647"/>
      <c r="J201" s="1647"/>
      <c r="K201" s="1647"/>
      <c r="L201" s="1647"/>
      <c r="M201" s="1647"/>
      <c r="N201" s="1647"/>
      <c r="O201" s="7"/>
      <c r="S201" s="718"/>
    </row>
    <row r="202" spans="2:19" x14ac:dyDescent="0.2">
      <c r="B202" s="3"/>
      <c r="C202" s="16"/>
      <c r="D202" s="16"/>
      <c r="E202" s="1646" t="str">
        <f>Translations!$B$589</f>
        <v>Ze względu na kompletność bilansu ciepła w tabeli poniżej przedstawiono obliczone straty ciepła (tj. ilość ciepła nieujętą w lit. g, h, k, l i m).</v>
      </c>
      <c r="F202" s="1647"/>
      <c r="G202" s="1647"/>
      <c r="H202" s="1647"/>
      <c r="I202" s="1647"/>
      <c r="J202" s="1647"/>
      <c r="K202" s="1647"/>
      <c r="L202" s="1647"/>
      <c r="M202" s="1647"/>
      <c r="N202" s="1647"/>
      <c r="O202" s="7"/>
      <c r="P202" s="626"/>
      <c r="S202" s="718"/>
    </row>
    <row r="203" spans="2:19" x14ac:dyDescent="0.2">
      <c r="B203" s="3"/>
      <c r="C203" s="16"/>
      <c r="D203" s="16"/>
      <c r="E203" s="1646" t="str">
        <f>Translations!$B$590</f>
        <v>Jeśli wyświetlają się wartości ujemne, oznacza to, że poziomy zużycia ciepła wprowadzone powyżej przekraczają ilość ciepła dostępnego z wytwarzania i wprowadzania.</v>
      </c>
      <c r="F203" s="1647"/>
      <c r="G203" s="1647"/>
      <c r="H203" s="1647"/>
      <c r="I203" s="1647"/>
      <c r="J203" s="1647"/>
      <c r="K203" s="1647"/>
      <c r="L203" s="1647"/>
      <c r="M203" s="1647"/>
      <c r="N203" s="1647"/>
      <c r="O203" s="7"/>
      <c r="P203" s="626"/>
      <c r="S203" s="718"/>
    </row>
    <row r="204" spans="2:19" x14ac:dyDescent="0.2">
      <c r="B204" s="20"/>
      <c r="C204" s="20"/>
      <c r="D204" s="20"/>
      <c r="E204" s="25"/>
      <c r="F204" s="22"/>
      <c r="G204" s="22"/>
      <c r="H204" s="34" t="str">
        <f>EUconst_Unit</f>
        <v>Jednostka</v>
      </c>
      <c r="I204" s="396">
        <f>I$380</f>
        <v>2014</v>
      </c>
      <c r="J204" s="396">
        <f>J$380</f>
        <v>2015</v>
      </c>
      <c r="K204" s="396">
        <f>K$380</f>
        <v>2016</v>
      </c>
      <c r="L204" s="396">
        <f>L$380</f>
        <v>2017</v>
      </c>
      <c r="M204" s="396">
        <f>M$380</f>
        <v>2018</v>
      </c>
      <c r="N204" s="7"/>
      <c r="O204" s="7"/>
      <c r="S204" s="718"/>
    </row>
    <row r="205" spans="2:19" x14ac:dyDescent="0.2">
      <c r="B205" s="20"/>
      <c r="C205" s="20"/>
      <c r="D205" s="195" t="s">
        <v>2</v>
      </c>
      <c r="E205" s="1654" t="str">
        <f>Translations!$B$591</f>
        <v>Straty ciepła (obliczone)</v>
      </c>
      <c r="F205" s="1667"/>
      <c r="G205" s="1667"/>
      <c r="H205" s="52" t="str">
        <f>EUconst_TJpa</f>
        <v>TJ / rok</v>
      </c>
      <c r="I205" s="311">
        <f>IF(COUNT(I176,I188,I199)&gt;0,SUM(I176)-SUM(I188)-SUM(I199),"")</f>
        <v>6.0009474391431468</v>
      </c>
      <c r="J205" s="311">
        <f>IF(COUNT(J176,J188,J199)&gt;0,SUM(J176)-SUM(J188)-SUM(J199),"")</f>
        <v>6.0004480522870836</v>
      </c>
      <c r="K205" s="311">
        <f>IF(COUNT(K176,K188,K199)&gt;0,SUM(K176)-SUM(K188)-SUM(K199),"")</f>
        <v>5.998892312373755</v>
      </c>
      <c r="L205" s="311">
        <f>IF(COUNT(L176,L188,L199)&gt;0,SUM(L176)-SUM(L188)-SUM(L199),"")</f>
        <v>5.9994218177321272</v>
      </c>
      <c r="M205" s="311">
        <f>IF(COUNT(M176,M188,M199)&gt;0,SUM(M176)-SUM(M188)-SUM(M199),"")</f>
        <v>6.0009244421657968</v>
      </c>
      <c r="N205" s="7"/>
      <c r="O205" s="7"/>
      <c r="S205" s="718"/>
    </row>
    <row r="206" spans="2:19" ht="12.75" customHeight="1" x14ac:dyDescent="0.2">
      <c r="B206" s="20"/>
      <c r="C206" s="20"/>
      <c r="D206" s="195" t="s">
        <v>3</v>
      </c>
      <c r="E206" s="1654" t="str">
        <f>Translations!$B$592</f>
        <v>Straty ciepła (ułamek dostępnego ciepła =e)</v>
      </c>
      <c r="F206" s="1667"/>
      <c r="G206" s="1667"/>
      <c r="H206" s="52" t="s">
        <v>409</v>
      </c>
      <c r="I206" s="311">
        <f>IF(AND(ISNUMBER(I205),ISNUMBER(I110),SUM(I110)&lt;&gt;0),I205/I110*100,"")</f>
        <v>0.2128699868087362</v>
      </c>
      <c r="J206" s="311">
        <f>IF(AND(ISNUMBER(J205),ISNUMBER(J110),SUM(J110)&lt;&gt;0),J205/J110*100,"")</f>
        <v>0.22167416765042908</v>
      </c>
      <c r="K206" s="311">
        <f>IF(AND(ISNUMBER(K205),ISNUMBER(K110),SUM(K110)&lt;&gt;0),K205/K110*100,"")</f>
        <v>0.20004610339286322</v>
      </c>
      <c r="L206" s="311">
        <f>IF(AND(ISNUMBER(L205),ISNUMBER(L110),SUM(L110)&lt;&gt;0),L205/L110*100,"")</f>
        <v>0.2254439934332868</v>
      </c>
      <c r="M206" s="311">
        <f>IF(AND(ISNUMBER(M205),ISNUMBER(M110),SUM(M110)&lt;&gt;0),M205/M110*100,"")</f>
        <v>0.20383201517964183</v>
      </c>
      <c r="N206" s="7"/>
      <c r="O206" s="7"/>
      <c r="S206" s="718"/>
    </row>
    <row r="207" spans="2:19" x14ac:dyDescent="0.2">
      <c r="B207" s="20"/>
      <c r="C207" s="20"/>
      <c r="D207" s="20"/>
      <c r="E207" s="20"/>
      <c r="F207" s="20"/>
      <c r="G207" s="20"/>
      <c r="H207" s="20"/>
      <c r="I207" s="20"/>
      <c r="J207" s="20"/>
      <c r="K207" s="20"/>
      <c r="L207" s="20"/>
      <c r="M207" s="20"/>
      <c r="N207" s="20"/>
      <c r="O207" s="7"/>
      <c r="S207" s="718"/>
    </row>
    <row r="208" spans="2:19" ht="25.5" customHeight="1" x14ac:dyDescent="0.2">
      <c r="B208" s="3"/>
      <c r="C208" s="14"/>
      <c r="D208" s="14" t="s">
        <v>333</v>
      </c>
      <c r="E208" s="1650" t="str">
        <f>Translations!$B$593</f>
        <v>Całkowita ilość ciepła potencjalnie stanowiącego część podinstalacji objętych wskaźnikiem emisyjności opartym na cieple lub podinstalacji sieci ciepłowniczej (=l+m):</v>
      </c>
      <c r="F208" s="1651"/>
      <c r="G208" s="1651"/>
      <c r="H208" s="1651"/>
      <c r="I208" s="1651"/>
      <c r="J208" s="1651"/>
      <c r="K208" s="1651"/>
      <c r="L208" s="1651"/>
      <c r="M208" s="1651"/>
      <c r="N208" s="1656"/>
      <c r="O208" s="7"/>
      <c r="P208" s="626"/>
      <c r="S208" s="718"/>
    </row>
    <row r="209" spans="2:19" ht="25.5" customHeight="1" x14ac:dyDescent="0.2">
      <c r="B209" s="20"/>
      <c r="C209" s="20"/>
      <c r="D209" s="20"/>
      <c r="E209" s="1654" t="str">
        <f>Translations!$B$594</f>
        <v>Wszystkie podinstalacje objęte wskaźnikiem emisyjności opartym na cieple:</v>
      </c>
      <c r="F209" s="1667"/>
      <c r="G209" s="1667"/>
      <c r="H209" s="52" t="str">
        <f>EUconst_TJpa</f>
        <v>TJ / rok</v>
      </c>
      <c r="I209" s="311">
        <f>IF(COUNT(I199,I188)&gt;0,SUM(I188,I199),"")</f>
        <v>2513.0660000000003</v>
      </c>
      <c r="J209" s="311">
        <f>IF(COUNT(J199,J188)&gt;0,SUM(J188,J199),"")</f>
        <v>2400.877</v>
      </c>
      <c r="K209" s="311">
        <f>IF(COUNT(K199,K188)&gt;0,SUM(K188,K199),"")</f>
        <v>2692.7559999999999</v>
      </c>
      <c r="L209" s="311">
        <f>IF(COUNT(L199,L188)&gt;0,SUM(L188,L199),"")</f>
        <v>2355.1590000000001</v>
      </c>
      <c r="M209" s="311">
        <f>IF(COUNT(M199,M188)&gt;0,SUM(M188,M199),"")</f>
        <v>2638.0529999999999</v>
      </c>
      <c r="N209" s="26"/>
      <c r="O209" s="7"/>
      <c r="S209" s="718"/>
    </row>
    <row r="210" spans="2:19" ht="5.0999999999999996" customHeight="1" x14ac:dyDescent="0.2">
      <c r="B210" s="3"/>
      <c r="C210" s="3"/>
      <c r="D210" s="3"/>
      <c r="E210" s="3"/>
      <c r="F210" s="3"/>
      <c r="G210" s="3"/>
      <c r="H210" s="3"/>
      <c r="I210" s="3"/>
      <c r="J210" s="3"/>
      <c r="K210" s="3"/>
      <c r="L210" s="3"/>
      <c r="M210" s="3"/>
      <c r="N210" s="3"/>
      <c r="O210" s="7"/>
      <c r="P210" s="626"/>
      <c r="S210" s="718"/>
    </row>
    <row r="211" spans="2:19" ht="25.5" customHeight="1" x14ac:dyDescent="0.2">
      <c r="B211" s="3"/>
      <c r="C211" s="14"/>
      <c r="D211" s="14" t="s">
        <v>334</v>
      </c>
      <c r="E211" s="1653" t="str">
        <f>Translations!$B$595</f>
        <v>Wynik końcowy: Ilość ciepła przypadająca na podinstalacje objęte wskaźnikiem emisyjności opartym na cieple lub podinstalacje sieci ciepłowniczej</v>
      </c>
      <c r="F211" s="1647"/>
      <c r="G211" s="1647"/>
      <c r="H211" s="1647"/>
      <c r="I211" s="1647"/>
      <c r="J211" s="1647"/>
      <c r="K211" s="1647"/>
      <c r="L211" s="1647"/>
      <c r="M211" s="1647"/>
      <c r="N211" s="1647"/>
      <c r="O211" s="7"/>
      <c r="P211" s="626"/>
      <c r="S211" s="718"/>
    </row>
    <row r="212" spans="2:19" x14ac:dyDescent="0.2">
      <c r="B212" s="3"/>
      <c r="C212" s="16"/>
      <c r="D212" s="16"/>
      <c r="E212" s="1664" t="str">
        <f>Translations!$B$596</f>
        <v>Wynik oblicza się jako iloczyn danych w lit. o) i skorygowanego wskaźnika kwalifikowalności określonego w lit. k).</v>
      </c>
      <c r="F212" s="1647"/>
      <c r="G212" s="1647"/>
      <c r="H212" s="1647"/>
      <c r="I212" s="1647"/>
      <c r="J212" s="1647"/>
      <c r="K212" s="1647"/>
      <c r="L212" s="1647"/>
      <c r="M212" s="1647"/>
      <c r="N212" s="1647"/>
      <c r="O212" s="7"/>
      <c r="P212" s="626"/>
      <c r="S212" s="718"/>
    </row>
    <row r="213" spans="2:19" x14ac:dyDescent="0.2">
      <c r="B213" s="3"/>
      <c r="C213" s="16"/>
      <c r="D213" s="16"/>
      <c r="E213" s="1664" t="str">
        <f>Translations!$B$597</f>
        <v>Maksymalna dopuszczalna wartość jest to kwalifikująca się ilość określona w lit. j) ppkt (ii).</v>
      </c>
      <c r="F213" s="1647"/>
      <c r="G213" s="1647"/>
      <c r="H213" s="1647"/>
      <c r="I213" s="1647"/>
      <c r="J213" s="1647"/>
      <c r="K213" s="1647"/>
      <c r="L213" s="1647"/>
      <c r="M213" s="1647"/>
      <c r="N213" s="1647"/>
      <c r="O213" s="7"/>
      <c r="P213" s="626"/>
      <c r="S213" s="718"/>
    </row>
    <row r="214" spans="2:19" x14ac:dyDescent="0.2">
      <c r="B214" s="20"/>
      <c r="C214" s="20"/>
      <c r="D214" s="20"/>
      <c r="E214" s="25"/>
      <c r="F214" s="22"/>
      <c r="G214" s="22"/>
      <c r="H214" s="34" t="str">
        <f>EUconst_Unit</f>
        <v>Jednostka</v>
      </c>
      <c r="I214" s="396">
        <f>I$380</f>
        <v>2014</v>
      </c>
      <c r="J214" s="396">
        <f>J$380</f>
        <v>2015</v>
      </c>
      <c r="K214" s="396">
        <f>K$380</f>
        <v>2016</v>
      </c>
      <c r="L214" s="396">
        <f>L$380</f>
        <v>2017</v>
      </c>
      <c r="M214" s="396">
        <f>M$380</f>
        <v>2018</v>
      </c>
      <c r="N214" s="7"/>
      <c r="O214" s="7"/>
      <c r="S214" s="718"/>
    </row>
    <row r="215" spans="2:19" ht="38.25" customHeight="1" x14ac:dyDescent="0.2">
      <c r="B215" s="20"/>
      <c r="C215" s="20"/>
      <c r="D215" s="20"/>
      <c r="E215" s="1611" t="str">
        <f>Translations!$B$598</f>
        <v>Ciepło kwalifikujące się do podinstalacji objętych wskaźnikiem emisyjności opartym na cieple</v>
      </c>
      <c r="F215" s="1666"/>
      <c r="G215" s="1666"/>
      <c r="H215" s="53" t="str">
        <f>EUconst_TJpa</f>
        <v>TJ / rok</v>
      </c>
      <c r="I215" s="307">
        <f>IF(ISNUMBER(I209),IF(I180&gt;=I209*SUM(I184)/100,I209*SUM(I184)/100,I180),IF(ISNUMBER(I180),I180,""))</f>
        <v>2014.2571051917944</v>
      </c>
      <c r="J215" s="307">
        <f>IF(ISNUMBER(J209),IF(J180&gt;=J209*SUM(J184)/100,J209*SUM(J184)/100,J180),IF(ISNUMBER(J180),J180,""))</f>
        <v>1902.1235213085818</v>
      </c>
      <c r="K215" s="307">
        <f>IF(ISNUMBER(K209),IF(K180&gt;=K209*SUM(K184)/100,K209*SUM(K184)/100,K180),IF(ISNUMBER(K180),K180,""))</f>
        <v>2193.8674185155273</v>
      </c>
      <c r="L215" s="307">
        <f>IF(ISNUMBER(L209),IF(L180&gt;=L209*SUM(L184)/100,L209*SUM(L184)/100,L180),IF(ISNUMBER(L180),L180,""))</f>
        <v>1856.4294403402787</v>
      </c>
      <c r="M215" s="307">
        <f>IF(ISNUMBER(M209),IF(M180&gt;=M209*SUM(M184)/100,M209*SUM(M184)/100,M180),IF(ISNUMBER(M180),M180,""))</f>
        <v>2139.1877961527357</v>
      </c>
      <c r="N215" s="7"/>
      <c r="O215" s="7"/>
      <c r="S215" s="718"/>
    </row>
    <row r="216" spans="2:19" ht="13.5" thickBot="1" x14ac:dyDescent="0.25">
      <c r="B216" s="20"/>
      <c r="C216" s="20"/>
      <c r="D216" s="20"/>
      <c r="E216" s="20"/>
      <c r="F216" s="20"/>
      <c r="G216" s="20"/>
      <c r="H216" s="20"/>
      <c r="I216" s="20"/>
      <c r="J216" s="20"/>
      <c r="K216" s="20"/>
      <c r="L216" s="20"/>
      <c r="M216" s="20"/>
      <c r="N216" s="20"/>
      <c r="O216" s="7"/>
      <c r="S216" s="718"/>
    </row>
    <row r="217" spans="2:19" ht="25.5" customHeight="1" thickBot="1" x14ac:dyDescent="0.25">
      <c r="B217" s="3"/>
      <c r="C217" s="14"/>
      <c r="D217" s="14" t="s">
        <v>335</v>
      </c>
      <c r="E217" s="1653" t="str">
        <f>Translations!$B$599</f>
        <v>Podział na podinstalacje – metoda wprowadzania danych:</v>
      </c>
      <c r="F217" s="1653"/>
      <c r="G217" s="1653"/>
      <c r="H217" s="1665"/>
      <c r="I217" s="1718" t="s">
        <v>3449</v>
      </c>
      <c r="J217" s="1719"/>
      <c r="K217" s="186" t="str">
        <f>IF(AND(ISBLANK(I217),COUNT(I227:N229)&gt;0),EUconst_Incomplete,"")</f>
        <v/>
      </c>
      <c r="L217" s="3"/>
      <c r="M217" s="3"/>
      <c r="N217" s="3"/>
      <c r="O217" s="7"/>
      <c r="P217" s="647">
        <f>IF(ISBLANK($I$217),EUconst_NA,MATCH($I$217,EUconst_AbsRel,0))</f>
        <v>2</v>
      </c>
      <c r="S217" s="723" t="b">
        <f>OR(S198,AND(S227:S229))</f>
        <v>0</v>
      </c>
    </row>
    <row r="218" spans="2:19" x14ac:dyDescent="0.2">
      <c r="B218" s="3"/>
      <c r="C218" s="16"/>
      <c r="D218" s="16"/>
      <c r="E218" s="1646" t="str">
        <f>Translations!$B$600</f>
        <v>Metodę wprowadzania wartości można wybrać w tabeli w lit. r) poniżej. Dostępne warianty to: „wartości bezwzględne” (należy podać TJ/rok) lub „wartości procentowe”.</v>
      </c>
      <c r="F218" s="1647"/>
      <c r="G218" s="1647"/>
      <c r="H218" s="1647"/>
      <c r="I218" s="1647"/>
      <c r="J218" s="1647"/>
      <c r="K218" s="1647"/>
      <c r="L218" s="1647"/>
      <c r="M218" s="1647"/>
      <c r="N218" s="1647"/>
      <c r="O218" s="7"/>
      <c r="P218" s="430" t="s">
        <v>85</v>
      </c>
    </row>
    <row r="219" spans="2:19" x14ac:dyDescent="0.2">
      <c r="B219" s="3"/>
      <c r="C219" s="16"/>
      <c r="D219" s="16"/>
      <c r="E219" s="1646" t="str">
        <f>Translations!$B$494</f>
        <v>Aby szybko wprowadzić dane w prostych przypadkach, gdy większość wpisów to „100%” lub zero, lepszym wyborem będą wartości procentowe.</v>
      </c>
      <c r="F219" s="1647"/>
      <c r="G219" s="1647"/>
      <c r="H219" s="1647"/>
      <c r="I219" s="1647"/>
      <c r="J219" s="1647"/>
      <c r="K219" s="1647"/>
      <c r="L219" s="1647"/>
      <c r="M219" s="1647"/>
      <c r="N219" s="1647"/>
      <c r="O219" s="7"/>
      <c r="P219" s="626"/>
    </row>
    <row r="220" spans="2:19" ht="5.0999999999999996" customHeight="1" x14ac:dyDescent="0.2">
      <c r="B220" s="3"/>
      <c r="C220" s="3"/>
      <c r="D220" s="3"/>
      <c r="E220" s="3"/>
      <c r="F220" s="3"/>
      <c r="G220" s="3"/>
      <c r="H220" s="3"/>
      <c r="I220" s="3"/>
      <c r="J220" s="3"/>
      <c r="K220" s="3"/>
      <c r="L220" s="3"/>
      <c r="M220" s="3"/>
      <c r="N220" s="3"/>
      <c r="O220" s="7"/>
      <c r="P220" s="626"/>
    </row>
    <row r="221" spans="2:19" x14ac:dyDescent="0.2">
      <c r="B221" s="3"/>
      <c r="C221" s="14"/>
      <c r="D221" s="14" t="s">
        <v>496</v>
      </c>
      <c r="E221" s="1653" t="str">
        <f>Translations!$B$601</f>
        <v>Przypisanie podinstalacji cieplnych do poziomów narażenia na ryzyko ucieczki emisji:</v>
      </c>
      <c r="F221" s="1647"/>
      <c r="G221" s="1647"/>
      <c r="H221" s="1647"/>
      <c r="I221" s="1647"/>
      <c r="J221" s="1647"/>
      <c r="K221" s="1647"/>
      <c r="L221" s="1647"/>
      <c r="M221" s="1647"/>
      <c r="N221" s="1647"/>
      <c r="O221" s="7"/>
      <c r="P221" s="626"/>
    </row>
    <row r="222" spans="2:19" x14ac:dyDescent="0.2">
      <c r="B222" s="3"/>
      <c r="C222" s="16"/>
      <c r="D222" s="16"/>
      <c r="E222" s="1646" t="str">
        <f>Translations!$B$602</f>
        <v>W tym miejscu proszę podać ilość mierzalnego ciepła zużytego przez każdą podinstalację, przy czym 100% odnosi się do sumy obliczonej w lit. p) powyżej.</v>
      </c>
      <c r="F222" s="1647"/>
      <c r="G222" s="1647"/>
      <c r="H222" s="1647"/>
      <c r="I222" s="1647"/>
      <c r="J222" s="1647"/>
      <c r="K222" s="1647"/>
      <c r="L222" s="1647"/>
      <c r="M222" s="1647"/>
      <c r="N222" s="1647"/>
      <c r="O222" s="7"/>
      <c r="P222" s="626"/>
    </row>
    <row r="223" spans="2:19" ht="25.5" customHeight="1" x14ac:dyDescent="0.2">
      <c r="B223" s="3"/>
      <c r="C223" s="16"/>
      <c r="D223" s="16"/>
      <c r="E223" s="1646" t="str">
        <f>Translations!$B$603</f>
        <v>Podinstalacja objęta wskaźnikiem emisyjności opartym na cieple „CL” (narażona na znaczące ryzyko ucieczki emisji), „nie-CL” (nienarażona na ryzyko ucieczki emisji; obejmuje ciepło wyprowadzone do instalacji i podmiotów nieobjętych EU ETS, ale nie do sieci ciepłowniczych) oraz podinstalacja sieci ciepłowniczej „nie-CL”.</v>
      </c>
      <c r="F223" s="1647"/>
      <c r="G223" s="1647"/>
      <c r="H223" s="1647"/>
      <c r="I223" s="1647"/>
      <c r="J223" s="1647"/>
      <c r="K223" s="1647"/>
      <c r="L223" s="1647"/>
      <c r="M223" s="1647"/>
      <c r="N223" s="1647"/>
      <c r="O223" s="7"/>
      <c r="P223" s="626"/>
    </row>
    <row r="224" spans="2:19" ht="25.5" customHeight="1" x14ac:dyDescent="0.2">
      <c r="B224" s="3"/>
      <c r="C224" s="16"/>
      <c r="D224" s="16"/>
      <c r="E224" s="1664" t="str">
        <f>Translations!$B$604</f>
        <v>Dane te są automatycznie wykorzystywane ponownie w arkuszu „G_Fall-back”. Wprowadzenie ich w tym miejscu jest zatem obowiązkowe w przypadku korzystania z tego narzędzia.</v>
      </c>
      <c r="F224" s="1647"/>
      <c r="G224" s="1647"/>
      <c r="H224" s="1647"/>
      <c r="I224" s="1647"/>
      <c r="J224" s="1647"/>
      <c r="K224" s="1647"/>
      <c r="L224" s="1647"/>
      <c r="M224" s="1647"/>
      <c r="N224" s="1647"/>
      <c r="O224" s="7"/>
      <c r="P224" s="626"/>
    </row>
    <row r="225" spans="2:21" ht="5.0999999999999996" customHeight="1" x14ac:dyDescent="0.2">
      <c r="B225" s="3"/>
      <c r="C225" s="3"/>
      <c r="D225" s="3"/>
      <c r="E225" s="3"/>
      <c r="F225" s="3"/>
      <c r="G225" s="3"/>
      <c r="H225" s="3"/>
      <c r="I225" s="3"/>
      <c r="J225" s="3"/>
      <c r="K225" s="3"/>
      <c r="L225" s="3"/>
      <c r="M225" s="3"/>
      <c r="N225" s="3"/>
      <c r="O225" s="7"/>
      <c r="P225" s="626"/>
    </row>
    <row r="226" spans="2:21" ht="13.5" thickBot="1" x14ac:dyDescent="0.25">
      <c r="B226" s="20"/>
      <c r="C226" s="20"/>
      <c r="D226" s="20"/>
      <c r="E226" s="1698" t="str">
        <f>Translations!$B$249</f>
        <v>Mierzalne ciepło</v>
      </c>
      <c r="F226" s="1699"/>
      <c r="G226" s="1699"/>
      <c r="H226" s="34" t="str">
        <f>EUconst_Unit</f>
        <v>Jednostka</v>
      </c>
      <c r="I226" s="396">
        <f>I$380</f>
        <v>2014</v>
      </c>
      <c r="J226" s="396">
        <f>J$380</f>
        <v>2015</v>
      </c>
      <c r="K226" s="396">
        <f>K$380</f>
        <v>2016</v>
      </c>
      <c r="L226" s="396">
        <f>L$380</f>
        <v>2017</v>
      </c>
      <c r="M226" s="396">
        <f>M$380</f>
        <v>2018</v>
      </c>
      <c r="N226" s="7"/>
      <c r="O226" s="7"/>
      <c r="S226" s="437" t="s">
        <v>466</v>
      </c>
    </row>
    <row r="227" spans="2:21" ht="25.5" customHeight="1" x14ac:dyDescent="0.2">
      <c r="B227" s="20"/>
      <c r="C227" s="195"/>
      <c r="D227" s="195" t="s">
        <v>2</v>
      </c>
      <c r="E227" s="1700" t="str">
        <f>E387</f>
        <v>Podinstalacja objęta wskaźnikiem emisyjności opartym na cieple, „CL”</v>
      </c>
      <c r="F227" s="1682"/>
      <c r="G227" s="1682"/>
      <c r="H227" s="106" t="str">
        <f>IF(CTRL_InputMethodHeatSubInstSplit=EUconst_NA,EUconst_relOrTJpa,IF(CTRL_InputMethodHeatSubInstSplit=1,EUconst_TJpa,"%"))</f>
        <v>%</v>
      </c>
      <c r="I227" s="1319">
        <v>32.948677034347682</v>
      </c>
      <c r="J227" s="1319">
        <v>33.027889392084639</v>
      </c>
      <c r="K227" s="1319">
        <v>33.060997728721055</v>
      </c>
      <c r="L227" s="1319">
        <v>32.908733550473663</v>
      </c>
      <c r="M227" s="1320">
        <v>32.840545660000011</v>
      </c>
      <c r="N227" s="7"/>
      <c r="O227" s="7"/>
      <c r="P227" s="438" t="str">
        <f>IF(CTRL_InputMethodHeatSubInstSplit=1,EUconst_CNTR_HAL&amp;E227,"")</f>
        <v/>
      </c>
      <c r="Q227" s="719">
        <v>1</v>
      </c>
      <c r="S227" s="646" t="b">
        <f>IF(ISBLANK(INDEX(CNTR_FallBackSubInstRelevant,Q227)),FALSE,IF(INDEX(CNTR_FallBackSubInstRelevant,Q227),FALSE,TRUE))</f>
        <v>0</v>
      </c>
      <c r="T227" s="1017"/>
      <c r="U227" s="701"/>
    </row>
    <row r="228" spans="2:21" ht="25.5" customHeight="1" x14ac:dyDescent="0.2">
      <c r="B228" s="20"/>
      <c r="C228" s="195"/>
      <c r="D228" s="195" t="s">
        <v>3</v>
      </c>
      <c r="E228" s="1696" t="str">
        <f>E388</f>
        <v>Podinstalacja objęta wskaźnikiem emisyjności opartym na cieple, „nie-CL”</v>
      </c>
      <c r="F228" s="1697"/>
      <c r="G228" s="1697"/>
      <c r="H228" s="562" t="str">
        <f>IF(CTRL_InputMethodHeatSubInstSplit=EUconst_NA,EUconst_relOrTJpa,IF(CTRL_InputMethodHeatSubInstSplit=1,EUconst_TJpa,"%"))</f>
        <v>%</v>
      </c>
      <c r="I228" s="293">
        <v>34.182229993163723</v>
      </c>
      <c r="J228" s="293">
        <v>34.02752410889854</v>
      </c>
      <c r="K228" s="293">
        <v>33.95227788927032</v>
      </c>
      <c r="L228" s="293">
        <v>34.267452855624612</v>
      </c>
      <c r="M228" s="1321">
        <v>34.394722168205114</v>
      </c>
      <c r="N228" s="7"/>
      <c r="O228" s="7"/>
      <c r="P228" s="438" t="str">
        <f>IF(CTRL_InputMethodHeatSubInstSplit=1,EUconst_CNTR_HAL&amp;E228,"")</f>
        <v/>
      </c>
      <c r="Q228" s="720">
        <v>2</v>
      </c>
      <c r="S228" s="777" t="b">
        <f>IF(ISBLANK(INDEX(CNTR_FallBackSubInstRelevant,Q228)),FALSE,IF(INDEX(CNTR_FallBackSubInstRelevant,Q228),FALSE,TRUE))</f>
        <v>0</v>
      </c>
    </row>
    <row r="229" spans="2:21" ht="25.5" customHeight="1" thickBot="1" x14ac:dyDescent="0.25">
      <c r="B229" s="20"/>
      <c r="C229" s="195"/>
      <c r="D229" s="195" t="s">
        <v>4</v>
      </c>
      <c r="E229" s="1701" t="str">
        <f>E389</f>
        <v>Podinstalacja sieci ciepłowniczej</v>
      </c>
      <c r="F229" s="1688"/>
      <c r="G229" s="1688"/>
      <c r="H229" s="105" t="str">
        <f>IF(CTRL_InputMethodHeatSubInstSplit=EUconst_NA,EUconst_relOrTJpa,IF(CTRL_InputMethodHeatSubInstSplit=1,EUconst_TJpa,"%"))</f>
        <v>%</v>
      </c>
      <c r="I229" s="1322">
        <v>32.869092972488581</v>
      </c>
      <c r="J229" s="1322">
        <v>32.944586499016815</v>
      </c>
      <c r="K229" s="1322">
        <v>32.986724382008617</v>
      </c>
      <c r="L229" s="1322">
        <v>32.823813593901725</v>
      </c>
      <c r="M229" s="1323">
        <v>32.764732171794883</v>
      </c>
      <c r="N229" s="26"/>
      <c r="O229" s="7"/>
      <c r="P229" s="438" t="str">
        <f>IF(CTRL_InputMethodHeatSubInstSplit=1,EUconst_CNTR_HAL&amp;E229,"")</f>
        <v/>
      </c>
      <c r="Q229" s="721">
        <v>3</v>
      </c>
      <c r="S229" s="723" t="b">
        <f>IF(ISBLANK(INDEX(CNTR_FallBackSubInstRelevant,Q229)),FALSE,IF(INDEX(CNTR_FallBackSubInstRelevant,Q229),FALSE,TRUE))</f>
        <v>0</v>
      </c>
    </row>
    <row r="230" spans="2:21" x14ac:dyDescent="0.2">
      <c r="B230" s="20"/>
      <c r="C230" s="195"/>
      <c r="D230" s="195"/>
      <c r="E230" s="1724" t="str">
        <f>Translations!$B$605</f>
        <v>Liczby wymagające sprawdzenia:</v>
      </c>
      <c r="F230" s="1725"/>
      <c r="G230" s="1725"/>
      <c r="H230" s="180"/>
      <c r="I230" s="181"/>
      <c r="J230" s="181"/>
      <c r="K230" s="181"/>
      <c r="L230" s="181"/>
      <c r="M230" s="181"/>
      <c r="N230" s="20"/>
      <c r="O230" s="7"/>
      <c r="P230" s="648"/>
    </row>
    <row r="231" spans="2:21" ht="25.5" customHeight="1" x14ac:dyDescent="0.2">
      <c r="B231" s="20"/>
      <c r="C231" s="195"/>
      <c r="D231" s="195" t="s">
        <v>6</v>
      </c>
      <c r="E231" s="1726" t="str">
        <f>E227</f>
        <v>Podinstalacja objęta wskaźnikiem emisyjności opartym na cieple, „CL”</v>
      </c>
      <c r="F231" s="1727"/>
      <c r="G231" s="1727"/>
      <c r="H231" s="64" t="str">
        <f>IF(CTRL_InputMethodHeatSubInstSplit=EUconst_NA,EUconst_relOrTJpa,IF(CTRL_InputMethodHeatSubInstSplit=2,EUconst_TJpa,"%"))</f>
        <v>TJ / rok</v>
      </c>
      <c r="I231" s="328">
        <f t="shared" ref="I231:M233" si="10">IF(AND(ISNUMBER(I$215),ISNUMBER(I227),CTRL_InputMethodHeatSubInstSplit&lt;&gt;EUconst_NA),IF(CTRL_InputMethodHeatSubInstSplit=1,I227/I$215*100,I227*I$215/100),"")</f>
        <v>663.67106823104518</v>
      </c>
      <c r="J231" s="328">
        <f t="shared" si="10"/>
        <v>628.23125271862386</v>
      </c>
      <c r="K231" s="328">
        <f t="shared" si="10"/>
        <v>725.31445740656966</v>
      </c>
      <c r="L231" s="328">
        <f t="shared" si="10"/>
        <v>610.92741807413177</v>
      </c>
      <c r="M231" s="328">
        <f t="shared" si="10"/>
        <v>702.52094494868709</v>
      </c>
      <c r="N231" s="7"/>
      <c r="O231" s="7"/>
      <c r="P231" s="438" t="str">
        <f>IF(CTRL_InputMethodHeatSubInstSplit=2,EUconst_CNTR_HAL&amp;E231,"")</f>
        <v>HAL_Podinstalacja objęta wskaźnikiem emisyjności opartym na cieple, „CL”</v>
      </c>
    </row>
    <row r="232" spans="2:21" ht="25.5" customHeight="1" x14ac:dyDescent="0.2">
      <c r="B232" s="20"/>
      <c r="C232" s="195"/>
      <c r="D232" s="195" t="s">
        <v>316</v>
      </c>
      <c r="E232" s="1714" t="str">
        <f>E228</f>
        <v>Podinstalacja objęta wskaźnikiem emisyjności opartym na cieple, „nie-CL”</v>
      </c>
      <c r="F232" s="1715"/>
      <c r="G232" s="1715"/>
      <c r="H232" s="54" t="str">
        <f>IF(CTRL_InputMethodHeatSubInstSplit=EUconst_NA,EUconst_relOrTJpa,IF(CTRL_InputMethodHeatSubInstSplit=2,EUconst_TJpa,"%"))</f>
        <v>TJ / rok</v>
      </c>
      <c r="I232" s="547">
        <f t="shared" si="10"/>
        <v>688.51799635030102</v>
      </c>
      <c r="J232" s="547">
        <f t="shared" si="10"/>
        <v>647.24553979430743</v>
      </c>
      <c r="K232" s="547">
        <f t="shared" si="10"/>
        <v>744.86796245655296</v>
      </c>
      <c r="L232" s="547">
        <f t="shared" si="10"/>
        <v>636.15108326654081</v>
      </c>
      <c r="M232" s="547">
        <f t="shared" si="10"/>
        <v>735.76769914288332</v>
      </c>
      <c r="N232" s="7"/>
      <c r="O232" s="7"/>
      <c r="P232" s="438" t="str">
        <f>IF(CTRL_InputMethodHeatSubInstSplit=2,EUconst_CNTR_HAL&amp;E232,"")</f>
        <v>HAL_Podinstalacja objęta wskaźnikiem emisyjności opartym na cieple, „nie-CL”</v>
      </c>
    </row>
    <row r="233" spans="2:21" ht="25.5" customHeight="1" x14ac:dyDescent="0.2">
      <c r="B233" s="20"/>
      <c r="C233" s="195"/>
      <c r="D233" s="425" t="s">
        <v>317</v>
      </c>
      <c r="E233" s="1712" t="str">
        <f>E229</f>
        <v>Podinstalacja sieci ciepłowniczej</v>
      </c>
      <c r="F233" s="1713"/>
      <c r="G233" s="1713"/>
      <c r="H233" s="55" t="str">
        <f>IF(CTRL_InputMethodHeatSubInstSplit=EUconst_NA,EUconst_relOrTJpa,IF(CTRL_InputMethodHeatSubInstSplit=2,EUconst_TJpa,"%"))</f>
        <v>TJ / rok</v>
      </c>
      <c r="I233" s="327">
        <f t="shared" si="10"/>
        <v>662.06804061044795</v>
      </c>
      <c r="J233" s="327">
        <f t="shared" si="10"/>
        <v>626.64672879565023</v>
      </c>
      <c r="K233" s="327">
        <f t="shared" si="10"/>
        <v>723.68499865240449</v>
      </c>
      <c r="L233" s="327">
        <f t="shared" si="10"/>
        <v>609.35093899960611</v>
      </c>
      <c r="M233" s="327">
        <f t="shared" si="10"/>
        <v>700.89915206116541</v>
      </c>
      <c r="N233" s="26"/>
      <c r="O233" s="7"/>
      <c r="P233" s="438" t="str">
        <f>IF(CTRL_InputMethodHeatSubInstSplit=2,EUconst_CNTR_HAL&amp;E233,"")</f>
        <v>HAL_Podinstalacja sieci ciepłowniczej</v>
      </c>
    </row>
    <row r="234" spans="2:21" x14ac:dyDescent="0.2">
      <c r="B234" s="20"/>
      <c r="C234" s="20"/>
      <c r="D234" s="20"/>
      <c r="E234" s="20"/>
      <c r="F234" s="20"/>
      <c r="G234" s="20"/>
      <c r="H234" s="20"/>
      <c r="I234" s="20"/>
      <c r="J234" s="20"/>
      <c r="K234" s="20"/>
      <c r="L234" s="20"/>
      <c r="M234" s="20"/>
      <c r="N234" s="20"/>
      <c r="O234" s="7"/>
    </row>
    <row r="235" spans="2:21" ht="15.75" x14ac:dyDescent="0.25">
      <c r="B235" s="3"/>
      <c r="C235" s="12" t="s">
        <v>357</v>
      </c>
      <c r="D235" s="1716" t="str">
        <f>Translations!$B$606</f>
        <v>Bilans gazów odlotowych</v>
      </c>
      <c r="E235" s="1716"/>
      <c r="F235" s="1716"/>
      <c r="G235" s="1716"/>
      <c r="H235" s="1716"/>
      <c r="I235" s="1716"/>
      <c r="J235" s="1716"/>
      <c r="K235" s="1716"/>
      <c r="L235" s="1716"/>
      <c r="M235" s="1716"/>
      <c r="N235" s="1716"/>
      <c r="O235" s="7"/>
      <c r="P235" s="626"/>
    </row>
    <row r="236" spans="2:21" ht="5.0999999999999996" customHeight="1" x14ac:dyDescent="0.2">
      <c r="B236" s="3"/>
      <c r="C236" s="3"/>
      <c r="D236" s="3"/>
      <c r="E236" s="3"/>
      <c r="F236" s="3"/>
      <c r="G236" s="3"/>
      <c r="H236" s="3"/>
      <c r="I236" s="3"/>
      <c r="J236" s="3"/>
      <c r="K236" s="3"/>
      <c r="L236" s="3"/>
      <c r="M236" s="7"/>
      <c r="N236" s="7"/>
      <c r="O236" s="7"/>
      <c r="P236" s="626"/>
    </row>
    <row r="237" spans="2:21" ht="15" customHeight="1" x14ac:dyDescent="0.25">
      <c r="B237" s="3"/>
      <c r="C237" s="18"/>
      <c r="D237" s="1439" t="str">
        <f>Translations!$B$607</f>
        <v>Pełny bilans gazów odlotowych w instalacji</v>
      </c>
      <c r="E237" s="1370"/>
      <c r="F237" s="1370"/>
      <c r="G237" s="1370"/>
      <c r="H237" s="1370"/>
      <c r="I237" s="1370"/>
      <c r="J237" s="1370"/>
      <c r="K237" s="1370"/>
      <c r="L237" s="1370"/>
      <c r="M237" s="1370"/>
      <c r="N237" s="1370"/>
      <c r="O237" s="7"/>
      <c r="P237" s="626"/>
    </row>
    <row r="238" spans="2:21" ht="25.5" customHeight="1" x14ac:dyDescent="0.2">
      <c r="B238" s="3"/>
      <c r="C238" s="3"/>
      <c r="D238" s="1664" t="str">
        <f>Translations!$B$608</f>
        <v>Bilans ten jest wykorzystywany głównie na potrzeby weryfikacji spójności między powiązanymi wpisami dokonanymi w „narzędziu dotyczącym gazów odlotowych” w części D.IV oraz bilansów gazów odlotowych na poziomie podinstalacji w arkuszach F i G.</v>
      </c>
      <c r="E238" s="1647"/>
      <c r="F238" s="1647"/>
      <c r="G238" s="1647"/>
      <c r="H238" s="1647"/>
      <c r="I238" s="1647"/>
      <c r="J238" s="1647"/>
      <c r="K238" s="1647"/>
      <c r="L238" s="1647"/>
      <c r="M238" s="1647"/>
      <c r="N238" s="1647"/>
      <c r="O238" s="7"/>
      <c r="P238" s="626"/>
    </row>
    <row r="239" spans="2:21" ht="12.75" customHeight="1" x14ac:dyDescent="0.2">
      <c r="B239" s="3"/>
      <c r="C239" s="3"/>
      <c r="D239" s="1664" t="str">
        <f>Translations!$B$609</f>
        <v>W miarę możliwości poniższe części są automatycznie uzupełniane danymi wprowadzonymi w tych częściach.</v>
      </c>
      <c r="E239" s="1647"/>
      <c r="F239" s="1647"/>
      <c r="G239" s="1647"/>
      <c r="H239" s="1647"/>
      <c r="I239" s="1647"/>
      <c r="J239" s="1647"/>
      <c r="K239" s="1647"/>
      <c r="L239" s="1647"/>
      <c r="M239" s="1647"/>
      <c r="N239" s="1647"/>
      <c r="O239" s="7"/>
      <c r="P239" s="626"/>
    </row>
    <row r="240" spans="2:21" ht="5.0999999999999996" customHeight="1" x14ac:dyDescent="0.2">
      <c r="B240" s="3"/>
      <c r="C240" s="3"/>
      <c r="D240" s="3"/>
      <c r="E240" s="3"/>
      <c r="F240" s="3"/>
      <c r="G240" s="3"/>
      <c r="H240" s="3"/>
      <c r="I240" s="3"/>
      <c r="J240" s="3"/>
      <c r="K240" s="3"/>
      <c r="L240" s="3"/>
      <c r="M240" s="3"/>
      <c r="N240" s="3"/>
      <c r="O240" s="7"/>
      <c r="P240" s="626"/>
    </row>
    <row r="241" spans="1:19" ht="12.75" customHeight="1" x14ac:dyDescent="0.2">
      <c r="A241" s="2"/>
      <c r="B241" s="3"/>
      <c r="C241" s="3"/>
      <c r="D241" s="722"/>
      <c r="E241" s="1466" t="str">
        <f>Translations!$B$610</f>
        <v>Czy jakiekolwiek gazy odlotowe są wytwarzane lub zużywane w instalacji, wprowadzane do instalacji lub z niej wyprowadzane?</v>
      </c>
      <c r="F241" s="1466"/>
      <c r="G241" s="1466"/>
      <c r="H241" s="1466"/>
      <c r="I241" s="1466"/>
      <c r="J241" s="1466"/>
      <c r="K241" s="1466"/>
      <c r="L241" s="1603"/>
      <c r="M241" s="964" t="b">
        <v>0</v>
      </c>
      <c r="N241" s="7"/>
      <c r="O241" s="7"/>
      <c r="P241" s="8"/>
      <c r="Q241" s="2"/>
      <c r="R241" s="2"/>
      <c r="S241" s="2"/>
    </row>
    <row r="242" spans="1:19" ht="12.75" customHeight="1" x14ac:dyDescent="0.2">
      <c r="B242" s="3"/>
      <c r="C242" s="3"/>
      <c r="D242" s="3"/>
      <c r="E242" s="1658" t="str">
        <f>IF(AND(M241&lt;&gt;"",M241=FALSE),HYPERLINK(Q242,EUconst_MsgGoOn),HYPERLINK("",EUconst_MsgEnterThisSection))</f>
        <v>Proszę przejść do kolejnych punktów poniżej</v>
      </c>
      <c r="F242" s="1659"/>
      <c r="G242" s="1659"/>
      <c r="H242" s="1659"/>
      <c r="I242" s="1659"/>
      <c r="J242" s="1659"/>
      <c r="K242" s="1659"/>
      <c r="L242" s="1659"/>
      <c r="M242" s="1660"/>
      <c r="N242" s="3"/>
      <c r="O242" s="7"/>
      <c r="P242" s="2" t="s">
        <v>199</v>
      </c>
      <c r="Q242" s="346" t="str">
        <f>"#"&amp;ADDRESS(ROW(C341),COLUMN(C341))</f>
        <v>#$C$341</v>
      </c>
    </row>
    <row r="243" spans="1:19" x14ac:dyDescent="0.2">
      <c r="A243" s="2"/>
      <c r="B243" s="20"/>
      <c r="C243" s="20"/>
      <c r="D243" s="20"/>
      <c r="E243" s="1408" t="str">
        <f>Translations!$B$611</f>
        <v>Jeśli wartość tej komórki to „Fałsz”, wpisy w tym miejscu nie mają znaczenia i można przejść do następnego punktu poniżej.</v>
      </c>
      <c r="F243" s="1370"/>
      <c r="G243" s="1370"/>
      <c r="H243" s="1370"/>
      <c r="I243" s="1370"/>
      <c r="J243" s="1370"/>
      <c r="K243" s="1370"/>
      <c r="L243" s="1370"/>
      <c r="M243" s="1370"/>
      <c r="N243" s="1370"/>
      <c r="O243" s="7"/>
      <c r="P243" s="437"/>
    </row>
    <row r="244" spans="1:19" ht="5.0999999999999996" customHeight="1" x14ac:dyDescent="0.2">
      <c r="B244" s="3"/>
      <c r="C244" s="3"/>
      <c r="D244" s="3"/>
      <c r="E244" s="3"/>
      <c r="F244" s="3"/>
      <c r="G244" s="3"/>
      <c r="H244" s="3"/>
      <c r="I244" s="3"/>
      <c r="J244" s="3"/>
      <c r="K244" s="3"/>
      <c r="L244" s="3"/>
      <c r="M244" s="7"/>
      <c r="N244" s="7"/>
      <c r="O244" s="7"/>
      <c r="P244" s="626"/>
    </row>
    <row r="245" spans="1:19" ht="25.5" customHeight="1" x14ac:dyDescent="0.2">
      <c r="B245" s="3"/>
      <c r="C245" s="14"/>
      <c r="D245" s="14" t="s">
        <v>173</v>
      </c>
      <c r="E245" s="1653" t="str">
        <f>Translations!$B$612</f>
        <v>Gazy odlotowe wytworzone w granicach systemowych podinstalacji objętej wskaźnikiem emisyjności dla produktów</v>
      </c>
      <c r="F245" s="1647"/>
      <c r="G245" s="1647"/>
      <c r="H245" s="1647"/>
      <c r="I245" s="1647"/>
      <c r="J245" s="1647"/>
      <c r="K245" s="1647"/>
      <c r="L245" s="1647"/>
      <c r="M245" s="1647"/>
      <c r="N245" s="1647"/>
      <c r="O245" s="7"/>
      <c r="P245" s="626"/>
    </row>
    <row r="246" spans="1:19" ht="12.75" customHeight="1" x14ac:dyDescent="0.2">
      <c r="B246" s="3"/>
      <c r="C246" s="16"/>
      <c r="D246" s="16"/>
      <c r="E246" s="1646" t="str">
        <f>Translations!$B$613</f>
        <v>Informacje pobrano z części F. lit) l ppkt (v). Jeżeli dotyczy, należy upewnić się, że wprowadzili tam Państwo kompletne dane.</v>
      </c>
      <c r="F246" s="1647"/>
      <c r="G246" s="1647"/>
      <c r="H246" s="1647"/>
      <c r="I246" s="1647"/>
      <c r="J246" s="1647"/>
      <c r="K246" s="1647"/>
      <c r="L246" s="1647"/>
      <c r="M246" s="1647"/>
      <c r="N246" s="1647"/>
      <c r="O246" s="7"/>
      <c r="P246" s="626"/>
    </row>
    <row r="247" spans="1:19" x14ac:dyDescent="0.2">
      <c r="B247" s="20"/>
      <c r="C247" s="20"/>
      <c r="D247" s="20"/>
      <c r="E247" s="1650" t="str">
        <f>Translations!$B$614</f>
        <v>Podinstalacja</v>
      </c>
      <c r="F247" s="1651"/>
      <c r="G247" s="1651"/>
      <c r="H247" s="34" t="str">
        <f>EUconst_Unit</f>
        <v>Jednostka</v>
      </c>
      <c r="I247" s="396">
        <f>I$380</f>
        <v>2014</v>
      </c>
      <c r="J247" s="396">
        <f>J$380</f>
        <v>2015</v>
      </c>
      <c r="K247" s="396">
        <f>K$380</f>
        <v>2016</v>
      </c>
      <c r="L247" s="396">
        <f>L$380</f>
        <v>2017</v>
      </c>
      <c r="M247" s="421">
        <f>M$380</f>
        <v>2018</v>
      </c>
      <c r="N247" s="570"/>
      <c r="O247" s="7"/>
    </row>
    <row r="248" spans="1:19" x14ac:dyDescent="0.2">
      <c r="B248" s="20"/>
      <c r="C248" s="20"/>
      <c r="D248" s="195" t="s">
        <v>2</v>
      </c>
      <c r="E248" s="1672" t="str">
        <f t="shared" ref="E248:E257" si="11">E135</f>
        <v/>
      </c>
      <c r="F248" s="1672"/>
      <c r="G248" s="1672"/>
      <c r="H248" s="27" t="str">
        <f t="shared" ref="H248:H258" si="12">EUconst_TJpa</f>
        <v>TJ / rok</v>
      </c>
      <c r="I248" s="703" t="str">
        <f>IF(SUMIF(F_ProductBM!$P:$P,$P248,F_ProductBM!I:I)&gt;0,SUMIF(F_ProductBM!$P:$P,$P248,F_ProductBM!I:I),"")</f>
        <v/>
      </c>
      <c r="J248" s="703" t="str">
        <f>IF(SUMIF(F_ProductBM!$P:$P,$P248,F_ProductBM!J:J)&gt;0,SUMIF(F_ProductBM!$P:$P,$P248,F_ProductBM!J:J),"")</f>
        <v/>
      </c>
      <c r="K248" s="703" t="str">
        <f>IF(SUMIF(F_ProductBM!$P:$P,$P248,F_ProductBM!K:K)&gt;0,SUMIF(F_ProductBM!$P:$P,$P248,F_ProductBM!K:K),"")</f>
        <v/>
      </c>
      <c r="L248" s="703" t="str">
        <f>IF(SUMIF(F_ProductBM!$P:$P,$P248,F_ProductBM!L:L)&gt;0,SUMIF(F_ProductBM!$P:$P,$P248,F_ProductBM!L:L),"")</f>
        <v/>
      </c>
      <c r="M248" s="703" t="str">
        <f>IF(SUMIF(F_ProductBM!$P:$P,$P248,F_ProductBM!M:M)&gt;0,SUMIF(F_ProductBM!$P:$P,$P248,F_ProductBM!M:M),"")</f>
        <v/>
      </c>
      <c r="N248" s="7"/>
      <c r="O248" s="7"/>
      <c r="P248" s="438" t="str">
        <f t="shared" ref="P248:P257" si="13">EUconst_CNTR_WGProduced &amp; E248</f>
        <v>WasteGasProd_</v>
      </c>
    </row>
    <row r="249" spans="1:19" x14ac:dyDescent="0.2">
      <c r="B249" s="20"/>
      <c r="C249" s="20"/>
      <c r="D249" s="195" t="s">
        <v>3</v>
      </c>
      <c r="E249" s="1673" t="str">
        <f t="shared" si="11"/>
        <v/>
      </c>
      <c r="F249" s="1673"/>
      <c r="G249" s="1673"/>
      <c r="H249" s="28" t="str">
        <f t="shared" si="12"/>
        <v>TJ / rok</v>
      </c>
      <c r="I249" s="511" t="str">
        <f>IF(SUMIF(F_ProductBM!$P:$P,$P249,F_ProductBM!I:I)&gt;0,SUMIF(F_ProductBM!$P:$P,$P249,F_ProductBM!I:I),"")</f>
        <v/>
      </c>
      <c r="J249" s="511" t="str">
        <f>IF(SUMIF(F_ProductBM!$P:$P,$P249,F_ProductBM!J:J)&gt;0,SUMIF(F_ProductBM!$P:$P,$P249,F_ProductBM!J:J),"")</f>
        <v/>
      </c>
      <c r="K249" s="511" t="str">
        <f>IF(SUMIF(F_ProductBM!$P:$P,$P249,F_ProductBM!K:K)&gt;0,SUMIF(F_ProductBM!$P:$P,$P249,F_ProductBM!K:K),"")</f>
        <v/>
      </c>
      <c r="L249" s="511" t="str">
        <f>IF(SUMIF(F_ProductBM!$P:$P,$P249,F_ProductBM!L:L)&gt;0,SUMIF(F_ProductBM!$P:$P,$P249,F_ProductBM!L:L),"")</f>
        <v/>
      </c>
      <c r="M249" s="511" t="str">
        <f>IF(SUMIF(F_ProductBM!$P:$P,$P249,F_ProductBM!M:M)&gt;0,SUMIF(F_ProductBM!$P:$P,$P249,F_ProductBM!M:M),"")</f>
        <v/>
      </c>
      <c r="N249" s="7"/>
      <c r="O249" s="7"/>
      <c r="P249" s="438" t="str">
        <f t="shared" si="13"/>
        <v>WasteGasProd_</v>
      </c>
    </row>
    <row r="250" spans="1:19" x14ac:dyDescent="0.2">
      <c r="B250" s="20"/>
      <c r="C250" s="20"/>
      <c r="D250" s="195" t="s">
        <v>4</v>
      </c>
      <c r="E250" s="1673" t="str">
        <f t="shared" si="11"/>
        <v/>
      </c>
      <c r="F250" s="1673"/>
      <c r="G250" s="1673"/>
      <c r="H250" s="28" t="str">
        <f t="shared" si="12"/>
        <v>TJ / rok</v>
      </c>
      <c r="I250" s="511" t="str">
        <f>IF(SUMIF(F_ProductBM!$P:$P,$P250,F_ProductBM!I:I)&gt;0,SUMIF(F_ProductBM!$P:$P,$P250,F_ProductBM!I:I),"")</f>
        <v/>
      </c>
      <c r="J250" s="511" t="str">
        <f>IF(SUMIF(F_ProductBM!$P:$P,$P250,F_ProductBM!J:J)&gt;0,SUMIF(F_ProductBM!$P:$P,$P250,F_ProductBM!J:J),"")</f>
        <v/>
      </c>
      <c r="K250" s="511" t="str">
        <f>IF(SUMIF(F_ProductBM!$P:$P,$P250,F_ProductBM!K:K)&gt;0,SUMIF(F_ProductBM!$P:$P,$P250,F_ProductBM!K:K),"")</f>
        <v/>
      </c>
      <c r="L250" s="511" t="str">
        <f>IF(SUMIF(F_ProductBM!$P:$P,$P250,F_ProductBM!L:L)&gt;0,SUMIF(F_ProductBM!$P:$P,$P250,F_ProductBM!L:L),"")</f>
        <v/>
      </c>
      <c r="M250" s="511" t="str">
        <f>IF(SUMIF(F_ProductBM!$P:$P,$P250,F_ProductBM!M:M)&gt;0,SUMIF(F_ProductBM!$P:$P,$P250,F_ProductBM!M:M),"")</f>
        <v/>
      </c>
      <c r="N250" s="7"/>
      <c r="O250" s="7"/>
      <c r="P250" s="438" t="str">
        <f t="shared" si="13"/>
        <v>WasteGasProd_</v>
      </c>
    </row>
    <row r="251" spans="1:19" x14ac:dyDescent="0.2">
      <c r="B251" s="20"/>
      <c r="C251" s="20"/>
      <c r="D251" s="195" t="s">
        <v>6</v>
      </c>
      <c r="E251" s="1673" t="str">
        <f t="shared" si="11"/>
        <v/>
      </c>
      <c r="F251" s="1673"/>
      <c r="G251" s="1673"/>
      <c r="H251" s="28" t="str">
        <f t="shared" si="12"/>
        <v>TJ / rok</v>
      </c>
      <c r="I251" s="511" t="str">
        <f>IF(SUMIF(F_ProductBM!$P:$P,$P251,F_ProductBM!I:I)&gt;0,SUMIF(F_ProductBM!$P:$P,$P251,F_ProductBM!I:I),"")</f>
        <v/>
      </c>
      <c r="J251" s="511" t="str">
        <f>IF(SUMIF(F_ProductBM!$P:$P,$P251,F_ProductBM!J:J)&gt;0,SUMIF(F_ProductBM!$P:$P,$P251,F_ProductBM!J:J),"")</f>
        <v/>
      </c>
      <c r="K251" s="511" t="str">
        <f>IF(SUMIF(F_ProductBM!$P:$P,$P251,F_ProductBM!K:K)&gt;0,SUMIF(F_ProductBM!$P:$P,$P251,F_ProductBM!K:K),"")</f>
        <v/>
      </c>
      <c r="L251" s="511" t="str">
        <f>IF(SUMIF(F_ProductBM!$P:$P,$P251,F_ProductBM!L:L)&gt;0,SUMIF(F_ProductBM!$P:$P,$P251,F_ProductBM!L:L),"")</f>
        <v/>
      </c>
      <c r="M251" s="511" t="str">
        <f>IF(SUMIF(F_ProductBM!$P:$P,$P251,F_ProductBM!M:M)&gt;0,SUMIF(F_ProductBM!$P:$P,$P251,F_ProductBM!M:M),"")</f>
        <v/>
      </c>
      <c r="N251" s="7"/>
      <c r="O251" s="7"/>
      <c r="P251" s="438" t="str">
        <f t="shared" si="13"/>
        <v>WasteGasProd_</v>
      </c>
    </row>
    <row r="252" spans="1:19" x14ac:dyDescent="0.2">
      <c r="B252" s="20"/>
      <c r="C252" s="20"/>
      <c r="D252" s="425" t="s">
        <v>316</v>
      </c>
      <c r="E252" s="1673" t="str">
        <f t="shared" si="11"/>
        <v/>
      </c>
      <c r="F252" s="1673"/>
      <c r="G252" s="1673"/>
      <c r="H252" s="28" t="str">
        <f t="shared" si="12"/>
        <v>TJ / rok</v>
      </c>
      <c r="I252" s="511" t="str">
        <f>IF(SUMIF(F_ProductBM!$P:$P,$P252,F_ProductBM!I:I)&gt;0,SUMIF(F_ProductBM!$P:$P,$P252,F_ProductBM!I:I),"")</f>
        <v/>
      </c>
      <c r="J252" s="511" t="str">
        <f>IF(SUMIF(F_ProductBM!$P:$P,$P252,F_ProductBM!J:J)&gt;0,SUMIF(F_ProductBM!$P:$P,$P252,F_ProductBM!J:J),"")</f>
        <v/>
      </c>
      <c r="K252" s="511" t="str">
        <f>IF(SUMIF(F_ProductBM!$P:$P,$P252,F_ProductBM!K:K)&gt;0,SUMIF(F_ProductBM!$P:$P,$P252,F_ProductBM!K:K),"")</f>
        <v/>
      </c>
      <c r="L252" s="511" t="str">
        <f>IF(SUMIF(F_ProductBM!$P:$P,$P252,F_ProductBM!L:L)&gt;0,SUMIF(F_ProductBM!$P:$P,$P252,F_ProductBM!L:L),"")</f>
        <v/>
      </c>
      <c r="M252" s="511" t="str">
        <f>IF(SUMIF(F_ProductBM!$P:$P,$P252,F_ProductBM!M:M)&gt;0,SUMIF(F_ProductBM!$P:$P,$P252,F_ProductBM!M:M),"")</f>
        <v/>
      </c>
      <c r="N252" s="7"/>
      <c r="O252" s="7"/>
      <c r="P252" s="438" t="str">
        <f t="shared" si="13"/>
        <v>WasteGasProd_</v>
      </c>
    </row>
    <row r="253" spans="1:19" x14ac:dyDescent="0.2">
      <c r="B253" s="20"/>
      <c r="C253" s="20"/>
      <c r="D253" s="425" t="s">
        <v>317</v>
      </c>
      <c r="E253" s="1673" t="str">
        <f t="shared" si="11"/>
        <v/>
      </c>
      <c r="F253" s="1673"/>
      <c r="G253" s="1673"/>
      <c r="H253" s="28" t="str">
        <f t="shared" si="12"/>
        <v>TJ / rok</v>
      </c>
      <c r="I253" s="511" t="str">
        <f>IF(SUMIF(F_ProductBM!$P:$P,$P253,F_ProductBM!I:I)&gt;0,SUMIF(F_ProductBM!$P:$P,$P253,F_ProductBM!I:I),"")</f>
        <v/>
      </c>
      <c r="J253" s="511" t="str">
        <f>IF(SUMIF(F_ProductBM!$P:$P,$P253,F_ProductBM!J:J)&gt;0,SUMIF(F_ProductBM!$P:$P,$P253,F_ProductBM!J:J),"")</f>
        <v/>
      </c>
      <c r="K253" s="511" t="str">
        <f>IF(SUMIF(F_ProductBM!$P:$P,$P253,F_ProductBM!K:K)&gt;0,SUMIF(F_ProductBM!$P:$P,$P253,F_ProductBM!K:K),"")</f>
        <v/>
      </c>
      <c r="L253" s="511" t="str">
        <f>IF(SUMIF(F_ProductBM!$P:$P,$P253,F_ProductBM!L:L)&gt;0,SUMIF(F_ProductBM!$P:$P,$P253,F_ProductBM!L:L),"")</f>
        <v/>
      </c>
      <c r="M253" s="511" t="str">
        <f>IF(SUMIF(F_ProductBM!$P:$P,$P253,F_ProductBM!M:M)&gt;0,SUMIF(F_ProductBM!$P:$P,$P253,F_ProductBM!M:M),"")</f>
        <v/>
      </c>
      <c r="N253" s="7"/>
      <c r="O253" s="7"/>
      <c r="P253" s="438" t="str">
        <f t="shared" si="13"/>
        <v>WasteGasProd_</v>
      </c>
    </row>
    <row r="254" spans="1:19" x14ac:dyDescent="0.2">
      <c r="B254" s="20"/>
      <c r="C254" s="20"/>
      <c r="D254" s="425" t="s">
        <v>318</v>
      </c>
      <c r="E254" s="1673" t="str">
        <f t="shared" si="11"/>
        <v/>
      </c>
      <c r="F254" s="1673"/>
      <c r="G254" s="1673"/>
      <c r="H254" s="28" t="str">
        <f t="shared" si="12"/>
        <v>TJ / rok</v>
      </c>
      <c r="I254" s="511" t="str">
        <f>IF(SUMIF(F_ProductBM!$P:$P,$P254,F_ProductBM!I:I)&gt;0,SUMIF(F_ProductBM!$P:$P,$P254,F_ProductBM!I:I),"")</f>
        <v/>
      </c>
      <c r="J254" s="511" t="str">
        <f>IF(SUMIF(F_ProductBM!$P:$P,$P254,F_ProductBM!J:J)&gt;0,SUMIF(F_ProductBM!$P:$P,$P254,F_ProductBM!J:J),"")</f>
        <v/>
      </c>
      <c r="K254" s="511" t="str">
        <f>IF(SUMIF(F_ProductBM!$P:$P,$P254,F_ProductBM!K:K)&gt;0,SUMIF(F_ProductBM!$P:$P,$P254,F_ProductBM!K:K),"")</f>
        <v/>
      </c>
      <c r="L254" s="511" t="str">
        <f>IF(SUMIF(F_ProductBM!$P:$P,$P254,F_ProductBM!L:L)&gt;0,SUMIF(F_ProductBM!$P:$P,$P254,F_ProductBM!L:L),"")</f>
        <v/>
      </c>
      <c r="M254" s="511" t="str">
        <f>IF(SUMIF(F_ProductBM!$P:$P,$P254,F_ProductBM!M:M)&gt;0,SUMIF(F_ProductBM!$P:$P,$P254,F_ProductBM!M:M),"")</f>
        <v/>
      </c>
      <c r="N254" s="7"/>
      <c r="O254" s="7"/>
      <c r="P254" s="438" t="str">
        <f t="shared" si="13"/>
        <v>WasteGasProd_</v>
      </c>
    </row>
    <row r="255" spans="1:19" x14ac:dyDescent="0.2">
      <c r="B255" s="20"/>
      <c r="C255" s="20"/>
      <c r="D255" s="425" t="s">
        <v>319</v>
      </c>
      <c r="E255" s="1673" t="str">
        <f t="shared" si="11"/>
        <v/>
      </c>
      <c r="F255" s="1673"/>
      <c r="G255" s="1673"/>
      <c r="H255" s="28" t="str">
        <f t="shared" si="12"/>
        <v>TJ / rok</v>
      </c>
      <c r="I255" s="511" t="str">
        <f>IF(SUMIF(F_ProductBM!$P:$P,$P255,F_ProductBM!I:I)&gt;0,SUMIF(F_ProductBM!$P:$P,$P255,F_ProductBM!I:I),"")</f>
        <v/>
      </c>
      <c r="J255" s="511" t="str">
        <f>IF(SUMIF(F_ProductBM!$P:$P,$P255,F_ProductBM!J:J)&gt;0,SUMIF(F_ProductBM!$P:$P,$P255,F_ProductBM!J:J),"")</f>
        <v/>
      </c>
      <c r="K255" s="511" t="str">
        <f>IF(SUMIF(F_ProductBM!$P:$P,$P255,F_ProductBM!K:K)&gt;0,SUMIF(F_ProductBM!$P:$P,$P255,F_ProductBM!K:K),"")</f>
        <v/>
      </c>
      <c r="L255" s="511" t="str">
        <f>IF(SUMIF(F_ProductBM!$P:$P,$P255,F_ProductBM!L:L)&gt;0,SUMIF(F_ProductBM!$P:$P,$P255,F_ProductBM!L:L),"")</f>
        <v/>
      </c>
      <c r="M255" s="511" t="str">
        <f>IF(SUMIF(F_ProductBM!$P:$P,$P255,F_ProductBM!M:M)&gt;0,SUMIF(F_ProductBM!$P:$P,$P255,F_ProductBM!M:M),"")</f>
        <v/>
      </c>
      <c r="N255" s="7"/>
      <c r="O255" s="7"/>
      <c r="P255" s="438" t="str">
        <f t="shared" si="13"/>
        <v>WasteGasProd_</v>
      </c>
    </row>
    <row r="256" spans="1:19" x14ac:dyDescent="0.2">
      <c r="B256" s="20"/>
      <c r="C256" s="20"/>
      <c r="D256" s="425" t="s">
        <v>320</v>
      </c>
      <c r="E256" s="1673" t="str">
        <f t="shared" si="11"/>
        <v/>
      </c>
      <c r="F256" s="1673"/>
      <c r="G256" s="1673"/>
      <c r="H256" s="28" t="str">
        <f t="shared" si="12"/>
        <v>TJ / rok</v>
      </c>
      <c r="I256" s="511" t="str">
        <f>IF(SUMIF(F_ProductBM!$P:$P,$P256,F_ProductBM!I:I)&gt;0,SUMIF(F_ProductBM!$P:$P,$P256,F_ProductBM!I:I),"")</f>
        <v/>
      </c>
      <c r="J256" s="511" t="str">
        <f>IF(SUMIF(F_ProductBM!$P:$P,$P256,F_ProductBM!J:J)&gt;0,SUMIF(F_ProductBM!$P:$P,$P256,F_ProductBM!J:J),"")</f>
        <v/>
      </c>
      <c r="K256" s="511" t="str">
        <f>IF(SUMIF(F_ProductBM!$P:$P,$P256,F_ProductBM!K:K)&gt;0,SUMIF(F_ProductBM!$P:$P,$P256,F_ProductBM!K:K),"")</f>
        <v/>
      </c>
      <c r="L256" s="511" t="str">
        <f>IF(SUMIF(F_ProductBM!$P:$P,$P256,F_ProductBM!L:L)&gt;0,SUMIF(F_ProductBM!$P:$P,$P256,F_ProductBM!L:L),"")</f>
        <v/>
      </c>
      <c r="M256" s="511" t="str">
        <f>IF(SUMIF(F_ProductBM!$P:$P,$P256,F_ProductBM!M:M)&gt;0,SUMIF(F_ProductBM!$P:$P,$P256,F_ProductBM!M:M),"")</f>
        <v/>
      </c>
      <c r="N256" s="7"/>
      <c r="O256" s="7"/>
      <c r="P256" s="438" t="str">
        <f t="shared" si="13"/>
        <v>WasteGasProd_</v>
      </c>
    </row>
    <row r="257" spans="2:17" x14ac:dyDescent="0.2">
      <c r="B257" s="20"/>
      <c r="C257" s="20"/>
      <c r="D257" s="425" t="s">
        <v>16</v>
      </c>
      <c r="E257" s="1723" t="str">
        <f t="shared" si="11"/>
        <v/>
      </c>
      <c r="F257" s="1723"/>
      <c r="G257" s="1723"/>
      <c r="H257" s="30" t="str">
        <f t="shared" si="12"/>
        <v>TJ / rok</v>
      </c>
      <c r="I257" s="704" t="str">
        <f>IF(SUMIF(F_ProductBM!$P:$P,$P257,F_ProductBM!I:I)&gt;0,SUMIF(F_ProductBM!$P:$P,$P257,F_ProductBM!I:I),"")</f>
        <v/>
      </c>
      <c r="J257" s="704" t="str">
        <f>IF(SUMIF(F_ProductBM!$P:$P,$P257,F_ProductBM!J:J)&gt;0,SUMIF(F_ProductBM!$P:$P,$P257,F_ProductBM!J:J),"")</f>
        <v/>
      </c>
      <c r="K257" s="704" t="str">
        <f>IF(SUMIF(F_ProductBM!$P:$P,$P257,F_ProductBM!K:K)&gt;0,SUMIF(F_ProductBM!$P:$P,$P257,F_ProductBM!K:K),"")</f>
        <v/>
      </c>
      <c r="L257" s="704" t="str">
        <f>IF(SUMIF(F_ProductBM!$P:$P,$P257,F_ProductBM!L:L)&gt;0,SUMIF(F_ProductBM!$P:$P,$P257,F_ProductBM!L:L),"")</f>
        <v/>
      </c>
      <c r="M257" s="704" t="str">
        <f>IF(SUMIF(F_ProductBM!$P:$P,$P257,F_ProductBM!M:M)&gt;0,SUMIF(F_ProductBM!$P:$P,$P257,F_ProductBM!M:M),"")</f>
        <v/>
      </c>
      <c r="N257" s="7"/>
      <c r="O257" s="7"/>
      <c r="P257" s="438" t="str">
        <f t="shared" si="13"/>
        <v>WasteGasProd_</v>
      </c>
    </row>
    <row r="258" spans="2:17" ht="12.75" customHeight="1" x14ac:dyDescent="0.2">
      <c r="B258" s="20"/>
      <c r="C258" s="20"/>
      <c r="D258" s="425" t="s">
        <v>17</v>
      </c>
      <c r="E258" s="1652" t="str">
        <f>Translations!$B$536</f>
        <v>Suma częściowa</v>
      </c>
      <c r="F258" s="1652"/>
      <c r="G258" s="1652"/>
      <c r="H258" s="48" t="str">
        <f t="shared" si="12"/>
        <v>TJ / rok</v>
      </c>
      <c r="I258" s="311" t="str">
        <f>IF(COUNT(I248:I257)&gt;0,SUM(I248:I257),"")</f>
        <v/>
      </c>
      <c r="J258" s="311" t="str">
        <f>IF(COUNT(J248:J257)&gt;0,SUM(J248:J257),"")</f>
        <v/>
      </c>
      <c r="K258" s="311" t="str">
        <f>IF(COUNT(K248:K257)&gt;0,SUM(K248:K257),"")</f>
        <v/>
      </c>
      <c r="L258" s="311" t="str">
        <f>IF(COUNT(L248:L257)&gt;0,SUM(L248:L257),"")</f>
        <v/>
      </c>
      <c r="M258" s="311" t="str">
        <f>IF(COUNT(M248:M257)&gt;0,SUM(M248:M257),"")</f>
        <v/>
      </c>
      <c r="N258" s="7"/>
      <c r="O258" s="7"/>
    </row>
    <row r="259" spans="2:17" ht="5.0999999999999996" customHeight="1" x14ac:dyDescent="0.2">
      <c r="B259" s="3"/>
      <c r="C259" s="3"/>
      <c r="D259" s="3"/>
      <c r="E259" s="3"/>
      <c r="F259" s="3"/>
      <c r="G259" s="3"/>
      <c r="H259" s="3"/>
      <c r="I259" s="3"/>
      <c r="J259" s="3"/>
      <c r="K259" s="3"/>
      <c r="L259" s="3"/>
      <c r="M259" s="3"/>
      <c r="N259" s="3"/>
      <c r="O259" s="7"/>
      <c r="P259" s="626"/>
    </row>
    <row r="260" spans="2:17" ht="25.5" customHeight="1" x14ac:dyDescent="0.2">
      <c r="B260" s="3"/>
      <c r="C260" s="14"/>
      <c r="D260" s="14" t="s">
        <v>353</v>
      </c>
      <c r="E260" s="1653" t="str">
        <f>Translations!$B$615</f>
        <v>Gazy odlotowe wytworzone poza granicami systemowymi podinstalacji objętej wskaźnikiem emisyjności dla produktów</v>
      </c>
      <c r="F260" s="1647"/>
      <c r="G260" s="1647"/>
      <c r="H260" s="1647"/>
      <c r="I260" s="1647"/>
      <c r="J260" s="1647"/>
      <c r="K260" s="1647"/>
      <c r="L260" s="1647"/>
      <c r="M260" s="1647"/>
      <c r="N260" s="1647"/>
      <c r="O260" s="7"/>
      <c r="P260" s="626"/>
    </row>
    <row r="261" spans="2:17" ht="12.75" customHeight="1" x14ac:dyDescent="0.2">
      <c r="B261" s="3"/>
      <c r="C261" s="16"/>
      <c r="D261" s="16"/>
      <c r="E261" s="1691" t="str">
        <f>Translations!$B$616</f>
        <v>Informacje pobrano z części D.IV.Jeżeli dotyczy, należy upewnić się, że wprowadzili tam Państwo kompletne dane.</v>
      </c>
      <c r="F261" s="1691"/>
      <c r="G261" s="1691"/>
      <c r="H261" s="1691"/>
      <c r="I261" s="1691"/>
      <c r="J261" s="1691"/>
      <c r="K261" s="1691"/>
      <c r="L261" s="1691"/>
      <c r="M261" s="1691"/>
      <c r="N261" s="26"/>
      <c r="O261" s="7"/>
      <c r="P261" s="626"/>
    </row>
    <row r="262" spans="2:17" ht="12.75" customHeight="1" x14ac:dyDescent="0.2">
      <c r="B262" s="3"/>
      <c r="C262" s="16"/>
      <c r="D262" s="16"/>
      <c r="E262" s="1646" t="str">
        <f>Translations!$B$617</f>
        <v>Należy zauważyć, że dane tam wprowadzone mogą odnosić się do gazów odlotowych wytworzonych w innych instalacjach, z których są one wprowadzane.</v>
      </c>
      <c r="F262" s="1647"/>
      <c r="G262" s="1647"/>
      <c r="H262" s="1647"/>
      <c r="I262" s="1647"/>
      <c r="J262" s="1647"/>
      <c r="K262" s="1647"/>
      <c r="L262" s="1647"/>
      <c r="M262" s="1647"/>
      <c r="N262" s="1647"/>
      <c r="O262" s="7"/>
      <c r="P262" s="626"/>
    </row>
    <row r="263" spans="2:17" x14ac:dyDescent="0.2">
      <c r="B263" s="20"/>
      <c r="C263" s="20"/>
      <c r="D263" s="20"/>
      <c r="E263" s="1650" t="str">
        <f>Translations!$B$618</f>
        <v>z części D.IV.</v>
      </c>
      <c r="F263" s="1651"/>
      <c r="G263" s="1651"/>
      <c r="H263" s="34" t="str">
        <f>EUconst_Unit</f>
        <v>Jednostka</v>
      </c>
      <c r="I263" s="396">
        <f>I$380</f>
        <v>2014</v>
      </c>
      <c r="J263" s="396">
        <f>J$380</f>
        <v>2015</v>
      </c>
      <c r="K263" s="396">
        <f>K$380</f>
        <v>2016</v>
      </c>
      <c r="L263" s="396">
        <f>L$380</f>
        <v>2017</v>
      </c>
      <c r="M263" s="421">
        <f>M$380</f>
        <v>2018</v>
      </c>
      <c r="N263" s="570"/>
      <c r="O263" s="7"/>
    </row>
    <row r="264" spans="2:17" x14ac:dyDescent="0.2">
      <c r="B264" s="20"/>
      <c r="C264" s="20"/>
      <c r="D264" s="195" t="s">
        <v>2</v>
      </c>
      <c r="E264" s="1692" t="str">
        <f>Translations!$B$619</f>
        <v>Gazy odlotowe 1</v>
      </c>
      <c r="F264" s="1693"/>
      <c r="G264" s="1693"/>
      <c r="H264" s="27" t="str">
        <f>EUconst_TJpa</f>
        <v>TJ / rok</v>
      </c>
      <c r="I264" s="703" t="str">
        <f>IF(SUMIF(D_Emissions!$P$234:$P$283,$P264,D_Emissions!S$234:S$283)&gt;0,SUMIF(D_Emissions!$P$234:$P$283,$P264,D_Emissions!S$234:S$283),"")</f>
        <v/>
      </c>
      <c r="J264" s="703" t="str">
        <f>IF(SUMIF(D_Emissions!$P$234:$P$283,$P264,D_Emissions!T$234:T$283)&gt;0,SUMIF(D_Emissions!$P$234:$P$283,$P264,D_Emissions!T$234:T$283),"")</f>
        <v/>
      </c>
      <c r="K264" s="703" t="str">
        <f>IF(SUMIF(D_Emissions!$P$234:$P$283,$P264,D_Emissions!U$234:U$283)&gt;0,SUMIF(D_Emissions!$P$234:$P$283,$P264,D_Emissions!U$234:U$283),"")</f>
        <v/>
      </c>
      <c r="L264" s="703" t="str">
        <f>IF(SUMIF(D_Emissions!$P$234:$P$283,$P264,D_Emissions!V$234:V$283)&gt;0,SUMIF(D_Emissions!$P$234:$P$283,$P264,D_Emissions!V$234:V$283),"")</f>
        <v/>
      </c>
      <c r="M264" s="703" t="str">
        <f>IF(SUMIF(D_Emissions!$P$234:$P$283,$P264,D_Emissions!W$234:W$283)&gt;0,SUMIF(D_Emissions!$P$234:$P$283,$P264,D_Emissions!W$234:W$283),"")</f>
        <v/>
      </c>
      <c r="N264" s="7"/>
      <c r="O264" s="7"/>
      <c r="P264" s="713" t="str">
        <f>EUconst_CNTR_WGProduced &amp; Q264</f>
        <v>WasteGasProd_1</v>
      </c>
      <c r="Q264" s="438">
        <v>1</v>
      </c>
    </row>
    <row r="265" spans="2:17" x14ac:dyDescent="0.2">
      <c r="B265" s="20"/>
      <c r="C265" s="20"/>
      <c r="D265" s="195" t="s">
        <v>3</v>
      </c>
      <c r="E265" s="1694" t="str">
        <f>Translations!$B$620</f>
        <v>Gazy odlotowe 2</v>
      </c>
      <c r="F265" s="1695"/>
      <c r="G265" s="1695"/>
      <c r="H265" s="28" t="str">
        <f>EUconst_TJpa</f>
        <v>TJ / rok</v>
      </c>
      <c r="I265" s="704" t="str">
        <f>IF(SUMIF(D_Emissions!$P$234:$P$283,$P265,D_Emissions!S$234:S$283)&gt;0,SUMIF(D_Emissions!$P$234:$P$283,$P265,D_Emissions!S$234:S$283),"")</f>
        <v/>
      </c>
      <c r="J265" s="704" t="str">
        <f>IF(SUMIF(D_Emissions!$P$234:$P$283,$P265,D_Emissions!T$234:T$283)&gt;0,SUMIF(D_Emissions!$P$234:$P$283,$P265,D_Emissions!T$234:T$283),"")</f>
        <v/>
      </c>
      <c r="K265" s="704" t="str">
        <f>IF(SUMIF(D_Emissions!$P$234:$P$283,$P265,D_Emissions!U$234:U$283)&gt;0,SUMIF(D_Emissions!$P$234:$P$283,$P265,D_Emissions!U$234:U$283),"")</f>
        <v/>
      </c>
      <c r="L265" s="704" t="str">
        <f>IF(SUMIF(D_Emissions!$P$234:$P$283,$P265,D_Emissions!V$234:V$283)&gt;0,SUMIF(D_Emissions!$P$234:$P$283,$P265,D_Emissions!V$234:V$283),"")</f>
        <v/>
      </c>
      <c r="M265" s="704" t="str">
        <f>IF(SUMIF(D_Emissions!$P$234:$P$283,$P265,D_Emissions!W$234:W$283)&gt;0,SUMIF(D_Emissions!$P$234:$P$283,$P265,D_Emissions!W$234:W$283),"")</f>
        <v/>
      </c>
      <c r="N265" s="7"/>
      <c r="O265" s="7"/>
      <c r="P265" s="713" t="str">
        <f>EUconst_CNTR_WGProduced &amp; Q265</f>
        <v>WasteGasProd_2</v>
      </c>
      <c r="Q265" s="438">
        <v>2</v>
      </c>
    </row>
    <row r="266" spans="2:17" ht="12.75" customHeight="1" x14ac:dyDescent="0.2">
      <c r="B266" s="20"/>
      <c r="C266" s="20"/>
      <c r="D266" s="425" t="s">
        <v>4</v>
      </c>
      <c r="E266" s="1652" t="str">
        <f>Translations!$B$536</f>
        <v>Suma częściowa</v>
      </c>
      <c r="F266" s="1652"/>
      <c r="G266" s="1652"/>
      <c r="H266" s="48" t="str">
        <f>EUconst_TJpa</f>
        <v>TJ / rok</v>
      </c>
      <c r="I266" s="311" t="str">
        <f>IF(COUNT(I264:I265)&gt;0,SUM(I264:I265),"")</f>
        <v/>
      </c>
      <c r="J266" s="311" t="str">
        <f>IF(COUNT(J264:J265)&gt;0,SUM(J264:J265),"")</f>
        <v/>
      </c>
      <c r="K266" s="311" t="str">
        <f>IF(COUNT(K264:K265)&gt;0,SUM(K264:K265),"")</f>
        <v/>
      </c>
      <c r="L266" s="311" t="str">
        <f>IF(COUNT(L264:L265)&gt;0,SUM(L264:L265),"")</f>
        <v/>
      </c>
      <c r="M266" s="311" t="str">
        <f>IF(COUNT(M264:M265)&gt;0,SUM(M264:M265),"")</f>
        <v/>
      </c>
      <c r="N266" s="7"/>
      <c r="O266" s="7"/>
    </row>
    <row r="267" spans="2:17" ht="5.0999999999999996" customHeight="1" x14ac:dyDescent="0.2">
      <c r="B267" s="3"/>
      <c r="C267" s="3"/>
      <c r="D267" s="3"/>
      <c r="E267" s="3"/>
      <c r="F267" s="3"/>
      <c r="G267" s="3"/>
      <c r="H267" s="3"/>
      <c r="I267" s="3"/>
      <c r="J267" s="3"/>
      <c r="K267" s="3"/>
      <c r="L267" s="3"/>
      <c r="M267" s="3"/>
      <c r="N267" s="3"/>
      <c r="O267" s="7"/>
      <c r="P267" s="626"/>
    </row>
    <row r="268" spans="2:17" x14ac:dyDescent="0.2">
      <c r="B268" s="3"/>
      <c r="C268" s="14"/>
      <c r="D268" s="14" t="s">
        <v>11</v>
      </c>
      <c r="E268" s="1655" t="str">
        <f>Translations!$B$621</f>
        <v>Suma gazów odlotowych (=a+b)</v>
      </c>
      <c r="F268" s="1656"/>
      <c r="G268" s="1656"/>
      <c r="H268" s="1656"/>
      <c r="I268" s="1656"/>
      <c r="J268" s="1656"/>
      <c r="K268" s="1656"/>
      <c r="L268" s="1656"/>
      <c r="M268" s="1656"/>
      <c r="N268" s="1656"/>
      <c r="O268" s="7"/>
      <c r="P268" s="626"/>
    </row>
    <row r="269" spans="2:17" ht="25.5" customHeight="1" x14ac:dyDescent="0.2">
      <c r="B269" s="20"/>
      <c r="C269" s="20"/>
      <c r="D269" s="20"/>
      <c r="E269" s="1654" t="str">
        <f>Translations!$B$622</f>
        <v>Gazy odlotowe wytworzone</v>
      </c>
      <c r="F269" s="1652"/>
      <c r="G269" s="1652"/>
      <c r="H269" s="52" t="str">
        <f>EUconst_TJpa</f>
        <v>TJ / rok</v>
      </c>
      <c r="I269" s="311" t="str">
        <f>IF(COUNT(I258,I266)&gt;0,SUM(I258,I266),"")</f>
        <v/>
      </c>
      <c r="J269" s="311" t="str">
        <f>IF(COUNT(J258,J266)&gt;0,SUM(J258,J266),"")</f>
        <v/>
      </c>
      <c r="K269" s="311" t="str">
        <f>IF(COUNT(K258,K266)&gt;0,SUM(K258,K266),"")</f>
        <v/>
      </c>
      <c r="L269" s="311" t="str">
        <f>IF(COUNT(L258,L266)&gt;0,SUM(L258,L266),"")</f>
        <v/>
      </c>
      <c r="M269" s="311" t="str">
        <f>IF(COUNT(M258,M266)&gt;0,SUM(M258,M266),"")</f>
        <v/>
      </c>
      <c r="N269" s="7"/>
      <c r="O269" s="7"/>
    </row>
    <row r="270" spans="2:17" ht="5.0999999999999996" customHeight="1" x14ac:dyDescent="0.2">
      <c r="B270" s="20"/>
      <c r="C270" s="20"/>
      <c r="D270" s="20"/>
      <c r="E270" s="20"/>
      <c r="F270" s="20"/>
      <c r="G270" s="20"/>
      <c r="H270" s="20"/>
      <c r="I270" s="20"/>
      <c r="J270" s="20"/>
      <c r="K270" s="20"/>
      <c r="L270" s="20"/>
      <c r="M270" s="20"/>
      <c r="N270" s="20"/>
      <c r="O270" s="7"/>
    </row>
    <row r="271" spans="2:17" x14ac:dyDescent="0.2">
      <c r="B271" s="3"/>
      <c r="C271" s="14"/>
      <c r="D271" s="14" t="s">
        <v>356</v>
      </c>
      <c r="E271" s="1653" t="str">
        <f>Translations!$B$623</f>
        <v>Gazy odlotowe wprowadzane z innych instalacji lub od innych podmiotów</v>
      </c>
      <c r="F271" s="1647"/>
      <c r="G271" s="1647"/>
      <c r="H271" s="1647"/>
      <c r="I271" s="1647"/>
      <c r="J271" s="1647"/>
      <c r="K271" s="1647"/>
      <c r="L271" s="1647"/>
      <c r="M271" s="1647"/>
      <c r="N271" s="1647"/>
      <c r="O271" s="7"/>
      <c r="P271" s="626"/>
    </row>
    <row r="272" spans="2:17" ht="12.75" customHeight="1" x14ac:dyDescent="0.2">
      <c r="B272" s="3"/>
      <c r="C272" s="16"/>
      <c r="D272" s="16"/>
      <c r="E272" s="1646" t="str">
        <f>Translations!$B$534</f>
        <v>Nazwy instalacji na rozwijanej liście pobrano z części A.IV. W związku z tym należy upewnić się, że wprowadzili tam Państwo kompletne dane.</v>
      </c>
      <c r="F272" s="1647"/>
      <c r="G272" s="1647"/>
      <c r="H272" s="1647"/>
      <c r="I272" s="1647"/>
      <c r="J272" s="1647"/>
      <c r="K272" s="1647"/>
      <c r="L272" s="1647"/>
      <c r="M272" s="1647"/>
      <c r="N272" s="1647"/>
      <c r="O272" s="7"/>
      <c r="P272" s="626"/>
    </row>
    <row r="273" spans="2:19" ht="12.75" customHeight="1" x14ac:dyDescent="0.2">
      <c r="B273" s="3"/>
      <c r="C273" s="16"/>
      <c r="D273" s="16"/>
      <c r="E273" s="1646" t="str">
        <f>Translations!$B$624</f>
        <v>Proszę upewnić się, że nie dochodzi do podwójnego liczenia z wartościami w lit. b), jeżeli uwzględniono tam wprowadzane ilości.</v>
      </c>
      <c r="F273" s="1647"/>
      <c r="G273" s="1647"/>
      <c r="H273" s="1647"/>
      <c r="I273" s="1647"/>
      <c r="J273" s="1647"/>
      <c r="K273" s="1647"/>
      <c r="L273" s="1647"/>
      <c r="M273" s="1647"/>
      <c r="N273" s="1647"/>
      <c r="O273" s="7"/>
      <c r="P273" s="626"/>
    </row>
    <row r="274" spans="2:19" ht="12.75" customHeight="1" thickBot="1" x14ac:dyDescent="0.25">
      <c r="B274" s="20"/>
      <c r="C274" s="20"/>
      <c r="D274" s="20"/>
      <c r="E274" s="1650" t="str">
        <f>Translations!$B$256</f>
        <v>Nazwa instalacji lub podmiotu</v>
      </c>
      <c r="F274" s="1650"/>
      <c r="G274" s="1650"/>
      <c r="H274" s="34" t="str">
        <f>EUconst_Unit</f>
        <v>Jednostka</v>
      </c>
      <c r="I274" s="396">
        <f>I$380</f>
        <v>2014</v>
      </c>
      <c r="J274" s="396">
        <f>J$380</f>
        <v>2015</v>
      </c>
      <c r="K274" s="396">
        <f>K$380</f>
        <v>2016</v>
      </c>
      <c r="L274" s="396">
        <f>L$380</f>
        <v>2017</v>
      </c>
      <c r="M274" s="421">
        <f>M$380</f>
        <v>2018</v>
      </c>
      <c r="N274" s="570"/>
      <c r="O274" s="7"/>
      <c r="S274" s="437" t="s">
        <v>466</v>
      </c>
    </row>
    <row r="275" spans="2:19" x14ac:dyDescent="0.2">
      <c r="B275" s="20"/>
      <c r="C275" s="195"/>
      <c r="D275" s="195" t="s">
        <v>2</v>
      </c>
      <c r="E275" s="1522"/>
      <c r="F275" s="1522"/>
      <c r="G275" s="1522"/>
      <c r="H275" s="37" t="str">
        <f>EUconst_TJpa</f>
        <v>TJ / rok</v>
      </c>
      <c r="I275" s="331"/>
      <c r="J275" s="331"/>
      <c r="K275" s="331"/>
      <c r="L275" s="331"/>
      <c r="M275" s="331"/>
      <c r="N275" s="7"/>
      <c r="O275" s="7"/>
      <c r="S275" s="646" t="b">
        <f>AND(M241&lt;&gt;"",M241=FALSE)</f>
        <v>1</v>
      </c>
    </row>
    <row r="276" spans="2:19" x14ac:dyDescent="0.2">
      <c r="B276" s="20"/>
      <c r="C276" s="195"/>
      <c r="D276" s="195" t="s">
        <v>3</v>
      </c>
      <c r="E276" s="1413"/>
      <c r="F276" s="1413"/>
      <c r="G276" s="1413"/>
      <c r="H276" s="38" t="str">
        <f>EUconst_TJpa</f>
        <v>TJ / rok</v>
      </c>
      <c r="I276" s="330"/>
      <c r="J276" s="330"/>
      <c r="K276" s="330"/>
      <c r="L276" s="330"/>
      <c r="M276" s="330"/>
      <c r="N276" s="7"/>
      <c r="O276" s="7"/>
      <c r="S276" s="630" t="b">
        <f>S275</f>
        <v>1</v>
      </c>
    </row>
    <row r="277" spans="2:19" x14ac:dyDescent="0.2">
      <c r="B277" s="20"/>
      <c r="C277" s="195"/>
      <c r="D277" s="195" t="s">
        <v>4</v>
      </c>
      <c r="E277" s="1508"/>
      <c r="F277" s="1508"/>
      <c r="G277" s="1508"/>
      <c r="H277" s="41" t="str">
        <f>EUconst_TJpa</f>
        <v>TJ / rok</v>
      </c>
      <c r="I277" s="329"/>
      <c r="J277" s="329"/>
      <c r="K277" s="329"/>
      <c r="L277" s="329"/>
      <c r="M277" s="329"/>
      <c r="N277" s="7"/>
      <c r="O277" s="7"/>
      <c r="S277" s="630" t="b">
        <f>S276</f>
        <v>1</v>
      </c>
    </row>
    <row r="278" spans="2:19" x14ac:dyDescent="0.2">
      <c r="B278" s="20"/>
      <c r="C278" s="195"/>
      <c r="D278" s="195" t="s">
        <v>6</v>
      </c>
      <c r="E278" s="1652" t="str">
        <f>Translations!$B$536</f>
        <v>Suma częściowa</v>
      </c>
      <c r="F278" s="1652"/>
      <c r="G278" s="1652"/>
      <c r="H278" s="52" t="str">
        <f>EUconst_TJpa</f>
        <v>TJ / rok</v>
      </c>
      <c r="I278" s="311" t="str">
        <f>IF(COUNT(I275:I277)&gt;0,SUM(I275:I277),"")</f>
        <v/>
      </c>
      <c r="J278" s="311" t="str">
        <f>IF(COUNT(J275:J277)&gt;0,SUM(J275:J277),"")</f>
        <v/>
      </c>
      <c r="K278" s="311" t="str">
        <f>IF(COUNT(K275:K277)&gt;0,SUM(K275:K277),"")</f>
        <v/>
      </c>
      <c r="L278" s="311" t="str">
        <f>IF(COUNT(L275:L277)&gt;0,SUM(L275:L277),"")</f>
        <v/>
      </c>
      <c r="M278" s="311" t="str">
        <f>IF(COUNT(M275:M277)&gt;0,SUM(M275:M277),"")</f>
        <v/>
      </c>
      <c r="N278" s="7"/>
      <c r="O278" s="7"/>
      <c r="S278" s="718"/>
    </row>
    <row r="279" spans="2:19" ht="5.0999999999999996" customHeight="1" x14ac:dyDescent="0.2">
      <c r="B279" s="3"/>
      <c r="C279" s="3"/>
      <c r="D279" s="3"/>
      <c r="E279" s="3"/>
      <c r="F279" s="3"/>
      <c r="G279" s="3"/>
      <c r="H279" s="3"/>
      <c r="I279" s="3"/>
      <c r="J279" s="3"/>
      <c r="K279" s="3"/>
      <c r="L279" s="3"/>
      <c r="M279" s="3"/>
      <c r="N279" s="3"/>
      <c r="O279" s="7"/>
      <c r="P279" s="626"/>
      <c r="S279" s="718"/>
    </row>
    <row r="280" spans="2:19" ht="12.75" customHeight="1" x14ac:dyDescent="0.2">
      <c r="B280" s="3"/>
      <c r="C280" s="14"/>
      <c r="D280" s="14" t="s">
        <v>12</v>
      </c>
      <c r="E280" s="1653" t="str">
        <f>Translations!$B$625</f>
        <v>Gazy odlotowe wyprowadzone do innych instalacji lub podmiotów</v>
      </c>
      <c r="F280" s="1647"/>
      <c r="G280" s="1647"/>
      <c r="H280" s="1647"/>
      <c r="I280" s="1647"/>
      <c r="J280" s="1647"/>
      <c r="K280" s="1647"/>
      <c r="L280" s="1647"/>
      <c r="M280" s="1647"/>
      <c r="N280" s="1647"/>
      <c r="O280" s="7"/>
      <c r="P280" s="626"/>
      <c r="S280" s="718"/>
    </row>
    <row r="281" spans="2:19" ht="12.75" customHeight="1" x14ac:dyDescent="0.2">
      <c r="B281" s="3"/>
      <c r="C281" s="16"/>
      <c r="D281" s="16"/>
      <c r="E281" s="1646" t="str">
        <f>Translations!$B$534</f>
        <v>Nazwy instalacji na rozwijanej liście pobrano z części A.IV. W związku z tym należy upewnić się, że wprowadzili tam Państwo kompletne dane.</v>
      </c>
      <c r="F281" s="1647"/>
      <c r="G281" s="1647"/>
      <c r="H281" s="1647"/>
      <c r="I281" s="1647"/>
      <c r="J281" s="1647"/>
      <c r="K281" s="1647"/>
      <c r="L281" s="1647"/>
      <c r="M281" s="1647"/>
      <c r="N281" s="1647"/>
      <c r="O281" s="7"/>
      <c r="P281" s="626"/>
      <c r="S281" s="718"/>
    </row>
    <row r="282" spans="2:19" x14ac:dyDescent="0.2">
      <c r="B282" s="20"/>
      <c r="C282" s="20"/>
      <c r="D282" s="20"/>
      <c r="E282" s="1650" t="str">
        <f>Translations!$B$256</f>
        <v>Nazwa instalacji lub podmiotu</v>
      </c>
      <c r="F282" s="1651"/>
      <c r="G282" s="1651"/>
      <c r="H282" s="34" t="str">
        <f>EUconst_Unit</f>
        <v>Jednostka</v>
      </c>
      <c r="I282" s="396">
        <f>I$380</f>
        <v>2014</v>
      </c>
      <c r="J282" s="396">
        <f>J$380</f>
        <v>2015</v>
      </c>
      <c r="K282" s="396">
        <f>K$380</f>
        <v>2016</v>
      </c>
      <c r="L282" s="396">
        <f>L$380</f>
        <v>2017</v>
      </c>
      <c r="M282" s="421">
        <f>M$380</f>
        <v>2018</v>
      </c>
      <c r="N282" s="570"/>
      <c r="O282" s="7"/>
      <c r="S282" s="718"/>
    </row>
    <row r="283" spans="2:19" x14ac:dyDescent="0.2">
      <c r="B283" s="20"/>
      <c r="C283" s="195"/>
      <c r="D283" s="195" t="s">
        <v>2</v>
      </c>
      <c r="E283" s="1522"/>
      <c r="F283" s="1522"/>
      <c r="G283" s="1522"/>
      <c r="H283" s="37" t="str">
        <f>EUconst_TJpa</f>
        <v>TJ / rok</v>
      </c>
      <c r="I283" s="331"/>
      <c r="J283" s="331"/>
      <c r="K283" s="331"/>
      <c r="L283" s="331"/>
      <c r="M283" s="336"/>
      <c r="N283" s="7"/>
      <c r="O283" s="7"/>
      <c r="S283" s="630" t="b">
        <f>S277</f>
        <v>1</v>
      </c>
    </row>
    <row r="284" spans="2:19" x14ac:dyDescent="0.2">
      <c r="B284" s="20"/>
      <c r="C284" s="195"/>
      <c r="D284" s="195" t="s">
        <v>3</v>
      </c>
      <c r="E284" s="1413"/>
      <c r="F284" s="1413"/>
      <c r="G284" s="1413"/>
      <c r="H284" s="38" t="str">
        <f>EUconst_TJpa</f>
        <v>TJ / rok</v>
      </c>
      <c r="I284" s="330"/>
      <c r="J284" s="330"/>
      <c r="K284" s="330"/>
      <c r="L284" s="330"/>
      <c r="M284" s="335"/>
      <c r="N284" s="7"/>
      <c r="O284" s="7"/>
      <c r="S284" s="630" t="b">
        <f>S283</f>
        <v>1</v>
      </c>
    </row>
    <row r="285" spans="2:19" x14ac:dyDescent="0.2">
      <c r="B285" s="20"/>
      <c r="C285" s="195"/>
      <c r="D285" s="195" t="s">
        <v>4</v>
      </c>
      <c r="E285" s="1508"/>
      <c r="F285" s="1508"/>
      <c r="G285" s="1508"/>
      <c r="H285" s="41" t="str">
        <f>EUconst_TJpa</f>
        <v>TJ / rok</v>
      </c>
      <c r="I285" s="329"/>
      <c r="J285" s="329"/>
      <c r="K285" s="329"/>
      <c r="L285" s="329"/>
      <c r="M285" s="334"/>
      <c r="N285" s="7"/>
      <c r="O285" s="7"/>
      <c r="S285" s="630" t="b">
        <f>S284</f>
        <v>1</v>
      </c>
    </row>
    <row r="286" spans="2:19" x14ac:dyDescent="0.2">
      <c r="B286" s="20"/>
      <c r="C286" s="195"/>
      <c r="D286" s="195" t="s">
        <v>6</v>
      </c>
      <c r="E286" s="1652" t="str">
        <f>Translations!$B$536</f>
        <v>Suma częściowa</v>
      </c>
      <c r="F286" s="1652"/>
      <c r="G286" s="1652"/>
      <c r="H286" s="52" t="str">
        <f>EUconst_TJpa</f>
        <v>TJ / rok</v>
      </c>
      <c r="I286" s="311" t="str">
        <f>IF(COUNT(I283:I285)&gt;0,SUM(I283:I285),"")</f>
        <v/>
      </c>
      <c r="J286" s="311" t="str">
        <f>IF(COUNT(J283:J285)&gt;0,SUM(J283:J285),"")</f>
        <v/>
      </c>
      <c r="K286" s="311" t="str">
        <f>IF(COUNT(K283:K285)&gt;0,SUM(K283:K285),"")</f>
        <v/>
      </c>
      <c r="L286" s="311" t="str">
        <f>IF(COUNT(L283:L285)&gt;0,SUM(L283:L285),"")</f>
        <v/>
      </c>
      <c r="M286" s="310" t="str">
        <f>IF(COUNT(M283:M285)&gt;0,SUM(M283:M285),"")</f>
        <v/>
      </c>
      <c r="N286" s="7"/>
      <c r="O286" s="7"/>
      <c r="S286" s="718"/>
    </row>
    <row r="287" spans="2:19" ht="5.0999999999999996" customHeight="1" x14ac:dyDescent="0.2">
      <c r="B287" s="3"/>
      <c r="C287" s="3"/>
      <c r="D287" s="3"/>
      <c r="E287" s="3"/>
      <c r="F287" s="3"/>
      <c r="G287" s="3"/>
      <c r="H287" s="3"/>
      <c r="I287" s="3"/>
      <c r="J287" s="3"/>
      <c r="K287" s="3"/>
      <c r="L287" s="3"/>
      <c r="M287" s="3"/>
      <c r="N287" s="3"/>
      <c r="O287" s="7"/>
      <c r="P287" s="626"/>
      <c r="S287" s="718"/>
    </row>
    <row r="288" spans="2:19" x14ac:dyDescent="0.2">
      <c r="B288" s="3"/>
      <c r="C288" s="14"/>
      <c r="D288" s="14" t="s">
        <v>13</v>
      </c>
      <c r="E288" s="1655" t="str">
        <f>Translations!$B$626</f>
        <v>Suma gazów odlotowych dostępnych w instalacji (=c+d-e)</v>
      </c>
      <c r="F288" s="1656"/>
      <c r="G288" s="1656"/>
      <c r="H288" s="1656"/>
      <c r="I288" s="1656"/>
      <c r="J288" s="1656"/>
      <c r="K288" s="1656"/>
      <c r="L288" s="1656"/>
      <c r="M288" s="1656"/>
      <c r="N288" s="1656"/>
      <c r="O288" s="7"/>
      <c r="P288" s="626"/>
      <c r="S288" s="718"/>
    </row>
    <row r="289" spans="2:19" x14ac:dyDescent="0.2">
      <c r="B289" s="20"/>
      <c r="C289" s="20"/>
      <c r="D289" s="20"/>
      <c r="E289" s="1654" t="str">
        <f>Translations!$B$627</f>
        <v>Dostępne gazy odlotowe</v>
      </c>
      <c r="F289" s="1652"/>
      <c r="G289" s="1652"/>
      <c r="H289" s="52" t="str">
        <f>EUconst_TJpa</f>
        <v>TJ / rok</v>
      </c>
      <c r="I289" s="311" t="str">
        <f>IF(COUNT(I269,I278,I286)&gt;0,SUM(I269,I278)-SUM(I286),"")</f>
        <v/>
      </c>
      <c r="J289" s="311" t="str">
        <f>IF(COUNT(J269,J278,J286)&gt;0,SUM(J269,J278)-SUM(J286),"")</f>
        <v/>
      </c>
      <c r="K289" s="311" t="str">
        <f>IF(COUNT(K269,K278,K286)&gt;0,SUM(K269,K278)-SUM(K286),"")</f>
        <v/>
      </c>
      <c r="L289" s="311" t="str">
        <f>IF(COUNT(L269,L278,L286)&gt;0,SUM(L269,L278)-SUM(L286),"")</f>
        <v/>
      </c>
      <c r="M289" s="311" t="str">
        <f>IF(COUNT(M269,M278,M286)&gt;0,SUM(M269,M278)-SUM(M286),"")</f>
        <v/>
      </c>
      <c r="N289" s="7"/>
      <c r="O289" s="7"/>
      <c r="S289" s="718"/>
    </row>
    <row r="290" spans="2:19" ht="5.0999999999999996" customHeight="1" x14ac:dyDescent="0.2">
      <c r="B290" s="20"/>
      <c r="C290" s="20"/>
      <c r="D290" s="20"/>
      <c r="E290" s="20"/>
      <c r="F290" s="20"/>
      <c r="G290" s="20"/>
      <c r="H290" s="20"/>
      <c r="I290" s="20"/>
      <c r="J290" s="20"/>
      <c r="K290" s="20"/>
      <c r="L290" s="20"/>
      <c r="M290" s="20"/>
      <c r="N290" s="20"/>
      <c r="O290" s="7"/>
      <c r="S290" s="718"/>
    </row>
    <row r="291" spans="2:19" x14ac:dyDescent="0.2">
      <c r="B291" s="3"/>
      <c r="C291" s="14"/>
      <c r="D291" s="14" t="s">
        <v>87</v>
      </c>
      <c r="E291" s="1653" t="str">
        <f>Translations!$B$628</f>
        <v>Gazy odlotowe zużyte w podinstalacjach objętych wskaźnikiem emisyjności dla produktów</v>
      </c>
      <c r="F291" s="1647"/>
      <c r="G291" s="1647"/>
      <c r="H291" s="1647"/>
      <c r="I291" s="1647"/>
      <c r="J291" s="1647"/>
      <c r="K291" s="1647"/>
      <c r="L291" s="1647"/>
      <c r="M291" s="1647"/>
      <c r="N291" s="1647"/>
      <c r="O291" s="7"/>
      <c r="P291" s="626"/>
      <c r="S291" s="718"/>
    </row>
    <row r="292" spans="2:19" ht="12.75" customHeight="1" x14ac:dyDescent="0.2">
      <c r="B292" s="3"/>
      <c r="C292" s="16"/>
      <c r="D292" s="16"/>
      <c r="E292" s="1646" t="str">
        <f>Translations!$B$629</f>
        <v>Informacje pobrano z części F lit) l ppkt viii. Jeżeli dotyczy, należy upewnić się, że wprowadzili tam Państwo kompletne dane.</v>
      </c>
      <c r="F292" s="1647"/>
      <c r="G292" s="1647"/>
      <c r="H292" s="1647"/>
      <c r="I292" s="1647"/>
      <c r="J292" s="1647"/>
      <c r="K292" s="1647"/>
      <c r="L292" s="1647"/>
      <c r="M292" s="1647"/>
      <c r="N292" s="1647"/>
      <c r="O292" s="7"/>
      <c r="P292" s="626"/>
      <c r="S292" s="718"/>
    </row>
    <row r="293" spans="2:19" x14ac:dyDescent="0.2">
      <c r="B293" s="20"/>
      <c r="C293" s="20"/>
      <c r="D293" s="20"/>
      <c r="E293" s="1650" t="str">
        <f>Translations!$B$630</f>
        <v>Rodzaj podinstalacji objętej wskaźnikiem emisyjności dla produktów</v>
      </c>
      <c r="F293" s="1651"/>
      <c r="G293" s="1651"/>
      <c r="H293" s="34" t="str">
        <f>EUconst_Unit</f>
        <v>Jednostka</v>
      </c>
      <c r="I293" s="396">
        <f>I$380</f>
        <v>2014</v>
      </c>
      <c r="J293" s="396">
        <f>J$380</f>
        <v>2015</v>
      </c>
      <c r="K293" s="396">
        <f>K$380</f>
        <v>2016</v>
      </c>
      <c r="L293" s="396">
        <f>L$380</f>
        <v>2017</v>
      </c>
      <c r="M293" s="396">
        <f>M$380</f>
        <v>2018</v>
      </c>
      <c r="N293" s="7"/>
      <c r="O293" s="7"/>
      <c r="S293" s="718"/>
    </row>
    <row r="294" spans="2:19" ht="12.75" customHeight="1" x14ac:dyDescent="0.2">
      <c r="B294" s="20"/>
      <c r="C294" s="20"/>
      <c r="D294" s="425" t="s">
        <v>2</v>
      </c>
      <c r="E294" s="1648" t="str">
        <f t="shared" ref="E294:E303" si="14">E248</f>
        <v/>
      </c>
      <c r="F294" s="1648"/>
      <c r="G294" s="1648"/>
      <c r="H294" s="434" t="str">
        <f t="shared" ref="H294:H304" si="15">EUconst_TJpa</f>
        <v>TJ / rok</v>
      </c>
      <c r="I294" s="703" t="str">
        <f>IF(SUMIF(F_ProductBM!$P:$P,$P294,F_ProductBM!I:I)&gt;0,SUMIF(F_ProductBM!$P:$P,$P294,F_ProductBM!I:I),"")</f>
        <v/>
      </c>
      <c r="J294" s="703" t="str">
        <f>IF(SUMIF(F_ProductBM!$P:$P,$P294,F_ProductBM!J:J)&gt;0,SUMIF(F_ProductBM!$P:$P,$P294,F_ProductBM!J:J),"")</f>
        <v/>
      </c>
      <c r="K294" s="703" t="str">
        <f>IF(SUMIF(F_ProductBM!$P:$P,$P294,F_ProductBM!K:K)&gt;0,SUMIF(F_ProductBM!$P:$P,$P294,F_ProductBM!K:K),"")</f>
        <v/>
      </c>
      <c r="L294" s="703" t="str">
        <f>IF(SUMIF(F_ProductBM!$P:$P,$P294,F_ProductBM!L:L)&gt;0,SUMIF(F_ProductBM!$P:$P,$P294,F_ProductBM!L:L),"")</f>
        <v/>
      </c>
      <c r="M294" s="703" t="str">
        <f>IF(SUMIF(F_ProductBM!$P:$P,$P294,F_ProductBM!M:M)&gt;0,SUMIF(F_ProductBM!$P:$P,$P294,F_ProductBM!M:M),"")</f>
        <v/>
      </c>
      <c r="N294" s="7"/>
      <c r="O294" s="7"/>
      <c r="P294" s="438" t="str">
        <f t="shared" ref="P294:P303" si="16">EUconst_CNTR_WGConsumed &amp; E294</f>
        <v>WasteGasCons_</v>
      </c>
      <c r="S294" s="718"/>
    </row>
    <row r="295" spans="2:19" x14ac:dyDescent="0.2">
      <c r="B295" s="20"/>
      <c r="C295" s="20"/>
      <c r="D295" s="425" t="s">
        <v>3</v>
      </c>
      <c r="E295" s="1648" t="str">
        <f t="shared" si="14"/>
        <v/>
      </c>
      <c r="F295" s="1648"/>
      <c r="G295" s="1648"/>
      <c r="H295" s="435" t="str">
        <f t="shared" si="15"/>
        <v>TJ / rok</v>
      </c>
      <c r="I295" s="511" t="str">
        <f>IF(SUMIF(F_ProductBM!$P:$P,$P295,F_ProductBM!I:I)&gt;0,SUMIF(F_ProductBM!$P:$P,$P295,F_ProductBM!I:I),"")</f>
        <v/>
      </c>
      <c r="J295" s="511" t="str">
        <f>IF(SUMIF(F_ProductBM!$P:$P,$P295,F_ProductBM!J:J)&gt;0,SUMIF(F_ProductBM!$P:$P,$P295,F_ProductBM!J:J),"")</f>
        <v/>
      </c>
      <c r="K295" s="511" t="str">
        <f>IF(SUMIF(F_ProductBM!$P:$P,$P295,F_ProductBM!K:K)&gt;0,SUMIF(F_ProductBM!$P:$P,$P295,F_ProductBM!K:K),"")</f>
        <v/>
      </c>
      <c r="L295" s="511" t="str">
        <f>IF(SUMIF(F_ProductBM!$P:$P,$P295,F_ProductBM!L:L)&gt;0,SUMIF(F_ProductBM!$P:$P,$P295,F_ProductBM!L:L),"")</f>
        <v/>
      </c>
      <c r="M295" s="511" t="str">
        <f>IF(SUMIF(F_ProductBM!$P:$P,$P295,F_ProductBM!M:M)&gt;0,SUMIF(F_ProductBM!$P:$P,$P295,F_ProductBM!M:M),"")</f>
        <v/>
      </c>
      <c r="N295" s="7"/>
      <c r="O295" s="7"/>
      <c r="P295" s="438" t="str">
        <f t="shared" si="16"/>
        <v>WasteGasCons_</v>
      </c>
      <c r="S295" s="718"/>
    </row>
    <row r="296" spans="2:19" ht="12.75" customHeight="1" x14ac:dyDescent="0.2">
      <c r="B296" s="20"/>
      <c r="C296" s="20"/>
      <c r="D296" s="425" t="s">
        <v>4</v>
      </c>
      <c r="E296" s="1648" t="str">
        <f t="shared" si="14"/>
        <v/>
      </c>
      <c r="F296" s="1648"/>
      <c r="G296" s="1648"/>
      <c r="H296" s="435" t="str">
        <f t="shared" si="15"/>
        <v>TJ / rok</v>
      </c>
      <c r="I296" s="511" t="str">
        <f>IF(SUMIF(F_ProductBM!$P:$P,$P296,F_ProductBM!I:I)&gt;0,SUMIF(F_ProductBM!$P:$P,$P296,F_ProductBM!I:I),"")</f>
        <v/>
      </c>
      <c r="J296" s="511" t="str">
        <f>IF(SUMIF(F_ProductBM!$P:$P,$P296,F_ProductBM!J:J)&gt;0,SUMIF(F_ProductBM!$P:$P,$P296,F_ProductBM!J:J),"")</f>
        <v/>
      </c>
      <c r="K296" s="511" t="str">
        <f>IF(SUMIF(F_ProductBM!$P:$P,$P296,F_ProductBM!K:K)&gt;0,SUMIF(F_ProductBM!$P:$P,$P296,F_ProductBM!K:K),"")</f>
        <v/>
      </c>
      <c r="L296" s="511" t="str">
        <f>IF(SUMIF(F_ProductBM!$P:$P,$P296,F_ProductBM!L:L)&gt;0,SUMIF(F_ProductBM!$P:$P,$P296,F_ProductBM!L:L),"")</f>
        <v/>
      </c>
      <c r="M296" s="511" t="str">
        <f>IF(SUMIF(F_ProductBM!$P:$P,$P296,F_ProductBM!M:M)&gt;0,SUMIF(F_ProductBM!$P:$P,$P296,F_ProductBM!M:M),"")</f>
        <v/>
      </c>
      <c r="N296" s="7"/>
      <c r="O296" s="7"/>
      <c r="P296" s="438" t="str">
        <f t="shared" si="16"/>
        <v>WasteGasCons_</v>
      </c>
      <c r="S296" s="718"/>
    </row>
    <row r="297" spans="2:19" x14ac:dyDescent="0.2">
      <c r="B297" s="20"/>
      <c r="C297" s="20"/>
      <c r="D297" s="425" t="s">
        <v>6</v>
      </c>
      <c r="E297" s="1648" t="str">
        <f t="shared" si="14"/>
        <v/>
      </c>
      <c r="F297" s="1648"/>
      <c r="G297" s="1648"/>
      <c r="H297" s="435" t="str">
        <f t="shared" si="15"/>
        <v>TJ / rok</v>
      </c>
      <c r="I297" s="511" t="str">
        <f>IF(SUMIF(F_ProductBM!$P:$P,$P297,F_ProductBM!I:I)&gt;0,SUMIF(F_ProductBM!$P:$P,$P297,F_ProductBM!I:I),"")</f>
        <v/>
      </c>
      <c r="J297" s="511" t="str">
        <f>IF(SUMIF(F_ProductBM!$P:$P,$P297,F_ProductBM!J:J)&gt;0,SUMIF(F_ProductBM!$P:$P,$P297,F_ProductBM!J:J),"")</f>
        <v/>
      </c>
      <c r="K297" s="511" t="str">
        <f>IF(SUMIF(F_ProductBM!$P:$P,$P297,F_ProductBM!K:K)&gt;0,SUMIF(F_ProductBM!$P:$P,$P297,F_ProductBM!K:K),"")</f>
        <v/>
      </c>
      <c r="L297" s="511" t="str">
        <f>IF(SUMIF(F_ProductBM!$P:$P,$P297,F_ProductBM!L:L)&gt;0,SUMIF(F_ProductBM!$P:$P,$P297,F_ProductBM!L:L),"")</f>
        <v/>
      </c>
      <c r="M297" s="511" t="str">
        <f>IF(SUMIF(F_ProductBM!$P:$P,$P297,F_ProductBM!M:M)&gt;0,SUMIF(F_ProductBM!$P:$P,$P297,F_ProductBM!M:M),"")</f>
        <v/>
      </c>
      <c r="N297" s="7"/>
      <c r="O297" s="7"/>
      <c r="P297" s="438" t="str">
        <f t="shared" si="16"/>
        <v>WasteGasCons_</v>
      </c>
      <c r="S297" s="718"/>
    </row>
    <row r="298" spans="2:19" x14ac:dyDescent="0.2">
      <c r="B298" s="20"/>
      <c r="C298" s="20"/>
      <c r="D298" s="425" t="s">
        <v>316</v>
      </c>
      <c r="E298" s="1648" t="str">
        <f t="shared" si="14"/>
        <v/>
      </c>
      <c r="F298" s="1648"/>
      <c r="G298" s="1648"/>
      <c r="H298" s="435" t="str">
        <f t="shared" si="15"/>
        <v>TJ / rok</v>
      </c>
      <c r="I298" s="511" t="str">
        <f>IF(SUMIF(F_ProductBM!$P:$P,$P298,F_ProductBM!I:I)&gt;0,SUMIF(F_ProductBM!$P:$P,$P298,F_ProductBM!I:I),"")</f>
        <v/>
      </c>
      <c r="J298" s="511" t="str">
        <f>IF(SUMIF(F_ProductBM!$P:$P,$P298,F_ProductBM!J:J)&gt;0,SUMIF(F_ProductBM!$P:$P,$P298,F_ProductBM!J:J),"")</f>
        <v/>
      </c>
      <c r="K298" s="511" t="str">
        <f>IF(SUMIF(F_ProductBM!$P:$P,$P298,F_ProductBM!K:K)&gt;0,SUMIF(F_ProductBM!$P:$P,$P298,F_ProductBM!K:K),"")</f>
        <v/>
      </c>
      <c r="L298" s="511" t="str">
        <f>IF(SUMIF(F_ProductBM!$P:$P,$P298,F_ProductBM!L:L)&gt;0,SUMIF(F_ProductBM!$P:$P,$P298,F_ProductBM!L:L),"")</f>
        <v/>
      </c>
      <c r="M298" s="511" t="str">
        <f>IF(SUMIF(F_ProductBM!$P:$P,$P298,F_ProductBM!M:M)&gt;0,SUMIF(F_ProductBM!$P:$P,$P298,F_ProductBM!M:M),"")</f>
        <v/>
      </c>
      <c r="N298" s="7"/>
      <c r="O298" s="7"/>
      <c r="P298" s="438" t="str">
        <f t="shared" si="16"/>
        <v>WasteGasCons_</v>
      </c>
      <c r="S298" s="718"/>
    </row>
    <row r="299" spans="2:19" x14ac:dyDescent="0.2">
      <c r="B299" s="20"/>
      <c r="C299" s="20"/>
      <c r="D299" s="425" t="s">
        <v>317</v>
      </c>
      <c r="E299" s="1648" t="str">
        <f t="shared" si="14"/>
        <v/>
      </c>
      <c r="F299" s="1648"/>
      <c r="G299" s="1648"/>
      <c r="H299" s="435" t="str">
        <f t="shared" si="15"/>
        <v>TJ / rok</v>
      </c>
      <c r="I299" s="511" t="str">
        <f>IF(SUMIF(F_ProductBM!$P:$P,$P299,F_ProductBM!I:I)&gt;0,SUMIF(F_ProductBM!$P:$P,$P299,F_ProductBM!I:I),"")</f>
        <v/>
      </c>
      <c r="J299" s="511" t="str">
        <f>IF(SUMIF(F_ProductBM!$P:$P,$P299,F_ProductBM!J:J)&gt;0,SUMIF(F_ProductBM!$P:$P,$P299,F_ProductBM!J:J),"")</f>
        <v/>
      </c>
      <c r="K299" s="511" t="str">
        <f>IF(SUMIF(F_ProductBM!$P:$P,$P299,F_ProductBM!K:K)&gt;0,SUMIF(F_ProductBM!$P:$P,$P299,F_ProductBM!K:K),"")</f>
        <v/>
      </c>
      <c r="L299" s="511" t="str">
        <f>IF(SUMIF(F_ProductBM!$P:$P,$P299,F_ProductBM!L:L)&gt;0,SUMIF(F_ProductBM!$P:$P,$P299,F_ProductBM!L:L),"")</f>
        <v/>
      </c>
      <c r="M299" s="511" t="str">
        <f>IF(SUMIF(F_ProductBM!$P:$P,$P299,F_ProductBM!M:M)&gt;0,SUMIF(F_ProductBM!$P:$P,$P299,F_ProductBM!M:M),"")</f>
        <v/>
      </c>
      <c r="N299" s="7"/>
      <c r="O299" s="7"/>
      <c r="P299" s="438" t="str">
        <f t="shared" si="16"/>
        <v>WasteGasCons_</v>
      </c>
      <c r="S299" s="718"/>
    </row>
    <row r="300" spans="2:19" x14ac:dyDescent="0.2">
      <c r="B300" s="20"/>
      <c r="C300" s="20"/>
      <c r="D300" s="425" t="s">
        <v>318</v>
      </c>
      <c r="E300" s="1648" t="str">
        <f t="shared" si="14"/>
        <v/>
      </c>
      <c r="F300" s="1648"/>
      <c r="G300" s="1648"/>
      <c r="H300" s="435" t="str">
        <f t="shared" si="15"/>
        <v>TJ / rok</v>
      </c>
      <c r="I300" s="511" t="str">
        <f>IF(SUMIF(F_ProductBM!$P:$P,$P300,F_ProductBM!I:I)&gt;0,SUMIF(F_ProductBM!$P:$P,$P300,F_ProductBM!I:I),"")</f>
        <v/>
      </c>
      <c r="J300" s="511" t="str">
        <f>IF(SUMIF(F_ProductBM!$P:$P,$P300,F_ProductBM!J:J)&gt;0,SUMIF(F_ProductBM!$P:$P,$P300,F_ProductBM!J:J),"")</f>
        <v/>
      </c>
      <c r="K300" s="511" t="str">
        <f>IF(SUMIF(F_ProductBM!$P:$P,$P300,F_ProductBM!K:K)&gt;0,SUMIF(F_ProductBM!$P:$P,$P300,F_ProductBM!K:K),"")</f>
        <v/>
      </c>
      <c r="L300" s="511" t="str">
        <f>IF(SUMIF(F_ProductBM!$P:$P,$P300,F_ProductBM!L:L)&gt;0,SUMIF(F_ProductBM!$P:$P,$P300,F_ProductBM!L:L),"")</f>
        <v/>
      </c>
      <c r="M300" s="511" t="str">
        <f>IF(SUMIF(F_ProductBM!$P:$P,$P300,F_ProductBM!M:M)&gt;0,SUMIF(F_ProductBM!$P:$P,$P300,F_ProductBM!M:M),"")</f>
        <v/>
      </c>
      <c r="N300" s="7"/>
      <c r="O300" s="7"/>
      <c r="P300" s="438" t="str">
        <f t="shared" si="16"/>
        <v>WasteGasCons_</v>
      </c>
      <c r="S300" s="718"/>
    </row>
    <row r="301" spans="2:19" x14ac:dyDescent="0.2">
      <c r="B301" s="20"/>
      <c r="C301" s="20"/>
      <c r="D301" s="425" t="s">
        <v>319</v>
      </c>
      <c r="E301" s="1648" t="str">
        <f t="shared" si="14"/>
        <v/>
      </c>
      <c r="F301" s="1648"/>
      <c r="G301" s="1648"/>
      <c r="H301" s="435" t="str">
        <f t="shared" si="15"/>
        <v>TJ / rok</v>
      </c>
      <c r="I301" s="511" t="str">
        <f>IF(SUMIF(F_ProductBM!$P:$P,$P301,F_ProductBM!I:I)&gt;0,SUMIF(F_ProductBM!$P:$P,$P301,F_ProductBM!I:I),"")</f>
        <v/>
      </c>
      <c r="J301" s="511" t="str">
        <f>IF(SUMIF(F_ProductBM!$P:$P,$P301,F_ProductBM!J:J)&gt;0,SUMIF(F_ProductBM!$P:$P,$P301,F_ProductBM!J:J),"")</f>
        <v/>
      </c>
      <c r="K301" s="511" t="str">
        <f>IF(SUMIF(F_ProductBM!$P:$P,$P301,F_ProductBM!K:K)&gt;0,SUMIF(F_ProductBM!$P:$P,$P301,F_ProductBM!K:K),"")</f>
        <v/>
      </c>
      <c r="L301" s="511" t="str">
        <f>IF(SUMIF(F_ProductBM!$P:$P,$P301,F_ProductBM!L:L)&gt;0,SUMIF(F_ProductBM!$P:$P,$P301,F_ProductBM!L:L),"")</f>
        <v/>
      </c>
      <c r="M301" s="511" t="str">
        <f>IF(SUMIF(F_ProductBM!$P:$P,$P301,F_ProductBM!M:M)&gt;0,SUMIF(F_ProductBM!$P:$P,$P301,F_ProductBM!M:M),"")</f>
        <v/>
      </c>
      <c r="N301" s="7"/>
      <c r="O301" s="7"/>
      <c r="P301" s="438" t="str">
        <f t="shared" si="16"/>
        <v>WasteGasCons_</v>
      </c>
      <c r="S301" s="718"/>
    </row>
    <row r="302" spans="2:19" x14ac:dyDescent="0.2">
      <c r="B302" s="20"/>
      <c r="C302" s="20"/>
      <c r="D302" s="425" t="s">
        <v>320</v>
      </c>
      <c r="E302" s="1648" t="str">
        <f t="shared" si="14"/>
        <v/>
      </c>
      <c r="F302" s="1648"/>
      <c r="G302" s="1648"/>
      <c r="H302" s="435" t="str">
        <f t="shared" si="15"/>
        <v>TJ / rok</v>
      </c>
      <c r="I302" s="511" t="str">
        <f>IF(SUMIF(F_ProductBM!$P:$P,$P302,F_ProductBM!I:I)&gt;0,SUMIF(F_ProductBM!$P:$P,$P302,F_ProductBM!I:I),"")</f>
        <v/>
      </c>
      <c r="J302" s="511" t="str">
        <f>IF(SUMIF(F_ProductBM!$P:$P,$P302,F_ProductBM!J:J)&gt;0,SUMIF(F_ProductBM!$P:$P,$P302,F_ProductBM!J:J),"")</f>
        <v/>
      </c>
      <c r="K302" s="511" t="str">
        <f>IF(SUMIF(F_ProductBM!$P:$P,$P302,F_ProductBM!K:K)&gt;0,SUMIF(F_ProductBM!$P:$P,$P302,F_ProductBM!K:K),"")</f>
        <v/>
      </c>
      <c r="L302" s="511" t="str">
        <f>IF(SUMIF(F_ProductBM!$P:$P,$P302,F_ProductBM!L:L)&gt;0,SUMIF(F_ProductBM!$P:$P,$P302,F_ProductBM!L:L),"")</f>
        <v/>
      </c>
      <c r="M302" s="511" t="str">
        <f>IF(SUMIF(F_ProductBM!$P:$P,$P302,F_ProductBM!M:M)&gt;0,SUMIF(F_ProductBM!$P:$P,$P302,F_ProductBM!M:M),"")</f>
        <v/>
      </c>
      <c r="N302" s="7"/>
      <c r="O302" s="7"/>
      <c r="P302" s="438" t="str">
        <f t="shared" si="16"/>
        <v>WasteGasCons_</v>
      </c>
      <c r="S302" s="718"/>
    </row>
    <row r="303" spans="2:19" x14ac:dyDescent="0.2">
      <c r="B303" s="20"/>
      <c r="C303" s="20"/>
      <c r="D303" s="425" t="s">
        <v>16</v>
      </c>
      <c r="E303" s="1649" t="str">
        <f t="shared" si="14"/>
        <v/>
      </c>
      <c r="F303" s="1649"/>
      <c r="G303" s="1649"/>
      <c r="H303" s="436" t="str">
        <f t="shared" si="15"/>
        <v>TJ / rok</v>
      </c>
      <c r="I303" s="704" t="str">
        <f>IF(SUMIF(F_ProductBM!$P:$P,$P303,F_ProductBM!I:I)&gt;0,SUMIF(F_ProductBM!$P:$P,$P303,F_ProductBM!I:I),"")</f>
        <v/>
      </c>
      <c r="J303" s="704" t="str">
        <f>IF(SUMIF(F_ProductBM!$P:$P,$P303,F_ProductBM!J:J)&gt;0,SUMIF(F_ProductBM!$P:$P,$P303,F_ProductBM!J:J),"")</f>
        <v/>
      </c>
      <c r="K303" s="704" t="str">
        <f>IF(SUMIF(F_ProductBM!$P:$P,$P303,F_ProductBM!K:K)&gt;0,SUMIF(F_ProductBM!$P:$P,$P303,F_ProductBM!K:K),"")</f>
        <v/>
      </c>
      <c r="L303" s="704" t="str">
        <f>IF(SUMIF(F_ProductBM!$P:$P,$P303,F_ProductBM!L:L)&gt;0,SUMIF(F_ProductBM!$P:$P,$P303,F_ProductBM!L:L),"")</f>
        <v/>
      </c>
      <c r="M303" s="704" t="str">
        <f>IF(SUMIF(F_ProductBM!$P:$P,$P303,F_ProductBM!M:M)&gt;0,SUMIF(F_ProductBM!$P:$P,$P303,F_ProductBM!M:M),"")</f>
        <v/>
      </c>
      <c r="N303" s="7"/>
      <c r="O303" s="7"/>
      <c r="P303" s="438" t="str">
        <f t="shared" si="16"/>
        <v>WasteGasCons_</v>
      </c>
      <c r="S303" s="718"/>
    </row>
    <row r="304" spans="2:19" ht="12.75" customHeight="1" x14ac:dyDescent="0.2">
      <c r="B304" s="20"/>
      <c r="C304" s="195"/>
      <c r="D304" s="425" t="s">
        <v>17</v>
      </c>
      <c r="E304" s="1702" t="str">
        <f>Translations!$B$536</f>
        <v>Suma częściowa</v>
      </c>
      <c r="F304" s="1702"/>
      <c r="G304" s="1702"/>
      <c r="H304" s="41" t="str">
        <f t="shared" si="15"/>
        <v>TJ / rok</v>
      </c>
      <c r="I304" s="433" t="str">
        <f>IF(COUNT(I294:I303)&gt;0,SUM(I294:I303),"")</f>
        <v/>
      </c>
      <c r="J304" s="433" t="str">
        <f>IF(COUNT(J294:J303)&gt;0,SUM(J294:J303),"")</f>
        <v/>
      </c>
      <c r="K304" s="433" t="str">
        <f>IF(COUNT(K294:K303)&gt;0,SUM(K294:K303),"")</f>
        <v/>
      </c>
      <c r="L304" s="433" t="str">
        <f>IF(COUNT(L294:L303)&gt;0,SUM(L294:L303),"")</f>
        <v/>
      </c>
      <c r="M304" s="433" t="str">
        <f>IF(COUNT(M294:M303)&gt;0,SUM(M294:M303),"")</f>
        <v/>
      </c>
      <c r="N304" s="7"/>
      <c r="O304" s="7"/>
      <c r="S304" s="718"/>
    </row>
    <row r="305" spans="1:19" ht="5.0999999999999996" customHeight="1" x14ac:dyDescent="0.2">
      <c r="B305" s="3"/>
      <c r="C305" s="3"/>
      <c r="D305" s="3"/>
      <c r="E305" s="3"/>
      <c r="F305" s="3"/>
      <c r="G305" s="3"/>
      <c r="H305" s="3"/>
      <c r="I305" s="3"/>
      <c r="J305" s="3"/>
      <c r="K305" s="3"/>
      <c r="L305" s="3"/>
      <c r="M305" s="3"/>
      <c r="N305" s="3"/>
      <c r="O305" s="7"/>
      <c r="P305" s="626"/>
      <c r="S305" s="718"/>
    </row>
    <row r="306" spans="1:19" x14ac:dyDescent="0.2">
      <c r="B306" s="3"/>
      <c r="C306" s="14"/>
      <c r="D306" s="14" t="s">
        <v>88</v>
      </c>
      <c r="E306" s="1653" t="str">
        <f>Translations!$B$631</f>
        <v>Gazy odlotowe zużyte w podinstalacjach, dla których wprowadzono rozwiązania rezerwowe (fall-back)</v>
      </c>
      <c r="F306" s="1647"/>
      <c r="G306" s="1647"/>
      <c r="H306" s="1647"/>
      <c r="I306" s="1647"/>
      <c r="J306" s="1647"/>
      <c r="K306" s="1647"/>
      <c r="L306" s="1647"/>
      <c r="M306" s="1647"/>
      <c r="N306" s="1647"/>
      <c r="O306" s="7"/>
      <c r="P306" s="626"/>
      <c r="S306" s="718"/>
    </row>
    <row r="307" spans="1:19" ht="12.75" customHeight="1" x14ac:dyDescent="0.2">
      <c r="B307" s="3"/>
      <c r="C307" s="16"/>
      <c r="D307" s="16"/>
      <c r="E307" s="1646" t="str">
        <f>Translations!$B$632</f>
        <v>Informacje pobrano z odpowiednich wpisów w arkuszu „G_Fall-back”. Jeżeli dotyczy, należy upewnić się, że wprowadzili tam Państwo kompletne dane.</v>
      </c>
      <c r="F307" s="1647"/>
      <c r="G307" s="1647"/>
      <c r="H307" s="1647"/>
      <c r="I307" s="1647"/>
      <c r="J307" s="1647"/>
      <c r="K307" s="1647"/>
      <c r="L307" s="1647"/>
      <c r="M307" s="1647"/>
      <c r="N307" s="1647"/>
      <c r="O307" s="7"/>
      <c r="P307" s="626"/>
      <c r="S307" s="718"/>
    </row>
    <row r="308" spans="1:19" ht="38.25" customHeight="1" x14ac:dyDescent="0.2">
      <c r="B308" s="20"/>
      <c r="C308" s="20"/>
      <c r="D308" s="20"/>
      <c r="E308" s="1655" t="str">
        <f>Translations!$B$633</f>
        <v>Rodzaj podinstalacji, dla której wprowadzono rozwiązania rezerwowe (fall-back)</v>
      </c>
      <c r="F308" s="1656"/>
      <c r="G308" s="1656"/>
      <c r="H308" s="431" t="str">
        <f>EUconst_Unit</f>
        <v>Jednostka</v>
      </c>
      <c r="I308" s="396">
        <f>I$380</f>
        <v>2014</v>
      </c>
      <c r="J308" s="396">
        <f>J$380</f>
        <v>2015</v>
      </c>
      <c r="K308" s="396">
        <f>K$380</f>
        <v>2016</v>
      </c>
      <c r="L308" s="396">
        <f>L$380</f>
        <v>2017</v>
      </c>
      <c r="M308" s="421">
        <f>M$380</f>
        <v>2018</v>
      </c>
      <c r="N308" s="487"/>
      <c r="O308" s="7"/>
      <c r="S308" s="718"/>
    </row>
    <row r="309" spans="1:19" ht="25.5" customHeight="1" x14ac:dyDescent="0.2">
      <c r="A309" s="2"/>
      <c r="B309" s="20"/>
      <c r="C309" s="20"/>
      <c r="D309" s="195" t="s">
        <v>2</v>
      </c>
      <c r="E309" s="1618" t="str">
        <f>INDEX(EUconst_FallBackListNames,Q309)</f>
        <v>Podinstalacja objęta wskaźnikiem emisyjności opartym na cieple, „CL”</v>
      </c>
      <c r="F309" s="1618"/>
      <c r="G309" s="1618"/>
      <c r="H309" s="434" t="str">
        <f t="shared" ref="H309:H314" si="17">EUconst_TJpa</f>
        <v>TJ / rok</v>
      </c>
      <c r="I309" s="703" t="str">
        <f>IF(SUMIF('G_Fall-back'!$P:$P,$P309,'G_Fall-back'!I:I)&gt;0,SUMIF('G_Fall-back'!$P:$P,$P309,'G_Fall-back'!I:I),"")</f>
        <v/>
      </c>
      <c r="J309" s="703" t="str">
        <f>IF(SUMIF('G_Fall-back'!$P:$P,$P309,'G_Fall-back'!J:J)&gt;0,SUMIF('G_Fall-back'!$P:$P,$P309,'G_Fall-back'!J:J),"")</f>
        <v/>
      </c>
      <c r="K309" s="703" t="str">
        <f>IF(SUMIF('G_Fall-back'!$P:$P,$P309,'G_Fall-back'!K:K)&gt;0,SUMIF('G_Fall-back'!$P:$P,$P309,'G_Fall-back'!K:K),"")</f>
        <v/>
      </c>
      <c r="L309" s="703" t="str">
        <f>IF(SUMIF('G_Fall-back'!$P:$P,$P309,'G_Fall-back'!L:L)&gt;0,SUMIF('G_Fall-back'!$P:$P,$P309,'G_Fall-back'!L:L),"")</f>
        <v/>
      </c>
      <c r="M309" s="703" t="str">
        <f>IF(SUMIF('G_Fall-back'!$P:$P,$P309,'G_Fall-back'!M:M)&gt;0,SUMIF('G_Fall-back'!$P:$P,$P309,'G_Fall-back'!M:M),"")</f>
        <v/>
      </c>
      <c r="N309" s="7"/>
      <c r="O309" s="7"/>
      <c r="P309" s="438" t="str">
        <f>EUconst_CNTR_WGConsumed &amp; E309</f>
        <v>WasteGasCons_Podinstalacja objęta wskaźnikiem emisyjności opartym na cieple, „CL”</v>
      </c>
      <c r="Q309" s="483">
        <v>1</v>
      </c>
      <c r="S309" s="718"/>
    </row>
    <row r="310" spans="1:19" ht="25.5" customHeight="1" x14ac:dyDescent="0.2">
      <c r="A310" s="2"/>
      <c r="B310" s="20"/>
      <c r="C310" s="20"/>
      <c r="D310" s="195" t="s">
        <v>3</v>
      </c>
      <c r="E310" s="1613" t="str">
        <f>INDEX(EUconst_FallBackListNames,Q310)</f>
        <v>Podinstalacja objęta wskaźnikiem emisyjności opartym na cieple, „nie-CL”</v>
      </c>
      <c r="F310" s="1613"/>
      <c r="G310" s="1613"/>
      <c r="H310" s="435" t="str">
        <f t="shared" si="17"/>
        <v>TJ / rok</v>
      </c>
      <c r="I310" s="511" t="str">
        <f>IF(SUMIF('G_Fall-back'!$P:$P,$P310,'G_Fall-back'!I:I)&gt;0,SUMIF('G_Fall-back'!$P:$P,$P310,'G_Fall-back'!I:I),"")</f>
        <v/>
      </c>
      <c r="J310" s="511" t="str">
        <f>IF(SUMIF('G_Fall-back'!$P:$P,$P310,'G_Fall-back'!J:J)&gt;0,SUMIF('G_Fall-back'!$P:$P,$P310,'G_Fall-back'!J:J),"")</f>
        <v/>
      </c>
      <c r="K310" s="511" t="str">
        <f>IF(SUMIF('G_Fall-back'!$P:$P,$P310,'G_Fall-back'!K:K)&gt;0,SUMIF('G_Fall-back'!$P:$P,$P310,'G_Fall-back'!K:K),"")</f>
        <v/>
      </c>
      <c r="L310" s="511" t="str">
        <f>IF(SUMIF('G_Fall-back'!$P:$P,$P310,'G_Fall-back'!L:L)&gt;0,SUMIF('G_Fall-back'!$P:$P,$P310,'G_Fall-back'!L:L),"")</f>
        <v/>
      </c>
      <c r="M310" s="511" t="str">
        <f>IF(SUMIF('G_Fall-back'!$P:$P,$P310,'G_Fall-back'!M:M)&gt;0,SUMIF('G_Fall-back'!$P:$P,$P310,'G_Fall-back'!M:M),"")</f>
        <v/>
      </c>
      <c r="N310" s="7"/>
      <c r="O310" s="7"/>
      <c r="P310" s="438" t="str">
        <f>EUconst_CNTR_WGConsumed &amp; E310</f>
        <v>WasteGasCons_Podinstalacja objęta wskaźnikiem emisyjności opartym na cieple, „nie-CL”</v>
      </c>
      <c r="Q310" s="483">
        <v>2</v>
      </c>
      <c r="S310" s="718"/>
    </row>
    <row r="311" spans="1:19" ht="25.5" customHeight="1" x14ac:dyDescent="0.2">
      <c r="A311" s="2"/>
      <c r="B311" s="20"/>
      <c r="C311" s="20"/>
      <c r="D311" s="195" t="s">
        <v>4</v>
      </c>
      <c r="E311" s="1613" t="str">
        <f>Translations!$B$634</f>
        <v>Podinstalacja sieci ciepłowniczej, „nie-CL”</v>
      </c>
      <c r="F311" s="1613"/>
      <c r="G311" s="1613"/>
      <c r="H311" s="435" t="str">
        <f t="shared" si="17"/>
        <v>TJ / rok</v>
      </c>
      <c r="I311" s="511" t="str">
        <f>IF(SUMIF('G_Fall-back'!$P:$P,$P311,'G_Fall-back'!I:I)&gt;0,SUMIF('G_Fall-back'!$P:$P,$P311,'G_Fall-back'!I:I),"")</f>
        <v/>
      </c>
      <c r="J311" s="511" t="str">
        <f>IF(SUMIF('G_Fall-back'!$P:$P,$P311,'G_Fall-back'!J:J)&gt;0,SUMIF('G_Fall-back'!$P:$P,$P311,'G_Fall-back'!J:J),"")</f>
        <v/>
      </c>
      <c r="K311" s="511" t="str">
        <f>IF(SUMIF('G_Fall-back'!$P:$P,$P311,'G_Fall-back'!K:K)&gt;0,SUMIF('G_Fall-back'!$P:$P,$P311,'G_Fall-back'!K:K),"")</f>
        <v/>
      </c>
      <c r="L311" s="511" t="str">
        <f>IF(SUMIF('G_Fall-back'!$P:$P,$P311,'G_Fall-back'!L:L)&gt;0,SUMIF('G_Fall-back'!$P:$P,$P311,'G_Fall-back'!L:L),"")</f>
        <v/>
      </c>
      <c r="M311" s="511" t="str">
        <f>IF(SUMIF('G_Fall-back'!$P:$P,$P311,'G_Fall-back'!M:M)&gt;0,SUMIF('G_Fall-back'!$P:$P,$P311,'G_Fall-back'!M:M),"")</f>
        <v/>
      </c>
      <c r="N311" s="7"/>
      <c r="O311" s="7"/>
      <c r="P311" s="438" t="str">
        <f>EUconst_CNTR_WGConsumed &amp; E311</f>
        <v>WasteGasCons_Podinstalacja sieci ciepłowniczej, „nie-CL”</v>
      </c>
      <c r="Q311" s="483">
        <v>3</v>
      </c>
      <c r="S311" s="718"/>
    </row>
    <row r="312" spans="1:19" ht="25.5" customHeight="1" x14ac:dyDescent="0.2">
      <c r="A312" s="2"/>
      <c r="B312" s="20"/>
      <c r="C312" s="20"/>
      <c r="D312" s="195" t="s">
        <v>6</v>
      </c>
      <c r="E312" s="1613" t="str">
        <f>INDEX(EUconst_FallBackListNames,Q312)</f>
        <v>Podinstalacja objęta wskaźnikiem emisyjności opartym na paliwie, „CL”</v>
      </c>
      <c r="F312" s="1613"/>
      <c r="G312" s="1613"/>
      <c r="H312" s="435" t="str">
        <f t="shared" si="17"/>
        <v>TJ / rok</v>
      </c>
      <c r="I312" s="511" t="str">
        <f>IF(SUMIF('G_Fall-back'!$P:$P,$P312,'G_Fall-back'!I:I)&gt;0,SUMIF('G_Fall-back'!$P:$P,$P312,'G_Fall-back'!I:I),"")</f>
        <v/>
      </c>
      <c r="J312" s="511" t="str">
        <f>IF(SUMIF('G_Fall-back'!$P:$P,$P312,'G_Fall-back'!J:J)&gt;0,SUMIF('G_Fall-back'!$P:$P,$P312,'G_Fall-back'!J:J),"")</f>
        <v/>
      </c>
      <c r="K312" s="511" t="str">
        <f>IF(SUMIF('G_Fall-back'!$P:$P,$P312,'G_Fall-back'!K:K)&gt;0,SUMIF('G_Fall-back'!$P:$P,$P312,'G_Fall-back'!K:K),"")</f>
        <v/>
      </c>
      <c r="L312" s="511" t="str">
        <f>IF(SUMIF('G_Fall-back'!$P:$P,$P312,'G_Fall-back'!L:L)&gt;0,SUMIF('G_Fall-back'!$P:$P,$P312,'G_Fall-back'!L:L),"")</f>
        <v/>
      </c>
      <c r="M312" s="511" t="str">
        <f>IF(SUMIF('G_Fall-back'!$P:$P,$P312,'G_Fall-back'!M:M)&gt;0,SUMIF('G_Fall-back'!$P:$P,$P312,'G_Fall-back'!M:M),"")</f>
        <v/>
      </c>
      <c r="N312" s="7"/>
      <c r="O312" s="7"/>
      <c r="P312" s="438" t="str">
        <f>EUconst_CNTR_WGConsumed &amp; E312</f>
        <v>WasteGasCons_Podinstalacja objęta wskaźnikiem emisyjności opartym na paliwie, „CL”</v>
      </c>
      <c r="Q312" s="483">
        <v>4</v>
      </c>
      <c r="S312" s="718"/>
    </row>
    <row r="313" spans="1:19" ht="25.5" customHeight="1" x14ac:dyDescent="0.2">
      <c r="A313" s="2"/>
      <c r="B313" s="20"/>
      <c r="C313" s="20"/>
      <c r="D313" s="425" t="s">
        <v>316</v>
      </c>
      <c r="E313" s="1615" t="str">
        <f>INDEX(EUconst_FallBackListNames,Q313)</f>
        <v>Podinstalacja objęta wskaźnikiem emisyjności opartym na paliwie, „nie-CL”</v>
      </c>
      <c r="F313" s="1615"/>
      <c r="G313" s="1615"/>
      <c r="H313" s="436" t="str">
        <f t="shared" si="17"/>
        <v>TJ / rok</v>
      </c>
      <c r="I313" s="704" t="str">
        <f>IF(SUMIF('G_Fall-back'!$P:$P,$P313,'G_Fall-back'!I:I)&gt;0,SUMIF('G_Fall-back'!$P:$P,$P313,'G_Fall-back'!I:I),"")</f>
        <v/>
      </c>
      <c r="J313" s="704" t="str">
        <f>IF(SUMIF('G_Fall-back'!$P:$P,$P313,'G_Fall-back'!J:J)&gt;0,SUMIF('G_Fall-back'!$P:$P,$P313,'G_Fall-back'!J:J),"")</f>
        <v/>
      </c>
      <c r="K313" s="704" t="str">
        <f>IF(SUMIF('G_Fall-back'!$P:$P,$P313,'G_Fall-back'!K:K)&gt;0,SUMIF('G_Fall-back'!$P:$P,$P313,'G_Fall-back'!K:K),"")</f>
        <v/>
      </c>
      <c r="L313" s="704" t="str">
        <f>IF(SUMIF('G_Fall-back'!$P:$P,$P313,'G_Fall-back'!L:L)&gt;0,SUMIF('G_Fall-back'!$P:$P,$P313,'G_Fall-back'!L:L),"")</f>
        <v/>
      </c>
      <c r="M313" s="704" t="str">
        <f>IF(SUMIF('G_Fall-back'!$P:$P,$P313,'G_Fall-back'!M:M)&gt;0,SUMIF('G_Fall-back'!$P:$P,$P313,'G_Fall-back'!M:M),"")</f>
        <v/>
      </c>
      <c r="N313" s="7"/>
      <c r="O313" s="7"/>
      <c r="P313" s="438" t="str">
        <f>EUconst_CNTR_WGConsumed &amp; E313</f>
        <v>WasteGasCons_Podinstalacja objęta wskaźnikiem emisyjności opartym na paliwie, „nie-CL”</v>
      </c>
      <c r="Q313" s="483">
        <v>5</v>
      </c>
      <c r="S313" s="718"/>
    </row>
    <row r="314" spans="1:19" ht="12.75" customHeight="1" x14ac:dyDescent="0.2">
      <c r="B314" s="20"/>
      <c r="C314" s="20"/>
      <c r="D314" s="425" t="s">
        <v>317</v>
      </c>
      <c r="E314" s="1702" t="str">
        <f>Translations!$B$536</f>
        <v>Suma częściowa</v>
      </c>
      <c r="F314" s="1702"/>
      <c r="G314" s="1702"/>
      <c r="H314" s="42" t="str">
        <f t="shared" si="17"/>
        <v>TJ / rok</v>
      </c>
      <c r="I314" s="309" t="str">
        <f>IF(COUNT(I309:I313)&gt;0,SUM(I309:I313),"")</f>
        <v/>
      </c>
      <c r="J314" s="309" t="str">
        <f>IF(COUNT(J309:J313)&gt;0,SUM(J309:J313),"")</f>
        <v/>
      </c>
      <c r="K314" s="309" t="str">
        <f>IF(COUNT(K309:K313)&gt;0,SUM(K309:K313),"")</f>
        <v/>
      </c>
      <c r="L314" s="309" t="str">
        <f>IF(COUNT(L309:L313)&gt;0,SUM(L309:L313),"")</f>
        <v/>
      </c>
      <c r="M314" s="309" t="str">
        <f>IF(COUNT(M309:M313)&gt;0,SUM(M309:M313),"")</f>
        <v/>
      </c>
      <c r="N314" s="7"/>
      <c r="O314" s="7"/>
      <c r="S314" s="718"/>
    </row>
    <row r="315" spans="1:19" ht="5.0999999999999996" customHeight="1" x14ac:dyDescent="0.2">
      <c r="B315" s="20"/>
      <c r="C315" s="20"/>
      <c r="D315" s="20"/>
      <c r="E315" s="398"/>
      <c r="F315" s="20"/>
      <c r="G315" s="20"/>
      <c r="H315" s="20"/>
      <c r="I315" s="20"/>
      <c r="J315" s="20"/>
      <c r="K315" s="20"/>
      <c r="L315" s="20"/>
      <c r="M315" s="20"/>
      <c r="N315" s="20"/>
      <c r="O315" s="7"/>
      <c r="S315" s="718"/>
    </row>
    <row r="316" spans="1:19" x14ac:dyDescent="0.2">
      <c r="B316" s="3"/>
      <c r="C316" s="14"/>
      <c r="D316" s="14" t="s">
        <v>89</v>
      </c>
      <c r="E316" s="1653" t="str">
        <f>Translations!$B$635</f>
        <v>Ilość gazów odlotowych zużytych do wytworzenia energii elektrycznej</v>
      </c>
      <c r="F316" s="1647"/>
      <c r="G316" s="1647"/>
      <c r="H316" s="1647"/>
      <c r="I316" s="1647"/>
      <c r="J316" s="1647"/>
      <c r="K316" s="1647"/>
      <c r="L316" s="1647"/>
      <c r="M316" s="1647"/>
      <c r="N316" s="1647"/>
      <c r="O316" s="7"/>
      <c r="P316" s="626"/>
      <c r="S316" s="718"/>
    </row>
    <row r="317" spans="1:19" ht="25.5" customHeight="1" x14ac:dyDescent="0.2">
      <c r="B317" s="20"/>
      <c r="C317" s="20"/>
      <c r="D317" s="20"/>
      <c r="E317" s="1654" t="str">
        <f>Translations!$B$636</f>
        <v>Gazy odlotowe wykorzystane do wytworzenia energii elektrycznej</v>
      </c>
      <c r="F317" s="1667"/>
      <c r="G317" s="1667"/>
      <c r="H317" s="52" t="str">
        <f>EUconst_TJpa</f>
        <v>TJ / rok</v>
      </c>
      <c r="I317" s="313"/>
      <c r="J317" s="313"/>
      <c r="K317" s="313"/>
      <c r="L317" s="313"/>
      <c r="M317" s="313"/>
      <c r="N317" s="26"/>
      <c r="O317" s="7"/>
      <c r="S317" s="630" t="b">
        <f>S285</f>
        <v>1</v>
      </c>
    </row>
    <row r="318" spans="1:19" ht="5.0999999999999996" customHeight="1" x14ac:dyDescent="0.2">
      <c r="B318" s="3"/>
      <c r="C318" s="3"/>
      <c r="D318" s="3"/>
      <c r="E318" s="3"/>
      <c r="F318" s="3"/>
      <c r="G318" s="3"/>
      <c r="H318" s="3"/>
      <c r="I318" s="3"/>
      <c r="J318" s="3"/>
      <c r="K318" s="3"/>
      <c r="L318" s="3"/>
      <c r="M318" s="3"/>
      <c r="N318" s="3"/>
      <c r="O318" s="7"/>
      <c r="P318" s="626"/>
      <c r="S318" s="718"/>
    </row>
    <row r="319" spans="1:19" ht="25.5" customHeight="1" x14ac:dyDescent="0.2">
      <c r="B319" s="3"/>
      <c r="C319" s="14"/>
      <c r="D319" s="14" t="s">
        <v>218</v>
      </c>
      <c r="E319" s="1653" t="str">
        <f>Translations!$B$637</f>
        <v>Ilość gazów odlotowych spalonych na pochodniach w innych celach niż spalanie na pochodniach dla zapewnienia bezpieczeństwa</v>
      </c>
      <c r="F319" s="1647"/>
      <c r="G319" s="1647"/>
      <c r="H319" s="1647"/>
      <c r="I319" s="1647"/>
      <c r="J319" s="1647"/>
      <c r="K319" s="1647"/>
      <c r="L319" s="1647"/>
      <c r="M319" s="1647"/>
      <c r="N319" s="1647"/>
      <c r="O319" s="7"/>
      <c r="P319" s="626"/>
      <c r="S319" s="718"/>
    </row>
    <row r="320" spans="1:19" x14ac:dyDescent="0.2">
      <c r="B320" s="3"/>
      <c r="C320" s="16"/>
      <c r="D320" s="16"/>
      <c r="E320" s="1646" t="str">
        <f>Translations!$B$638</f>
        <v>W przypadku podinstalacji objętych wskaźnikiem emisyjności dla produktów informacje są pobierane automatycznie z wpisów w arkuszu „F_ProductBM”.</v>
      </c>
      <c r="F320" s="1647"/>
      <c r="G320" s="1647"/>
      <c r="H320" s="1647"/>
      <c r="I320" s="1647"/>
      <c r="J320" s="1647"/>
      <c r="K320" s="1647"/>
      <c r="L320" s="1647"/>
      <c r="M320" s="1647"/>
      <c r="N320" s="1647"/>
      <c r="O320" s="7"/>
      <c r="P320" s="626"/>
      <c r="S320" s="718"/>
    </row>
    <row r="321" spans="2:19" ht="25.5" customHeight="1" x14ac:dyDescent="0.2">
      <c r="B321" s="3"/>
      <c r="C321" s="16"/>
      <c r="D321" s="16"/>
      <c r="E321" s="1646" t="str">
        <f>Translations!$B$639</f>
        <v>W tym miejscu należy wprowadzić dane dotyczące gazów odlotowych wytworzonych poza podinstalacjami objętymi wskaźnikiem emisyjności dla produktów, spalanych na pochodniach w innych celach niż dla zapewnienia bezpieczeństwa.</v>
      </c>
      <c r="F321" s="1647"/>
      <c r="G321" s="1647"/>
      <c r="H321" s="1647"/>
      <c r="I321" s="1647"/>
      <c r="J321" s="1647"/>
      <c r="K321" s="1647"/>
      <c r="L321" s="1647"/>
      <c r="M321" s="1647"/>
      <c r="N321" s="1647"/>
      <c r="O321" s="7"/>
      <c r="P321" s="626"/>
      <c r="S321" s="718"/>
    </row>
    <row r="322" spans="2:19" x14ac:dyDescent="0.2">
      <c r="B322" s="20"/>
      <c r="C322" s="20"/>
      <c r="D322" s="20"/>
      <c r="E322" s="1650" t="str">
        <f>Translations!$B$614</f>
        <v>Podinstalacja</v>
      </c>
      <c r="F322" s="1651"/>
      <c r="G322" s="1651"/>
      <c r="H322" s="34" t="str">
        <f>EUconst_Unit</f>
        <v>Jednostka</v>
      </c>
      <c r="I322" s="432">
        <f>I$380</f>
        <v>2014</v>
      </c>
      <c r="J322" s="432">
        <f>J$380</f>
        <v>2015</v>
      </c>
      <c r="K322" s="432">
        <f>K$380</f>
        <v>2016</v>
      </c>
      <c r="L322" s="432">
        <f>L$380</f>
        <v>2017</v>
      </c>
      <c r="M322" s="432">
        <f>M$380</f>
        <v>2018</v>
      </c>
      <c r="N322" s="487"/>
      <c r="O322" s="7"/>
      <c r="S322" s="718"/>
    </row>
    <row r="323" spans="2:19" ht="12.75" customHeight="1" x14ac:dyDescent="0.2">
      <c r="B323" s="20"/>
      <c r="C323" s="20"/>
      <c r="D323" s="425" t="s">
        <v>2</v>
      </c>
      <c r="E323" s="1722" t="str">
        <f t="shared" ref="E323:E332" si="18">E294</f>
        <v/>
      </c>
      <c r="F323" s="1722"/>
      <c r="G323" s="1722"/>
      <c r="H323" s="434" t="str">
        <f t="shared" ref="H323:H332" si="19">EUconst_TJpa</f>
        <v>TJ / rok</v>
      </c>
      <c r="I323" s="703" t="str">
        <f>IF(SUMIF(F_ProductBM!$P:$P,$P323,F_ProductBM!I:I)&gt;0,SUMIF(F_ProductBM!$P:$P,$P323,F_ProductBM!I:I),"")</f>
        <v/>
      </c>
      <c r="J323" s="703" t="str">
        <f>IF(SUMIF(F_ProductBM!$P:$P,$P323,F_ProductBM!J:J)&gt;0,SUMIF(F_ProductBM!$P:$P,$P323,F_ProductBM!J:J),"")</f>
        <v/>
      </c>
      <c r="K323" s="703" t="str">
        <f>IF(SUMIF(F_ProductBM!$P:$P,$P323,F_ProductBM!K:K)&gt;0,SUMIF(F_ProductBM!$P:$P,$P323,F_ProductBM!K:K),"")</f>
        <v/>
      </c>
      <c r="L323" s="703" t="str">
        <f>IF(SUMIF(F_ProductBM!$P:$P,$P323,F_ProductBM!L:L)&gt;0,SUMIF(F_ProductBM!$P:$P,$P323,F_ProductBM!L:L),"")</f>
        <v/>
      </c>
      <c r="M323" s="703" t="str">
        <f>IF(SUMIF(F_ProductBM!$P:$P,$P323,F_ProductBM!M:M)&gt;0,SUMIF(F_ProductBM!$P:$P,$P323,F_ProductBM!M:M),"")</f>
        <v/>
      </c>
      <c r="N323" s="7"/>
      <c r="O323" s="7"/>
      <c r="P323" s="438" t="str">
        <f t="shared" ref="P323:P332" si="20">EUconst_CNTR_WGFlared &amp; E323</f>
        <v>WasteGasFlare_</v>
      </c>
      <c r="S323" s="718"/>
    </row>
    <row r="324" spans="2:19" ht="12.75" customHeight="1" x14ac:dyDescent="0.2">
      <c r="B324" s="20"/>
      <c r="C324" s="20"/>
      <c r="D324" s="425" t="s">
        <v>3</v>
      </c>
      <c r="E324" s="1648" t="str">
        <f t="shared" si="18"/>
        <v/>
      </c>
      <c r="F324" s="1648"/>
      <c r="G324" s="1648"/>
      <c r="H324" s="435" t="str">
        <f t="shared" si="19"/>
        <v>TJ / rok</v>
      </c>
      <c r="I324" s="511" t="str">
        <f>IF(SUMIF(F_ProductBM!$P:$P,$P324,F_ProductBM!I:I)&gt;0,SUMIF(F_ProductBM!$P:$P,$P324,F_ProductBM!I:I),"")</f>
        <v/>
      </c>
      <c r="J324" s="511" t="str">
        <f>IF(SUMIF(F_ProductBM!$P:$P,$P324,F_ProductBM!J:J)&gt;0,SUMIF(F_ProductBM!$P:$P,$P324,F_ProductBM!J:J),"")</f>
        <v/>
      </c>
      <c r="K324" s="511" t="str">
        <f>IF(SUMIF(F_ProductBM!$P:$P,$P324,F_ProductBM!K:K)&gt;0,SUMIF(F_ProductBM!$P:$P,$P324,F_ProductBM!K:K),"")</f>
        <v/>
      </c>
      <c r="L324" s="511" t="str">
        <f>IF(SUMIF(F_ProductBM!$P:$P,$P324,F_ProductBM!L:L)&gt;0,SUMIF(F_ProductBM!$P:$P,$P324,F_ProductBM!L:L),"")</f>
        <v/>
      </c>
      <c r="M324" s="511" t="str">
        <f>IF(SUMIF(F_ProductBM!$P:$P,$P324,F_ProductBM!M:M)&gt;0,SUMIF(F_ProductBM!$P:$P,$P324,F_ProductBM!M:M),"")</f>
        <v/>
      </c>
      <c r="N324" s="7"/>
      <c r="O324" s="7"/>
      <c r="P324" s="438" t="str">
        <f t="shared" si="20"/>
        <v>WasteGasFlare_</v>
      </c>
      <c r="S324" s="718"/>
    </row>
    <row r="325" spans="2:19" ht="12.75" customHeight="1" x14ac:dyDescent="0.2">
      <c r="B325" s="20"/>
      <c r="C325" s="20"/>
      <c r="D325" s="425" t="s">
        <v>4</v>
      </c>
      <c r="E325" s="1648" t="str">
        <f t="shared" si="18"/>
        <v/>
      </c>
      <c r="F325" s="1648"/>
      <c r="G325" s="1648"/>
      <c r="H325" s="435" t="str">
        <f t="shared" si="19"/>
        <v>TJ / rok</v>
      </c>
      <c r="I325" s="511" t="str">
        <f>IF(SUMIF(F_ProductBM!$P:$P,$P325,F_ProductBM!I:I)&gt;0,SUMIF(F_ProductBM!$P:$P,$P325,F_ProductBM!I:I),"")</f>
        <v/>
      </c>
      <c r="J325" s="511" t="str">
        <f>IF(SUMIF(F_ProductBM!$P:$P,$P325,F_ProductBM!J:J)&gt;0,SUMIF(F_ProductBM!$P:$P,$P325,F_ProductBM!J:J),"")</f>
        <v/>
      </c>
      <c r="K325" s="511" t="str">
        <f>IF(SUMIF(F_ProductBM!$P:$P,$P325,F_ProductBM!K:K)&gt;0,SUMIF(F_ProductBM!$P:$P,$P325,F_ProductBM!K:K),"")</f>
        <v/>
      </c>
      <c r="L325" s="511" t="str">
        <f>IF(SUMIF(F_ProductBM!$P:$P,$P325,F_ProductBM!L:L)&gt;0,SUMIF(F_ProductBM!$P:$P,$P325,F_ProductBM!L:L),"")</f>
        <v/>
      </c>
      <c r="M325" s="511" t="str">
        <f>IF(SUMIF(F_ProductBM!$P:$P,$P325,F_ProductBM!M:M)&gt;0,SUMIF(F_ProductBM!$P:$P,$P325,F_ProductBM!M:M),"")</f>
        <v/>
      </c>
      <c r="N325" s="7"/>
      <c r="O325" s="7"/>
      <c r="P325" s="438" t="str">
        <f t="shared" si="20"/>
        <v>WasteGasFlare_</v>
      </c>
      <c r="S325" s="718"/>
    </row>
    <row r="326" spans="2:19" ht="12.75" customHeight="1" x14ac:dyDescent="0.2">
      <c r="B326" s="20"/>
      <c r="C326" s="20"/>
      <c r="D326" s="425" t="s">
        <v>6</v>
      </c>
      <c r="E326" s="1648" t="str">
        <f t="shared" si="18"/>
        <v/>
      </c>
      <c r="F326" s="1648"/>
      <c r="G326" s="1648"/>
      <c r="H326" s="435" t="str">
        <f t="shared" si="19"/>
        <v>TJ / rok</v>
      </c>
      <c r="I326" s="511" t="str">
        <f>IF(SUMIF(F_ProductBM!$P:$P,$P326,F_ProductBM!I:I)&gt;0,SUMIF(F_ProductBM!$P:$P,$P326,F_ProductBM!I:I),"")</f>
        <v/>
      </c>
      <c r="J326" s="511" t="str">
        <f>IF(SUMIF(F_ProductBM!$P:$P,$P326,F_ProductBM!J:J)&gt;0,SUMIF(F_ProductBM!$P:$P,$P326,F_ProductBM!J:J),"")</f>
        <v/>
      </c>
      <c r="K326" s="511" t="str">
        <f>IF(SUMIF(F_ProductBM!$P:$P,$P326,F_ProductBM!K:K)&gt;0,SUMIF(F_ProductBM!$P:$P,$P326,F_ProductBM!K:K),"")</f>
        <v/>
      </c>
      <c r="L326" s="511" t="str">
        <f>IF(SUMIF(F_ProductBM!$P:$P,$P326,F_ProductBM!L:L)&gt;0,SUMIF(F_ProductBM!$P:$P,$P326,F_ProductBM!L:L),"")</f>
        <v/>
      </c>
      <c r="M326" s="511" t="str">
        <f>IF(SUMIF(F_ProductBM!$P:$P,$P326,F_ProductBM!M:M)&gt;0,SUMIF(F_ProductBM!$P:$P,$P326,F_ProductBM!M:M),"")</f>
        <v/>
      </c>
      <c r="N326" s="7"/>
      <c r="O326" s="7"/>
      <c r="P326" s="438" t="str">
        <f t="shared" si="20"/>
        <v>WasteGasFlare_</v>
      </c>
      <c r="S326" s="718"/>
    </row>
    <row r="327" spans="2:19" ht="12.75" customHeight="1" x14ac:dyDescent="0.2">
      <c r="B327" s="20"/>
      <c r="C327" s="20"/>
      <c r="D327" s="425" t="s">
        <v>316</v>
      </c>
      <c r="E327" s="1648" t="str">
        <f t="shared" si="18"/>
        <v/>
      </c>
      <c r="F327" s="1648"/>
      <c r="G327" s="1648"/>
      <c r="H327" s="435" t="str">
        <f t="shared" si="19"/>
        <v>TJ / rok</v>
      </c>
      <c r="I327" s="511" t="str">
        <f>IF(SUMIF(F_ProductBM!$P:$P,$P327,F_ProductBM!I:I)&gt;0,SUMIF(F_ProductBM!$P:$P,$P327,F_ProductBM!I:I),"")</f>
        <v/>
      </c>
      <c r="J327" s="511" t="str">
        <f>IF(SUMIF(F_ProductBM!$P:$P,$P327,F_ProductBM!J:J)&gt;0,SUMIF(F_ProductBM!$P:$P,$P327,F_ProductBM!J:J),"")</f>
        <v/>
      </c>
      <c r="K327" s="511" t="str">
        <f>IF(SUMIF(F_ProductBM!$P:$P,$P327,F_ProductBM!K:K)&gt;0,SUMIF(F_ProductBM!$P:$P,$P327,F_ProductBM!K:K),"")</f>
        <v/>
      </c>
      <c r="L327" s="511" t="str">
        <f>IF(SUMIF(F_ProductBM!$P:$P,$P327,F_ProductBM!L:L)&gt;0,SUMIF(F_ProductBM!$P:$P,$P327,F_ProductBM!L:L),"")</f>
        <v/>
      </c>
      <c r="M327" s="511" t="str">
        <f>IF(SUMIF(F_ProductBM!$P:$P,$P327,F_ProductBM!M:M)&gt;0,SUMIF(F_ProductBM!$P:$P,$P327,F_ProductBM!M:M),"")</f>
        <v/>
      </c>
      <c r="N327" s="7"/>
      <c r="O327" s="7"/>
      <c r="P327" s="438" t="str">
        <f t="shared" si="20"/>
        <v>WasteGasFlare_</v>
      </c>
      <c r="S327" s="718"/>
    </row>
    <row r="328" spans="2:19" ht="12.75" customHeight="1" x14ac:dyDescent="0.2">
      <c r="B328" s="20"/>
      <c r="C328" s="20"/>
      <c r="D328" s="425" t="s">
        <v>317</v>
      </c>
      <c r="E328" s="1648" t="str">
        <f t="shared" si="18"/>
        <v/>
      </c>
      <c r="F328" s="1648"/>
      <c r="G328" s="1648"/>
      <c r="H328" s="435" t="str">
        <f t="shared" si="19"/>
        <v>TJ / rok</v>
      </c>
      <c r="I328" s="511" t="str">
        <f>IF(SUMIF(F_ProductBM!$P:$P,$P328,F_ProductBM!I:I)&gt;0,SUMIF(F_ProductBM!$P:$P,$P328,F_ProductBM!I:I),"")</f>
        <v/>
      </c>
      <c r="J328" s="511" t="str">
        <f>IF(SUMIF(F_ProductBM!$P:$P,$P328,F_ProductBM!J:J)&gt;0,SUMIF(F_ProductBM!$P:$P,$P328,F_ProductBM!J:J),"")</f>
        <v/>
      </c>
      <c r="K328" s="511" t="str">
        <f>IF(SUMIF(F_ProductBM!$P:$P,$P328,F_ProductBM!K:K)&gt;0,SUMIF(F_ProductBM!$P:$P,$P328,F_ProductBM!K:K),"")</f>
        <v/>
      </c>
      <c r="L328" s="511" t="str">
        <f>IF(SUMIF(F_ProductBM!$P:$P,$P328,F_ProductBM!L:L)&gt;0,SUMIF(F_ProductBM!$P:$P,$P328,F_ProductBM!L:L),"")</f>
        <v/>
      </c>
      <c r="M328" s="511" t="str">
        <f>IF(SUMIF(F_ProductBM!$P:$P,$P328,F_ProductBM!M:M)&gt;0,SUMIF(F_ProductBM!$P:$P,$P328,F_ProductBM!M:M),"")</f>
        <v/>
      </c>
      <c r="N328" s="7"/>
      <c r="O328" s="7"/>
      <c r="P328" s="438" t="str">
        <f t="shared" si="20"/>
        <v>WasteGasFlare_</v>
      </c>
      <c r="S328" s="718"/>
    </row>
    <row r="329" spans="2:19" ht="12.75" customHeight="1" x14ac:dyDescent="0.2">
      <c r="B329" s="20"/>
      <c r="C329" s="20"/>
      <c r="D329" s="425" t="s">
        <v>318</v>
      </c>
      <c r="E329" s="1648" t="str">
        <f t="shared" si="18"/>
        <v/>
      </c>
      <c r="F329" s="1648"/>
      <c r="G329" s="1648"/>
      <c r="H329" s="435" t="str">
        <f t="shared" si="19"/>
        <v>TJ / rok</v>
      </c>
      <c r="I329" s="511" t="str">
        <f>IF(SUMIF(F_ProductBM!$P:$P,$P329,F_ProductBM!I:I)&gt;0,SUMIF(F_ProductBM!$P:$P,$P329,F_ProductBM!I:I),"")</f>
        <v/>
      </c>
      <c r="J329" s="511" t="str">
        <f>IF(SUMIF(F_ProductBM!$P:$P,$P329,F_ProductBM!J:J)&gt;0,SUMIF(F_ProductBM!$P:$P,$P329,F_ProductBM!J:J),"")</f>
        <v/>
      </c>
      <c r="K329" s="511" t="str">
        <f>IF(SUMIF(F_ProductBM!$P:$P,$P329,F_ProductBM!K:K)&gt;0,SUMIF(F_ProductBM!$P:$P,$P329,F_ProductBM!K:K),"")</f>
        <v/>
      </c>
      <c r="L329" s="511" t="str">
        <f>IF(SUMIF(F_ProductBM!$P:$P,$P329,F_ProductBM!L:L)&gt;0,SUMIF(F_ProductBM!$P:$P,$P329,F_ProductBM!L:L),"")</f>
        <v/>
      </c>
      <c r="M329" s="511" t="str">
        <f>IF(SUMIF(F_ProductBM!$P:$P,$P329,F_ProductBM!M:M)&gt;0,SUMIF(F_ProductBM!$P:$P,$P329,F_ProductBM!M:M),"")</f>
        <v/>
      </c>
      <c r="N329" s="7"/>
      <c r="O329" s="7"/>
      <c r="P329" s="438" t="str">
        <f t="shared" si="20"/>
        <v>WasteGasFlare_</v>
      </c>
      <c r="S329" s="718"/>
    </row>
    <row r="330" spans="2:19" ht="12.75" customHeight="1" x14ac:dyDescent="0.2">
      <c r="B330" s="20"/>
      <c r="C330" s="20"/>
      <c r="D330" s="425" t="s">
        <v>319</v>
      </c>
      <c r="E330" s="1648" t="str">
        <f t="shared" si="18"/>
        <v/>
      </c>
      <c r="F330" s="1648"/>
      <c r="G330" s="1648"/>
      <c r="H330" s="435" t="str">
        <f t="shared" si="19"/>
        <v>TJ / rok</v>
      </c>
      <c r="I330" s="511" t="str">
        <f>IF(SUMIF(F_ProductBM!$P:$P,$P330,F_ProductBM!I:I)&gt;0,SUMIF(F_ProductBM!$P:$P,$P330,F_ProductBM!I:I),"")</f>
        <v/>
      </c>
      <c r="J330" s="511" t="str">
        <f>IF(SUMIF(F_ProductBM!$P:$P,$P330,F_ProductBM!J:J)&gt;0,SUMIF(F_ProductBM!$P:$P,$P330,F_ProductBM!J:J),"")</f>
        <v/>
      </c>
      <c r="K330" s="511" t="str">
        <f>IF(SUMIF(F_ProductBM!$P:$P,$P330,F_ProductBM!K:K)&gt;0,SUMIF(F_ProductBM!$P:$P,$P330,F_ProductBM!K:K),"")</f>
        <v/>
      </c>
      <c r="L330" s="511" t="str">
        <f>IF(SUMIF(F_ProductBM!$P:$P,$P330,F_ProductBM!L:L)&gt;0,SUMIF(F_ProductBM!$P:$P,$P330,F_ProductBM!L:L),"")</f>
        <v/>
      </c>
      <c r="M330" s="511" t="str">
        <f>IF(SUMIF(F_ProductBM!$P:$P,$P330,F_ProductBM!M:M)&gt;0,SUMIF(F_ProductBM!$P:$P,$P330,F_ProductBM!M:M),"")</f>
        <v/>
      </c>
      <c r="N330" s="7"/>
      <c r="O330" s="7"/>
      <c r="P330" s="438" t="str">
        <f t="shared" si="20"/>
        <v>WasteGasFlare_</v>
      </c>
      <c r="S330" s="718"/>
    </row>
    <row r="331" spans="2:19" ht="12.75" customHeight="1" x14ac:dyDescent="0.2">
      <c r="B331" s="20"/>
      <c r="C331" s="20"/>
      <c r="D331" s="425" t="s">
        <v>320</v>
      </c>
      <c r="E331" s="1648" t="str">
        <f t="shared" si="18"/>
        <v/>
      </c>
      <c r="F331" s="1648"/>
      <c r="G331" s="1648"/>
      <c r="H331" s="435" t="str">
        <f t="shared" si="19"/>
        <v>TJ / rok</v>
      </c>
      <c r="I331" s="511" t="str">
        <f>IF(SUMIF(F_ProductBM!$P:$P,$P331,F_ProductBM!I:I)&gt;0,SUMIF(F_ProductBM!$P:$P,$P331,F_ProductBM!I:I),"")</f>
        <v/>
      </c>
      <c r="J331" s="511" t="str">
        <f>IF(SUMIF(F_ProductBM!$P:$P,$P331,F_ProductBM!J:J)&gt;0,SUMIF(F_ProductBM!$P:$P,$P331,F_ProductBM!J:J),"")</f>
        <v/>
      </c>
      <c r="K331" s="511" t="str">
        <f>IF(SUMIF(F_ProductBM!$P:$P,$P331,F_ProductBM!K:K)&gt;0,SUMIF(F_ProductBM!$P:$P,$P331,F_ProductBM!K:K),"")</f>
        <v/>
      </c>
      <c r="L331" s="511" t="str">
        <f>IF(SUMIF(F_ProductBM!$P:$P,$P331,F_ProductBM!L:L)&gt;0,SUMIF(F_ProductBM!$P:$P,$P331,F_ProductBM!L:L),"")</f>
        <v/>
      </c>
      <c r="M331" s="511" t="str">
        <f>IF(SUMIF(F_ProductBM!$P:$P,$P331,F_ProductBM!M:M)&gt;0,SUMIF(F_ProductBM!$P:$P,$P331,F_ProductBM!M:M),"")</f>
        <v/>
      </c>
      <c r="N331" s="7"/>
      <c r="O331" s="7"/>
      <c r="P331" s="438" t="str">
        <f t="shared" si="20"/>
        <v>WasteGasFlare_</v>
      </c>
      <c r="S331" s="718"/>
    </row>
    <row r="332" spans="2:19" ht="12.75" customHeight="1" x14ac:dyDescent="0.2">
      <c r="B332" s="20"/>
      <c r="C332" s="20"/>
      <c r="D332" s="425" t="s">
        <v>16</v>
      </c>
      <c r="E332" s="1649" t="str">
        <f t="shared" si="18"/>
        <v/>
      </c>
      <c r="F332" s="1649"/>
      <c r="G332" s="1649"/>
      <c r="H332" s="436" t="str">
        <f t="shared" si="19"/>
        <v>TJ / rok</v>
      </c>
      <c r="I332" s="704" t="str">
        <f>IF(SUMIF(F_ProductBM!$P:$P,$P332,F_ProductBM!I:I)&gt;0,SUMIF(F_ProductBM!$P:$P,$P332,F_ProductBM!I:I),"")</f>
        <v/>
      </c>
      <c r="J332" s="704" t="str">
        <f>IF(SUMIF(F_ProductBM!$P:$P,$P332,F_ProductBM!J:J)&gt;0,SUMIF(F_ProductBM!$P:$P,$P332,F_ProductBM!J:J),"")</f>
        <v/>
      </c>
      <c r="K332" s="704" t="str">
        <f>IF(SUMIF(F_ProductBM!$P:$P,$P332,F_ProductBM!K:K)&gt;0,SUMIF(F_ProductBM!$P:$P,$P332,F_ProductBM!K:K),"")</f>
        <v/>
      </c>
      <c r="L332" s="704" t="str">
        <f>IF(SUMIF(F_ProductBM!$P:$P,$P332,F_ProductBM!L:L)&gt;0,SUMIF(F_ProductBM!$P:$P,$P332,F_ProductBM!L:L),"")</f>
        <v/>
      </c>
      <c r="M332" s="704" t="str">
        <f>IF(SUMIF(F_ProductBM!$P:$P,$P332,F_ProductBM!M:M)&gt;0,SUMIF(F_ProductBM!$P:$P,$P332,F_ProductBM!M:M),"")</f>
        <v/>
      </c>
      <c r="N332" s="7"/>
      <c r="O332" s="7"/>
      <c r="P332" s="438" t="str">
        <f t="shared" si="20"/>
        <v>WasteGasFlare_</v>
      </c>
      <c r="S332" s="718"/>
    </row>
    <row r="333" spans="2:19" ht="25.5" customHeight="1" thickBot="1" x14ac:dyDescent="0.25">
      <c r="B333" s="20"/>
      <c r="C333" s="20"/>
      <c r="D333" s="425" t="s">
        <v>17</v>
      </c>
      <c r="E333" s="1661" t="str">
        <f>Translations!$B$640</f>
        <v>wytworzone poza podinstalacjami objętymi wskaźnikiem emisyjności dla produktów</v>
      </c>
      <c r="F333" s="1651"/>
      <c r="G333" s="1651"/>
      <c r="H333" s="51" t="str">
        <f>EUconst_TJpa</f>
        <v>TJ / rok</v>
      </c>
      <c r="I333" s="323"/>
      <c r="J333" s="323"/>
      <c r="K333" s="323"/>
      <c r="L333" s="323"/>
      <c r="M333" s="323"/>
      <c r="N333" s="26"/>
      <c r="O333" s="7"/>
      <c r="S333" s="631" t="b">
        <f>S317</f>
        <v>1</v>
      </c>
    </row>
    <row r="334" spans="2:19" ht="12.75" customHeight="1" x14ac:dyDescent="0.2">
      <c r="B334" s="20"/>
      <c r="C334" s="20"/>
      <c r="D334" s="425" t="s">
        <v>18</v>
      </c>
      <c r="E334" s="1702" t="str">
        <f>Translations!$B$536</f>
        <v>Suma częściowa</v>
      </c>
      <c r="F334" s="1702"/>
      <c r="G334" s="1702"/>
      <c r="H334" s="52" t="str">
        <f>EUconst_TJpa</f>
        <v>TJ / rok</v>
      </c>
      <c r="I334" s="311" t="str">
        <f>IF(COUNT(I323:I333)&gt;0,SUM(I323:I333),"")</f>
        <v/>
      </c>
      <c r="J334" s="311" t="str">
        <f>IF(COUNT(J323:J333)&gt;0,SUM(J323:J333),"")</f>
        <v/>
      </c>
      <c r="K334" s="311" t="str">
        <f>IF(COUNT(K323:K333)&gt;0,SUM(K323:K333),"")</f>
        <v/>
      </c>
      <c r="L334" s="311" t="str">
        <f>IF(COUNT(L323:L333)&gt;0,SUM(L323:L333),"")</f>
        <v/>
      </c>
      <c r="M334" s="311" t="str">
        <f>IF(COUNT(M323:M333)&gt;0,SUM(M323:M333),"")</f>
        <v/>
      </c>
      <c r="N334" s="26"/>
      <c r="O334" s="7"/>
    </row>
    <row r="335" spans="2:19" ht="5.0999999999999996" customHeight="1" x14ac:dyDescent="0.2">
      <c r="B335" s="3"/>
      <c r="C335" s="3"/>
      <c r="D335" s="3"/>
      <c r="E335" s="3"/>
      <c r="F335" s="3"/>
      <c r="G335" s="3"/>
      <c r="H335" s="3"/>
      <c r="I335" s="3"/>
      <c r="J335" s="3"/>
      <c r="K335" s="3"/>
      <c r="L335" s="3"/>
      <c r="M335" s="3"/>
      <c r="N335" s="3"/>
      <c r="O335" s="7"/>
      <c r="P335" s="626"/>
    </row>
    <row r="336" spans="2:19" ht="12.75" customHeight="1" x14ac:dyDescent="0.2">
      <c r="B336" s="3"/>
      <c r="C336" s="14"/>
      <c r="D336" s="14" t="s">
        <v>219</v>
      </c>
      <c r="E336" s="1653" t="str">
        <f>Translations!$B$641</f>
        <v>Kontrola wiarygodności</v>
      </c>
      <c r="F336" s="1647"/>
      <c r="G336" s="1647"/>
      <c r="H336" s="1647"/>
      <c r="I336" s="1647"/>
      <c r="J336" s="1647"/>
      <c r="K336" s="1647"/>
      <c r="L336" s="1647"/>
      <c r="M336" s="1647"/>
      <c r="N336" s="1647"/>
      <c r="O336" s="7"/>
      <c r="P336" s="626"/>
    </row>
    <row r="337" spans="1:19" x14ac:dyDescent="0.2">
      <c r="B337" s="3"/>
      <c r="C337" s="16"/>
      <c r="D337" s="16"/>
      <c r="E337" s="1646" t="str">
        <f>Translations!$B$642</f>
        <v>Celem jest sprawdzenie kompletności bilansu gazów odlotowych. Jeżeli wynik jest inny niż zero, należy sprawdzić, czy w podanych wyżej wartościach nie występują niespójności.</v>
      </c>
      <c r="F337" s="1647"/>
      <c r="G337" s="1647"/>
      <c r="H337" s="1647"/>
      <c r="I337" s="1647"/>
      <c r="J337" s="1647"/>
      <c r="K337" s="1647"/>
      <c r="L337" s="1647"/>
      <c r="M337" s="1647"/>
      <c r="N337" s="1647"/>
      <c r="O337" s="7"/>
      <c r="P337" s="626"/>
    </row>
    <row r="338" spans="1:19" ht="12.75" customHeight="1" x14ac:dyDescent="0.2">
      <c r="B338" s="20"/>
      <c r="C338" s="20"/>
      <c r="D338" s="195" t="s">
        <v>2</v>
      </c>
      <c r="E338" s="1654" t="str">
        <f>Translations!$B$643</f>
        <v>Różnica (obliczona)</v>
      </c>
      <c r="F338" s="1667"/>
      <c r="G338" s="1667"/>
      <c r="H338" s="52" t="str">
        <f>EUconst_TJpa</f>
        <v>TJ / rok</v>
      </c>
      <c r="I338" s="311" t="str">
        <f>IF(COUNT(I289)&gt;0,I289-SUM(I304,I314,I317,I334),"")</f>
        <v/>
      </c>
      <c r="J338" s="311" t="str">
        <f>IF(COUNT(J289)&gt;0,J289-SUM(J304,J314,J317,J334),"")</f>
        <v/>
      </c>
      <c r="K338" s="311" t="str">
        <f>IF(COUNT(K289)&gt;0,K289-SUM(K304,K314,K317,K334),"")</f>
        <v/>
      </c>
      <c r="L338" s="311" t="str">
        <f>IF(COUNT(L289)&gt;0,L289-SUM(L304,L314,L317,L334),"")</f>
        <v/>
      </c>
      <c r="M338" s="311" t="str">
        <f>IF(COUNT(M289)&gt;0,M289-SUM(M304,M314,M317,M334),"")</f>
        <v/>
      </c>
      <c r="N338" s="26"/>
      <c r="O338" s="7"/>
    </row>
    <row r="339" spans="1:19" ht="12.75" customHeight="1" x14ac:dyDescent="0.2">
      <c r="B339" s="20"/>
      <c r="C339" s="20"/>
      <c r="D339" s="195" t="s">
        <v>3</v>
      </c>
      <c r="E339" s="1654" t="str">
        <f>Translations!$B$644</f>
        <v>Różnica (jako ułamek f)</v>
      </c>
      <c r="F339" s="1667"/>
      <c r="G339" s="1667"/>
      <c r="H339" s="571" t="s">
        <v>409</v>
      </c>
      <c r="I339" s="309" t="str">
        <f>IF(I338="","",IF(I289=0,0,I338/I289*100))</f>
        <v/>
      </c>
      <c r="J339" s="309" t="str">
        <f>IF(J338="","",IF(J289=0,0,J338/J289*100))</f>
        <v/>
      </c>
      <c r="K339" s="309" t="str">
        <f>IF(K338="","",IF(K289=0,0,K338/K289*100))</f>
        <v/>
      </c>
      <c r="L339" s="309" t="str">
        <f>IF(L338="","",IF(L289=0,0,L338/L289*100))</f>
        <v/>
      </c>
      <c r="M339" s="309" t="str">
        <f>IF(M338="","",IF(M289=0,0,M338/M289*100))</f>
        <v/>
      </c>
      <c r="N339" s="26"/>
      <c r="O339" s="7"/>
    </row>
    <row r="340" spans="1:19" x14ac:dyDescent="0.2">
      <c r="B340" s="20"/>
      <c r="C340" s="20"/>
      <c r="D340" s="20"/>
      <c r="E340" s="20"/>
      <c r="F340" s="20"/>
      <c r="G340" s="20"/>
      <c r="H340" s="20"/>
      <c r="I340" s="20"/>
      <c r="J340" s="20"/>
      <c r="K340" s="20"/>
      <c r="L340" s="20"/>
      <c r="M340" s="20"/>
      <c r="N340" s="20"/>
      <c r="O340" s="7"/>
    </row>
    <row r="341" spans="1:19" ht="15.75" x14ac:dyDescent="0.25">
      <c r="B341" s="3"/>
      <c r="C341" s="12" t="s">
        <v>5</v>
      </c>
      <c r="D341" s="1716" t="str">
        <f>Translations!$B$487</f>
        <v>Energia elektryczna</v>
      </c>
      <c r="E341" s="1716"/>
      <c r="F341" s="1716"/>
      <c r="G341" s="1716"/>
      <c r="H341" s="1716"/>
      <c r="I341" s="1716"/>
      <c r="J341" s="1716"/>
      <c r="K341" s="1716"/>
      <c r="L341" s="1716"/>
      <c r="M341" s="1716"/>
      <c r="N341" s="1716"/>
      <c r="O341" s="7"/>
      <c r="P341" s="626"/>
    </row>
    <row r="342" spans="1:19" ht="5.0999999999999996" customHeight="1" x14ac:dyDescent="0.2">
      <c r="B342" s="3"/>
      <c r="C342" s="3"/>
      <c r="D342" s="3"/>
      <c r="E342" s="3"/>
      <c r="F342" s="3"/>
      <c r="G342" s="3"/>
      <c r="H342" s="3"/>
      <c r="I342" s="3"/>
      <c r="J342" s="3"/>
      <c r="K342" s="3"/>
      <c r="L342" s="3"/>
      <c r="M342" s="7"/>
      <c r="N342" s="7"/>
      <c r="O342" s="7"/>
      <c r="P342" s="626"/>
    </row>
    <row r="343" spans="1:19" ht="15" x14ac:dyDescent="0.25">
      <c r="B343" s="3"/>
      <c r="C343" s="18"/>
      <c r="D343" s="1657" t="str">
        <f>Translations!$B$645</f>
        <v>Pełny bilans energii elektrycznej w instalacji</v>
      </c>
      <c r="E343" s="1647"/>
      <c r="F343" s="1647"/>
      <c r="G343" s="1647"/>
      <c r="H343" s="1647"/>
      <c r="I343" s="1647"/>
      <c r="J343" s="1647"/>
      <c r="K343" s="1647"/>
      <c r="L343" s="1647"/>
      <c r="M343" s="1647"/>
      <c r="N343" s="1647"/>
      <c r="O343" s="7"/>
      <c r="P343" s="626"/>
    </row>
    <row r="344" spans="1:19" ht="5.0999999999999996" customHeight="1" thickBot="1" x14ac:dyDescent="0.25">
      <c r="B344" s="3"/>
      <c r="C344" s="3"/>
      <c r="D344" s="3"/>
      <c r="E344" s="3"/>
      <c r="F344" s="3"/>
      <c r="G344" s="3"/>
      <c r="H344" s="3"/>
      <c r="I344" s="3"/>
      <c r="J344" s="3"/>
      <c r="K344" s="3"/>
      <c r="L344" s="3"/>
      <c r="M344" s="3"/>
      <c r="N344" s="3"/>
      <c r="O344" s="7"/>
      <c r="P344" s="626"/>
    </row>
    <row r="345" spans="1:19" ht="13.5" customHeight="1" thickBot="1" x14ac:dyDescent="0.25">
      <c r="A345" s="2"/>
      <c r="B345" s="20"/>
      <c r="C345" s="20"/>
      <c r="D345" s="14" t="s">
        <v>173</v>
      </c>
      <c r="E345" s="1466" t="str">
        <f>Translations!$B$646</f>
        <v>Czy w instalacji wytwarzana jest energia elektryczna?</v>
      </c>
      <c r="F345" s="1466"/>
      <c r="G345" s="1466"/>
      <c r="H345" s="1466"/>
      <c r="I345" s="1466"/>
      <c r="J345" s="1466"/>
      <c r="K345" s="1466"/>
      <c r="L345" s="1603"/>
      <c r="M345" s="965" t="b">
        <v>0</v>
      </c>
      <c r="N345" s="700"/>
      <c r="O345" s="7"/>
      <c r="P345" s="633" t="s">
        <v>494</v>
      </c>
    </row>
    <row r="346" spans="1:19" ht="25.5" customHeight="1" x14ac:dyDescent="0.2">
      <c r="A346" s="2"/>
      <c r="B346" s="20"/>
      <c r="C346" s="20"/>
      <c r="D346" s="20"/>
      <c r="E346" s="1408" t="str">
        <f>Translations!$B$647</f>
        <v>Należy zauważyć, że pytanie to odnosi się do wszystkich instalacji i nie dotyczy bezpośrednio tego, czy instalacja jest „wytwórcą energii elektrycznej” w rozumieniu art. 3 lit. u) dyrektywy w sprawie EU ETS. Jeżeli wartość tej komórki to „Fałsz”, wpisy w kolejnych polach nie są obowiązkowe.</v>
      </c>
      <c r="F346" s="1370"/>
      <c r="G346" s="1370"/>
      <c r="H346" s="1370"/>
      <c r="I346" s="1370"/>
      <c r="J346" s="1370"/>
      <c r="K346" s="1370"/>
      <c r="L346" s="1370"/>
      <c r="M346" s="1370"/>
      <c r="N346" s="1370"/>
      <c r="O346" s="7"/>
      <c r="P346" s="437"/>
    </row>
    <row r="347" spans="1:19" ht="5.0999999999999996" customHeight="1" x14ac:dyDescent="0.2">
      <c r="A347" s="2"/>
      <c r="B347" s="3"/>
      <c r="C347" s="3"/>
      <c r="D347" s="16"/>
      <c r="E347" s="20"/>
      <c r="F347" s="20"/>
      <c r="G347" s="20"/>
      <c r="H347" s="20"/>
      <c r="I347" s="20"/>
      <c r="J347" s="20"/>
      <c r="K347" s="20"/>
      <c r="L347" s="20"/>
      <c r="M347" s="20"/>
      <c r="N347" s="20"/>
      <c r="O347" s="7"/>
      <c r="P347" s="626"/>
      <c r="R347" s="626"/>
      <c r="S347" s="626"/>
    </row>
    <row r="348" spans="1:19" x14ac:dyDescent="0.2">
      <c r="B348" s="3"/>
      <c r="C348" s="3"/>
      <c r="D348" s="14" t="s">
        <v>353</v>
      </c>
      <c r="E348" s="1653" t="str">
        <f>Translations!$B$648</f>
        <v>Całkowita ilość netto energii elektrycznej wytworzonej w instalacji</v>
      </c>
      <c r="F348" s="1647"/>
      <c r="G348" s="1647"/>
      <c r="H348" s="1647"/>
      <c r="I348" s="1647"/>
      <c r="J348" s="1647"/>
      <c r="K348" s="1647"/>
      <c r="L348" s="1647"/>
      <c r="M348" s="1647"/>
      <c r="N348" s="1647"/>
      <c r="O348" s="7"/>
      <c r="P348" s="626"/>
    </row>
    <row r="349" spans="1:19" x14ac:dyDescent="0.2">
      <c r="B349" s="3"/>
      <c r="C349" s="3"/>
      <c r="D349" s="16"/>
      <c r="E349" s="1646" t="str">
        <f>Translations!$B$649</f>
        <v>Inne wytwarzanie energii elektrycznej obejmuje np. energię wodną, wiatrową, słoneczną, z turbin rozprężnych i innych procesów nieobjętych EU ETS.</v>
      </c>
      <c r="F349" s="1647"/>
      <c r="G349" s="1647"/>
      <c r="H349" s="1647"/>
      <c r="I349" s="1647"/>
      <c r="J349" s="1647"/>
      <c r="K349" s="1647"/>
      <c r="L349" s="1647"/>
      <c r="M349" s="1647"/>
      <c r="N349" s="1647"/>
      <c r="O349" s="7"/>
      <c r="P349" s="626"/>
    </row>
    <row r="350" spans="1:19" ht="13.5" thickBot="1" x14ac:dyDescent="0.25">
      <c r="B350" s="20"/>
      <c r="C350" s="20"/>
      <c r="D350" s="20"/>
      <c r="E350" s="25"/>
      <c r="F350" s="22"/>
      <c r="G350" s="22"/>
      <c r="H350" s="34" t="str">
        <f>EUconst_Unit</f>
        <v>Jednostka</v>
      </c>
      <c r="I350" s="396">
        <f>I$380</f>
        <v>2014</v>
      </c>
      <c r="J350" s="396">
        <f>J$380</f>
        <v>2015</v>
      </c>
      <c r="K350" s="396">
        <f>K$380</f>
        <v>2016</v>
      </c>
      <c r="L350" s="396">
        <f>L$380</f>
        <v>2017</v>
      </c>
      <c r="M350" s="396">
        <f>M$380</f>
        <v>2018</v>
      </c>
      <c r="N350" s="20"/>
      <c r="O350" s="7"/>
      <c r="S350" s="437" t="s">
        <v>535</v>
      </c>
    </row>
    <row r="351" spans="1:19" ht="25.5" customHeight="1" x14ac:dyDescent="0.2">
      <c r="B351" s="20"/>
      <c r="C351" s="20"/>
      <c r="D351" s="195" t="s">
        <v>2</v>
      </c>
      <c r="E351" s="1652" t="str">
        <f>Translations!$B$650</f>
        <v>Energia elektryczna netto wytworzona z paliw</v>
      </c>
      <c r="F351" s="1652"/>
      <c r="G351" s="1652"/>
      <c r="H351" s="48" t="str">
        <f>EUconst_MWhpa</f>
        <v>MWh / rok</v>
      </c>
      <c r="I351" s="322"/>
      <c r="J351" s="322"/>
      <c r="K351" s="322"/>
      <c r="L351" s="322"/>
      <c r="M351" s="322"/>
      <c r="N351" s="20"/>
      <c r="O351" s="7"/>
      <c r="S351" s="717" t="b">
        <f>IF(ISBLANK(CNTR_ProdElec),"",NOT(CNTR_ProdElec))</f>
        <v>1</v>
      </c>
    </row>
    <row r="352" spans="1:19" ht="25.5" customHeight="1" x14ac:dyDescent="0.2">
      <c r="B352" s="20"/>
      <c r="C352" s="20"/>
      <c r="D352" s="195" t="s">
        <v>3</v>
      </c>
      <c r="E352" s="1652" t="str">
        <f>Translations!$B$651</f>
        <v>Inna wytworzona energia elektryczna</v>
      </c>
      <c r="F352" s="1652"/>
      <c r="G352" s="1652"/>
      <c r="H352" s="48" t="str">
        <f>EUconst_MWhpa</f>
        <v>MWh / rok</v>
      </c>
      <c r="I352" s="322"/>
      <c r="J352" s="322"/>
      <c r="K352" s="322"/>
      <c r="L352" s="322"/>
      <c r="M352" s="322"/>
      <c r="N352" s="20"/>
      <c r="O352" s="7"/>
      <c r="S352" s="630" t="b">
        <f>S351</f>
        <v>1</v>
      </c>
    </row>
    <row r="353" spans="2:19" ht="5.0999999999999996" customHeight="1" x14ac:dyDescent="0.2">
      <c r="B353" s="3"/>
      <c r="C353" s="3"/>
      <c r="D353" s="195"/>
      <c r="E353" s="3"/>
      <c r="F353" s="3"/>
      <c r="G353" s="3"/>
      <c r="H353" s="3"/>
      <c r="I353" s="3"/>
      <c r="J353" s="3"/>
      <c r="K353" s="3"/>
      <c r="L353" s="3"/>
      <c r="M353" s="3"/>
      <c r="N353" s="3"/>
      <c r="O353" s="7"/>
      <c r="P353" s="626"/>
      <c r="S353" s="718"/>
    </row>
    <row r="354" spans="2:19" x14ac:dyDescent="0.2">
      <c r="B354" s="3"/>
      <c r="C354" s="3"/>
      <c r="D354" s="14" t="s">
        <v>11</v>
      </c>
      <c r="E354" s="1650" t="str">
        <f>Translations!$B$652</f>
        <v>Całkowita energia elektryczna wprowadzana z sieci lub z innych instalacji</v>
      </c>
      <c r="F354" s="1651"/>
      <c r="G354" s="1651"/>
      <c r="H354" s="1651"/>
      <c r="I354" s="1651"/>
      <c r="J354" s="1651"/>
      <c r="K354" s="1651"/>
      <c r="L354" s="1651"/>
      <c r="M354" s="1651"/>
      <c r="N354" s="1656"/>
      <c r="O354" s="7"/>
      <c r="P354" s="626"/>
      <c r="S354" s="718"/>
    </row>
    <row r="355" spans="2:19" ht="25.5" customHeight="1" x14ac:dyDescent="0.2">
      <c r="B355" s="20"/>
      <c r="C355" s="20"/>
      <c r="D355" s="20"/>
      <c r="E355" s="1652" t="str">
        <f>Translations!$B$653</f>
        <v>Wprowadzana energia elektryczna</v>
      </c>
      <c r="F355" s="1652"/>
      <c r="G355" s="1652"/>
      <c r="H355" s="48" t="str">
        <f>EUconst_MWhpa</f>
        <v>MWh / rok</v>
      </c>
      <c r="I355" s="313"/>
      <c r="J355" s="313"/>
      <c r="K355" s="313"/>
      <c r="L355" s="313"/>
      <c r="M355" s="313"/>
      <c r="N355" s="20"/>
      <c r="O355" s="7"/>
      <c r="S355" s="630" t="b">
        <f>S351</f>
        <v>1</v>
      </c>
    </row>
    <row r="356" spans="2:19" ht="5.0999999999999996" customHeight="1" x14ac:dyDescent="0.2">
      <c r="B356" s="3"/>
      <c r="C356" s="3"/>
      <c r="D356" s="3"/>
      <c r="E356" s="3"/>
      <c r="F356" s="3"/>
      <c r="G356" s="3"/>
      <c r="H356" s="3"/>
      <c r="I356" s="3"/>
      <c r="J356" s="3"/>
      <c r="K356" s="3"/>
      <c r="L356" s="3"/>
      <c r="M356" s="3"/>
      <c r="N356" s="3"/>
      <c r="O356" s="7"/>
      <c r="P356" s="626"/>
      <c r="S356" s="718"/>
    </row>
    <row r="357" spans="2:19" x14ac:dyDescent="0.2">
      <c r="B357" s="3"/>
      <c r="C357" s="3"/>
      <c r="D357" s="14" t="s">
        <v>356</v>
      </c>
      <c r="E357" s="1650" t="str">
        <f>Translations!$B$654</f>
        <v>Całkowita energia elektryczna wyprowadzona do sieci lub innych instalacji</v>
      </c>
      <c r="F357" s="1651"/>
      <c r="G357" s="1651"/>
      <c r="H357" s="1651"/>
      <c r="I357" s="1651"/>
      <c r="J357" s="1651"/>
      <c r="K357" s="1651"/>
      <c r="L357" s="1651"/>
      <c r="M357" s="1651"/>
      <c r="N357" s="1656"/>
      <c r="O357" s="7"/>
      <c r="P357" s="626"/>
      <c r="S357" s="718"/>
    </row>
    <row r="358" spans="2:19" ht="25.5" customHeight="1" x14ac:dyDescent="0.2">
      <c r="B358" s="20"/>
      <c r="C358" s="20"/>
      <c r="D358" s="20"/>
      <c r="E358" s="1652" t="str">
        <f>Translations!$B$655</f>
        <v>Wyprowadzona energia elektryczna</v>
      </c>
      <c r="F358" s="1652"/>
      <c r="G358" s="1652"/>
      <c r="H358" s="48" t="str">
        <f>EUconst_MWhpa</f>
        <v>MWh / rok</v>
      </c>
      <c r="I358" s="322"/>
      <c r="J358" s="322"/>
      <c r="K358" s="322"/>
      <c r="L358" s="322"/>
      <c r="M358" s="322"/>
      <c r="N358" s="20"/>
      <c r="O358" s="7"/>
      <c r="S358" s="630" t="b">
        <f>S351</f>
        <v>1</v>
      </c>
    </row>
    <row r="359" spans="2:19" ht="5.0999999999999996" customHeight="1" x14ac:dyDescent="0.2">
      <c r="B359" s="3"/>
      <c r="C359" s="3"/>
      <c r="D359" s="3"/>
      <c r="E359" s="3"/>
      <c r="F359" s="3"/>
      <c r="G359" s="3"/>
      <c r="H359" s="3"/>
      <c r="I359" s="3"/>
      <c r="J359" s="3"/>
      <c r="K359" s="3"/>
      <c r="L359" s="3"/>
      <c r="M359" s="3"/>
      <c r="N359" s="3"/>
      <c r="O359" s="7"/>
      <c r="P359" s="626"/>
      <c r="S359" s="718"/>
    </row>
    <row r="360" spans="2:19" x14ac:dyDescent="0.2">
      <c r="B360" s="3"/>
      <c r="C360" s="3"/>
      <c r="D360" s="14" t="s">
        <v>12</v>
      </c>
      <c r="E360" s="1650" t="str">
        <f>Translations!$B$656</f>
        <v>Całkowita energia elektryczna dostępna do wykorzystania w instalacji (=b+c-d)</v>
      </c>
      <c r="F360" s="1651"/>
      <c r="G360" s="1651"/>
      <c r="H360" s="1651"/>
      <c r="I360" s="1651"/>
      <c r="J360" s="1651"/>
      <c r="K360" s="1651"/>
      <c r="L360" s="1651"/>
      <c r="M360" s="1651"/>
      <c r="N360" s="1656"/>
      <c r="O360" s="7"/>
      <c r="P360" s="626"/>
      <c r="S360" s="718"/>
    </row>
    <row r="361" spans="2:19" ht="25.5" customHeight="1" x14ac:dyDescent="0.2">
      <c r="B361" s="20"/>
      <c r="C361" s="20"/>
      <c r="D361" s="20"/>
      <c r="E361" s="1652" t="str">
        <f>Translations!$B$657</f>
        <v>Energia elektryczna możliwa do wykorzystania</v>
      </c>
      <c r="F361" s="1652"/>
      <c r="G361" s="1652"/>
      <c r="H361" s="48" t="str">
        <f>EUconst_MWhpa</f>
        <v>MWh / rok</v>
      </c>
      <c r="I361" s="321" t="str">
        <f>IF(COUNT(I351:I352,I355,I358)&gt;0,SUM(I351:I352,I355,-I358),"")</f>
        <v/>
      </c>
      <c r="J361" s="321" t="str">
        <f>IF(COUNT(J351:J352,J355,J358)&gt;0,SUM(J351:J352,J355,-J358),"")</f>
        <v/>
      </c>
      <c r="K361" s="321" t="str">
        <f>IF(COUNT(K351:K352,K355,K358)&gt;0,SUM(K351:K352,K355,-K358),"")</f>
        <v/>
      </c>
      <c r="L361" s="321" t="str">
        <f>IF(COUNT(L351:L352,L355,L358)&gt;0,SUM(L351:L352,L355,-L358),"")</f>
        <v/>
      </c>
      <c r="M361" s="321" t="str">
        <f>IF(COUNT(M351:M352,M355,M358)&gt;0,SUM(M351:M352,M355,-M358),"")</f>
        <v/>
      </c>
      <c r="N361" s="20"/>
      <c r="O361" s="7"/>
      <c r="S361" s="718"/>
    </row>
    <row r="362" spans="2:19" ht="5.0999999999999996" customHeight="1" x14ac:dyDescent="0.2">
      <c r="B362" s="3"/>
      <c r="C362" s="3"/>
      <c r="D362" s="3"/>
      <c r="E362" s="3"/>
      <c r="F362" s="3"/>
      <c r="G362" s="3"/>
      <c r="H362" s="3"/>
      <c r="I362" s="3"/>
      <c r="J362" s="3"/>
      <c r="K362" s="3"/>
      <c r="L362" s="3"/>
      <c r="M362" s="3"/>
      <c r="N362" s="3"/>
      <c r="O362" s="7"/>
      <c r="P362" s="626"/>
      <c r="S362" s="718"/>
    </row>
    <row r="363" spans="2:19" x14ac:dyDescent="0.2">
      <c r="B363" s="3"/>
      <c r="C363" s="3"/>
      <c r="D363" s="14" t="s">
        <v>13</v>
      </c>
      <c r="E363" s="1650" t="str">
        <f>Translations!$B$658</f>
        <v>Całkowita energia elektryczna zużyta w instalacji</v>
      </c>
      <c r="F363" s="1651"/>
      <c r="G363" s="1651"/>
      <c r="H363" s="1651"/>
      <c r="I363" s="1651"/>
      <c r="J363" s="1651"/>
      <c r="K363" s="1651"/>
      <c r="L363" s="1651"/>
      <c r="M363" s="1651"/>
      <c r="N363" s="1656"/>
      <c r="O363" s="7"/>
      <c r="P363" s="626"/>
      <c r="S363" s="718"/>
    </row>
    <row r="364" spans="2:19" ht="25.5" customHeight="1" thickBot="1" x14ac:dyDescent="0.25">
      <c r="B364" s="20"/>
      <c r="C364" s="20"/>
      <c r="D364" s="20"/>
      <c r="E364" s="1652" t="str">
        <f>Translations!$B$659</f>
        <v>Energia elektryczna zużyta w instalacji</v>
      </c>
      <c r="F364" s="1652"/>
      <c r="G364" s="1652"/>
      <c r="H364" s="48" t="str">
        <f>EUconst_MWhpa</f>
        <v>MWh / rok</v>
      </c>
      <c r="I364" s="322"/>
      <c r="J364" s="322"/>
      <c r="K364" s="322"/>
      <c r="L364" s="322"/>
      <c r="M364" s="322"/>
      <c r="N364" s="20"/>
      <c r="O364" s="7"/>
      <c r="S364" s="631" t="b">
        <f>S351</f>
        <v>1</v>
      </c>
    </row>
    <row r="365" spans="2:19" ht="5.0999999999999996" customHeight="1" x14ac:dyDescent="0.2">
      <c r="B365" s="3"/>
      <c r="C365" s="3"/>
      <c r="D365" s="3"/>
      <c r="E365" s="3"/>
      <c r="F365" s="3"/>
      <c r="G365" s="3"/>
      <c r="H365" s="3"/>
      <c r="I365" s="3"/>
      <c r="J365" s="3"/>
      <c r="K365" s="3"/>
      <c r="L365" s="3"/>
      <c r="M365" s="3"/>
      <c r="N365" s="20"/>
      <c r="O365" s="7"/>
      <c r="P365" s="626"/>
    </row>
    <row r="366" spans="2:19" x14ac:dyDescent="0.2">
      <c r="B366" s="3"/>
      <c r="C366" s="3"/>
      <c r="D366" s="14" t="s">
        <v>87</v>
      </c>
      <c r="E366" s="1650" t="str">
        <f>Translations!$B$660</f>
        <v>Kontrola wiarygodności: Suma wejściowej energii elektrycznej w arkuszu „F_ProductBM” do celów wymiany energii elektrycznej</v>
      </c>
      <c r="F366" s="1651"/>
      <c r="G366" s="1651"/>
      <c r="H366" s="1651"/>
      <c r="I366" s="1651"/>
      <c r="J366" s="1651"/>
      <c r="K366" s="1651"/>
      <c r="L366" s="1651"/>
      <c r="M366" s="1651"/>
      <c r="N366" s="1656"/>
      <c r="O366" s="7"/>
      <c r="P366" s="626"/>
    </row>
    <row r="367" spans="2:19" ht="25.5" customHeight="1" x14ac:dyDescent="0.2">
      <c r="B367" s="20"/>
      <c r="C367" s="20"/>
      <c r="D367" s="195" t="s">
        <v>2</v>
      </c>
      <c r="E367" s="1652" t="str">
        <f>Translations!$B$661</f>
        <v>Energia elektryczna podana jako zamienna</v>
      </c>
      <c r="F367" s="1652"/>
      <c r="G367" s="1652"/>
      <c r="H367" s="48" t="str">
        <f>EUconst_MWhpa</f>
        <v>MWh / rok</v>
      </c>
      <c r="I367" s="311" t="str">
        <f>F_ProductBM!I1895</f>
        <v/>
      </c>
      <c r="J367" s="311" t="str">
        <f>F_ProductBM!J1895</f>
        <v/>
      </c>
      <c r="K367" s="311" t="str">
        <f>F_ProductBM!K1895</f>
        <v/>
      </c>
      <c r="L367" s="311" t="str">
        <f>F_ProductBM!L1895</f>
        <v/>
      </c>
      <c r="M367" s="311" t="str">
        <f>F_ProductBM!M1895</f>
        <v/>
      </c>
      <c r="N367" s="20"/>
      <c r="O367" s="7"/>
    </row>
    <row r="368" spans="2:19" ht="25.5" customHeight="1" x14ac:dyDescent="0.2">
      <c r="B368" s="20"/>
      <c r="C368" s="20"/>
      <c r="D368" s="195" t="s">
        <v>3</v>
      </c>
      <c r="E368" s="1654" t="str">
        <f>Translations!$B$662</f>
        <v>Należy porównać z lit. f)</v>
      </c>
      <c r="F368" s="1652"/>
      <c r="G368" s="1652"/>
      <c r="H368" s="48" t="s">
        <v>409</v>
      </c>
      <c r="I368" s="311" t="str">
        <f>IF(AND(COUNT(I364,I367)=2,I364&lt;&gt;0),I367/I364*100,"")</f>
        <v/>
      </c>
      <c r="J368" s="311" t="str">
        <f>IF(AND(COUNT(J364,J367)=2,J364&lt;&gt;0),J367/J364*100,"")</f>
        <v/>
      </c>
      <c r="K368" s="311" t="str">
        <f>IF(AND(COUNT(K364,K367)=2,K364&lt;&gt;0),K367/K364*100,"")</f>
        <v/>
      </c>
      <c r="L368" s="311" t="str">
        <f>IF(AND(COUNT(L364,L367)=2,L364&lt;&gt;0),L367/L364*100,"")</f>
        <v/>
      </c>
      <c r="M368" s="311" t="str">
        <f>IF(AND(COUNT(M364,M367)=2,M364&lt;&gt;0),M367/M364*100,"")</f>
        <v/>
      </c>
      <c r="N368" s="20"/>
      <c r="O368" s="7"/>
    </row>
    <row r="369" spans="1:19" ht="5.0999999999999996" customHeight="1" x14ac:dyDescent="0.2">
      <c r="B369" s="3"/>
      <c r="C369" s="3"/>
      <c r="D369" s="3"/>
      <c r="E369" s="3"/>
      <c r="F369" s="3"/>
      <c r="G369" s="3"/>
      <c r="H369" s="3"/>
      <c r="I369" s="3"/>
      <c r="J369" s="3"/>
      <c r="K369" s="3"/>
      <c r="L369" s="3"/>
      <c r="M369" s="3"/>
      <c r="N369" s="3"/>
      <c r="O369" s="7"/>
      <c r="P369" s="626"/>
    </row>
    <row r="370" spans="1:19" x14ac:dyDescent="0.2">
      <c r="B370" s="20"/>
      <c r="C370" s="20"/>
      <c r="D370" s="20"/>
      <c r="E370" s="20"/>
      <c r="F370" s="20"/>
      <c r="G370" s="20"/>
      <c r="H370" s="20"/>
      <c r="I370" s="20"/>
      <c r="J370" s="20"/>
      <c r="K370" s="20"/>
      <c r="L370" s="20"/>
      <c r="M370" s="20"/>
      <c r="N370" s="20"/>
      <c r="O370" s="7"/>
    </row>
    <row r="371" spans="1:19" x14ac:dyDescent="0.2">
      <c r="B371" s="20"/>
      <c r="C371" s="20"/>
      <c r="D371" s="1622" t="str">
        <f>Translations!$B$73</f>
        <v xml:space="preserve">&lt;&lt;&lt; Proszę kliknąć tutaj, aby przejść do kolejnego arkusza &gt;&gt;&gt; </v>
      </c>
      <c r="E371" s="1622"/>
      <c r="F371" s="1622"/>
      <c r="G371" s="1622"/>
      <c r="H371" s="1622"/>
      <c r="I371" s="1622"/>
      <c r="J371" s="1622"/>
      <c r="K371" s="1622"/>
      <c r="L371" s="1622"/>
      <c r="M371" s="1622"/>
      <c r="N371" s="1622"/>
      <c r="O371" s="7"/>
    </row>
    <row r="372" spans="1:19" x14ac:dyDescent="0.2">
      <c r="B372" s="20"/>
      <c r="C372" s="20"/>
      <c r="D372" s="20"/>
      <c r="E372" s="20"/>
      <c r="F372" s="20"/>
      <c r="G372" s="20"/>
      <c r="H372" s="20"/>
      <c r="I372" s="20"/>
      <c r="J372" s="20"/>
      <c r="K372" s="20"/>
      <c r="L372" s="20"/>
      <c r="M372" s="20"/>
      <c r="N372" s="20"/>
      <c r="O372" s="7"/>
    </row>
    <row r="373" spans="1:19" hidden="1" x14ac:dyDescent="0.2">
      <c r="A373" s="430" t="s">
        <v>101</v>
      </c>
      <c r="B373" s="2" t="s">
        <v>350</v>
      </c>
      <c r="C373" s="2" t="s">
        <v>350</v>
      </c>
      <c r="D373" s="2" t="s">
        <v>350</v>
      </c>
      <c r="E373" s="2" t="s">
        <v>350</v>
      </c>
      <c r="F373" s="2" t="s">
        <v>350</v>
      </c>
      <c r="G373" s="2"/>
      <c r="H373" s="2" t="s">
        <v>350</v>
      </c>
      <c r="I373" s="2" t="s">
        <v>350</v>
      </c>
      <c r="J373" s="2" t="s">
        <v>350</v>
      </c>
      <c r="K373" s="2" t="s">
        <v>350</v>
      </c>
      <c r="L373" s="2" t="s">
        <v>350</v>
      </c>
      <c r="M373" s="2" t="s">
        <v>350</v>
      </c>
      <c r="N373" s="2" t="s">
        <v>350</v>
      </c>
      <c r="O373" s="2" t="s">
        <v>350</v>
      </c>
      <c r="P373" s="430" t="s">
        <v>350</v>
      </c>
      <c r="Q373" s="430" t="s">
        <v>350</v>
      </c>
      <c r="R373" s="430" t="s">
        <v>350</v>
      </c>
      <c r="S373" s="430" t="s">
        <v>350</v>
      </c>
    </row>
    <row r="374" spans="1:19" hidden="1" x14ac:dyDescent="0.2">
      <c r="A374" s="430" t="s">
        <v>101</v>
      </c>
    </row>
    <row r="375" spans="1:19" hidden="1" x14ac:dyDescent="0.2">
      <c r="A375" s="430" t="s">
        <v>101</v>
      </c>
      <c r="B375" s="2"/>
      <c r="C375" s="2"/>
      <c r="D375" s="45" t="s">
        <v>351</v>
      </c>
      <c r="E375" s="2"/>
      <c r="F375" s="2"/>
      <c r="G375" s="2"/>
      <c r="H375" s="2"/>
      <c r="I375" s="2"/>
      <c r="J375" s="2"/>
      <c r="K375" s="2"/>
      <c r="L375" s="2"/>
      <c r="M375" s="2"/>
      <c r="N375" s="2"/>
      <c r="O375" s="2"/>
    </row>
    <row r="376" spans="1:19" ht="13.5" hidden="1" thickBot="1" x14ac:dyDescent="0.25">
      <c r="A376" s="430" t="s">
        <v>101</v>
      </c>
    </row>
    <row r="377" spans="1:19" hidden="1" x14ac:dyDescent="0.2">
      <c r="A377" s="430" t="s">
        <v>101</v>
      </c>
      <c r="E377" s="162" t="s">
        <v>236</v>
      </c>
      <c r="F377" s="66"/>
      <c r="G377" s="66"/>
      <c r="H377" s="66"/>
      <c r="I377" s="66"/>
      <c r="J377" s="66"/>
      <c r="K377" s="66"/>
      <c r="L377" s="66"/>
      <c r="M377" s="66"/>
      <c r="N377" s="68"/>
    </row>
    <row r="378" spans="1:19" hidden="1" x14ac:dyDescent="0.2">
      <c r="A378" s="430" t="s">
        <v>101</v>
      </c>
      <c r="E378" s="101" t="s">
        <v>354</v>
      </c>
      <c r="F378" s="23"/>
      <c r="G378" s="23"/>
      <c r="H378" s="23"/>
      <c r="I378" s="152">
        <v>1</v>
      </c>
      <c r="J378" s="152">
        <v>2</v>
      </c>
      <c r="K378" s="152">
        <v>3</v>
      </c>
      <c r="L378" s="152">
        <v>4</v>
      </c>
      <c r="M378" s="152">
        <v>5</v>
      </c>
      <c r="N378" s="155"/>
    </row>
    <row r="379" spans="1:19" hidden="1" x14ac:dyDescent="0.2">
      <c r="A379" s="2" t="s">
        <v>101</v>
      </c>
      <c r="E379" s="156" t="s">
        <v>473</v>
      </c>
      <c r="F379" s="23"/>
      <c r="G379" s="23"/>
      <c r="H379" s="23"/>
      <c r="I379" s="152">
        <f>INDEX(EUconst_ReportingYears,I378)</f>
        <v>2014</v>
      </c>
      <c r="J379" s="152">
        <f>INDEX(EUconst_ReportingYears,J378)</f>
        <v>2015</v>
      </c>
      <c r="K379" s="152">
        <f>INDEX(EUconst_ReportingYears,K378)</f>
        <v>2016</v>
      </c>
      <c r="L379" s="152">
        <f>INDEX(EUconst_ReportingYears,L378)</f>
        <v>2017</v>
      </c>
      <c r="M379" s="152">
        <f>INDEX(EUconst_ReportingYears,M378)</f>
        <v>2018</v>
      </c>
      <c r="N379" s="155"/>
    </row>
    <row r="380" spans="1:19" hidden="1" x14ac:dyDescent="0.2">
      <c r="A380" s="2" t="s">
        <v>101</v>
      </c>
      <c r="E380" s="156" t="s">
        <v>472</v>
      </c>
      <c r="F380" s="153"/>
      <c r="G380" s="153"/>
      <c r="H380" s="153"/>
      <c r="I380" s="154">
        <f>IF(CNTR_BaselinePeriod=EUconst_NA,I379,INDEX(EUconst_ReportingYears,I378)+(CNTR_BaselinePeriod-1)*5)</f>
        <v>2014</v>
      </c>
      <c r="J380" s="154">
        <f>IF(CNTR_BaselinePeriod=EUconst_NA,J379,INDEX(EUconst_ReportingYears,J378)+(CNTR_BaselinePeriod-1)*5)</f>
        <v>2015</v>
      </c>
      <c r="K380" s="154">
        <f>IF(CNTR_BaselinePeriod=EUconst_NA,K379,INDEX(EUconst_ReportingYears,K378)+(CNTR_BaselinePeriod-1)*5)</f>
        <v>2016</v>
      </c>
      <c r="L380" s="154">
        <f>IF(CNTR_BaselinePeriod=EUconst_NA,L379,INDEX(EUconst_ReportingYears,L378)+(CNTR_BaselinePeriod-1)*5)</f>
        <v>2017</v>
      </c>
      <c r="M380" s="154">
        <f>IF(CNTR_BaselinePeriod=EUconst_NA,M379,INDEX(EUconst_ReportingYears,M378)+(CNTR_BaselinePeriod-1)*5)</f>
        <v>2018</v>
      </c>
      <c r="N380" s="157"/>
      <c r="O380" s="20"/>
    </row>
    <row r="381" spans="1:19" hidden="1" x14ac:dyDescent="0.2">
      <c r="A381" s="430" t="s">
        <v>101</v>
      </c>
      <c r="E381" s="156" t="s">
        <v>235</v>
      </c>
      <c r="F381" s="153"/>
      <c r="G381" s="153"/>
      <c r="H381" s="153"/>
      <c r="I381" s="154">
        <v>1</v>
      </c>
      <c r="J381" s="154">
        <v>1</v>
      </c>
      <c r="K381" s="154">
        <v>1</v>
      </c>
      <c r="L381" s="154">
        <v>1</v>
      </c>
      <c r="M381" s="154">
        <v>1</v>
      </c>
      <c r="N381" s="157"/>
    </row>
    <row r="382" spans="1:19" hidden="1" x14ac:dyDescent="0.2">
      <c r="A382" s="430" t="s">
        <v>101</v>
      </c>
      <c r="E382" s="156" t="s">
        <v>233</v>
      </c>
      <c r="F382" s="153"/>
      <c r="G382" s="153"/>
      <c r="H382" s="153"/>
      <c r="I382" s="153" t="b">
        <f>(I381=CNTR_BaselinePeriod)</f>
        <v>1</v>
      </c>
      <c r="J382" s="153" t="b">
        <f>(J381=CNTR_BaselinePeriod)</f>
        <v>1</v>
      </c>
      <c r="K382" s="153" t="b">
        <f>(K381=CNTR_BaselinePeriod)</f>
        <v>1</v>
      </c>
      <c r="L382" s="153" t="b">
        <f>(L381=CNTR_BaselinePeriod)</f>
        <v>1</v>
      </c>
      <c r="M382" s="153" t="b">
        <f>(M381=CNTR_BaselinePeriod)</f>
        <v>1</v>
      </c>
      <c r="N382" s="158"/>
    </row>
    <row r="383" spans="1:19" ht="13.5" hidden="1" thickBot="1" x14ac:dyDescent="0.25">
      <c r="A383" s="430" t="s">
        <v>101</v>
      </c>
      <c r="E383" s="159" t="s">
        <v>234</v>
      </c>
      <c r="F383" s="160"/>
      <c r="G383" s="160"/>
      <c r="H383" s="160"/>
      <c r="I383" s="160" t="b">
        <f>INDEX(CNTR_BaslineYearRelevant,I378)</f>
        <v>1</v>
      </c>
      <c r="J383" s="160" t="b">
        <f>INDEX(CNTR_BaslineYearRelevant,J378)</f>
        <v>1</v>
      </c>
      <c r="K383" s="160" t="b">
        <f>INDEX(CNTR_BaslineYearRelevant,K378)</f>
        <v>1</v>
      </c>
      <c r="L383" s="160" t="b">
        <f>INDEX(CNTR_BaslineYearRelevant,L378)</f>
        <v>1</v>
      </c>
      <c r="M383" s="160" t="b">
        <f>INDEX(CNTR_BaslineYearRelevant,M378)</f>
        <v>1</v>
      </c>
      <c r="N383" s="161"/>
    </row>
    <row r="384" spans="1:19" hidden="1" x14ac:dyDescent="0.2">
      <c r="A384" s="430" t="s">
        <v>101</v>
      </c>
    </row>
    <row r="385" spans="1:16" hidden="1" x14ac:dyDescent="0.2">
      <c r="A385" s="430" t="s">
        <v>101</v>
      </c>
    </row>
    <row r="386" spans="1:16" ht="13.5" hidden="1" thickBot="1" x14ac:dyDescent="0.25">
      <c r="A386" s="430" t="s">
        <v>101</v>
      </c>
      <c r="E386" s="575" t="s">
        <v>552</v>
      </c>
    </row>
    <row r="387" spans="1:16" hidden="1" x14ac:dyDescent="0.2">
      <c r="A387" s="430" t="s">
        <v>101</v>
      </c>
      <c r="D387" s="1">
        <v>1</v>
      </c>
      <c r="E387" s="553" t="str">
        <f>INDEX(EUconst_FallBackListNames,D387)</f>
        <v>Podinstalacja objęta wskaźnikiem emisyjności opartym na cieple, „CL”</v>
      </c>
      <c r="F387" s="554"/>
      <c r="G387" s="554"/>
      <c r="H387" s="174" t="str">
        <f>EUconst_TJpa</f>
        <v>TJ / rok</v>
      </c>
      <c r="I387" s="555">
        <f t="shared" ref="I387:M389" si="21">IF(ISNUMBER(I227),INDEX(I$227:I$233,MATCH(EUconst_CNTR_HAL&amp;$E387,$P$227:$P$233,0)),"")</f>
        <v>663.67106823104518</v>
      </c>
      <c r="J387" s="555">
        <f t="shared" si="21"/>
        <v>628.23125271862386</v>
      </c>
      <c r="K387" s="555">
        <f t="shared" si="21"/>
        <v>725.31445740656966</v>
      </c>
      <c r="L387" s="555">
        <f t="shared" si="21"/>
        <v>610.92741807413177</v>
      </c>
      <c r="M387" s="556">
        <f t="shared" si="21"/>
        <v>702.52094494868709</v>
      </c>
      <c r="P387" s="430" t="s">
        <v>81</v>
      </c>
    </row>
    <row r="388" spans="1:16" hidden="1" x14ac:dyDescent="0.2">
      <c r="A388" s="430" t="s">
        <v>101</v>
      </c>
      <c r="D388" s="1">
        <v>2</v>
      </c>
      <c r="E388" s="557" t="str">
        <f>INDEX(EUconst_FallBackListNames,D388)</f>
        <v>Podinstalacja objęta wskaźnikiem emisyjności opartym na cieple, „nie-CL”</v>
      </c>
      <c r="F388" s="558"/>
      <c r="G388" s="558"/>
      <c r="H388" s="559" t="str">
        <f>EUconst_TJpa</f>
        <v>TJ / rok</v>
      </c>
      <c r="I388" s="560">
        <f t="shared" si="21"/>
        <v>688.51799635030102</v>
      </c>
      <c r="J388" s="560">
        <f t="shared" si="21"/>
        <v>647.24553979430743</v>
      </c>
      <c r="K388" s="560">
        <f t="shared" si="21"/>
        <v>744.86796245655296</v>
      </c>
      <c r="L388" s="560">
        <f t="shared" si="21"/>
        <v>636.15108326654081</v>
      </c>
      <c r="M388" s="561">
        <f t="shared" si="21"/>
        <v>735.76769914288332</v>
      </c>
    </row>
    <row r="389" spans="1:16" ht="13.5" hidden="1" thickBot="1" x14ac:dyDescent="0.25">
      <c r="A389" s="430" t="s">
        <v>101</v>
      </c>
      <c r="D389" s="1">
        <v>3</v>
      </c>
      <c r="E389" s="113" t="str">
        <f>INDEX(EUconst_FallBackListNames,D389)</f>
        <v>Podinstalacja sieci ciepłowniczej</v>
      </c>
      <c r="F389" s="112"/>
      <c r="G389" s="112"/>
      <c r="H389" s="175" t="str">
        <f>EUconst_TJpa</f>
        <v>TJ / rok</v>
      </c>
      <c r="I389" s="109">
        <f t="shared" si="21"/>
        <v>662.06804061044795</v>
      </c>
      <c r="J389" s="109">
        <f t="shared" si="21"/>
        <v>626.64672879565023</v>
      </c>
      <c r="K389" s="109">
        <f t="shared" si="21"/>
        <v>723.68499865240449</v>
      </c>
      <c r="L389" s="109">
        <f t="shared" si="21"/>
        <v>609.35093899960611</v>
      </c>
      <c r="M389" s="108">
        <f t="shared" si="21"/>
        <v>700.89915206116541</v>
      </c>
      <c r="P389" s="430" t="s">
        <v>82</v>
      </c>
    </row>
    <row r="390" spans="1:16" hidden="1" x14ac:dyDescent="0.2">
      <c r="A390" s="430" t="s">
        <v>101</v>
      </c>
    </row>
    <row r="391" spans="1:16" ht="13.5" hidden="1" thickBot="1" x14ac:dyDescent="0.25">
      <c r="A391" s="430" t="s">
        <v>101</v>
      </c>
      <c r="E391" s="1" t="s">
        <v>80</v>
      </c>
    </row>
    <row r="392" spans="1:16" hidden="1" x14ac:dyDescent="0.2">
      <c r="A392" s="430" t="s">
        <v>101</v>
      </c>
      <c r="D392" s="1">
        <v>4</v>
      </c>
      <c r="E392" s="115" t="str">
        <f>INDEX(EUconst_FallBackListNames,D392)</f>
        <v>Podinstalacja objęta wskaźnikiem emisyjności opartym na paliwie, „CL”</v>
      </c>
      <c r="F392" s="114"/>
      <c r="G392" s="114"/>
      <c r="H392" s="174" t="str">
        <f>EUconst_TJpa</f>
        <v>TJ / rok</v>
      </c>
      <c r="I392" s="111" t="str">
        <f t="shared" ref="I392:M393" si="22">IF(ISNUMBER(I36),INDEX(I$36:I$47,MATCH(EUconst_CNTR_HAL&amp;$E392,$P$36:$P$47,0)),"")</f>
        <v/>
      </c>
      <c r="J392" s="111" t="str">
        <f t="shared" si="22"/>
        <v/>
      </c>
      <c r="K392" s="111" t="str">
        <f t="shared" si="22"/>
        <v/>
      </c>
      <c r="L392" s="111" t="str">
        <f t="shared" si="22"/>
        <v/>
      </c>
      <c r="M392" s="110" t="str">
        <f t="shared" si="22"/>
        <v/>
      </c>
      <c r="P392" s="430" t="s">
        <v>83</v>
      </c>
    </row>
    <row r="393" spans="1:16" ht="13.5" hidden="1" thickBot="1" x14ac:dyDescent="0.25">
      <c r="A393" s="430" t="s">
        <v>101</v>
      </c>
      <c r="D393" s="1">
        <v>5</v>
      </c>
      <c r="E393" s="113" t="str">
        <f>INDEX(EUconst_FallBackListNames,D393)</f>
        <v>Podinstalacja objęta wskaźnikiem emisyjności opartym na paliwie, „nie-CL”</v>
      </c>
      <c r="F393" s="112"/>
      <c r="G393" s="112"/>
      <c r="H393" s="175" t="str">
        <f>EUconst_TJpa</f>
        <v>TJ / rok</v>
      </c>
      <c r="I393" s="109" t="str">
        <f t="shared" si="22"/>
        <v/>
      </c>
      <c r="J393" s="109" t="str">
        <f t="shared" si="22"/>
        <v/>
      </c>
      <c r="K393" s="109" t="str">
        <f t="shared" si="22"/>
        <v/>
      </c>
      <c r="L393" s="109" t="str">
        <f t="shared" si="22"/>
        <v/>
      </c>
      <c r="M393" s="108" t="str">
        <f t="shared" si="22"/>
        <v/>
      </c>
      <c r="P393" s="430" t="s">
        <v>84</v>
      </c>
    </row>
    <row r="394" spans="1:16" hidden="1" x14ac:dyDescent="0.2">
      <c r="A394" s="430" t="s">
        <v>101</v>
      </c>
    </row>
    <row r="395" spans="1:16" ht="5.0999999999999996" hidden="1" customHeight="1" x14ac:dyDescent="0.2">
      <c r="A395" s="430" t="s">
        <v>101</v>
      </c>
      <c r="B395" s="202"/>
      <c r="C395" s="202"/>
      <c r="D395" s="202"/>
      <c r="E395" s="202"/>
      <c r="F395" s="202"/>
      <c r="G395" s="202"/>
      <c r="H395" s="202"/>
      <c r="I395" s="202"/>
      <c r="J395" s="202"/>
      <c r="K395" s="202"/>
      <c r="L395" s="202"/>
      <c r="M395" s="202"/>
      <c r="N395" s="202"/>
      <c r="O395" s="141"/>
      <c r="P395" s="626"/>
    </row>
    <row r="396" spans="1:16" ht="5.0999999999999996" hidden="1" customHeight="1" x14ac:dyDescent="0.2">
      <c r="A396" s="430" t="s">
        <v>101</v>
      </c>
      <c r="B396" s="202"/>
      <c r="C396" s="202"/>
      <c r="D396" s="202"/>
      <c r="E396" s="202"/>
      <c r="F396" s="202"/>
      <c r="G396" s="202"/>
      <c r="H396" s="202"/>
      <c r="I396" s="202"/>
      <c r="J396" s="202"/>
      <c r="K396" s="202"/>
      <c r="L396" s="202"/>
      <c r="M396" s="202"/>
      <c r="N396" s="202"/>
      <c r="O396" s="141"/>
      <c r="P396" s="626"/>
    </row>
    <row r="397" spans="1:16" hidden="1" x14ac:dyDescent="0.2">
      <c r="A397" s="430" t="s">
        <v>101</v>
      </c>
      <c r="E397" s="361" t="s">
        <v>548</v>
      </c>
    </row>
    <row r="398" spans="1:16" hidden="1" x14ac:dyDescent="0.2">
      <c r="A398" s="430" t="s">
        <v>101</v>
      </c>
      <c r="E398" s="1" t="s">
        <v>57</v>
      </c>
      <c r="I398" s="188">
        <f>I$380</f>
        <v>2014</v>
      </c>
      <c r="J398" s="188">
        <f>J$380</f>
        <v>2015</v>
      </c>
      <c r="K398" s="188">
        <f>K$380</f>
        <v>2016</v>
      </c>
      <c r="L398" s="188">
        <f>L$380</f>
        <v>2017</v>
      </c>
      <c r="M398" s="188">
        <f>M$380</f>
        <v>2018</v>
      </c>
    </row>
    <row r="399" spans="1:16" hidden="1" x14ac:dyDescent="0.2">
      <c r="A399" s="430" t="s">
        <v>101</v>
      </c>
      <c r="D399" s="1" t="s">
        <v>356</v>
      </c>
      <c r="E399" s="23" t="s">
        <v>58</v>
      </c>
      <c r="H399" s="152" t="str">
        <f>EUconst_TJpa</f>
        <v>TJ / rok</v>
      </c>
      <c r="I399" s="23">
        <f>IF(ISNUMBER(I110),I110*(SUM(I116)/100),0)</f>
        <v>2319.0669474391434</v>
      </c>
      <c r="J399" s="23">
        <f>IF(ISNUMBER(J110),J110*(SUM(J116)/100),0)</f>
        <v>2206.8774480522866</v>
      </c>
      <c r="K399" s="23">
        <f>IF(ISNUMBER(K110),K110*(SUM(K116)/100),0)</f>
        <v>2498.7548923123736</v>
      </c>
      <c r="L399" s="23">
        <f>IF(ISNUMBER(L110),L110*(SUM(L116)/100),0)</f>
        <v>2161.1584218177322</v>
      </c>
      <c r="M399" s="23">
        <f>IF(ISNUMBER(M110),M110*(SUM(M116)/100),0)</f>
        <v>2444.0539244421657</v>
      </c>
    </row>
    <row r="400" spans="1:16" hidden="1" x14ac:dyDescent="0.2">
      <c r="A400" s="430" t="s">
        <v>101</v>
      </c>
      <c r="E400" s="1" t="s">
        <v>59</v>
      </c>
      <c r="H400" s="152" t="str">
        <f>EUconst_TJpa</f>
        <v>TJ / rok</v>
      </c>
      <c r="I400" s="23">
        <f>IF(ISNUMBER(I110),I110*(1-SUM(I116)/100),0)</f>
        <v>500.00000000000006</v>
      </c>
      <c r="J400" s="23">
        <f>IF(ISNUMBER(J110),J110*(1-SUM(J116)/100),0)</f>
        <v>500.00000000000028</v>
      </c>
      <c r="K400" s="23">
        <f>IF(ISNUMBER(K110),K110*(1-SUM(K116)/100),0)</f>
        <v>500</v>
      </c>
      <c r="L400" s="23">
        <f>IF(ISNUMBER(L110),L110*(1-SUM(L116)/100),0)</f>
        <v>500.00000000000011</v>
      </c>
      <c r="M400" s="23">
        <f>IF(ISNUMBER(M110),M110*(1-SUM(M116)/100),0)</f>
        <v>500.00000000000011</v>
      </c>
    </row>
    <row r="401" spans="1:13" hidden="1" x14ac:dyDescent="0.2">
      <c r="A401" s="430" t="s">
        <v>101</v>
      </c>
    </row>
    <row r="402" spans="1:13" hidden="1" x14ac:dyDescent="0.2">
      <c r="A402" s="430" t="s">
        <v>101</v>
      </c>
      <c r="D402" s="1" t="s">
        <v>13</v>
      </c>
      <c r="E402" s="1" t="s">
        <v>61</v>
      </c>
    </row>
    <row r="403" spans="1:13" hidden="1" x14ac:dyDescent="0.2">
      <c r="A403" s="430" t="s">
        <v>101</v>
      </c>
      <c r="E403" s="23" t="s">
        <v>60</v>
      </c>
      <c r="H403" s="152" t="str">
        <f>EUconst_TJpa</f>
        <v>TJ / rok</v>
      </c>
      <c r="I403" s="23">
        <f>IF(ISNUMBER(I127),I127-I404,0)</f>
        <v>0</v>
      </c>
      <c r="J403" s="23">
        <f>IF(ISNUMBER(J127),J127-J404,0)</f>
        <v>0</v>
      </c>
      <c r="K403" s="23">
        <f>IF(ISNUMBER(K127),K127-K404,0)</f>
        <v>0</v>
      </c>
      <c r="L403" s="23">
        <f>IF(ISNUMBER(L127),L127-L404,0)</f>
        <v>0</v>
      </c>
      <c r="M403" s="23">
        <f>IF(ISNUMBER(M127),M127-M404,0)</f>
        <v>0</v>
      </c>
    </row>
    <row r="404" spans="1:13" hidden="1" x14ac:dyDescent="0.2">
      <c r="A404" s="430" t="s">
        <v>101</v>
      </c>
      <c r="E404" s="1" t="s">
        <v>59</v>
      </c>
      <c r="H404" s="152" t="str">
        <f>EUconst_TJpa</f>
        <v>TJ / rok</v>
      </c>
      <c r="I404" s="23">
        <f>IF(ISNUMBER(I129),IF(I129&lt;I400,I129,I400),IF(ISNUMBER(I128),I128,0))</f>
        <v>0</v>
      </c>
      <c r="J404" s="23">
        <f>IF(ISNUMBER(J129),IF(J129&lt;J400,J129,J400),IF(ISNUMBER(J128),J128,0))</f>
        <v>0</v>
      </c>
      <c r="K404" s="23">
        <f>IF(ISNUMBER(K129),IF(K129&lt;K400,K129,K400),IF(ISNUMBER(K128),K128,0))</f>
        <v>0</v>
      </c>
      <c r="L404" s="23">
        <f>IF(ISNUMBER(L129),IF(L129&lt;L400,L129,L400),IF(ISNUMBER(L128),L128,0))</f>
        <v>0</v>
      </c>
      <c r="M404" s="23">
        <f>IF(ISNUMBER(M129),IF(M129&lt;M400,M129,M400),IF(ISNUMBER(M128),M128,0))</f>
        <v>0</v>
      </c>
    </row>
    <row r="405" spans="1:13" hidden="1" x14ac:dyDescent="0.2">
      <c r="A405" s="430" t="s">
        <v>101</v>
      </c>
      <c r="E405" s="1" t="s">
        <v>62</v>
      </c>
    </row>
    <row r="406" spans="1:13" hidden="1" x14ac:dyDescent="0.2">
      <c r="A406" s="430" t="s">
        <v>101</v>
      </c>
      <c r="E406" s="23" t="s">
        <v>60</v>
      </c>
      <c r="H406" s="152" t="str">
        <f>EUconst_TJpa</f>
        <v>TJ / rok</v>
      </c>
      <c r="I406" s="23">
        <f>IF(I403&lt;I399,I399-I403-IF(I404&gt;I400,I404-I400,0),0)</f>
        <v>2319.0669474391434</v>
      </c>
      <c r="J406" s="23">
        <f>IF(J403&lt;J399,J399-J403-IF(J404&gt;J400,J404-J400,0),0)</f>
        <v>2206.8774480522866</v>
      </c>
      <c r="K406" s="23">
        <f>IF(K403&lt;K399,K399-K403-IF(K404&gt;K400,K404-K400,0),0)</f>
        <v>2498.7548923123736</v>
      </c>
      <c r="L406" s="23">
        <f>IF(L403&lt;L399,L399-L403-IF(L404&gt;L400,L404-L400,0),0)</f>
        <v>2161.1584218177322</v>
      </c>
      <c r="M406" s="23">
        <f>IF(M403&lt;M399,M399-M403-IF(M404&gt;M400,M404-M400,0),0)</f>
        <v>2444.0539244421657</v>
      </c>
    </row>
    <row r="407" spans="1:13" hidden="1" x14ac:dyDescent="0.2">
      <c r="A407" s="430" t="s">
        <v>101</v>
      </c>
      <c r="E407" s="1" t="s">
        <v>59</v>
      </c>
      <c r="H407" s="152" t="str">
        <f>EUconst_TJpa</f>
        <v>TJ / rok</v>
      </c>
      <c r="I407" s="23">
        <f>IF(I404&lt;I400,I400-I404-IF(I403&gt;I399,I403-I399,0),0)</f>
        <v>500.00000000000006</v>
      </c>
      <c r="J407" s="23">
        <f>IF(J404&lt;J400,J400-J404-IF(J403&gt;J399,J403-J399,0),0)</f>
        <v>500.00000000000028</v>
      </c>
      <c r="K407" s="23">
        <f>IF(K404&lt;K400,K400-K404-IF(K403&gt;K399,K403-K399,0),0)</f>
        <v>500</v>
      </c>
      <c r="L407" s="23">
        <f>IF(L404&lt;L400,L400-L404-IF(L403&gt;L399,L403-L399,0),0)</f>
        <v>500.00000000000011</v>
      </c>
      <c r="M407" s="23">
        <f>IF(M404&lt;M400,M400-M404-IF(M403&gt;M399,M403-M399,0),0)</f>
        <v>500.00000000000011</v>
      </c>
    </row>
    <row r="408" spans="1:13" hidden="1" x14ac:dyDescent="0.2">
      <c r="A408" s="430" t="s">
        <v>101</v>
      </c>
    </row>
    <row r="409" spans="1:13" hidden="1" x14ac:dyDescent="0.2">
      <c r="A409" s="430" t="s">
        <v>101</v>
      </c>
      <c r="D409" s="1" t="s">
        <v>87</v>
      </c>
      <c r="E409" s="1" t="s">
        <v>63</v>
      </c>
    </row>
    <row r="410" spans="1:13" hidden="1" x14ac:dyDescent="0.2">
      <c r="A410" s="430" t="s">
        <v>101</v>
      </c>
      <c r="E410" s="23" t="s">
        <v>60</v>
      </c>
      <c r="H410" s="152" t="str">
        <f>EUconst_TJpa</f>
        <v>TJ / rok</v>
      </c>
      <c r="I410" s="23">
        <f>IF(ISNUMBER(I145),I145-I411,0)</f>
        <v>0</v>
      </c>
      <c r="J410" s="23">
        <f>IF(ISNUMBER(J145),J145-J411,0)</f>
        <v>0</v>
      </c>
      <c r="K410" s="23">
        <f>IF(ISNUMBER(K145),K145-K411,0)</f>
        <v>0</v>
      </c>
      <c r="L410" s="23">
        <f>IF(ISNUMBER(L145),L145-L411,0)</f>
        <v>0</v>
      </c>
      <c r="M410" s="23">
        <f>IF(ISNUMBER(M145),M145-M411,0)</f>
        <v>0</v>
      </c>
    </row>
    <row r="411" spans="1:13" hidden="1" x14ac:dyDescent="0.2">
      <c r="A411" s="430" t="s">
        <v>101</v>
      </c>
      <c r="E411" s="1" t="s">
        <v>59</v>
      </c>
      <c r="H411" s="152" t="str">
        <f>EUconst_TJpa</f>
        <v>TJ / rok</v>
      </c>
      <c r="I411" s="23">
        <f>IF(ISNUMBER(I148),IF(I148&lt;I407,I148,I407),0)</f>
        <v>0</v>
      </c>
      <c r="J411" s="23">
        <f>IF(ISNUMBER(J148),IF(J148&lt;J407,J148,J407),0)</f>
        <v>0</v>
      </c>
      <c r="K411" s="23">
        <f>IF(ISNUMBER(K148),IF(K148&lt;K407,K148,K407),0)</f>
        <v>0</v>
      </c>
      <c r="L411" s="23">
        <f>IF(ISNUMBER(L148),IF(L148&lt;L407,L148,L407),0)</f>
        <v>0</v>
      </c>
      <c r="M411" s="23">
        <f>IF(ISNUMBER(M148),IF(M148&lt;M407,M148,M407),0)</f>
        <v>0</v>
      </c>
    </row>
    <row r="412" spans="1:13" hidden="1" x14ac:dyDescent="0.2">
      <c r="A412" s="430" t="s">
        <v>101</v>
      </c>
      <c r="E412" s="1" t="s">
        <v>64</v>
      </c>
    </row>
    <row r="413" spans="1:13" hidden="1" x14ac:dyDescent="0.2">
      <c r="A413" s="430" t="s">
        <v>101</v>
      </c>
      <c r="E413" s="23" t="s">
        <v>60</v>
      </c>
      <c r="H413" s="152" t="str">
        <f>EUconst_TJpa</f>
        <v>TJ / rok</v>
      </c>
      <c r="I413" s="23">
        <f>IF(I410&lt;I406,I406-I410-IF(I411&gt;I407,I411-I407,0),0)</f>
        <v>2319.0669474391434</v>
      </c>
      <c r="J413" s="23">
        <f>IF(J410&lt;J406,J406-J410-IF(J411&gt;J407,J411-J407,0),0)</f>
        <v>2206.8774480522866</v>
      </c>
      <c r="K413" s="23">
        <f>IF(K410&lt;K406,K406-K410-IF(K411&gt;K407,K411-K407,0),0)</f>
        <v>2498.7548923123736</v>
      </c>
      <c r="L413" s="23">
        <f>IF(L410&lt;L406,L406-L410-IF(L411&gt;L407,L411-L407,0),0)</f>
        <v>2161.1584218177322</v>
      </c>
      <c r="M413" s="23">
        <f>IF(M410&lt;M406,M406-M410-IF(M411&gt;M407,M411-M407,0),0)</f>
        <v>2444.0539244421657</v>
      </c>
    </row>
    <row r="414" spans="1:13" hidden="1" x14ac:dyDescent="0.2">
      <c r="A414" s="430" t="s">
        <v>101</v>
      </c>
      <c r="E414" s="1" t="s">
        <v>59</v>
      </c>
      <c r="H414" s="152" t="str">
        <f>EUconst_TJpa</f>
        <v>TJ / rok</v>
      </c>
      <c r="I414" s="23">
        <f>IF(I411&lt;I407,I407-I411-IF(I410&gt;I406,I410-I406,0),0)</f>
        <v>500.00000000000006</v>
      </c>
      <c r="J414" s="23">
        <f>IF(J411&lt;J407,J407-J411-IF(J410&gt;J406,J410-J406,0),0)</f>
        <v>500.00000000000028</v>
      </c>
      <c r="K414" s="23">
        <f>IF(K411&lt;K407,K407-K411-IF(K410&gt;K406,K410-K406,0),0)</f>
        <v>500</v>
      </c>
      <c r="L414" s="23">
        <f>IF(L411&lt;L407,L407-L411-IF(L410&gt;L406,L410-L406,0),0)</f>
        <v>500.00000000000011</v>
      </c>
      <c r="M414" s="23">
        <f>IF(M411&lt;M407,M407-M411-IF(M410&gt;M406,M410-M406,0),0)</f>
        <v>500.00000000000011</v>
      </c>
    </row>
    <row r="415" spans="1:13" hidden="1" x14ac:dyDescent="0.2">
      <c r="A415" s="430" t="s">
        <v>101</v>
      </c>
    </row>
    <row r="416" spans="1:13" hidden="1" x14ac:dyDescent="0.2">
      <c r="A416" s="430" t="s">
        <v>101</v>
      </c>
      <c r="D416" s="1" t="s">
        <v>88</v>
      </c>
      <c r="E416" s="1" t="s">
        <v>66</v>
      </c>
    </row>
    <row r="417" spans="1:13" hidden="1" x14ac:dyDescent="0.2">
      <c r="A417" s="430" t="s">
        <v>101</v>
      </c>
      <c r="E417" s="23" t="s">
        <v>60</v>
      </c>
      <c r="H417" s="152" t="str">
        <f>EUconst_TJpa</f>
        <v>TJ / rok</v>
      </c>
      <c r="I417" s="23">
        <f>IF(ISNUMBER(I169),I169,0)</f>
        <v>300</v>
      </c>
      <c r="J417" s="23">
        <f>IF(ISNUMBER(J169),J169,0)</f>
        <v>300</v>
      </c>
      <c r="K417" s="23">
        <f>IF(ISNUMBER(K169),K169,0)</f>
        <v>300</v>
      </c>
      <c r="L417" s="23">
        <f>IF(ISNUMBER(L169),L169,0)</f>
        <v>300</v>
      </c>
      <c r="M417" s="23">
        <f>IF(ISNUMBER(M169),M169,0)</f>
        <v>300</v>
      </c>
    </row>
    <row r="418" spans="1:13" hidden="1" x14ac:dyDescent="0.2">
      <c r="A418" s="430" t="s">
        <v>101</v>
      </c>
      <c r="E418" s="1" t="s">
        <v>59</v>
      </c>
      <c r="H418" s="152" t="str">
        <f>EUconst_TJpa</f>
        <v>TJ / rok</v>
      </c>
      <c r="I418" s="23"/>
      <c r="J418" s="23"/>
      <c r="K418" s="23"/>
      <c r="L418" s="23"/>
      <c r="M418" s="23"/>
    </row>
    <row r="419" spans="1:13" ht="13.5" hidden="1" thickBot="1" x14ac:dyDescent="0.25">
      <c r="A419" s="430" t="s">
        <v>101</v>
      </c>
      <c r="E419" s="1" t="s">
        <v>65</v>
      </c>
    </row>
    <row r="420" spans="1:13" hidden="1" x14ac:dyDescent="0.2">
      <c r="A420" s="430" t="s">
        <v>101</v>
      </c>
      <c r="E420" s="265" t="s">
        <v>60</v>
      </c>
      <c r="F420" s="266"/>
      <c r="G420" s="266"/>
      <c r="H420" s="267" t="str">
        <f>EUconst_TJpa</f>
        <v>TJ / rok</v>
      </c>
      <c r="I420" s="177">
        <f>IF(I417&lt;I413,I413-I417-IF(I418&gt;I414,I418-I414,0),0)</f>
        <v>2019.0669474391434</v>
      </c>
      <c r="J420" s="177">
        <f>IF(J417&lt;J413,J413-J417-IF(J418&gt;J414,J418-J414,0),0)</f>
        <v>1906.8774480522866</v>
      </c>
      <c r="K420" s="177">
        <f>IF(K417&lt;K413,K413-K417-IF(K418&gt;K414,K418-K414,0),0)</f>
        <v>2198.7548923123736</v>
      </c>
      <c r="L420" s="177">
        <f>IF(L417&lt;L413,L413-L417-IF(L418&gt;L414,L418-L414,0),0)</f>
        <v>1861.1584218177322</v>
      </c>
      <c r="M420" s="178">
        <f>IF(M417&lt;M413,M413-M417-IF(M418&gt;M414,M418-M414,0),0)</f>
        <v>2144.0539244421657</v>
      </c>
    </row>
    <row r="421" spans="1:13" ht="13.5" hidden="1" thickBot="1" x14ac:dyDescent="0.25">
      <c r="A421" s="430" t="s">
        <v>101</v>
      </c>
      <c r="E421" s="268" t="s">
        <v>59</v>
      </c>
      <c r="F421" s="269"/>
      <c r="G421" s="269"/>
      <c r="H421" s="270" t="str">
        <f>EUconst_TJpa</f>
        <v>TJ / rok</v>
      </c>
      <c r="I421" s="271">
        <f>IF(I418&lt;I414,I414-I418-IF(I417&gt;I413,I417-I413,0),0)</f>
        <v>500.00000000000006</v>
      </c>
      <c r="J421" s="271">
        <f>IF(J418&lt;J414,J414-J418-IF(J417&gt;J413,J417-J413,0),0)</f>
        <v>500.00000000000028</v>
      </c>
      <c r="K421" s="271">
        <f>IF(K418&lt;K414,K414-K418-IF(K417&gt;K413,K417-K413,0),0)</f>
        <v>500</v>
      </c>
      <c r="L421" s="271">
        <f>IF(L418&lt;L414,L414-L418-IF(L417&gt;L413,L417-L413,0),0)</f>
        <v>500.00000000000011</v>
      </c>
      <c r="M421" s="272">
        <f>IF(M418&lt;M414,M414-M418-IF(M417&gt;M413,M417-M413,0),0)</f>
        <v>500.00000000000011</v>
      </c>
    </row>
    <row r="422" spans="1:13" hidden="1" x14ac:dyDescent="0.2">
      <c r="A422" s="430" t="s">
        <v>101</v>
      </c>
    </row>
    <row r="423" spans="1:13" hidden="1" x14ac:dyDescent="0.2">
      <c r="A423" s="430" t="s">
        <v>101</v>
      </c>
    </row>
  </sheetData>
  <sheetProtection formatCells="0" formatColumns="0" formatRows="0"/>
  <mergeCells count="302">
    <mergeCell ref="E273:N273"/>
    <mergeCell ref="I217:J217"/>
    <mergeCell ref="D237:N237"/>
    <mergeCell ref="E252:G252"/>
    <mergeCell ref="E243:N243"/>
    <mergeCell ref="E291:N291"/>
    <mergeCell ref="E297:G297"/>
    <mergeCell ref="E302:G302"/>
    <mergeCell ref="E300:G300"/>
    <mergeCell ref="E301:G301"/>
    <mergeCell ref="E266:G266"/>
    <mergeCell ref="E271:N271"/>
    <mergeCell ref="E274:G274"/>
    <mergeCell ref="E262:N262"/>
    <mergeCell ref="E299:G299"/>
    <mergeCell ref="E298:G298"/>
    <mergeCell ref="E258:G258"/>
    <mergeCell ref="E283:G283"/>
    <mergeCell ref="E289:G289"/>
    <mergeCell ref="E286:G286"/>
    <mergeCell ref="E260:N260"/>
    <mergeCell ref="E288:N288"/>
    <mergeCell ref="E276:G276"/>
    <mergeCell ref="E136:G136"/>
    <mergeCell ref="E162:N162"/>
    <mergeCell ref="E158:G158"/>
    <mergeCell ref="E160:N160"/>
    <mergeCell ref="E154:N154"/>
    <mergeCell ref="E255:G255"/>
    <mergeCell ref="E256:G256"/>
    <mergeCell ref="E257:G257"/>
    <mergeCell ref="E278:G278"/>
    <mergeCell ref="E191:N191"/>
    <mergeCell ref="E188:G188"/>
    <mergeCell ref="E178:N178"/>
    <mergeCell ref="E221:N221"/>
    <mergeCell ref="E230:G230"/>
    <mergeCell ref="E231:G231"/>
    <mergeCell ref="E247:G247"/>
    <mergeCell ref="E187:N187"/>
    <mergeCell ref="E167:G167"/>
    <mergeCell ref="E198:G198"/>
    <mergeCell ref="E147:N147"/>
    <mergeCell ref="E176:G176"/>
    <mergeCell ref="E168:G168"/>
    <mergeCell ref="E183:N183"/>
    <mergeCell ref="E181:G181"/>
    <mergeCell ref="E155:G155"/>
    <mergeCell ref="E367:G367"/>
    <mergeCell ref="E368:G368"/>
    <mergeCell ref="E364:G364"/>
    <mergeCell ref="E366:N366"/>
    <mergeCell ref="E355:G355"/>
    <mergeCell ref="E357:N357"/>
    <mergeCell ref="E358:G358"/>
    <mergeCell ref="E360:N360"/>
    <mergeCell ref="E363:N363"/>
    <mergeCell ref="E361:G361"/>
    <mergeCell ref="E354:N354"/>
    <mergeCell ref="D341:N341"/>
    <mergeCell ref="D343:N343"/>
    <mergeCell ref="E348:N348"/>
    <mergeCell ref="E322:G322"/>
    <mergeCell ref="E323:G323"/>
    <mergeCell ref="E336:N336"/>
    <mergeCell ref="E333:G333"/>
    <mergeCell ref="E332:G332"/>
    <mergeCell ref="E325:G325"/>
    <mergeCell ref="E349:N349"/>
    <mergeCell ref="E351:G351"/>
    <mergeCell ref="E285:G285"/>
    <mergeCell ref="E352:G352"/>
    <mergeCell ref="E346:N346"/>
    <mergeCell ref="E345:L345"/>
    <mergeCell ref="E324:G324"/>
    <mergeCell ref="E326:G326"/>
    <mergeCell ref="D371:N371"/>
    <mergeCell ref="E169:G169"/>
    <mergeCell ref="E67:N67"/>
    <mergeCell ref="E141:G141"/>
    <mergeCell ref="E73:N73"/>
    <mergeCell ref="E87:N87"/>
    <mergeCell ref="E123:N123"/>
    <mergeCell ref="E128:G128"/>
    <mergeCell ref="E125:N125"/>
    <mergeCell ref="E148:G148"/>
    <mergeCell ref="E194:G194"/>
    <mergeCell ref="E89:G89"/>
    <mergeCell ref="E93:G93"/>
    <mergeCell ref="E95:N95"/>
    <mergeCell ref="E90:G90"/>
    <mergeCell ref="E140:G140"/>
    <mergeCell ref="E92:G92"/>
    <mergeCell ref="E97:N97"/>
    <mergeCell ref="E272:N272"/>
    <mergeCell ref="E232:G232"/>
    <mergeCell ref="D235:N235"/>
    <mergeCell ref="E222:N222"/>
    <mergeCell ref="E223:N223"/>
    <mergeCell ref="E4:F4"/>
    <mergeCell ref="G4:H4"/>
    <mergeCell ref="I4:J4"/>
    <mergeCell ref="G2:H2"/>
    <mergeCell ref="E82:N82"/>
    <mergeCell ref="M4:N4"/>
    <mergeCell ref="E43:G43"/>
    <mergeCell ref="I18:J18"/>
    <mergeCell ref="E23:N23"/>
    <mergeCell ref="E16:G16"/>
    <mergeCell ref="M2:N2"/>
    <mergeCell ref="E3:F3"/>
    <mergeCell ref="G3:H3"/>
    <mergeCell ref="I3:J3"/>
    <mergeCell ref="K3:L3"/>
    <mergeCell ref="I2:J2"/>
    <mergeCell ref="K2:L2"/>
    <mergeCell ref="M3:N3"/>
    <mergeCell ref="D51:N51"/>
    <mergeCell ref="E173:N173"/>
    <mergeCell ref="E55:L55"/>
    <mergeCell ref="E56:N56"/>
    <mergeCell ref="D10:N10"/>
    <mergeCell ref="E13:N13"/>
    <mergeCell ref="D8:N8"/>
    <mergeCell ref="E44:G44"/>
    <mergeCell ref="E86:N86"/>
    <mergeCell ref="E39:G39"/>
    <mergeCell ref="E41:N41"/>
    <mergeCell ref="E19:N19"/>
    <mergeCell ref="E20:N20"/>
    <mergeCell ref="E22:N22"/>
    <mergeCell ref="E29:N29"/>
    <mergeCell ref="E74:N74"/>
    <mergeCell ref="D62:N62"/>
    <mergeCell ref="D64:N64"/>
    <mergeCell ref="E75:N75"/>
    <mergeCell ref="D65:N65"/>
    <mergeCell ref="E68:N68"/>
    <mergeCell ref="E71:N71"/>
    <mergeCell ref="E72:N72"/>
    <mergeCell ref="E84:G84"/>
    <mergeCell ref="D66:N66"/>
    <mergeCell ref="E81:N81"/>
    <mergeCell ref="K4:L4"/>
    <mergeCell ref="E37:G37"/>
    <mergeCell ref="B2:D4"/>
    <mergeCell ref="E339:G339"/>
    <mergeCell ref="E313:G313"/>
    <mergeCell ref="E314:G314"/>
    <mergeCell ref="E316:N316"/>
    <mergeCell ref="E317:G317"/>
    <mergeCell ref="E331:G331"/>
    <mergeCell ref="E166:G166"/>
    <mergeCell ref="E164:G164"/>
    <mergeCell ref="E113:N113"/>
    <mergeCell ref="E114:N114"/>
    <mergeCell ref="E145:G145"/>
    <mergeCell ref="E151:N151"/>
    <mergeCell ref="E152:N152"/>
    <mergeCell ref="E121:N121"/>
    <mergeCell ref="E129:G129"/>
    <mergeCell ref="E138:G138"/>
    <mergeCell ref="E157:N157"/>
    <mergeCell ref="D6:N6"/>
    <mergeCell ref="E57:N57"/>
    <mergeCell ref="E59:L59"/>
    <mergeCell ref="E60:M60"/>
    <mergeCell ref="E337:N337"/>
    <mergeCell ref="E338:G338"/>
    <mergeCell ref="E334:G334"/>
    <mergeCell ref="E303:G303"/>
    <mergeCell ref="E294:G294"/>
    <mergeCell ref="E295:G295"/>
    <mergeCell ref="E296:G296"/>
    <mergeCell ref="E282:G282"/>
    <mergeCell ref="E304:G304"/>
    <mergeCell ref="E327:G327"/>
    <mergeCell ref="E328:G328"/>
    <mergeCell ref="E329:G329"/>
    <mergeCell ref="E330:G330"/>
    <mergeCell ref="E309:G309"/>
    <mergeCell ref="E320:N320"/>
    <mergeCell ref="E312:G312"/>
    <mergeCell ref="E310:G310"/>
    <mergeCell ref="E311:G311"/>
    <mergeCell ref="E321:N321"/>
    <mergeCell ref="E306:N306"/>
    <mergeCell ref="E307:N307"/>
    <mergeCell ref="E308:G308"/>
    <mergeCell ref="E319:N319"/>
    <mergeCell ref="E284:G284"/>
    <mergeCell ref="E47:G47"/>
    <mergeCell ref="E48:G48"/>
    <mergeCell ref="E245:N245"/>
    <mergeCell ref="E246:N246"/>
    <mergeCell ref="E142:G142"/>
    <mergeCell ref="E150:N150"/>
    <mergeCell ref="E137:G137"/>
    <mergeCell ref="E275:G275"/>
    <mergeCell ref="D69:N69"/>
    <mergeCell ref="E70:N70"/>
    <mergeCell ref="E184:G184"/>
    <mergeCell ref="E186:N186"/>
    <mergeCell ref="E190:N190"/>
    <mergeCell ref="E261:M261"/>
    <mergeCell ref="E269:G269"/>
    <mergeCell ref="E263:G263"/>
    <mergeCell ref="E264:G264"/>
    <mergeCell ref="E265:G265"/>
    <mergeCell ref="E228:G228"/>
    <mergeCell ref="E224:N224"/>
    <mergeCell ref="E226:G226"/>
    <mergeCell ref="E227:G227"/>
    <mergeCell ref="E229:G229"/>
    <mergeCell ref="E91:G91"/>
    <mergeCell ref="F26:N26"/>
    <mergeCell ref="E30:N30"/>
    <mergeCell ref="E28:M28"/>
    <mergeCell ref="E31:N31"/>
    <mergeCell ref="E36:G36"/>
    <mergeCell ref="E18:H18"/>
    <mergeCell ref="E34:G34"/>
    <mergeCell ref="E46:G46"/>
    <mergeCell ref="F24:N24"/>
    <mergeCell ref="E33:G33"/>
    <mergeCell ref="E35:G35"/>
    <mergeCell ref="E38:G38"/>
    <mergeCell ref="F25:N25"/>
    <mergeCell ref="E45:G45"/>
    <mergeCell ref="F27:N27"/>
    <mergeCell ref="E196:G196"/>
    <mergeCell ref="E161:N161"/>
    <mergeCell ref="E197:G197"/>
    <mergeCell ref="E179:N179"/>
    <mergeCell ref="E180:G180"/>
    <mergeCell ref="E163:G163"/>
    <mergeCell ref="E293:G293"/>
    <mergeCell ref="E292:N292"/>
    <mergeCell ref="E248:G248"/>
    <mergeCell ref="E268:N268"/>
    <mergeCell ref="E195:G195"/>
    <mergeCell ref="E280:N280"/>
    <mergeCell ref="E281:N281"/>
    <mergeCell ref="E277:G277"/>
    <mergeCell ref="D238:N238"/>
    <mergeCell ref="D239:N239"/>
    <mergeCell ref="E249:G249"/>
    <mergeCell ref="E171:N171"/>
    <mergeCell ref="E251:G251"/>
    <mergeCell ref="E253:G253"/>
    <mergeCell ref="E254:G254"/>
    <mergeCell ref="E250:G250"/>
    <mergeCell ref="E241:L241"/>
    <mergeCell ref="E233:G233"/>
    <mergeCell ref="E110:G110"/>
    <mergeCell ref="E242:M242"/>
    <mergeCell ref="E49:G49"/>
    <mergeCell ref="E76:N76"/>
    <mergeCell ref="E80:N80"/>
    <mergeCell ref="E78:N78"/>
    <mergeCell ref="E212:N212"/>
    <mergeCell ref="E213:N213"/>
    <mergeCell ref="E217:H217"/>
    <mergeCell ref="E218:N218"/>
    <mergeCell ref="E215:G215"/>
    <mergeCell ref="E96:N96"/>
    <mergeCell ref="E193:G193"/>
    <mergeCell ref="E100:G100"/>
    <mergeCell ref="E165:G165"/>
    <mergeCell ref="E206:G206"/>
    <mergeCell ref="E208:N208"/>
    <mergeCell ref="E199:G199"/>
    <mergeCell ref="E209:G209"/>
    <mergeCell ref="E211:N211"/>
    <mergeCell ref="E201:N201"/>
    <mergeCell ref="E202:N202"/>
    <mergeCell ref="E205:G205"/>
    <mergeCell ref="E127:G127"/>
    <mergeCell ref="D53:N53"/>
    <mergeCell ref="E203:N203"/>
    <mergeCell ref="E139:G139"/>
    <mergeCell ref="E143:G143"/>
    <mergeCell ref="E144:G144"/>
    <mergeCell ref="E98:G98"/>
    <mergeCell ref="E102:G102"/>
    <mergeCell ref="E99:G99"/>
    <mergeCell ref="E219:N219"/>
    <mergeCell ref="E101:G101"/>
    <mergeCell ref="E104:N104"/>
    <mergeCell ref="E132:N132"/>
    <mergeCell ref="E131:N131"/>
    <mergeCell ref="E133:N133"/>
    <mergeCell ref="E124:N124"/>
    <mergeCell ref="E105:N105"/>
    <mergeCell ref="E107:G107"/>
    <mergeCell ref="E109:N109"/>
    <mergeCell ref="E112:N112"/>
    <mergeCell ref="E116:G116"/>
    <mergeCell ref="E118:N118"/>
    <mergeCell ref="E119:N119"/>
    <mergeCell ref="E120:N120"/>
    <mergeCell ref="E135:G135"/>
  </mergeCells>
  <phoneticPr fontId="35" type="noConversion"/>
  <conditionalFormatting sqref="I128:M128">
    <cfRule type="expression" dxfId="309" priority="46" stopIfTrue="1">
      <formula>ISNUMBER(I129)</formula>
    </cfRule>
  </conditionalFormatting>
  <conditionalFormatting sqref="I364:M364 I351:M352 I358:M358 I355:M355">
    <cfRule type="expression" dxfId="308" priority="37" stopIfTrue="1">
      <formula>$S351</formula>
    </cfRule>
  </conditionalFormatting>
  <conditionalFormatting sqref="I333:M333 I317:M317 I283:M285 E283:G285 I275:M277 E275:G277">
    <cfRule type="expression" dxfId="307" priority="7" stopIfTrue="1">
      <formula>$S275</formula>
    </cfRule>
  </conditionalFormatting>
  <conditionalFormatting sqref="I84:M84 E90:G92 I90:M92 E99:G101 I107:M107 I127:M127 I129:M129 I135:M144 E164:G168 E194:G198 I217 I194:M198 I99:M101 I164:M168 I188:M188 I227:M229">
    <cfRule type="expression" dxfId="306" priority="5" stopIfTrue="1">
      <formula>$S84</formula>
    </cfRule>
  </conditionalFormatting>
  <conditionalFormatting sqref="I34:M34 I36:M37">
    <cfRule type="expression" dxfId="305" priority="4" stopIfTrue="1">
      <formula>$S34</formula>
    </cfRule>
  </conditionalFormatting>
  <conditionalFormatting sqref="E28:M28">
    <cfRule type="expression" dxfId="304" priority="3" stopIfTrue="1">
      <formula>INDEX($AA:$AA,MATCH(MAX(INDIRECT(ADDRESS(1,3)&amp;":"&amp;ADDRESS(ROW(F28),3))),$C:$C,0))</formula>
    </cfRule>
  </conditionalFormatting>
  <conditionalFormatting sqref="M59">
    <cfRule type="expression" dxfId="303" priority="356" stopIfTrue="1">
      <formula>$M$55</formula>
    </cfRule>
  </conditionalFormatting>
  <dataValidations count="4">
    <dataValidation type="list" allowBlank="1" showInputMessage="1" showErrorMessage="1" sqref="I217:J217 I18:J18">
      <formula1>EUconst_AbsRel</formula1>
    </dataValidation>
    <dataValidation type="list" allowBlank="1" showInputMessage="1" showErrorMessage="1" sqref="E194:G198 E164:G168 E90:G92 E275:G277 E283:G285">
      <formula1>CNTR_ConnectionEntityList</formula1>
    </dataValidation>
    <dataValidation type="list" allowBlank="1" showInputMessage="1" showErrorMessage="1" sqref="E99:G101">
      <formula1>CNTR_ConnectionListAndWithinInst</formula1>
    </dataValidation>
    <dataValidation type="list" allowBlank="1" showInputMessage="1" showErrorMessage="1" sqref="M345 M241 M59">
      <formula1>Euconst_TrueFalse</formula1>
    </dataValidation>
  </dataValidations>
  <hyperlinks>
    <hyperlink ref="G2:H2" location="JUMP_TOC_Home" display="Table of contents"/>
    <hyperlink ref="M2:N2" location="JUMP_K_I" display="Summary"/>
    <hyperlink ref="I2:J2" location="JUMP_D_Top" display="Previous sheet"/>
    <hyperlink ref="E3:F3" location="JUMP_E_Top" display="Top of sheet"/>
    <hyperlink ref="D371:N371" location="JUMP_F_Top" display="&lt;&lt;&lt; Click here to proceed to next sheet &gt;&gt;&gt; "/>
    <hyperlink ref="E4:F4" location="JUMP_E_Bottom" display="End of sheet"/>
    <hyperlink ref="K2:L2" location="JUMP_F_Top" display="Next sheet"/>
    <hyperlink ref="G3:H3" location="JUMP_E_I" display="Attribution of Fuels"/>
    <hyperlink ref="I3:J3" location="JUMP_E_II" display="Measurable heat (general)"/>
    <hyperlink ref="M3:N3" location="JUMP_E_III" display="Waste gases"/>
    <hyperlink ref="K3:L3" location="JUMP_E_HeatFinal" display="JUMP_E_HeatFinal"/>
    <hyperlink ref="G4:H4" location="JUMP_E_IV" display="JUMP_E_IV"/>
    <hyperlink ref="E261:M261" location="JUMP_D_IV" display="Information is taken from section D.IV. If relevant, you must ensure that you have entered complete data there."/>
    <hyperlink ref="E28:M28" location="JUMP_D_III" display="For attributing emissions from cogeneration (CHP) to production of heat and electricity, the &quot;CHP tool&quot; in section D.III. has to be used."/>
  </hyperlinks>
  <pageMargins left="0.78740157480314965" right="0.78740157480314965" top="0.78740157480314965" bottom="0.78740157480314965" header="0.51181102362204722" footer="0.51181102362204722"/>
  <pageSetup paperSize="9" scale="61" fitToHeight="10" orientation="portrait" r:id="rId1"/>
  <headerFooter alignWithMargins="0">
    <oddHeader>&amp;L&amp;F; &amp;A&amp;R&amp;D; &amp;T</oddHeader>
    <oddFooter>&amp;C&amp;P / &amp;N</oddFooter>
  </headerFooter>
  <rowBreaks count="5" manualBreakCount="5">
    <brk id="50" min="1" max="13" man="1"/>
    <brk id="110" min="1" max="13" man="1"/>
    <brk id="169" min="1" max="13" man="1"/>
    <brk id="234" min="1" max="13" man="1"/>
    <brk id="340" min="1" max="13" man="1"/>
  </row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
    <tabColor indexed="48"/>
    <pageSetUpPr fitToPage="1"/>
  </sheetPr>
  <dimension ref="A1:AA1911"/>
  <sheetViews>
    <sheetView topLeftCell="B1" zoomScale="115" zoomScaleNormal="115" workbookViewId="0">
      <pane ySplit="5" topLeftCell="A6" activePane="bottomLeft" state="frozen"/>
      <selection activeCell="B2" sqref="B2"/>
      <selection pane="bottomLeft" activeCell="B2" sqref="B2:D4"/>
    </sheetView>
  </sheetViews>
  <sheetFormatPr defaultColWidth="11.42578125" defaultRowHeight="12.75" x14ac:dyDescent="0.2"/>
  <cols>
    <col min="1" max="1" width="5" style="2" hidden="1" customWidth="1"/>
    <col min="2" max="2" width="2.7109375" style="1" customWidth="1"/>
    <col min="3" max="4" width="4.7109375" style="1" customWidth="1"/>
    <col min="5" max="14" width="12.7109375" style="1" customWidth="1"/>
    <col min="15" max="15" width="4.7109375" style="1" customWidth="1"/>
    <col min="16" max="16" width="12.7109375" style="2" hidden="1" customWidth="1"/>
    <col min="17" max="27" width="11.42578125" style="2" hidden="1" customWidth="1"/>
    <col min="28" max="16384" width="11.42578125" style="700"/>
  </cols>
  <sheetData>
    <row r="1" spans="1:27" ht="13.5" hidden="1" thickBot="1" x14ac:dyDescent="0.25">
      <c r="A1" s="2" t="s">
        <v>101</v>
      </c>
      <c r="B1" s="2"/>
      <c r="C1" s="2"/>
      <c r="D1" s="2"/>
      <c r="E1" s="2"/>
      <c r="F1" s="2"/>
      <c r="G1" s="2"/>
      <c r="H1" s="2"/>
      <c r="I1" s="2"/>
      <c r="J1" s="2"/>
      <c r="K1" s="2"/>
      <c r="L1" s="2"/>
      <c r="M1" s="2"/>
      <c r="N1" s="2"/>
      <c r="O1" s="2"/>
      <c r="P1" s="2" t="s">
        <v>101</v>
      </c>
      <c r="Q1" s="2" t="s">
        <v>101</v>
      </c>
      <c r="R1" s="2" t="s">
        <v>101</v>
      </c>
      <c r="S1" s="2" t="s">
        <v>101</v>
      </c>
      <c r="T1" s="2" t="s">
        <v>101</v>
      </c>
      <c r="U1" s="2" t="s">
        <v>101</v>
      </c>
      <c r="V1" s="2" t="s">
        <v>101</v>
      </c>
      <c r="W1" s="2" t="s">
        <v>101</v>
      </c>
      <c r="X1" s="2" t="s">
        <v>101</v>
      </c>
      <c r="Y1" s="2" t="s">
        <v>101</v>
      </c>
      <c r="Z1" s="2" t="s">
        <v>101</v>
      </c>
      <c r="AA1" s="2" t="s">
        <v>101</v>
      </c>
    </row>
    <row r="2" spans="1:27" ht="13.5" thickBot="1" x14ac:dyDescent="0.25">
      <c r="B2" s="1811" t="str">
        <f>Translations!$B$663</f>
        <v>F. Product BM</v>
      </c>
      <c r="C2" s="1812"/>
      <c r="D2" s="1813"/>
      <c r="E2" s="1035" t="str">
        <f>Translations!$B$2</f>
        <v>Obszar nawigacji:</v>
      </c>
      <c r="F2" s="1036"/>
      <c r="G2" s="1558" t="str">
        <f>Translations!$B$18</f>
        <v>Spis treści</v>
      </c>
      <c r="H2" s="1339"/>
      <c r="I2" s="1339" t="str">
        <f>Translations!$B$19</f>
        <v>Poprzedni arkusz</v>
      </c>
      <c r="J2" s="1339"/>
      <c r="K2" s="1339" t="str">
        <f>Translations!$B$3</f>
        <v>Następny arkusz</v>
      </c>
      <c r="L2" s="1339"/>
      <c r="M2" s="1339" t="str">
        <f>Translations!$B$4</f>
        <v>Podsumowanie</v>
      </c>
      <c r="N2" s="1339"/>
      <c r="O2" s="16"/>
      <c r="P2" s="1037"/>
      <c r="Q2" s="1038" t="s">
        <v>481</v>
      </c>
      <c r="R2" s="1039" t="str">
        <f>ADDRESS(ROW($B$6),COLUMN($B$6)) &amp; ":" &amp; ADDRESS(MATCH("PRINT",$P:$P,0),COLUMN($O$6))</f>
        <v>$B$6:$O$251</v>
      </c>
      <c r="S2" s="1037"/>
      <c r="T2" s="1037"/>
      <c r="U2" s="1037"/>
      <c r="V2" s="1037"/>
      <c r="W2" s="1037"/>
      <c r="X2" s="1037"/>
      <c r="Y2" s="1040"/>
      <c r="Z2" s="1040"/>
      <c r="AA2" s="1037"/>
    </row>
    <row r="3" spans="1:27" ht="13.5" thickBot="1" x14ac:dyDescent="0.25">
      <c r="B3" s="1351"/>
      <c r="C3" s="1814"/>
      <c r="D3" s="1815"/>
      <c r="E3" s="1339" t="str">
        <f>Translations!$B$5</f>
        <v>Początek arkusza</v>
      </c>
      <c r="F3" s="1542"/>
      <c r="G3" s="1828" t="str">
        <f>HYPERLINK("#JUMP_F"&amp;P3,IF(INDEX(CNTR_SubInstListIsProdBM,P3),"BM "&amp;P3&amp;": "&amp;INDEX(CNTR_SubInstListNames,P3),IF(CNTR_ExistSubInstEntries,"",EUconst_BM&amp;" "&amp;P3)))</f>
        <v/>
      </c>
      <c r="H3" s="1825"/>
      <c r="I3" s="1825" t="str">
        <f>HYPERLINK("#JUMP_F"&amp;R3,IF(INDEX(CNTR_SubInstListIsProdBM,R3),"BM "&amp;R3&amp;": "&amp;INDEX(CNTR_SubInstListNames,R3),IF(CNTR_ExistSubInstEntries,"",EUconst_BM&amp;" "&amp;R3)))</f>
        <v/>
      </c>
      <c r="J3" s="1825"/>
      <c r="K3" s="1825" t="str">
        <f>HYPERLINK("#JUMP_F"&amp;T3,IF(INDEX(CNTR_SubInstListIsProdBM,T3),"BM "&amp;T3&amp;": "&amp;INDEX(CNTR_SubInstListNames,T3),IF(CNTR_ExistSubInstEntries,"",EUconst_BM&amp;" "&amp;T3)))</f>
        <v/>
      </c>
      <c r="L3" s="1825"/>
      <c r="M3" s="1825" t="str">
        <f>HYPERLINK("#JUMP_F"&amp;V3,IF(INDEX(CNTR_SubInstListIsProdBM,V3),"BM "&amp;V3&amp;": "&amp;INDEX(CNTR_SubInstListNames,V3),IF(CNTR_ExistSubInstEntries,"",EUconst_BM&amp;" "&amp;V3)))</f>
        <v/>
      </c>
      <c r="N3" s="1825"/>
      <c r="O3" s="16"/>
      <c r="P3" s="1822">
        <v>1</v>
      </c>
      <c r="Q3" s="1823"/>
      <c r="R3" s="1821">
        <v>2</v>
      </c>
      <c r="S3" s="1821"/>
      <c r="T3" s="1821">
        <v>3</v>
      </c>
      <c r="U3" s="1821"/>
      <c r="V3" s="1821">
        <v>4</v>
      </c>
      <c r="W3" s="1821"/>
      <c r="X3" s="1037"/>
      <c r="Y3" s="1037"/>
      <c r="Z3" s="1037"/>
      <c r="AA3" s="1037"/>
    </row>
    <row r="4" spans="1:27" ht="13.5" thickBot="1" x14ac:dyDescent="0.25">
      <c r="B4" s="1816"/>
      <c r="C4" s="1817"/>
      <c r="D4" s="1818"/>
      <c r="E4" s="1339" t="str">
        <f>Translations!$B$6</f>
        <v>Koniec arkusza</v>
      </c>
      <c r="F4" s="1339"/>
      <c r="G4" s="1827" t="str">
        <f>HYPERLINK("#JUMP_F"&amp;P4,IF(INDEX(CNTR_SubInstListIsProdBM,P4),"BM "&amp;P4&amp;": "&amp;INDEX(CNTR_SubInstListNames,P4),IF(CNTR_ExistSubInstEntries,"",EUconst_BM&amp;" "&amp;P4)))</f>
        <v/>
      </c>
      <c r="H4" s="1808"/>
      <c r="I4" s="1808" t="str">
        <f>HYPERLINK("#JUMP_F"&amp;R4,IF(INDEX(CNTR_SubInstListIsProdBM,R4),"BM "&amp;R4&amp;": "&amp;INDEX(CNTR_SubInstListNames,R4),IF(CNTR_ExistSubInstEntries,"",EUconst_BM&amp;" "&amp;R4)))</f>
        <v/>
      </c>
      <c r="J4" s="1808"/>
      <c r="K4" s="1808" t="str">
        <f>HYPERLINK("#JUMP_F"&amp;T4,IF(INDEX(CNTR_SubInstListIsProdBM,T4),"BM "&amp;T4&amp;": "&amp;INDEX(CNTR_SubInstListNames,T4),IF(CNTR_ExistSubInstEntries,"",EUconst_BM&amp;" "&amp;T4)))</f>
        <v/>
      </c>
      <c r="L4" s="1808"/>
      <c r="M4" s="1826" t="str">
        <f>HYPERLINK("#JUMP_F"&amp;V4,IF(INDEX(CNTR_SubInstListIsProdBM,V4),"BM "&amp;V4&amp;": "&amp;INDEX(CNTR_SubInstListNames,V4),IF(CNTR_ExistSubInstEntries,"",EUconst_BM&amp;" "&amp;V4)))</f>
        <v/>
      </c>
      <c r="N4" s="1808"/>
      <c r="O4" s="16"/>
      <c r="P4" s="1820">
        <v>5</v>
      </c>
      <c r="Q4" s="1717"/>
      <c r="R4" s="1717">
        <v>6</v>
      </c>
      <c r="S4" s="1717"/>
      <c r="T4" s="1717">
        <v>7</v>
      </c>
      <c r="U4" s="1717"/>
      <c r="V4" s="1717">
        <v>8</v>
      </c>
      <c r="W4" s="1717"/>
      <c r="X4" s="1037"/>
      <c r="Y4" s="1037"/>
      <c r="Z4" s="1037"/>
      <c r="AA4" s="1037"/>
    </row>
    <row r="5" spans="1:27" x14ac:dyDescent="0.2">
      <c r="B5" s="1241"/>
      <c r="C5" s="1241"/>
      <c r="D5" s="1241"/>
      <c r="E5" s="1242"/>
      <c r="F5" s="1242"/>
      <c r="G5" s="1808" t="str">
        <f>HYPERLINK("#JUMP_F"&amp;P5,IF(INDEX(CNTR_SubInstListIsProdBM,P5),"BM "&amp;P5&amp;": "&amp;INDEX(CNTR_SubInstListNames,P5),IF(CNTR_ExistSubInstEntries,"",EUconst_BM&amp;" "&amp;P5)))</f>
        <v/>
      </c>
      <c r="H5" s="1808"/>
      <c r="I5" s="1808" t="str">
        <f>HYPERLINK("#JUMP_F"&amp;R5,IF(INDEX(CNTR_SubInstListIsProdBM,R5),"BM "&amp;R5&amp;": "&amp;INDEX(CNTR_SubInstListNames,R5),IF(CNTR_ExistSubInstEntries,"",EUconst_BM&amp;" "&amp;R5)))</f>
        <v/>
      </c>
      <c r="J5" s="1808"/>
      <c r="K5" s="1807"/>
      <c r="L5" s="1807"/>
      <c r="M5" s="1807"/>
      <c r="N5" s="1807"/>
      <c r="O5" s="16"/>
      <c r="P5" s="1717">
        <v>9</v>
      </c>
      <c r="Q5" s="1717"/>
      <c r="R5" s="1824">
        <v>10</v>
      </c>
      <c r="S5" s="1819"/>
      <c r="T5" s="1824"/>
      <c r="U5" s="1819"/>
      <c r="V5" s="1819"/>
      <c r="W5" s="1819"/>
      <c r="X5" s="1037"/>
      <c r="Y5" s="1037"/>
      <c r="Z5" s="1037"/>
      <c r="AA5" s="1037"/>
    </row>
    <row r="6" spans="1:27" x14ac:dyDescent="0.2">
      <c r="B6" s="207"/>
      <c r="C6" s="1041"/>
      <c r="D6" s="208"/>
      <c r="E6" s="208"/>
      <c r="F6" s="366"/>
      <c r="G6" s="366"/>
      <c r="H6" s="366"/>
      <c r="I6" s="207"/>
      <c r="J6" s="207"/>
      <c r="K6" s="207"/>
      <c r="L6" s="207"/>
      <c r="M6" s="16"/>
      <c r="N6" s="16"/>
      <c r="O6" s="16"/>
      <c r="P6" s="1037"/>
      <c r="Q6" s="1042"/>
      <c r="R6" s="1037"/>
      <c r="S6" s="1037"/>
      <c r="T6" s="1037"/>
      <c r="U6" s="1037"/>
      <c r="V6" s="1037"/>
      <c r="W6" s="1037"/>
      <c r="X6" s="1037"/>
      <c r="Y6" s="1037"/>
      <c r="Z6" s="1037"/>
      <c r="AA6" s="1037"/>
    </row>
    <row r="7" spans="1:27" ht="38.25" customHeight="1" x14ac:dyDescent="0.2">
      <c r="B7" s="207"/>
      <c r="C7" s="9" t="s">
        <v>265</v>
      </c>
      <c r="D7" s="1371" t="str">
        <f>Translations!$B$664</f>
        <v>Arkusz „ProductBM” (Wskaźnik emisyjności dla produktów) – DANE DOTYCZĄCE PODINSTALACJI ODNOSZĄCE SIĘ DO WSKAŹNIKÓW EMISYJNOŚCI DLA PRODUKTÓW</v>
      </c>
      <c r="E7" s="1370"/>
      <c r="F7" s="1370"/>
      <c r="G7" s="1370"/>
      <c r="H7" s="1370"/>
      <c r="I7" s="1370"/>
      <c r="J7" s="1370"/>
      <c r="K7" s="1370"/>
      <c r="L7" s="1370"/>
      <c r="M7" s="1370"/>
      <c r="N7" s="1370"/>
      <c r="O7" s="16"/>
    </row>
    <row r="8" spans="1:27" ht="5.0999999999999996" customHeight="1" x14ac:dyDescent="0.2">
      <c r="B8" s="207"/>
      <c r="C8" s="207"/>
      <c r="D8" s="207"/>
      <c r="E8" s="207"/>
      <c r="F8" s="207"/>
      <c r="G8" s="207"/>
      <c r="H8" s="207"/>
      <c r="I8" s="207"/>
      <c r="J8" s="207"/>
      <c r="K8" s="207"/>
      <c r="L8" s="207"/>
      <c r="M8" s="16"/>
      <c r="N8" s="16"/>
      <c r="O8" s="16"/>
      <c r="P8" s="1043"/>
      <c r="Q8" s="1043"/>
      <c r="R8" s="1043"/>
      <c r="S8" s="1043"/>
      <c r="T8" s="1043"/>
      <c r="U8" s="1043"/>
      <c r="V8" s="1043"/>
      <c r="W8" s="1043"/>
      <c r="X8" s="1043"/>
      <c r="Y8" s="1043"/>
      <c r="Z8" s="1043"/>
      <c r="AA8" s="1043"/>
    </row>
    <row r="9" spans="1:27" ht="12.75" customHeight="1" x14ac:dyDescent="0.2">
      <c r="B9" s="207"/>
      <c r="C9" s="207"/>
      <c r="D9" s="207"/>
      <c r="E9" s="1736" t="str">
        <f>Translations!$B$665</f>
        <v>Powyższy pasek nawigacyjny zawiera wyłącznie łącza do odpowiednich podinstalacji wymienionych w części A.III.1.</v>
      </c>
      <c r="F9" s="1736"/>
      <c r="G9" s="1736"/>
      <c r="H9" s="1736"/>
      <c r="I9" s="1736"/>
      <c r="J9" s="1736"/>
      <c r="K9" s="1736"/>
      <c r="L9" s="1736"/>
      <c r="M9" s="1736"/>
      <c r="N9" s="16"/>
      <c r="O9" s="16"/>
      <c r="P9" s="10" t="s">
        <v>75</v>
      </c>
      <c r="Q9" s="10" t="s">
        <v>75</v>
      </c>
      <c r="R9" s="10" t="s">
        <v>75</v>
      </c>
      <c r="S9" s="10" t="s">
        <v>75</v>
      </c>
      <c r="T9" s="10" t="s">
        <v>75</v>
      </c>
      <c r="U9" s="10" t="s">
        <v>75</v>
      </c>
      <c r="V9" s="10" t="s">
        <v>75</v>
      </c>
      <c r="W9" s="10" t="s">
        <v>75</v>
      </c>
      <c r="X9" s="10" t="s">
        <v>75</v>
      </c>
      <c r="Y9" s="10" t="s">
        <v>75</v>
      </c>
      <c r="Z9" s="10" t="s">
        <v>75</v>
      </c>
      <c r="AA9" s="10" t="s">
        <v>75</v>
      </c>
    </row>
    <row r="10" spans="1:27" ht="13.5" thickBot="1" x14ac:dyDescent="0.25">
      <c r="B10" s="207"/>
      <c r="C10" s="207"/>
      <c r="D10" s="207"/>
      <c r="E10" s="207"/>
      <c r="F10" s="207"/>
      <c r="G10" s="207"/>
      <c r="H10" s="207"/>
      <c r="I10" s="207"/>
      <c r="J10" s="207"/>
      <c r="K10" s="207"/>
      <c r="L10" s="207"/>
      <c r="M10" s="16"/>
      <c r="N10" s="16"/>
      <c r="O10" s="16"/>
      <c r="P10" s="1044" t="s">
        <v>274</v>
      </c>
      <c r="Q10" s="1044" t="s">
        <v>274</v>
      </c>
      <c r="R10" s="1044" t="s">
        <v>274</v>
      </c>
      <c r="S10" s="1044" t="s">
        <v>274</v>
      </c>
      <c r="T10" s="1044" t="s">
        <v>274</v>
      </c>
      <c r="U10" s="1044" t="s">
        <v>274</v>
      </c>
      <c r="V10" s="1044" t="s">
        <v>274</v>
      </c>
      <c r="W10" s="1044" t="s">
        <v>274</v>
      </c>
      <c r="X10" s="1044" t="s">
        <v>274</v>
      </c>
      <c r="Y10" s="1044" t="s">
        <v>274</v>
      </c>
      <c r="Z10" s="1044" t="s">
        <v>274</v>
      </c>
      <c r="AA10" s="1044" t="s">
        <v>274</v>
      </c>
    </row>
    <row r="11" spans="1:27" ht="16.5" thickBot="1" x14ac:dyDescent="0.25">
      <c r="B11" s="207"/>
      <c r="C11" s="1045" t="s">
        <v>407</v>
      </c>
      <c r="D11" s="1384" t="str">
        <f>Translations!$B$666</f>
        <v>Historyczne poziomy działalności oraz zdezagregowane dane szczegółowe dotyczące produkcji</v>
      </c>
      <c r="E11" s="1384"/>
      <c r="F11" s="1384"/>
      <c r="G11" s="1384"/>
      <c r="H11" s="1384"/>
      <c r="I11" s="1384"/>
      <c r="J11" s="1384"/>
      <c r="K11" s="1384"/>
      <c r="L11" s="1384"/>
      <c r="M11" s="1384"/>
      <c r="N11" s="1384"/>
      <c r="O11" s="16"/>
      <c r="P11" s="1046" t="s">
        <v>307</v>
      </c>
      <c r="Q11" s="370"/>
      <c r="R11" s="370"/>
      <c r="S11" s="370"/>
      <c r="T11" s="370"/>
      <c r="U11" s="370"/>
      <c r="V11" s="370"/>
      <c r="W11" s="370"/>
      <c r="X11" s="349" t="s">
        <v>413</v>
      </c>
      <c r="Y11" s="347"/>
      <c r="Z11" s="370"/>
      <c r="AA11" s="348"/>
    </row>
    <row r="12" spans="1:27" ht="5.0999999999999996" customHeight="1" thickBot="1" x14ac:dyDescent="0.25">
      <c r="B12" s="207"/>
      <c r="C12" s="207"/>
      <c r="D12" s="207"/>
      <c r="E12" s="207"/>
      <c r="F12" s="207"/>
      <c r="G12" s="207"/>
      <c r="H12" s="207"/>
      <c r="I12" s="207"/>
      <c r="J12" s="207"/>
      <c r="K12" s="207"/>
      <c r="L12" s="207"/>
      <c r="M12" s="16"/>
      <c r="N12" s="16"/>
      <c r="O12" s="16"/>
      <c r="P12" s="1037"/>
      <c r="R12" s="1037"/>
      <c r="S12" s="1037"/>
    </row>
    <row r="13" spans="1:27" ht="15.75" thickBot="1" x14ac:dyDescent="0.25">
      <c r="B13" s="207"/>
      <c r="C13" s="1047">
        <v>1</v>
      </c>
      <c r="D13" s="1439" t="str">
        <f>EUconst_BMSubinst &amp; ":"</f>
        <v>Podinstalacja i wskaźnik emisyjności dla produktów:</v>
      </c>
      <c r="E13" s="1370"/>
      <c r="F13" s="1370"/>
      <c r="G13" s="1370"/>
      <c r="H13" s="1432"/>
      <c r="I13" s="1781" t="str">
        <f>IF(INDEX(CNTR_SubInstListIsProdBM,$C13),INDEX(CNTR_SubInstListNames,$C13),"")</f>
        <v/>
      </c>
      <c r="J13" s="1666"/>
      <c r="K13" s="1666"/>
      <c r="L13" s="1666"/>
      <c r="M13" s="1666"/>
      <c r="N13" s="1383"/>
      <c r="O13" s="16"/>
      <c r="P13" s="346">
        <f>C13</f>
        <v>1</v>
      </c>
      <c r="Q13" s="1048" t="s">
        <v>234</v>
      </c>
      <c r="R13" s="1049" t="str">
        <f>IF(I13="","",INDEX(CNTR_SubInstStartDate,MATCH($I13,CNTR_SubInstListNames,0)))</f>
        <v/>
      </c>
      <c r="S13" s="1050" t="b">
        <f>IF($I13="",FALSE,AND(I$1885, IF($R13&lt;DATE($L$1882,1,1),YEAR($R13)&lt;=I$1882,YEAR($R13-1)&lt;I$1882) ) )</f>
        <v>0</v>
      </c>
      <c r="T13" s="1050" t="b">
        <f>IF($I13="",FALSE,AND(J$1885, IF($R13&lt;DATE($L$1882,1,1),YEAR($R13)&lt;=J$1882,YEAR($R13-1)&lt;J$1882) ) )</f>
        <v>0</v>
      </c>
      <c r="U13" s="1050" t="b">
        <f>IF($I13="",FALSE,AND(K$1885, IF($R13&lt;DATE($L$1882,1,1),YEAR($R13)&lt;=K$1882,YEAR($R13-1)&lt;K$1882) ) )</f>
        <v>0</v>
      </c>
      <c r="V13" s="1050" t="b">
        <f>IF($I13="",FALSE,AND(L$1885, IF($R13&lt;DATE($L$1882,1,1),YEAR($R13)&lt;=L$1882,YEAR($R13-1)&lt;L$1882) ) )</f>
        <v>0</v>
      </c>
      <c r="W13" s="1050" t="b">
        <f>IF($I13="",FALSE,AND(M$1885, IF($R13&lt;DATE($L$1882,1,1),YEAR($R13)&lt;=M$1882,YEAR($R13-1)&lt;M$1882) ) )</f>
        <v>0</v>
      </c>
      <c r="Z13" s="736" t="s">
        <v>550</v>
      </c>
      <c r="AA13" s="738" t="b">
        <f>AND(CNTR_ExistSubInstEntries,I13="")</f>
        <v>1</v>
      </c>
    </row>
    <row r="14" spans="1:27" x14ac:dyDescent="0.2">
      <c r="B14" s="207"/>
      <c r="C14" s="207"/>
      <c r="D14" s="16"/>
      <c r="E14" s="1408" t="str">
        <f>Translations!$B$512</f>
        <v>Nazwa podinstalacji objętej wskaźnikiem emisyjności dla produktów jest wyświetlana automatycznie na podstawie danych wprowadzonych w arkuszu „A_InstallationData”.</v>
      </c>
      <c r="F14" s="1370"/>
      <c r="G14" s="1370"/>
      <c r="H14" s="1370"/>
      <c r="I14" s="1370"/>
      <c r="J14" s="1370"/>
      <c r="K14" s="1370"/>
      <c r="L14" s="1370"/>
      <c r="M14" s="1370"/>
      <c r="N14" s="1370"/>
      <c r="O14" s="16"/>
      <c r="P14" s="1037"/>
      <c r="R14" s="1037"/>
      <c r="S14" s="1037"/>
    </row>
    <row r="15" spans="1:27" x14ac:dyDescent="0.2">
      <c r="B15" s="207"/>
      <c r="C15" s="207"/>
      <c r="D15" s="16"/>
      <c r="E15" s="1809" t="str">
        <f>Translations!$B$667</f>
        <v>Niniejszy arkusz służy dwóm następującym celom:</v>
      </c>
      <c r="F15" s="1810"/>
      <c r="G15" s="1810"/>
      <c r="H15" s="1810"/>
      <c r="I15" s="1810"/>
      <c r="J15" s="1810"/>
      <c r="K15" s="1810"/>
      <c r="L15" s="1810"/>
      <c r="M15" s="1810"/>
      <c r="N15" s="1810"/>
      <c r="O15" s="16"/>
      <c r="P15" s="1037"/>
      <c r="R15" s="1037"/>
      <c r="S15" s="1037"/>
    </row>
    <row r="16" spans="1:27" ht="25.5" customHeight="1" x14ac:dyDescent="0.2">
      <c r="B16" s="207"/>
      <c r="C16" s="207"/>
      <c r="D16" s="16"/>
      <c r="E16" s="625" t="s">
        <v>408</v>
      </c>
      <c r="F16" s="1809" t="str">
        <f>Translations!$B$668</f>
        <v>zgromadzeniu danych niezbędnych do określenia ilości przydziału bezpłatnych uprawnień podinstalacjom objętym wskaźnikiem emisyjności dla produktów;</v>
      </c>
      <c r="G16" s="1810"/>
      <c r="H16" s="1810"/>
      <c r="I16" s="1810"/>
      <c r="J16" s="1810"/>
      <c r="K16" s="1810"/>
      <c r="L16" s="1810"/>
      <c r="M16" s="1810"/>
      <c r="N16" s="1810"/>
      <c r="O16" s="16"/>
      <c r="P16" s="1037"/>
      <c r="R16" s="1037"/>
      <c r="S16" s="1037"/>
    </row>
    <row r="17" spans="2:27" ht="12.75" customHeight="1" x14ac:dyDescent="0.2">
      <c r="B17" s="207"/>
      <c r="C17" s="207"/>
      <c r="D17" s="16"/>
      <c r="E17" s="625" t="s">
        <v>408</v>
      </c>
      <c r="F17" s="1809" t="str">
        <f>Translations!$B$669</f>
        <v>zgromadzeniu danych niezbędnych do określenia współczynników poprawy wartości wskaźników emisyjności dla produktów.</v>
      </c>
      <c r="G17" s="1810"/>
      <c r="H17" s="1810"/>
      <c r="I17" s="1810"/>
      <c r="J17" s="1810"/>
      <c r="K17" s="1810"/>
      <c r="L17" s="1810"/>
      <c r="M17" s="1810"/>
      <c r="N17" s="1810"/>
      <c r="O17" s="16"/>
      <c r="P17" s="1037"/>
      <c r="R17" s="1037"/>
      <c r="S17" s="1037"/>
    </row>
    <row r="18" spans="2:27" ht="5.0999999999999996" customHeight="1" x14ac:dyDescent="0.2">
      <c r="B18" s="207"/>
      <c r="C18" s="207"/>
      <c r="D18" s="207"/>
      <c r="E18" s="207"/>
      <c r="F18" s="207"/>
      <c r="G18" s="207"/>
      <c r="H18" s="207"/>
      <c r="I18" s="207"/>
      <c r="J18" s="207"/>
      <c r="K18" s="207"/>
      <c r="L18" s="207"/>
      <c r="M18" s="16"/>
      <c r="N18" s="16"/>
      <c r="O18" s="16"/>
      <c r="P18" s="1037"/>
      <c r="R18" s="1037"/>
      <c r="S18" s="1037"/>
    </row>
    <row r="19" spans="2:27" x14ac:dyDescent="0.2">
      <c r="B19" s="207"/>
      <c r="C19" s="207"/>
      <c r="D19" s="14" t="s">
        <v>173</v>
      </c>
      <c r="E19" s="1375" t="str">
        <f>Translations!$B$670</f>
        <v>Historyczne poziomy działalności</v>
      </c>
      <c r="F19" s="1370"/>
      <c r="G19" s="1370"/>
      <c r="H19" s="1370"/>
      <c r="I19" s="1370"/>
      <c r="J19" s="1370"/>
      <c r="K19" s="1370"/>
      <c r="L19" s="1370"/>
      <c r="M19" s="1370"/>
      <c r="N19" s="1370"/>
      <c r="O19" s="16"/>
      <c r="P19" s="1037"/>
      <c r="R19" s="1037"/>
      <c r="S19" s="1037"/>
    </row>
    <row r="20" spans="2:27" x14ac:dyDescent="0.2">
      <c r="B20" s="207"/>
      <c r="C20" s="207"/>
      <c r="D20" s="16"/>
      <c r="E20" s="1408" t="str">
        <f>Translations!$B$671</f>
        <v>W tym punkcie należy podać „główne poziomy działalności”, tj. dane, które są bezpośrednio wykorzystywane do obliczenia przydziału.</v>
      </c>
      <c r="F20" s="1370"/>
      <c r="G20" s="1370"/>
      <c r="H20" s="1370"/>
      <c r="I20" s="1370"/>
      <c r="J20" s="1370"/>
      <c r="K20" s="1370"/>
      <c r="L20" s="1370"/>
      <c r="M20" s="1370"/>
      <c r="N20" s="1370"/>
      <c r="O20" s="16"/>
      <c r="P20" s="1037"/>
      <c r="Q20" s="2" t="b">
        <f ca="1">INDEX($AA:$AA,MATCH(MAX(INDIRECT(ADDRESS(1,3)&amp;":"&amp;ADDRESS(ROW(D14),3))),$C:$C,0))</f>
        <v>1</v>
      </c>
      <c r="R20" s="1037"/>
      <c r="S20" s="1037"/>
    </row>
    <row r="21" spans="2:27" x14ac:dyDescent="0.2">
      <c r="B21" s="207"/>
      <c r="C21" s="207"/>
      <c r="D21" s="16"/>
      <c r="E21" s="1408" t="str">
        <f>Translations!$B$672</f>
        <v xml:space="preserve">Zazwyczaj są to dane dotyczące wytwarzania produktu, np. tony szarego klinkieru cementowego lub tony butli szklanych, jak określono w załączniku I do FAR. </v>
      </c>
      <c r="F21" s="1370"/>
      <c r="G21" s="1370"/>
      <c r="H21" s="1370"/>
      <c r="I21" s="1370"/>
      <c r="J21" s="1370"/>
      <c r="K21" s="1370"/>
      <c r="L21" s="1370"/>
      <c r="M21" s="1370"/>
      <c r="N21" s="1370"/>
      <c r="O21" s="16"/>
      <c r="P21" s="1037"/>
      <c r="R21" s="1037"/>
      <c r="S21" s="1037"/>
    </row>
    <row r="22" spans="2:27" x14ac:dyDescent="0.2">
      <c r="B22" s="207"/>
      <c r="C22" s="207"/>
      <c r="D22" s="16"/>
      <c r="E22" s="1408" t="str">
        <f>Translations!$B$673</f>
        <v>Jeśli jednak w lit. b) pojawia się komunikat, należy użyć odpowiedniego narzędzia do obliczeń. Uzyskane wyniki są automatycznie kopiowane do tabeli w ppkt (ii).</v>
      </c>
      <c r="F22" s="1370"/>
      <c r="G22" s="1370"/>
      <c r="H22" s="1370"/>
      <c r="I22" s="1370"/>
      <c r="J22" s="1370"/>
      <c r="K22" s="1370"/>
      <c r="L22" s="1370"/>
      <c r="M22" s="1370"/>
      <c r="N22" s="1370"/>
      <c r="O22" s="16"/>
      <c r="P22" s="1037"/>
      <c r="R22" s="1037"/>
      <c r="S22" s="1037"/>
      <c r="T22" s="1037"/>
      <c r="U22" s="1037"/>
      <c r="V22" s="1037"/>
      <c r="W22" s="1037"/>
      <c r="Y22" s="422"/>
    </row>
    <row r="23" spans="2:27" ht="38.25" customHeight="1" x14ac:dyDescent="0.2">
      <c r="B23" s="207"/>
      <c r="C23" s="207"/>
      <c r="D23" s="16"/>
      <c r="E23" s="1408" t="str">
        <f>Translations!$B$674</f>
        <v>Na podstawie daty rozpoczęcia normalnej działalności wpisanej w części A.III zostanie automatycznie ustalony fakt, czy podinstalacja ta działała mniej niż rok w okresie odniesienia. W takim przypadku historyczny poziom działalności zostanie ustalony na podstawie pierwszego roku kalendarzowego po rozpoczęciu normalnej działalności, zgodnie z art. 15 ust. 7 akapit trzeci.</v>
      </c>
      <c r="F23" s="1370"/>
      <c r="G23" s="1370"/>
      <c r="H23" s="1370"/>
      <c r="I23" s="1370"/>
      <c r="J23" s="1370"/>
      <c r="K23" s="1370"/>
      <c r="L23" s="1370"/>
      <c r="M23" s="1370"/>
      <c r="N23" s="1370"/>
      <c r="O23" s="16"/>
      <c r="P23" s="1037"/>
      <c r="R23" s="1037"/>
      <c r="S23" s="1037"/>
      <c r="AA23" s="422"/>
    </row>
    <row r="24" spans="2:27" ht="25.5" customHeight="1" thickBot="1" x14ac:dyDescent="0.25">
      <c r="B24" s="207"/>
      <c r="C24" s="207"/>
      <c r="D24" s="16"/>
      <c r="E24" s="1408" t="str">
        <f>Translations!$B$675</f>
        <v>Powiązane wpisy są wymagane w kolumnie dla tego roku, tj. 2019 albo 2020. Ponieważ jednak w momencie przedłożenia krajowych środków wykonawczych roczna produkcja dla tego roku nie będzie znana, wpisów w tym miejscu można dokonać dopiero na późniejszym etapie.</v>
      </c>
      <c r="F24" s="1370"/>
      <c r="G24" s="1370"/>
      <c r="H24" s="1370"/>
      <c r="I24" s="1370"/>
      <c r="J24" s="1370"/>
      <c r="K24" s="1370"/>
      <c r="L24" s="1370"/>
      <c r="M24" s="1370"/>
      <c r="N24" s="1370"/>
      <c r="O24" s="16"/>
      <c r="P24" s="1037"/>
      <c r="R24" s="1037"/>
      <c r="S24" s="1037"/>
      <c r="Y24" s="422" t="s">
        <v>606</v>
      </c>
      <c r="AA24" s="422"/>
    </row>
    <row r="25" spans="2:27" ht="13.5" customHeight="1" thickBot="1" x14ac:dyDescent="0.25">
      <c r="B25" s="20"/>
      <c r="C25" s="20"/>
      <c r="D25" s="14"/>
      <c r="E25" s="1430" t="str">
        <f>Translations!$B$676</f>
        <v>Roczne poziomy działalności:</v>
      </c>
      <c r="F25" s="1430"/>
      <c r="G25" s="1430"/>
      <c r="H25" s="34" t="str">
        <f>EUconst_Unit</f>
        <v>Jednostka</v>
      </c>
      <c r="I25" s="396">
        <f>I$1882</f>
        <v>2014</v>
      </c>
      <c r="J25" s="396">
        <f>J$1882</f>
        <v>2015</v>
      </c>
      <c r="K25" s="396">
        <f>K$1882</f>
        <v>2016</v>
      </c>
      <c r="L25" s="396">
        <f>L$1882</f>
        <v>2017</v>
      </c>
      <c r="M25" s="421">
        <f>M$1882</f>
        <v>2018</v>
      </c>
      <c r="N25" s="888" t="str">
        <f>IF(I13="","",IF(S30,YEAR(R13)+1,""))</f>
        <v/>
      </c>
      <c r="O25" s="16"/>
      <c r="P25" s="1037"/>
      <c r="Q25" s="424" t="s">
        <v>432</v>
      </c>
      <c r="R25" s="276"/>
      <c r="S25" s="276"/>
      <c r="T25" s="276"/>
      <c r="U25" s="276"/>
      <c r="V25" s="276"/>
      <c r="W25" s="277"/>
      <c r="Y25" s="788" t="b">
        <f>IF(CNTR_ExistSubInstEntries,IF(I13&lt;&gt;"",NOT(S30),TRUE),FALSE)</f>
        <v>1</v>
      </c>
      <c r="AA25" s="422" t="s">
        <v>272</v>
      </c>
    </row>
    <row r="26" spans="2:27" ht="13.5" thickBot="1" x14ac:dyDescent="0.25">
      <c r="B26" s="20"/>
      <c r="C26" s="20"/>
      <c r="D26" s="195" t="s">
        <v>2</v>
      </c>
      <c r="E26" s="1801" t="str">
        <f>I13</f>
        <v/>
      </c>
      <c r="F26" s="1801"/>
      <c r="G26" s="1801"/>
      <c r="H26" s="98" t="str">
        <f>IF(INDEX(CNTR_SubInstListIsProdBM,$C13),INDEX(CNTR_SubInstListHALUnit,$C13),EUconst_Tons)</f>
        <v>tony</v>
      </c>
      <c r="I26" s="591"/>
      <c r="J26" s="591"/>
      <c r="K26" s="591"/>
      <c r="L26" s="591"/>
      <c r="M26" s="886"/>
      <c r="N26" s="889"/>
      <c r="O26" s="16"/>
      <c r="P26" s="164" t="s">
        <v>237</v>
      </c>
      <c r="Q26" s="1238" t="s">
        <v>2190</v>
      </c>
      <c r="R26" s="187" t="s">
        <v>437</v>
      </c>
      <c r="S26" s="442">
        <f>I25</f>
        <v>2014</v>
      </c>
      <c r="T26" s="443">
        <f>J25</f>
        <v>2015</v>
      </c>
      <c r="U26" s="443">
        <f>K25</f>
        <v>2016</v>
      </c>
      <c r="V26" s="443">
        <f>L25</f>
        <v>2017</v>
      </c>
      <c r="W26" s="444">
        <f>M25</f>
        <v>2018</v>
      </c>
      <c r="Y26" s="963" t="b">
        <f>IF(CNTR_ExistSubInstEntries,IF(AND(I13&lt;&gt;"",N27=""),NOT(S30),TRUE),FALSE)</f>
        <v>1</v>
      </c>
      <c r="Z26" s="422"/>
      <c r="AA26" s="646" t="b">
        <f>IF(CNTR_ExistSubInstEntries,AND(I13&lt;&gt;"",Q30),FALSE)</f>
        <v>0</v>
      </c>
    </row>
    <row r="27" spans="2:27" ht="13.5" thickBot="1" x14ac:dyDescent="0.25">
      <c r="B27" s="20"/>
      <c r="C27" s="20"/>
      <c r="D27" s="195" t="s">
        <v>3</v>
      </c>
      <c r="E27" s="1801" t="str">
        <f>Translations!$B$677</f>
        <v>Z arkusza „H_SpecialBM”:</v>
      </c>
      <c r="F27" s="1801"/>
      <c r="G27" s="1801"/>
      <c r="H27" s="98" t="str">
        <f>H26</f>
        <v>tony</v>
      </c>
      <c r="I27" s="321" t="str">
        <f>IF($I13="","",IF($Q30,SUMIF(H_SpecialBM!$P$9:$P$384,$P27,H_SpecialBM!I$9:I$384),""))</f>
        <v/>
      </c>
      <c r="J27" s="321" t="str">
        <f>IF($I13="","",IF($Q30,SUMIF(H_SpecialBM!$P$9:$P$384,$P27,H_SpecialBM!J$9:J$384),""))</f>
        <v/>
      </c>
      <c r="K27" s="321" t="str">
        <f>IF($I13="","",IF($Q30,SUMIF(H_SpecialBM!$P$9:$P$384,$P27,H_SpecialBM!K$9:K$384),""))</f>
        <v/>
      </c>
      <c r="L27" s="321" t="str">
        <f>IF($I13="","",IF($Q30,SUMIF(H_SpecialBM!$P$9:$P$384,$P27,H_SpecialBM!L$9:L$384),""))</f>
        <v/>
      </c>
      <c r="M27" s="887" t="str">
        <f>IF($I13="","",IF($Q30,SUMIF(H_SpecialBM!$P$9:$P$384,$P27,H_SpecialBM!M$9:M$384),""))</f>
        <v/>
      </c>
      <c r="N27" s="890" t="str">
        <f>IF($I13="","",IF(AND($Q30,$S30),SUMIF(H_SpecialBM!$P$9:$P$384,$P27,H_SpecialBM!N$9:N$384),""))</f>
        <v/>
      </c>
      <c r="O27" s="16"/>
      <c r="P27" s="1051" t="str">
        <f>EUconst_CNTR_HALspecial&amp;I13</f>
        <v>HALspecial_</v>
      </c>
      <c r="Q27" s="179" t="str">
        <f>IF(COUNT($U27:$V27)&gt;0,SUM($U27:$V27),"")</f>
        <v/>
      </c>
      <c r="R27" s="439" t="str">
        <f>IF(COUNT(S27:W27)&gt;0,AVERAGE(S27:W27),"")</f>
        <v/>
      </c>
      <c r="S27" s="440" t="str">
        <f>IF(S13,IF(ISNUMBER(I27),I27,""),"")</f>
        <v/>
      </c>
      <c r="T27" s="441" t="str">
        <f>IF(T13,IF(ISNUMBER(J27),J27,""),"")</f>
        <v/>
      </c>
      <c r="U27" s="441" t="str">
        <f>IF(U13,IF(ISNUMBER(K27),K27,""),"")</f>
        <v/>
      </c>
      <c r="V27" s="441" t="str">
        <f>IF(V13,IF(ISNUMBER(L27),L27,""),"")</f>
        <v/>
      </c>
      <c r="W27" s="439" t="str">
        <f>IF(W13,IF(ISNUMBER(M27),M27,""),"")</f>
        <v/>
      </c>
      <c r="Y27" s="777" t="b">
        <f>OR(Y25,AA27)</f>
        <v>1</v>
      </c>
      <c r="AA27" s="723" t="b">
        <f>Q30=FALSE</f>
        <v>0</v>
      </c>
    </row>
    <row r="28" spans="2:27" ht="13.5" thickBot="1" x14ac:dyDescent="0.25">
      <c r="B28" s="20"/>
      <c r="C28" s="20"/>
      <c r="D28" s="195" t="s">
        <v>4</v>
      </c>
      <c r="E28" s="1801" t="str">
        <f>Translations!$B$678</f>
        <v>Wartości użyte do obliczenia:</v>
      </c>
      <c r="F28" s="1801"/>
      <c r="G28" s="1801"/>
      <c r="H28" s="98" t="str">
        <f>H27</f>
        <v>tony</v>
      </c>
      <c r="I28" s="321" t="str">
        <f>IF($I13="","",IF($Q30=TRUE,IF(ISNUMBER(I27),I27,0),IF(ISNUMBER(I26),I26,0)))</f>
        <v/>
      </c>
      <c r="J28" s="321" t="str">
        <f>IF($I13="","",IF($Q30=TRUE,IF(ISNUMBER(J27),J27,0),IF(ISNUMBER(J26),J26,0)))</f>
        <v/>
      </c>
      <c r="K28" s="321" t="str">
        <f>IF($I13="","",IF($Q30=TRUE,IF(ISNUMBER(K27),K27,0),IF(ISNUMBER(K26),K26,0)))</f>
        <v/>
      </c>
      <c r="L28" s="321" t="str">
        <f>IF($I13="","",IF($Q30=TRUE,IF(ISNUMBER(L27),L27,0),IF(ISNUMBER(L26),L26,0)))</f>
        <v/>
      </c>
      <c r="M28" s="887" t="str">
        <f>IF($I13="","",IF($Q30=TRUE,IF(ISNUMBER(M27),M27,0),IF(ISNUMBER(M26),M26,0)))</f>
        <v/>
      </c>
      <c r="N28" s="890" t="str">
        <f>IF($I13="","",IF(S30,IF($Q30=TRUE,IF(ISNUMBER(N27),N27,0),IF(ISNUMBER(N26),N26,0)),""))</f>
        <v/>
      </c>
      <c r="O28" s="16"/>
      <c r="P28" s="1051" t="str">
        <f>EUconst_CNTR_HAL&amp;I13</f>
        <v>HAL_</v>
      </c>
      <c r="Q28" s="168" t="str">
        <f>IF(COUNT($U28:$V28)&gt;0,SUM($U28:$V28),"")</f>
        <v/>
      </c>
      <c r="R28" s="120" t="str">
        <f>IF(COUNT(S28:W28)&gt;0,AVERAGE(S28:W28),"")</f>
        <v/>
      </c>
      <c r="S28" s="118" t="str">
        <f>IF(S13,IF(ISNUMBER(I28),I28,""),"")</f>
        <v/>
      </c>
      <c r="T28" s="119" t="str">
        <f>IF(T13,IF(ISNUMBER(J28),J28,""),"")</f>
        <v/>
      </c>
      <c r="U28" s="119" t="str">
        <f>IF(U13,IF(ISNUMBER(K28),K28,""),"")</f>
        <v/>
      </c>
      <c r="V28" s="119" t="str">
        <f>IF(V13,IF(ISNUMBER(L28),L28,""),"")</f>
        <v/>
      </c>
      <c r="W28" s="120" t="str">
        <f>IF(W13,IF(ISNUMBER(M28),M28,""),"")</f>
        <v/>
      </c>
      <c r="Y28" s="168" t="b">
        <f>Y25</f>
        <v>1</v>
      </c>
    </row>
    <row r="29" spans="2:27" ht="5.0999999999999996" customHeight="1" x14ac:dyDescent="0.2">
      <c r="B29" s="207"/>
      <c r="C29" s="207"/>
      <c r="D29" s="207"/>
      <c r="E29" s="207"/>
      <c r="F29" s="207"/>
      <c r="G29" s="207"/>
      <c r="H29" s="207"/>
      <c r="I29" s="207"/>
      <c r="J29" s="207"/>
      <c r="K29" s="207"/>
      <c r="L29" s="207"/>
      <c r="M29" s="16"/>
      <c r="N29" s="16"/>
      <c r="O29" s="16"/>
      <c r="P29" s="1037"/>
      <c r="R29" s="1037"/>
      <c r="S29" s="1037"/>
    </row>
    <row r="30" spans="2:27" ht="25.5" customHeight="1" x14ac:dyDescent="0.2">
      <c r="B30" s="207"/>
      <c r="C30" s="207"/>
      <c r="D30" s="14" t="s">
        <v>353</v>
      </c>
      <c r="E30" s="1375" t="str">
        <f>Translations!$B$679</f>
        <v>Szczególne wymogi w zakresie raportowania:</v>
      </c>
      <c r="F30" s="1375"/>
      <c r="G30" s="1637"/>
      <c r="H30" s="1796" t="str">
        <f>IF(I13="","",HYPERLINK(INDEX(EUconst_BMlistSpecialJumpTable,MATCH(I13,EUconst_BMlistNames,0)),INDEX(EUconst_BMlistSpecialReporting,MATCH(I13,EUconst_BMlistNames,0))))</f>
        <v/>
      </c>
      <c r="I30" s="1802"/>
      <c r="J30" s="1802"/>
      <c r="K30" s="1802"/>
      <c r="L30" s="1802"/>
      <c r="M30" s="1802"/>
      <c r="N30" s="1803"/>
      <c r="O30" s="16"/>
      <c r="P30" s="1048" t="s">
        <v>38</v>
      </c>
      <c r="Q30" s="116" t="str">
        <f>IF(I13="","",IF(AND(INDEX(EUconst_BMlistSpecialJumpTable,MATCH(I13,EUconst_BMlistNames,0))&lt;&gt;"",MATCH(I13,EUconst_BMlistNames,0)&lt;&gt;47),TRUE,FALSE))</f>
        <v/>
      </c>
      <c r="R30" s="1048" t="s">
        <v>598</v>
      </c>
      <c r="S30" s="116" t="b">
        <f>IF(I13="",FALSE,INDEX(CNTR_SubInstLess1Year,MATCH(I13,CNTR_SubInstListNames,0)))</f>
        <v>0</v>
      </c>
    </row>
    <row r="31" spans="2:27" ht="25.5" customHeight="1" x14ac:dyDescent="0.2">
      <c r="B31" s="207"/>
      <c r="C31" s="207"/>
      <c r="D31" s="16"/>
      <c r="E31" s="1408" t="str">
        <f>Translations!$B$680</f>
        <v>Niektóre wskaźniki emisyjności dla produktów wymagają podania szczególnych informacji (np. wartości CWT). W stosownym przypadku w tym miejscu pojawi się automatycznie wygenerowany komunikat.</v>
      </c>
      <c r="F31" s="1370"/>
      <c r="G31" s="1370"/>
      <c r="H31" s="1370"/>
      <c r="I31" s="1370"/>
      <c r="J31" s="1370"/>
      <c r="K31" s="1370"/>
      <c r="L31" s="1370"/>
      <c r="M31" s="1370"/>
      <c r="N31" s="1370"/>
      <c r="O31" s="16"/>
      <c r="P31" s="1037"/>
      <c r="R31" s="1037"/>
      <c r="S31" s="1037"/>
    </row>
    <row r="32" spans="2:27" ht="12.75" customHeight="1" x14ac:dyDescent="0.2">
      <c r="B32" s="207"/>
      <c r="C32" s="207"/>
      <c r="D32" s="207"/>
      <c r="E32" s="207"/>
      <c r="F32" s="207"/>
      <c r="G32" s="207"/>
      <c r="H32" s="207"/>
      <c r="I32" s="207"/>
      <c r="J32" s="207"/>
      <c r="K32" s="207"/>
      <c r="L32" s="207"/>
      <c r="M32" s="207"/>
      <c r="N32" s="207"/>
      <c r="O32" s="16"/>
      <c r="P32" s="1037"/>
      <c r="R32" s="1037"/>
      <c r="S32" s="1037"/>
    </row>
    <row r="33" spans="1:27" ht="15" customHeight="1" x14ac:dyDescent="0.2">
      <c r="B33" s="20"/>
      <c r="C33" s="208"/>
      <c r="D33" s="1439" t="str">
        <f>Translations!$B$681</f>
        <v>Dodatkowe współczynniki korygujące</v>
      </c>
      <c r="E33" s="1370"/>
      <c r="F33" s="1370"/>
      <c r="G33" s="1370"/>
      <c r="H33" s="1370"/>
      <c r="I33" s="1370"/>
      <c r="J33" s="1370"/>
      <c r="K33" s="1370"/>
      <c r="L33" s="1370"/>
      <c r="M33" s="1370"/>
      <c r="N33" s="1370"/>
      <c r="O33" s="16"/>
      <c r="R33" s="1037"/>
      <c r="S33" s="1037"/>
    </row>
    <row r="34" spans="1:27" ht="5.0999999999999996" customHeight="1" x14ac:dyDescent="0.2">
      <c r="B34" s="207"/>
      <c r="C34" s="207"/>
      <c r="D34" s="207"/>
      <c r="E34" s="207"/>
      <c r="F34" s="207"/>
      <c r="G34" s="207"/>
      <c r="H34" s="207"/>
      <c r="I34" s="207"/>
      <c r="J34" s="207"/>
      <c r="K34" s="207"/>
      <c r="L34" s="207"/>
      <c r="M34" s="207"/>
      <c r="N34" s="207"/>
      <c r="O34" s="16"/>
      <c r="P34" s="1037"/>
      <c r="R34" s="1037"/>
      <c r="S34" s="1037"/>
    </row>
    <row r="35" spans="1:27" x14ac:dyDescent="0.2">
      <c r="B35" s="20"/>
      <c r="C35" s="20"/>
      <c r="D35" s="14" t="s">
        <v>11</v>
      </c>
      <c r="E35" s="1375" t="str">
        <f>Translations!$B$682</f>
        <v>Zamienność paliw i energii elektrycznej:</v>
      </c>
      <c r="F35" s="1370"/>
      <c r="G35" s="1370"/>
      <c r="H35" s="1370"/>
      <c r="I35" s="1432"/>
      <c r="J35" s="1796" t="str">
        <f>IF(I13="","",IF(INDEX(EUconst_BMlistElExchangability,MATCH(I13,EUconst_BMlistNames,0))=TRUE,"",HYPERLINK(Q35,EUconst_MsgGoOn)))</f>
        <v/>
      </c>
      <c r="K35" s="1797"/>
      <c r="L35" s="1797"/>
      <c r="M35" s="1797"/>
      <c r="N35" s="1798"/>
      <c r="O35" s="16"/>
      <c r="P35" s="2" t="s">
        <v>199</v>
      </c>
      <c r="Q35" s="346" t="str">
        <f>"#"&amp;ADDRESS(ROW(D46),COLUMN(D46))</f>
        <v>#$D$46</v>
      </c>
      <c r="R35" s="1037"/>
      <c r="S35" s="1037"/>
    </row>
    <row r="36" spans="1:27" ht="25.5" customHeight="1" x14ac:dyDescent="0.2">
      <c r="B36" s="207"/>
      <c r="C36" s="207"/>
      <c r="D36" s="16"/>
      <c r="E36" s="1408" t="str">
        <f>Translations!$B$683</f>
        <v>W stosownym przypadku w tym miejscu pojawi się automatycznie wygenerowany komunikat z prośbą o wprowadzenie danych niezbędnych do uwzględnienia zamienności paliw i energii elektrycznej.</v>
      </c>
      <c r="F36" s="1370"/>
      <c r="G36" s="1370"/>
      <c r="H36" s="1370"/>
      <c r="I36" s="1370"/>
      <c r="J36" s="1370"/>
      <c r="K36" s="1370"/>
      <c r="L36" s="1370"/>
      <c r="M36" s="1370"/>
      <c r="N36" s="1370"/>
      <c r="O36" s="16"/>
      <c r="R36" s="1037"/>
      <c r="S36" s="1037"/>
    </row>
    <row r="37" spans="1:27" ht="12.75" customHeight="1" x14ac:dyDescent="0.2">
      <c r="B37" s="207"/>
      <c r="C37" s="207"/>
      <c r="D37" s="16"/>
      <c r="E37" s="1408" t="str">
        <f>Translations!$B$684</f>
        <v>Zgodnie z art. 22 FAR niezbędne są dane dotyczące „emisji bezpośrednich”, ilości netto „wprowadzanego ciepła” oraz „odpowiedniego zużycia energii elektrycznej”.</v>
      </c>
      <c r="F37" s="1370"/>
      <c r="G37" s="1370"/>
      <c r="H37" s="1370"/>
      <c r="I37" s="1370"/>
      <c r="J37" s="1370"/>
      <c r="K37" s="1370"/>
      <c r="L37" s="1370"/>
      <c r="M37" s="1370"/>
      <c r="N37" s="1370"/>
      <c r="O37" s="16"/>
      <c r="P37" s="1037"/>
      <c r="R37" s="1037"/>
      <c r="S37" s="1037"/>
      <c r="T37" s="1037"/>
      <c r="U37" s="1037"/>
      <c r="V37" s="1037"/>
      <c r="W37" s="1037"/>
      <c r="X37" s="1037"/>
      <c r="Y37" s="422" t="s">
        <v>606</v>
      </c>
    </row>
    <row r="38" spans="1:27" ht="38.25" customHeight="1" thickBot="1" x14ac:dyDescent="0.25">
      <c r="B38" s="207"/>
      <c r="C38" s="207"/>
      <c r="D38" s="16"/>
      <c r="E38" s="1408" t="str">
        <f>Translations!$B$685</f>
        <v>Całkowite emisje bezpośrednie są zazwyczaj identyczne z wartościami podanymi w lit. g) poniżej. W szczególności w przypadku stosowania gazów odlotowych konieczne może być jednak dokonanie dalszych korekt, w związku z czym należy wziąć pod uwagę wskazówki zawarte w lit. g). Ilość netto ciepła wprowadzanego jest automatycznie pobierana z lit. k) poniżej.</v>
      </c>
      <c r="F38" s="1370"/>
      <c r="G38" s="1370"/>
      <c r="H38" s="1370"/>
      <c r="I38" s="1370"/>
      <c r="J38" s="1370"/>
      <c r="K38" s="1370"/>
      <c r="L38" s="1370"/>
      <c r="M38" s="1370"/>
      <c r="N38" s="1370"/>
      <c r="O38" s="16"/>
      <c r="P38" s="1037"/>
      <c r="R38" s="1037"/>
      <c r="S38" s="1037"/>
      <c r="T38" s="1037"/>
      <c r="U38" s="1037"/>
      <c r="V38" s="1037"/>
      <c r="W38" s="1037"/>
      <c r="X38" s="1037"/>
      <c r="Y38" s="422"/>
    </row>
    <row r="39" spans="1:27" s="701" customFormat="1" ht="12.75" customHeight="1" thickBot="1" x14ac:dyDescent="0.25">
      <c r="A39" s="422"/>
      <c r="B39" s="398"/>
      <c r="C39" s="398"/>
      <c r="D39" s="14"/>
      <c r="E39" s="1430" t="str">
        <f>Translations!$B$686</f>
        <v>Parametr</v>
      </c>
      <c r="F39" s="1377"/>
      <c r="G39" s="1377"/>
      <c r="H39" s="34" t="str">
        <f>EUconst_Unit</f>
        <v>Jednostka</v>
      </c>
      <c r="I39" s="396">
        <f>I$66</f>
        <v>2014</v>
      </c>
      <c r="J39" s="396">
        <f>J$66</f>
        <v>2015</v>
      </c>
      <c r="K39" s="396">
        <f>K$66</f>
        <v>2016</v>
      </c>
      <c r="L39" s="396">
        <f>L$66</f>
        <v>2017</v>
      </c>
      <c r="M39" s="421">
        <f>M$66</f>
        <v>2018</v>
      </c>
      <c r="N39" s="888" t="str">
        <f>IF(AA40=FALSE,N25,"")</f>
        <v/>
      </c>
      <c r="O39" s="16"/>
      <c r="P39" s="422"/>
      <c r="Q39" s="422"/>
      <c r="R39" s="1037"/>
      <c r="S39" s="1037"/>
      <c r="T39" s="1037"/>
      <c r="U39" s="1037"/>
      <c r="V39" s="1037"/>
      <c r="W39" s="1037"/>
      <c r="X39" s="1037"/>
      <c r="Y39" s="788" t="b">
        <f>OR(Y25,AA40)</f>
        <v>1</v>
      </c>
      <c r="Z39" s="422"/>
      <c r="AA39" s="1037" t="s">
        <v>381</v>
      </c>
    </row>
    <row r="40" spans="1:27" s="701" customFormat="1" ht="12.75" customHeight="1" thickBot="1" x14ac:dyDescent="0.25">
      <c r="A40" s="422"/>
      <c r="B40" s="398"/>
      <c r="C40" s="398"/>
      <c r="D40" s="425" t="s">
        <v>2</v>
      </c>
      <c r="E40" s="1569" t="str">
        <f>Translations!$B$687</f>
        <v>Emisje bezpośrednie</v>
      </c>
      <c r="F40" s="1569"/>
      <c r="G40" s="1569"/>
      <c r="H40" s="581" t="str">
        <f>EUconst_tCO2pa</f>
        <v>t CO2 / rok</v>
      </c>
      <c r="I40" s="818"/>
      <c r="J40" s="818"/>
      <c r="K40" s="819"/>
      <c r="L40" s="818"/>
      <c r="M40" s="891"/>
      <c r="N40" s="903"/>
      <c r="O40" s="16"/>
      <c r="P40" s="422"/>
      <c r="Q40" s="422"/>
      <c r="R40" s="1037"/>
      <c r="S40" s="1037"/>
      <c r="T40" s="1037"/>
      <c r="U40" s="1037"/>
      <c r="V40" s="1037"/>
      <c r="W40" s="1037"/>
      <c r="X40" s="1037"/>
      <c r="Y40" s="715" t="b">
        <f>Y39</f>
        <v>1</v>
      </c>
      <c r="Z40" s="422"/>
      <c r="AA40" s="788" t="b">
        <f>IF(CNTR_ExistSubInstEntries,IF(I13&lt;&gt;"",IF(INDEX(EUconst_BMlistElExchangability,MATCH(I13,EUconst_BMlistNames,0)),FALSE,TRUE),TRUE),FALSE)</f>
        <v>1</v>
      </c>
    </row>
    <row r="41" spans="1:27" s="701" customFormat="1" ht="12.75" customHeight="1" x14ac:dyDescent="0.2">
      <c r="A41" s="422"/>
      <c r="B41" s="398"/>
      <c r="C41" s="398"/>
      <c r="D41" s="425" t="s">
        <v>3</v>
      </c>
      <c r="E41" s="1482" t="str">
        <f>Translations!$B$688</f>
        <v>Ciepło wprowadzone netto</v>
      </c>
      <c r="F41" s="1482"/>
      <c r="G41" s="1482"/>
      <c r="H41" s="584" t="str">
        <f>EUconst_TJpa</f>
        <v>TJ / rok</v>
      </c>
      <c r="I41" s="585" t="str">
        <f>IF($I13&lt;&gt;"",IF(INDEX(EUconst_BMlistElExchangability,MATCH($I13,EUconst_BMlistNames,0)),SUM(I160),""),"")</f>
        <v/>
      </c>
      <c r="J41" s="585" t="str">
        <f>IF($I13&lt;&gt;"",IF(INDEX(EUconst_BMlistElExchangability,MATCH($I13,EUconst_BMlistNames,0)),SUM(J160),""),"")</f>
        <v/>
      </c>
      <c r="K41" s="585" t="str">
        <f>IF($I13&lt;&gt;"",IF(INDEX(EUconst_BMlistElExchangability,MATCH($I13,EUconst_BMlistNames,0)),SUM(K160),""),"")</f>
        <v/>
      </c>
      <c r="L41" s="585" t="str">
        <f>IF($I13&lt;&gt;"",IF(INDEX(EUconst_BMlistElExchangability,MATCH($I13,EUconst_BMlistNames,0)),SUM(L160),""),"")</f>
        <v/>
      </c>
      <c r="M41" s="892" t="str">
        <f>IF($I13&lt;&gt;"",IF(INDEX(EUconst_BMlistElExchangability,MATCH($I13,EUconst_BMlistNames,0)),SUM(M160),""),"")</f>
        <v/>
      </c>
      <c r="N41" s="904"/>
      <c r="O41" s="16"/>
      <c r="P41" s="422"/>
      <c r="Q41" s="422"/>
      <c r="R41" s="1052"/>
      <c r="S41" s="814">
        <f>I39</f>
        <v>2014</v>
      </c>
      <c r="T41" s="814">
        <f>J39</f>
        <v>2015</v>
      </c>
      <c r="U41" s="814">
        <f>K39</f>
        <v>2016</v>
      </c>
      <c r="V41" s="814">
        <f>L39</f>
        <v>2017</v>
      </c>
      <c r="W41" s="815">
        <f>M39</f>
        <v>2018</v>
      </c>
      <c r="X41" s="422"/>
      <c r="Y41" s="715" t="b">
        <f>Y40</f>
        <v>1</v>
      </c>
      <c r="Z41" s="422"/>
      <c r="AA41" s="715" t="b">
        <f>AA40</f>
        <v>1</v>
      </c>
    </row>
    <row r="42" spans="1:27" s="701" customFormat="1" ht="12.75" customHeight="1" thickBot="1" x14ac:dyDescent="0.25">
      <c r="A42" s="422"/>
      <c r="B42" s="398"/>
      <c r="C42" s="398"/>
      <c r="D42" s="425" t="s">
        <v>4</v>
      </c>
      <c r="E42" s="1799" t="str">
        <f>Translations!$B$689</f>
        <v>Odpowiednie zużycie energii elektrycznej</v>
      </c>
      <c r="F42" s="1800"/>
      <c r="G42" s="1800"/>
      <c r="H42" s="611" t="str">
        <f>EUconst_MWhpa</f>
        <v>MWh / rok</v>
      </c>
      <c r="I42" s="612"/>
      <c r="J42" s="612"/>
      <c r="K42" s="612"/>
      <c r="L42" s="612"/>
      <c r="M42" s="893"/>
      <c r="N42" s="896"/>
      <c r="O42" s="16"/>
      <c r="P42" s="185" t="str">
        <f>EUconst_CNTR_HAL&amp;EUconst_CNTR_ELEXCH</f>
        <v>HAL_ELEXCH_</v>
      </c>
      <c r="Q42" s="185" t="str">
        <f>EUconst_CNTR_HAL&amp;EUconst_CNTR_ELEXCH &amp; I13</f>
        <v>HAL_ELEXCH_</v>
      </c>
      <c r="R42" s="1095" t="str">
        <f>EUconst_CNTR_AttributedEmissions &amp; I13</f>
        <v>AttrEmissions_</v>
      </c>
      <c r="S42" s="119" t="str">
        <f>IF(S13,SUM(I42)*EUconst_ElBM,"")</f>
        <v/>
      </c>
      <c r="T42" s="119" t="str">
        <f>IF(T13,SUM(J42)*EUconst_ElBM,"")</f>
        <v/>
      </c>
      <c r="U42" s="119" t="str">
        <f>IF(U13,SUM(K42)*EUconst_ElBM,"")</f>
        <v/>
      </c>
      <c r="V42" s="119" t="str">
        <f>IF(V13,SUM(L42)*EUconst_ElBM,"")</f>
        <v/>
      </c>
      <c r="W42" s="120" t="str">
        <f>IF(W13,SUM(M42)*EUconst_ElBM,"")</f>
        <v/>
      </c>
      <c r="X42" s="422" t="str">
        <f>N39</f>
        <v/>
      </c>
      <c r="Y42" s="715" t="b">
        <f>Y41</f>
        <v>1</v>
      </c>
      <c r="Z42" s="422"/>
      <c r="AA42" s="715" t="b">
        <f>AA41</f>
        <v>1</v>
      </c>
    </row>
    <row r="43" spans="1:27" s="701" customFormat="1" ht="12.75" customHeight="1" thickBot="1" x14ac:dyDescent="0.25">
      <c r="A43" s="422"/>
      <c r="B43" s="398"/>
      <c r="C43" s="398"/>
      <c r="D43" s="425" t="s">
        <v>6</v>
      </c>
      <c r="E43" s="1569" t="str">
        <f>Translations!$B$690</f>
        <v>Całkowite emisje bezpośrednie</v>
      </c>
      <c r="F43" s="1569"/>
      <c r="G43" s="1569"/>
      <c r="H43" s="581" t="str">
        <f>EUconst_tCO2pa</f>
        <v>t CO2 / rok</v>
      </c>
      <c r="I43" s="582" t="str">
        <f>IF(ISNUMBER(I40),I40+SUM(I41)*EUconst_HeatBMvalue,"")</f>
        <v/>
      </c>
      <c r="J43" s="582" t="str">
        <f>IF(ISNUMBER(J40),J40+SUM(J41)*EUconst_HeatBMvalue,"")</f>
        <v/>
      </c>
      <c r="K43" s="583" t="str">
        <f>IF(ISNUMBER(K40),K40+SUM(K41)*EUconst_HeatBMvalue,"")</f>
        <v/>
      </c>
      <c r="L43" s="582" t="str">
        <f>IF(ISNUMBER(L40),L40+SUM(L41)*EUconst_HeatBMvalue,"")</f>
        <v/>
      </c>
      <c r="M43" s="894" t="str">
        <f>IF(ISNUMBER(M40),M40+SUM(M41)*EUconst_HeatBMvalue,"")</f>
        <v/>
      </c>
      <c r="N43" s="897" t="str">
        <f>IF(AND(S30,ISNUMBER(N40)),N40+SUM(N41)*EUconst_HeatBMvalue,"")</f>
        <v/>
      </c>
      <c r="O43" s="16"/>
      <c r="P43" s="422"/>
      <c r="Q43" s="422"/>
      <c r="R43" s="1048" t="s">
        <v>557</v>
      </c>
      <c r="S43" s="905" t="str">
        <f>IF(S13,IF(ISNUMBER(I43),I43,0),"")</f>
        <v/>
      </c>
      <c r="T43" s="906" t="str">
        <f>IF(T13,IF(ISNUMBER(J43),J43,0),"")</f>
        <v/>
      </c>
      <c r="U43" s="906" t="str">
        <f>IF(U13,IF(ISNUMBER(K43),K43,0),"")</f>
        <v/>
      </c>
      <c r="V43" s="906" t="str">
        <f>IF(V13,IF(ISNUMBER(L43),L43,0),"")</f>
        <v/>
      </c>
      <c r="W43" s="907" t="str">
        <f>IF(W13,IF(ISNUMBER(M43),M43,0),"")</f>
        <v/>
      </c>
      <c r="X43" s="911" t="str">
        <f>IF(S30,IF(ISNUMBER(N43),N43,0),"")</f>
        <v/>
      </c>
      <c r="Y43" s="715" t="b">
        <f>Y42</f>
        <v>1</v>
      </c>
      <c r="Z43" s="422"/>
      <c r="AA43" s="715" t="b">
        <f>AA42</f>
        <v>1</v>
      </c>
    </row>
    <row r="44" spans="1:27" s="701" customFormat="1" ht="13.5" thickBot="1" x14ac:dyDescent="0.25">
      <c r="A44" s="422"/>
      <c r="B44" s="398"/>
      <c r="C44" s="398"/>
      <c r="D44" s="425" t="s">
        <v>316</v>
      </c>
      <c r="E44" s="1493" t="str">
        <f>Translations!$B$691</f>
        <v>Emisje pośrednie</v>
      </c>
      <c r="F44" s="1493"/>
      <c r="G44" s="1493"/>
      <c r="H44" s="586" t="str">
        <f>EUconst_tCO2pa</f>
        <v>t CO2 / rok</v>
      </c>
      <c r="I44" s="587" t="str">
        <f t="shared" ref="I44:N44" si="0">IF(ISNUMBER(I42),I42*EUconst_ElBM,"")</f>
        <v/>
      </c>
      <c r="J44" s="587" t="str">
        <f t="shared" si="0"/>
        <v/>
      </c>
      <c r="K44" s="588" t="str">
        <f t="shared" si="0"/>
        <v/>
      </c>
      <c r="L44" s="587" t="str">
        <f t="shared" si="0"/>
        <v/>
      </c>
      <c r="M44" s="895" t="str">
        <f t="shared" si="0"/>
        <v/>
      </c>
      <c r="N44" s="898" t="str">
        <f t="shared" si="0"/>
        <v/>
      </c>
      <c r="O44" s="16"/>
      <c r="P44" s="912" t="str">
        <f>EUconst_CNTR_ELEXCH &amp; I13</f>
        <v>ELEXCH_</v>
      </c>
      <c r="Q44" s="913" t="str">
        <f>IF(SUM(S44:X44)&lt;&gt;0,SUM(S43:X43)/SUM(S44:X44),EUconst_NA)</f>
        <v>Nie dotyczy</v>
      </c>
      <c r="R44" s="1048" t="s">
        <v>326</v>
      </c>
      <c r="S44" s="908" t="str">
        <f>IF(S13,IF(COUNT(I43:I44)&gt;0,SUM(I43:I44),0),"")</f>
        <v/>
      </c>
      <c r="T44" s="909" t="str">
        <f>IF(T13,IF(COUNT(J43:J44)&gt;0,SUM(J43:J44),0),"")</f>
        <v/>
      </c>
      <c r="U44" s="909" t="str">
        <f>IF(U13,IF(COUNT(K43:K44)&gt;0,SUM(K43:K44),0),"")</f>
        <v/>
      </c>
      <c r="V44" s="909" t="str">
        <f>IF(V13,IF(COUNT(L43:L44)&gt;0,SUM(L43:L44),0),"")</f>
        <v/>
      </c>
      <c r="W44" s="910" t="str">
        <f>IF(W13,IF(COUNT(M43:M44)&gt;0,SUM(M43:M44),0),"")</f>
        <v/>
      </c>
      <c r="X44" s="716" t="str">
        <f>IF(S30,IF(COUNT(N43:N44)&gt;0,SUM(N43:N44),0),"")</f>
        <v/>
      </c>
      <c r="Y44" s="716" t="b">
        <f>Y43</f>
        <v>1</v>
      </c>
      <c r="Z44" s="422"/>
      <c r="AA44" s="716" t="b">
        <f>AA43</f>
        <v>1</v>
      </c>
    </row>
    <row r="45" spans="1:27" ht="5.0999999999999996" customHeight="1" x14ac:dyDescent="0.2">
      <c r="B45" s="207"/>
      <c r="C45" s="207"/>
      <c r="D45" s="207"/>
      <c r="E45" s="207"/>
      <c r="F45" s="207"/>
      <c r="G45" s="207"/>
      <c r="H45" s="207"/>
      <c r="I45" s="207"/>
      <c r="J45" s="207"/>
      <c r="K45" s="207"/>
      <c r="L45" s="207"/>
      <c r="M45" s="16"/>
      <c r="N45" s="16"/>
      <c r="O45" s="16"/>
      <c r="P45" s="1037"/>
      <c r="X45" s="422"/>
    </row>
    <row r="46" spans="1:27" ht="25.5" customHeight="1" x14ac:dyDescent="0.2">
      <c r="B46" s="207"/>
      <c r="C46" s="207"/>
      <c r="D46" s="14" t="s">
        <v>356</v>
      </c>
      <c r="E46" s="1375" t="str">
        <f>Translations!$B$692</f>
        <v>Ciepło wprowadzone z instalacji lub od podmiotów nieobjętych EU ETS:</v>
      </c>
      <c r="F46" s="1375"/>
      <c r="G46" s="1375"/>
      <c r="H46" s="1375"/>
      <c r="I46" s="1637"/>
      <c r="J46" s="1796" t="str">
        <f>IF(I13="","",HYPERLINK(Q46,EUconst_MsgGoOnIfNotRelevant))</f>
        <v/>
      </c>
      <c r="K46" s="1797"/>
      <c r="L46" s="1797"/>
      <c r="M46" s="1797"/>
      <c r="N46" s="1798"/>
      <c r="O46" s="16"/>
      <c r="P46" s="2" t="s">
        <v>199</v>
      </c>
      <c r="Q46" s="346" t="str">
        <f>"#"&amp;ADDRESS(ROW(D56),COLUMN(D56))</f>
        <v>#$D$56</v>
      </c>
      <c r="X46" s="422"/>
    </row>
    <row r="47" spans="1:27" x14ac:dyDescent="0.2">
      <c r="B47" s="207"/>
      <c r="C47" s="207"/>
      <c r="D47" s="16"/>
      <c r="E47" s="1408" t="str">
        <f>Translations!$B$693</f>
        <v>Zgodnie z art. 21 FAR należy odjąć ilość emisji od wstępnej rocznej liczby uprawnień do emisji przydzielanych dla podinstalacji objętych wskaźnikiem emisyjności dla produktów.</v>
      </c>
      <c r="F47" s="1370"/>
      <c r="G47" s="1370"/>
      <c r="H47" s="1370"/>
      <c r="I47" s="1370"/>
      <c r="J47" s="1370"/>
      <c r="K47" s="1370"/>
      <c r="L47" s="1370"/>
      <c r="M47" s="1370"/>
      <c r="N47" s="1370"/>
      <c r="O47" s="16"/>
      <c r="P47" s="1037"/>
      <c r="R47" s="1037"/>
      <c r="S47" s="1037"/>
    </row>
    <row r="48" spans="1:27" ht="25.5" customHeight="1" x14ac:dyDescent="0.2">
      <c r="B48" s="207"/>
      <c r="C48" s="207"/>
      <c r="D48" s="16"/>
      <c r="E48" s="1408" t="str">
        <f>Translations!$B$694</f>
        <v>Jest to ilość mierzalnego ciepła wprowadzonego z instalacji (w tym wszelkiego ciepła z podinstalacji wytwarzających kwas azotowy) lub od podmiotów nieobjętych EU ETS, pomnożona przez wskaźnik emisyjności oparty na cieple.</v>
      </c>
      <c r="F48" s="1370"/>
      <c r="G48" s="1370"/>
      <c r="H48" s="1370"/>
      <c r="I48" s="1370"/>
      <c r="J48" s="1370"/>
      <c r="K48" s="1370"/>
      <c r="L48" s="1370"/>
      <c r="M48" s="1370"/>
      <c r="N48" s="1370"/>
      <c r="O48" s="16"/>
      <c r="P48" s="1037"/>
      <c r="R48" s="1037"/>
      <c r="S48" s="1037"/>
    </row>
    <row r="49" spans="2:27" ht="25.5" customHeight="1" x14ac:dyDescent="0.2">
      <c r="B49" s="207"/>
      <c r="C49" s="207"/>
      <c r="D49" s="16"/>
      <c r="E49" s="1408" t="str">
        <f>Translations!$B$695</f>
        <v>Proszę w tym miejscu podać odpowiednie wartości. Wartości te powinny być zgodne z sumami częściowymi wprowadzania z instalacji i od podmiotów nieobjętych EU ETS w części E.II lit. c) w arkuszu „E_Energy flows”.</v>
      </c>
      <c r="F49" s="1370"/>
      <c r="G49" s="1370"/>
      <c r="H49" s="1370"/>
      <c r="I49" s="1370"/>
      <c r="J49" s="1370"/>
      <c r="K49" s="1370"/>
      <c r="L49" s="1370"/>
      <c r="M49" s="1370"/>
      <c r="N49" s="1370"/>
      <c r="O49" s="16"/>
      <c r="P49" s="1037"/>
      <c r="R49" s="1037"/>
      <c r="S49" s="1037"/>
    </row>
    <row r="50" spans="2:27" ht="13.5" thickBot="1" x14ac:dyDescent="0.25">
      <c r="B50" s="207"/>
      <c r="C50" s="207"/>
      <c r="D50" s="16"/>
      <c r="E50" s="1408" t="str">
        <f>Translations!$B$696</f>
        <v>Dane te muszą być również zgodne z sumą wprowadzonego mierzalnego ciepła netto podaną w lit. k) ppkt (i) poniżej.</v>
      </c>
      <c r="F50" s="1370"/>
      <c r="G50" s="1370"/>
      <c r="H50" s="1370"/>
      <c r="I50" s="1370"/>
      <c r="J50" s="1370"/>
      <c r="K50" s="1370"/>
      <c r="L50" s="1370"/>
      <c r="M50" s="1370"/>
      <c r="N50" s="1370"/>
      <c r="O50" s="16"/>
      <c r="P50" s="1037"/>
      <c r="R50" s="1037"/>
      <c r="S50" s="1037"/>
      <c r="Y50" s="422" t="s">
        <v>606</v>
      </c>
    </row>
    <row r="51" spans="2:27" ht="12.75" customHeight="1" thickBot="1" x14ac:dyDescent="0.25">
      <c r="B51" s="20"/>
      <c r="C51" s="20"/>
      <c r="D51" s="14"/>
      <c r="E51" s="1430" t="str">
        <f>Translations!$B$686</f>
        <v>Parametr</v>
      </c>
      <c r="F51" s="1377"/>
      <c r="G51" s="1377"/>
      <c r="H51" s="34" t="str">
        <f>EUconst_Unit</f>
        <v>Jednostka</v>
      </c>
      <c r="I51" s="396">
        <f>I$66</f>
        <v>2014</v>
      </c>
      <c r="J51" s="396">
        <f>J$66</f>
        <v>2015</v>
      </c>
      <c r="K51" s="396">
        <f>K$66</f>
        <v>2016</v>
      </c>
      <c r="L51" s="396">
        <f>L$66</f>
        <v>2017</v>
      </c>
      <c r="M51" s="421">
        <f>M$66</f>
        <v>2018</v>
      </c>
      <c r="N51" s="888" t="str">
        <f>N39</f>
        <v/>
      </c>
      <c r="O51" s="16"/>
      <c r="Q51" s="45"/>
      <c r="R51" s="1037"/>
      <c r="S51" s="45">
        <f t="shared" ref="S51:X51" si="1">I51</f>
        <v>2014</v>
      </c>
      <c r="T51" s="45">
        <f t="shared" si="1"/>
        <v>2015</v>
      </c>
      <c r="U51" s="45">
        <f t="shared" si="1"/>
        <v>2016</v>
      </c>
      <c r="V51" s="45">
        <f t="shared" si="1"/>
        <v>2017</v>
      </c>
      <c r="W51" s="45">
        <f t="shared" si="1"/>
        <v>2018</v>
      </c>
      <c r="X51" s="422" t="str">
        <f t="shared" si="1"/>
        <v/>
      </c>
      <c r="Y51" s="749" t="b">
        <f>Y25</f>
        <v>1</v>
      </c>
      <c r="Z51" s="45"/>
      <c r="AA51" s="422" t="s">
        <v>272</v>
      </c>
    </row>
    <row r="52" spans="2:27" ht="25.5" customHeight="1" thickBot="1" x14ac:dyDescent="0.25">
      <c r="B52" s="20"/>
      <c r="C52" s="20"/>
      <c r="D52" s="195" t="s">
        <v>2</v>
      </c>
      <c r="E52" s="1612" t="str">
        <f>Translations!$B$697</f>
        <v>Mierzalne ciepło wprowadzone z instalacji lub od podmiotów nieobjętych EU ETS:</v>
      </c>
      <c r="F52" s="1612"/>
      <c r="G52" s="1612"/>
      <c r="H52" s="48" t="str">
        <f>EUconst_TJpa</f>
        <v>TJ / rok</v>
      </c>
      <c r="I52" s="313"/>
      <c r="J52" s="313"/>
      <c r="K52" s="313"/>
      <c r="L52" s="313"/>
      <c r="M52" s="899"/>
      <c r="N52" s="902"/>
      <c r="O52" s="16"/>
      <c r="P52" s="116" t="str">
        <f>EUconst_CNTR_HAL&amp;EUconst_CNTR_nonETSMeasHeat</f>
        <v>HAL_mierzalne ciepło nieobjęte systemem EU ETS</v>
      </c>
      <c r="R52" s="1037"/>
      <c r="S52" s="442" t="str">
        <f>IF(S13,IF(ISNUMBER(I52),I52,0),"")</f>
        <v/>
      </c>
      <c r="T52" s="443" t="str">
        <f>IF(T13,IF(ISNUMBER(J52),J52,0),"")</f>
        <v/>
      </c>
      <c r="U52" s="443" t="str">
        <f>IF(U13,IF(ISNUMBER(K52),K52,0),"")</f>
        <v/>
      </c>
      <c r="V52" s="443" t="str">
        <f>IF(V13,IF(ISNUMBER(L52),L52,0),"")</f>
        <v/>
      </c>
      <c r="W52" s="444" t="str">
        <f>IF(W13,IF(ISNUMBER(M52),M52,0),"")</f>
        <v/>
      </c>
      <c r="X52" s="151" t="str">
        <f>IF(S30,IF(ISNUMBER(N52),N52,0),"")</f>
        <v/>
      </c>
      <c r="Y52" s="716" t="b">
        <f>Y51</f>
        <v>1</v>
      </c>
      <c r="AA52" s="646" t="b">
        <f>AND(CNTR_ExistSubInstEntries,I13="")</f>
        <v>1</v>
      </c>
    </row>
    <row r="53" spans="2:27" ht="25.5" customHeight="1" thickBot="1" x14ac:dyDescent="0.25">
      <c r="B53" s="20"/>
      <c r="C53" s="20"/>
      <c r="D53" s="195" t="s">
        <v>3</v>
      </c>
      <c r="E53" s="1618" t="str">
        <f>Translations!$B$698</f>
        <v>Weryfikacja spójności z arkuszem „E_Energy flows”:</v>
      </c>
      <c r="F53" s="1618"/>
      <c r="G53" s="1618"/>
      <c r="H53" s="27" t="s">
        <v>409</v>
      </c>
      <c r="I53" s="304" t="str">
        <f>IF(AND(ISNUMBER(I52),ISNUMBER(E_EnergyFlows!I$102)), I52/E_EnergyFlows!I$102*100,"")</f>
        <v/>
      </c>
      <c r="J53" s="304" t="str">
        <f>IF(AND(ISNUMBER(J52),ISNUMBER(E_EnergyFlows!J$102)), J52/E_EnergyFlows!J$102*100,"")</f>
        <v/>
      </c>
      <c r="K53" s="304" t="str">
        <f>IF(AND(ISNUMBER(K52),ISNUMBER(E_EnergyFlows!K$102)), K52/E_EnergyFlows!K$102*100,"")</f>
        <v/>
      </c>
      <c r="L53" s="304" t="str">
        <f>IF(AND(ISNUMBER(L52),ISNUMBER(E_EnergyFlows!L$102)), L52/E_EnergyFlows!L$102*100,"")</f>
        <v/>
      </c>
      <c r="M53" s="900" t="str">
        <f>IF(AND(ISNUMBER(M52),ISNUMBER(E_EnergyFlows!M$102)), M52/E_EnergyFlows!M$102*100,"")</f>
        <v/>
      </c>
      <c r="N53" s="147"/>
      <c r="O53" s="16"/>
      <c r="P53" s="164" t="str">
        <f>EUconst_CNTR_HEAT &amp; I13</f>
        <v>HEAT_</v>
      </c>
      <c r="Q53" s="302" t="str">
        <f>IF(COUNT(S52:X52)&gt;0,AVERAGE(S52:X52)*EUconst_HeatBMvalue,EUconst_NA)</f>
        <v>Nie dotyczy</v>
      </c>
      <c r="R53" s="1037"/>
      <c r="S53" s="1037"/>
      <c r="AA53" s="608"/>
    </row>
    <row r="54" spans="2:27" x14ac:dyDescent="0.2">
      <c r="B54" s="20"/>
      <c r="C54" s="20"/>
      <c r="D54" s="195" t="s">
        <v>4</v>
      </c>
      <c r="E54" s="1493" t="str">
        <f>Translations!$B$699</f>
        <v>Weryfikacja spójności z lit. k) ppkt (i):</v>
      </c>
      <c r="F54" s="1615"/>
      <c r="G54" s="1615"/>
      <c r="H54" s="30" t="s">
        <v>409</v>
      </c>
      <c r="I54" s="303" t="str">
        <f>IF(AND(I160&gt;0,ISNUMBER(I52)), I52/I160*100,"")</f>
        <v/>
      </c>
      <c r="J54" s="303" t="str">
        <f>IF(AND(J160&gt;0,ISNUMBER(J52)), J52/J160*100,"")</f>
        <v/>
      </c>
      <c r="K54" s="303" t="str">
        <f>IF(AND(K160&gt;0,ISNUMBER(K52)), K52/K160*100,"")</f>
        <v/>
      </c>
      <c r="L54" s="303" t="str">
        <f>IF(AND(L160&gt;0,ISNUMBER(L52)), L52/L160*100,"")</f>
        <v/>
      </c>
      <c r="M54" s="901" t="str">
        <f>IF(AND(M160&gt;0,ISNUMBER(M52)), M52/M160*100,"")</f>
        <v/>
      </c>
      <c r="N54" s="147"/>
      <c r="O54" s="16"/>
      <c r="R54" s="1037"/>
      <c r="S54" s="1037"/>
      <c r="AA54" s="608"/>
    </row>
    <row r="55" spans="2:27" ht="12.75" customHeight="1" x14ac:dyDescent="0.2">
      <c r="B55" s="20"/>
      <c r="C55" s="20"/>
      <c r="D55" s="20"/>
      <c r="E55" s="20"/>
      <c r="F55" s="20"/>
      <c r="G55" s="20"/>
      <c r="H55" s="20"/>
      <c r="I55" s="107"/>
      <c r="J55" s="20"/>
      <c r="K55" s="20"/>
      <c r="L55" s="20"/>
      <c r="M55" s="20"/>
      <c r="N55" s="20"/>
      <c r="O55" s="16"/>
      <c r="P55" s="139"/>
      <c r="R55" s="1037"/>
      <c r="S55" s="1037"/>
      <c r="AA55" s="608"/>
    </row>
    <row r="56" spans="2:27" ht="15" x14ac:dyDescent="0.2">
      <c r="B56" s="20"/>
      <c r="C56" s="1054"/>
      <c r="D56" s="1439" t="str">
        <f>Translations!$B$700</f>
        <v>Szczegółowe dane dotyczące produkcji</v>
      </c>
      <c r="E56" s="1370"/>
      <c r="F56" s="1370"/>
      <c r="G56" s="1370"/>
      <c r="H56" s="1370"/>
      <c r="I56" s="1370"/>
      <c r="J56" s="1370"/>
      <c r="K56" s="1370"/>
      <c r="L56" s="1370"/>
      <c r="M56" s="1370"/>
      <c r="N56" s="1370"/>
      <c r="O56" s="16"/>
      <c r="R56" s="1037"/>
      <c r="S56" s="1037"/>
      <c r="AA56" s="608"/>
    </row>
    <row r="57" spans="2:27" ht="5.0999999999999996" customHeight="1" x14ac:dyDescent="0.2">
      <c r="B57" s="207"/>
      <c r="C57" s="207"/>
      <c r="D57" s="207"/>
      <c r="E57" s="207"/>
      <c r="F57" s="207"/>
      <c r="G57" s="207"/>
      <c r="H57" s="207"/>
      <c r="I57" s="207"/>
      <c r="J57" s="207"/>
      <c r="K57" s="207"/>
      <c r="L57" s="207"/>
      <c r="M57" s="207"/>
      <c r="N57" s="207"/>
      <c r="O57" s="16"/>
      <c r="P57" s="1037"/>
      <c r="Q57" s="1037"/>
      <c r="R57" s="1037"/>
      <c r="S57" s="1037"/>
      <c r="AA57" s="608"/>
    </row>
    <row r="58" spans="2:27" ht="12.75" customHeight="1" x14ac:dyDescent="0.2">
      <c r="B58" s="207"/>
      <c r="C58" s="14"/>
      <c r="D58" s="14" t="s">
        <v>12</v>
      </c>
      <c r="E58" s="1375" t="str">
        <f>Translations!$B$701</f>
        <v>Identyfikacja produktów wchodzących w zakres tej podinstalacji objętej wskaźnikiem emisyjności dla produktów</v>
      </c>
      <c r="F58" s="1370"/>
      <c r="G58" s="1370"/>
      <c r="H58" s="1370"/>
      <c r="I58" s="1370"/>
      <c r="J58" s="1370"/>
      <c r="K58" s="1370"/>
      <c r="L58" s="1370"/>
      <c r="M58" s="1370"/>
      <c r="N58" s="1370"/>
      <c r="O58" s="16"/>
      <c r="P58" s="1037"/>
      <c r="R58" s="1037"/>
      <c r="S58" s="1037"/>
      <c r="AA58" s="608"/>
    </row>
    <row r="59" spans="2:27" ht="38.25" customHeight="1" x14ac:dyDescent="0.2">
      <c r="B59" s="207"/>
      <c r="C59" s="16"/>
      <c r="D59" s="16"/>
      <c r="E59" s="1408" t="str">
        <f>Translations!$B$702</f>
        <v>Wskaźnik emisyjności dla produktów może obejmować kilka podobnych produktów (lub grup produktów). W niektórych przypadkach do celów przydziału uprawnień mogą mieć znaczenie produkty pośrednie. W tym miejscu należy określić odpowiednie produkty w celu umożliwienia właściwemu organowi sprawdzenia, czy są przestrzegane granice określone dla tego wskaźnika emisyjności dla produktów.</v>
      </c>
      <c r="F59" s="1370"/>
      <c r="G59" s="1370"/>
      <c r="H59" s="1370"/>
      <c r="I59" s="1370"/>
      <c r="J59" s="1370"/>
      <c r="K59" s="1370"/>
      <c r="L59" s="1370"/>
      <c r="M59" s="1370"/>
      <c r="N59" s="1370"/>
      <c r="O59" s="16"/>
      <c r="P59" s="1037"/>
      <c r="R59" s="1037"/>
      <c r="S59" s="1037"/>
      <c r="AA59" s="608"/>
    </row>
    <row r="60" spans="2:27" ht="25.5" customHeight="1" x14ac:dyDescent="0.2">
      <c r="B60" s="207"/>
      <c r="C60" s="16"/>
      <c r="D60" s="16"/>
      <c r="E60" s="1408" t="str">
        <f>Translations!$B$703</f>
        <v>Kody PRODCOM należy wpisywać w formacie „nnnnnnnn”, tj. bez kropek ani innych separatorów. Tylko w przypadku, gdy kody PRODCOM nie są dostępne, należy podać co najmniej 4-cyfrowy kod NACE w formacie „nnnn”.</v>
      </c>
      <c r="F60" s="1370"/>
      <c r="G60" s="1370"/>
      <c r="H60" s="1370"/>
      <c r="I60" s="1370"/>
      <c r="J60" s="1370"/>
      <c r="K60" s="1370"/>
      <c r="L60" s="1370"/>
      <c r="M60" s="1370"/>
      <c r="N60" s="1370"/>
      <c r="O60" s="16"/>
      <c r="P60" s="1037"/>
      <c r="R60" s="1037"/>
      <c r="S60" s="1037"/>
      <c r="AA60" s="608"/>
    </row>
    <row r="61" spans="2:27" x14ac:dyDescent="0.2">
      <c r="B61" s="207"/>
      <c r="C61" s="16"/>
      <c r="D61" s="16"/>
      <c r="E61" s="1408" t="str">
        <f>Translations!$B$704</f>
        <v>Wykaz kodów PRODCOM 2010 jest dostępny pod adresem:</v>
      </c>
      <c r="F61" s="1370"/>
      <c r="G61" s="1370"/>
      <c r="H61" s="1370"/>
      <c r="I61" s="1370"/>
      <c r="J61" s="1370"/>
      <c r="K61" s="1370"/>
      <c r="L61" s="1370"/>
      <c r="M61" s="1370"/>
      <c r="N61" s="1370"/>
      <c r="O61" s="16"/>
      <c r="P61" s="1037"/>
      <c r="R61" s="1037"/>
      <c r="S61" s="1037"/>
      <c r="AA61" s="608"/>
    </row>
    <row r="62" spans="2:27" x14ac:dyDescent="0.2">
      <c r="B62" s="207"/>
      <c r="C62" s="16"/>
      <c r="D62" s="16"/>
      <c r="E62" s="1795" t="str">
        <f>Translations!$B$705</f>
        <v>http://ec.europa.eu/eurostat/ramon/nomenclatures/index.cfm?TargetUrl=LST_CLS_DLD&amp;StrNom=PRD_2010&amp;StrLanguageCode=EN&amp;StrLayoutCode=HIERARCHIChttp://ec.europa.eu/eurostat/ramon/nomenclatures/index.cfm?TargetUrl=LST_CLS_DLD&amp;StrNom=PRD_2010&amp;StrLanguageCode=EN&amp;StrLayoutCode=HIERARCHIC</v>
      </c>
      <c r="F62" s="1663"/>
      <c r="G62" s="1663"/>
      <c r="H62" s="1663"/>
      <c r="I62" s="1663"/>
      <c r="J62" s="1663"/>
      <c r="K62" s="1663"/>
      <c r="L62" s="1663"/>
      <c r="M62" s="1663"/>
      <c r="N62" s="1663"/>
      <c r="O62" s="16"/>
      <c r="P62" s="1037"/>
      <c r="R62" s="1037"/>
      <c r="S62" s="1037"/>
      <c r="AA62" s="608"/>
    </row>
    <row r="63" spans="2:27" ht="5.0999999999999996" customHeight="1" x14ac:dyDescent="0.2">
      <c r="B63" s="207"/>
      <c r="C63" s="207"/>
      <c r="D63" s="207"/>
      <c r="E63" s="207"/>
      <c r="F63" s="207"/>
      <c r="G63" s="207"/>
      <c r="H63" s="207"/>
      <c r="I63" s="207"/>
      <c r="J63" s="207"/>
      <c r="K63" s="207"/>
      <c r="L63" s="207"/>
      <c r="M63" s="207"/>
      <c r="N63" s="207"/>
      <c r="O63" s="16"/>
      <c r="P63" s="1037"/>
      <c r="Q63" s="1037"/>
      <c r="R63" s="1037"/>
      <c r="S63" s="1037"/>
      <c r="AA63" s="608"/>
    </row>
    <row r="64" spans="2:27" ht="25.5" customHeight="1" x14ac:dyDescent="0.2">
      <c r="B64" s="207"/>
      <c r="C64" s="14"/>
      <c r="D64" s="14" t="s">
        <v>13</v>
      </c>
      <c r="E64" s="1375" t="str">
        <f>Translations!$B$706</f>
        <v>Poszczególne poziomy wytwarzanych produktów wchodzących w zakres tej podinstalacji objętej wskaźnikiem emisyjności dla produktów</v>
      </c>
      <c r="F64" s="1370"/>
      <c r="G64" s="1370"/>
      <c r="H64" s="1370"/>
      <c r="I64" s="1370"/>
      <c r="J64" s="1370"/>
      <c r="K64" s="1370"/>
      <c r="L64" s="1370"/>
      <c r="M64" s="1370"/>
      <c r="N64" s="1370"/>
      <c r="O64" s="16"/>
      <c r="P64" s="1037"/>
      <c r="R64" s="1037"/>
      <c r="S64" s="1037"/>
      <c r="AA64" s="608"/>
    </row>
    <row r="65" spans="2:27" ht="5.0999999999999996" customHeight="1" x14ac:dyDescent="0.2">
      <c r="B65" s="207"/>
      <c r="C65" s="207"/>
      <c r="D65" s="16"/>
      <c r="E65" s="17"/>
      <c r="F65" s="17"/>
      <c r="G65" s="17"/>
      <c r="H65" s="17"/>
      <c r="I65" s="17"/>
      <c r="J65" s="21"/>
      <c r="K65" s="21"/>
      <c r="L65" s="21"/>
      <c r="M65" s="16"/>
      <c r="N65" s="16"/>
      <c r="O65" s="16"/>
      <c r="P65" s="1037"/>
      <c r="R65" s="1037"/>
      <c r="S65" s="1037"/>
      <c r="AA65" s="608"/>
    </row>
    <row r="66" spans="2:27" ht="25.5" customHeight="1" x14ac:dyDescent="0.2">
      <c r="B66" s="20"/>
      <c r="C66" s="20"/>
      <c r="D66" s="344"/>
      <c r="E66" s="399" t="s">
        <v>386</v>
      </c>
      <c r="F66" s="1789" t="str">
        <f>Translations!$B$707</f>
        <v>Nazwa produktu lub grupy produktów</v>
      </c>
      <c r="G66" s="1790"/>
      <c r="H66" s="1055" t="str">
        <f>EUconst_Unit</f>
        <v>Jednostka</v>
      </c>
      <c r="I66" s="396">
        <f>I$1882</f>
        <v>2014</v>
      </c>
      <c r="J66" s="396">
        <f>J$1882</f>
        <v>2015</v>
      </c>
      <c r="K66" s="396">
        <f>K$1882</f>
        <v>2016</v>
      </c>
      <c r="L66" s="396">
        <f>L$1882</f>
        <v>2017</v>
      </c>
      <c r="M66" s="396">
        <f>M$1882</f>
        <v>2018</v>
      </c>
      <c r="N66" s="16"/>
      <c r="O66" s="16"/>
      <c r="R66" s="1037"/>
      <c r="S66" s="1037"/>
      <c r="AA66" s="608"/>
    </row>
    <row r="67" spans="2:27" x14ac:dyDescent="0.2">
      <c r="B67" s="20"/>
      <c r="C67" s="20"/>
      <c r="D67" s="37">
        <v>1</v>
      </c>
      <c r="E67" s="1245"/>
      <c r="F67" s="1806"/>
      <c r="G67" s="1792"/>
      <c r="H67" s="804"/>
      <c r="I67" s="472"/>
      <c r="J67" s="472"/>
      <c r="K67" s="472"/>
      <c r="L67" s="472"/>
      <c r="M67" s="472"/>
      <c r="N67" s="16"/>
      <c r="O67" s="16"/>
      <c r="R67" s="1037"/>
      <c r="S67" s="1037"/>
      <c r="AA67" s="345" t="b">
        <f>AA52</f>
        <v>1</v>
      </c>
    </row>
    <row r="68" spans="2:27" x14ac:dyDescent="0.2">
      <c r="B68" s="20"/>
      <c r="C68" s="20"/>
      <c r="D68" s="38">
        <f>D67+1</f>
        <v>2</v>
      </c>
      <c r="E68" s="1246"/>
      <c r="F68" s="1793"/>
      <c r="G68" s="1794"/>
      <c r="H68" s="564"/>
      <c r="I68" s="548"/>
      <c r="J68" s="548"/>
      <c r="K68" s="548"/>
      <c r="L68" s="548"/>
      <c r="M68" s="548"/>
      <c r="N68" s="16"/>
      <c r="O68" s="16"/>
      <c r="R68" s="1037"/>
      <c r="S68" s="1037"/>
      <c r="AA68" s="345" t="b">
        <f>AA67</f>
        <v>1</v>
      </c>
    </row>
    <row r="69" spans="2:27" x14ac:dyDescent="0.2">
      <c r="B69" s="20"/>
      <c r="C69" s="20"/>
      <c r="D69" s="38">
        <f t="shared" ref="D69:D76" si="2">D68+1</f>
        <v>3</v>
      </c>
      <c r="E69" s="1246"/>
      <c r="F69" s="1784"/>
      <c r="G69" s="1785"/>
      <c r="H69" s="564"/>
      <c r="I69" s="548"/>
      <c r="J69" s="548"/>
      <c r="K69" s="548"/>
      <c r="L69" s="548"/>
      <c r="M69" s="548"/>
      <c r="N69" s="16"/>
      <c r="O69" s="16"/>
      <c r="R69" s="1037"/>
      <c r="S69" s="1037"/>
      <c r="AA69" s="345" t="b">
        <f t="shared" ref="AA69:AA77" si="3">AA68</f>
        <v>1</v>
      </c>
    </row>
    <row r="70" spans="2:27" x14ac:dyDescent="0.2">
      <c r="B70" s="20"/>
      <c r="C70" s="20"/>
      <c r="D70" s="38">
        <f t="shared" si="2"/>
        <v>4</v>
      </c>
      <c r="E70" s="1246"/>
      <c r="F70" s="1784"/>
      <c r="G70" s="1785"/>
      <c r="H70" s="564"/>
      <c r="I70" s="548"/>
      <c r="J70" s="548"/>
      <c r="K70" s="548"/>
      <c r="L70" s="548"/>
      <c r="M70" s="548"/>
      <c r="N70" s="16"/>
      <c r="O70" s="16"/>
      <c r="R70" s="1037"/>
      <c r="S70" s="1037"/>
      <c r="AA70" s="345" t="b">
        <f t="shared" si="3"/>
        <v>1</v>
      </c>
    </row>
    <row r="71" spans="2:27" x14ac:dyDescent="0.2">
      <c r="B71" s="20"/>
      <c r="C71" s="20"/>
      <c r="D71" s="38">
        <f t="shared" si="2"/>
        <v>5</v>
      </c>
      <c r="E71" s="1246"/>
      <c r="F71" s="1784"/>
      <c r="G71" s="1785"/>
      <c r="H71" s="564"/>
      <c r="I71" s="548"/>
      <c r="J71" s="548"/>
      <c r="K71" s="548"/>
      <c r="L71" s="548"/>
      <c r="M71" s="548"/>
      <c r="N71" s="16"/>
      <c r="O71" s="16"/>
      <c r="R71" s="1037"/>
      <c r="S71" s="1037"/>
      <c r="AA71" s="345" t="b">
        <f t="shared" si="3"/>
        <v>1</v>
      </c>
    </row>
    <row r="72" spans="2:27" x14ac:dyDescent="0.2">
      <c r="B72" s="20"/>
      <c r="C72" s="20"/>
      <c r="D72" s="38">
        <f t="shared" si="2"/>
        <v>6</v>
      </c>
      <c r="E72" s="1246"/>
      <c r="F72" s="1784"/>
      <c r="G72" s="1785"/>
      <c r="H72" s="564"/>
      <c r="I72" s="548"/>
      <c r="J72" s="548"/>
      <c r="K72" s="548"/>
      <c r="L72" s="548"/>
      <c r="M72" s="548"/>
      <c r="N72" s="16"/>
      <c r="O72" s="16"/>
      <c r="R72" s="1037"/>
      <c r="S72" s="1037"/>
      <c r="AA72" s="345" t="b">
        <f t="shared" si="3"/>
        <v>1</v>
      </c>
    </row>
    <row r="73" spans="2:27" x14ac:dyDescent="0.2">
      <c r="B73" s="20"/>
      <c r="C73" s="20"/>
      <c r="D73" s="38">
        <f t="shared" si="2"/>
        <v>7</v>
      </c>
      <c r="E73" s="1246"/>
      <c r="F73" s="1784"/>
      <c r="G73" s="1785"/>
      <c r="H73" s="564"/>
      <c r="I73" s="548"/>
      <c r="J73" s="548"/>
      <c r="K73" s="548"/>
      <c r="L73" s="548"/>
      <c r="M73" s="548"/>
      <c r="N73" s="16"/>
      <c r="O73" s="16"/>
      <c r="R73" s="1037"/>
      <c r="S73" s="1037"/>
      <c r="AA73" s="345" t="b">
        <f t="shared" si="3"/>
        <v>1</v>
      </c>
    </row>
    <row r="74" spans="2:27" x14ac:dyDescent="0.2">
      <c r="B74" s="20"/>
      <c r="C74" s="20"/>
      <c r="D74" s="38">
        <f t="shared" si="2"/>
        <v>8</v>
      </c>
      <c r="E74" s="1246"/>
      <c r="F74" s="1784"/>
      <c r="G74" s="1785"/>
      <c r="H74" s="564"/>
      <c r="I74" s="548"/>
      <c r="J74" s="548"/>
      <c r="K74" s="548"/>
      <c r="L74" s="548"/>
      <c r="M74" s="548"/>
      <c r="N74" s="16"/>
      <c r="O74" s="16"/>
      <c r="R74" s="1037"/>
      <c r="S74" s="1037"/>
      <c r="AA74" s="345" t="b">
        <f t="shared" si="3"/>
        <v>1</v>
      </c>
    </row>
    <row r="75" spans="2:27" x14ac:dyDescent="0.2">
      <c r="B75" s="20"/>
      <c r="C75" s="20"/>
      <c r="D75" s="38">
        <f t="shared" si="2"/>
        <v>9</v>
      </c>
      <c r="E75" s="1246"/>
      <c r="F75" s="1784"/>
      <c r="G75" s="1785"/>
      <c r="H75" s="564"/>
      <c r="I75" s="548"/>
      <c r="J75" s="548"/>
      <c r="K75" s="548"/>
      <c r="L75" s="548"/>
      <c r="M75" s="548"/>
      <c r="N75" s="16"/>
      <c r="O75" s="16"/>
      <c r="R75" s="1037"/>
      <c r="S75" s="1037"/>
      <c r="AA75" s="345" t="b">
        <f t="shared" si="3"/>
        <v>1</v>
      </c>
    </row>
    <row r="76" spans="2:27" x14ac:dyDescent="0.2">
      <c r="B76" s="20"/>
      <c r="C76" s="20"/>
      <c r="D76" s="41">
        <f t="shared" si="2"/>
        <v>10</v>
      </c>
      <c r="E76" s="1247"/>
      <c r="F76" s="1786"/>
      <c r="G76" s="1787"/>
      <c r="H76" s="565"/>
      <c r="I76" s="446"/>
      <c r="J76" s="446"/>
      <c r="K76" s="446"/>
      <c r="L76" s="446"/>
      <c r="M76" s="446"/>
      <c r="N76" s="16"/>
      <c r="O76" s="16"/>
      <c r="R76" s="1037"/>
      <c r="S76" s="1037"/>
      <c r="AA76" s="345" t="b">
        <f t="shared" si="3"/>
        <v>1</v>
      </c>
    </row>
    <row r="77" spans="2:27" ht="12.75" customHeight="1" thickBot="1" x14ac:dyDescent="0.25">
      <c r="B77" s="20"/>
      <c r="C77" s="20"/>
      <c r="D77" s="97"/>
      <c r="E77" s="1788" t="str">
        <f>Translations!$B$708</f>
        <v>Suma poziomów produkcji</v>
      </c>
      <c r="F77" s="1788"/>
      <c r="G77" s="1788"/>
      <c r="H77" s="737"/>
      <c r="I77" s="327" t="str">
        <f>IF(COUNT(I67:I76)&gt;0,SUM(I67:I76),"")</f>
        <v/>
      </c>
      <c r="J77" s="327" t="str">
        <f>IF(COUNT(J67:J76)&gt;0,SUM(J67:J76),"")</f>
        <v/>
      </c>
      <c r="K77" s="327" t="str">
        <f>IF(COUNT(K67:K76)&gt;0,SUM(K67:K76),"")</f>
        <v/>
      </c>
      <c r="L77" s="327" t="str">
        <f>IF(COUNT(L67:L76)&gt;0,SUM(L67:L76),"")</f>
        <v/>
      </c>
      <c r="M77" s="327" t="str">
        <f>IF(COUNT(M67:M76)&gt;0,SUM(M67:M76),"")</f>
        <v/>
      </c>
      <c r="N77" s="16"/>
      <c r="O77" s="16"/>
      <c r="R77" s="1037"/>
      <c r="S77" s="1037"/>
      <c r="AA77" s="168" t="b">
        <f t="shared" si="3"/>
        <v>1</v>
      </c>
    </row>
    <row r="78" spans="2:27" ht="12.75" customHeight="1" thickBot="1" x14ac:dyDescent="0.25">
      <c r="B78" s="207"/>
      <c r="C78" s="207"/>
      <c r="D78" s="207"/>
      <c r="E78" s="207"/>
      <c r="F78" s="207"/>
      <c r="G78" s="207"/>
      <c r="H78" s="207"/>
      <c r="I78" s="207"/>
      <c r="J78" s="207"/>
      <c r="K78" s="207"/>
      <c r="L78" s="207"/>
      <c r="M78" s="16"/>
      <c r="N78" s="16"/>
      <c r="O78" s="16"/>
      <c r="P78" s="1037"/>
      <c r="R78" s="1037"/>
      <c r="S78" s="1037"/>
    </row>
    <row r="79" spans="2:27" ht="5.0999999999999996" customHeight="1" x14ac:dyDescent="0.2">
      <c r="B79" s="207"/>
      <c r="C79" s="1056"/>
      <c r="D79" s="1057"/>
      <c r="E79" s="1057"/>
      <c r="F79" s="1057"/>
      <c r="G79" s="1057"/>
      <c r="H79" s="1057"/>
      <c r="I79" s="1057"/>
      <c r="J79" s="1057"/>
      <c r="K79" s="1057"/>
      <c r="L79" s="1057"/>
      <c r="M79" s="1058"/>
      <c r="N79" s="1059"/>
      <c r="O79" s="16"/>
      <c r="P79" s="1037"/>
      <c r="R79" s="1037"/>
      <c r="S79" s="1037"/>
    </row>
    <row r="80" spans="2:27" x14ac:dyDescent="0.2">
      <c r="B80" s="20"/>
      <c r="C80" s="1060"/>
      <c r="D80" s="1776" t="str">
        <f>Translations!$B$709</f>
        <v>Dane wymagane do określenia współczynnika poprawy wskaźników zgodnie z art. 10a ust. 2 dyrektywy w sprawie EU ETS</v>
      </c>
      <c r="E80" s="1734"/>
      <c r="F80" s="1734"/>
      <c r="G80" s="1734"/>
      <c r="H80" s="1734"/>
      <c r="I80" s="1734"/>
      <c r="J80" s="1734"/>
      <c r="K80" s="1734"/>
      <c r="L80" s="1734"/>
      <c r="M80" s="1734"/>
      <c r="N80" s="1735"/>
      <c r="O80" s="16"/>
      <c r="R80" s="1037"/>
      <c r="S80" s="1037"/>
    </row>
    <row r="81" spans="2:19" ht="5.0999999999999996" customHeight="1" x14ac:dyDescent="0.2">
      <c r="B81" s="20"/>
      <c r="C81" s="460"/>
      <c r="D81" s="449"/>
      <c r="E81" s="449"/>
      <c r="F81" s="449"/>
      <c r="G81" s="449"/>
      <c r="H81" s="449"/>
      <c r="I81" s="449"/>
      <c r="J81" s="449"/>
      <c r="K81" s="449"/>
      <c r="L81" s="449"/>
      <c r="M81" s="449"/>
      <c r="N81" s="461"/>
      <c r="O81" s="16"/>
      <c r="R81" s="1037"/>
      <c r="S81" s="1037"/>
    </row>
    <row r="82" spans="2:19" ht="15" customHeight="1" x14ac:dyDescent="0.2">
      <c r="B82" s="20"/>
      <c r="C82" s="460"/>
      <c r="D82" s="1778" t="str">
        <f>EUconst_BMSubinst &amp; ":"</f>
        <v>Podinstalacja i wskaźnik emisyjności dla produktów:</v>
      </c>
      <c r="E82" s="1779"/>
      <c r="F82" s="1779"/>
      <c r="G82" s="1779"/>
      <c r="H82" s="1780"/>
      <c r="I82" s="1781" t="str">
        <f>I13</f>
        <v/>
      </c>
      <c r="J82" s="1666"/>
      <c r="K82" s="1666"/>
      <c r="L82" s="1666"/>
      <c r="M82" s="1666"/>
      <c r="N82" s="1782"/>
      <c r="O82" s="16"/>
      <c r="R82" s="1037"/>
      <c r="S82" s="1037"/>
    </row>
    <row r="83" spans="2:19" ht="5.0999999999999996" customHeight="1" x14ac:dyDescent="0.2">
      <c r="B83" s="20"/>
      <c r="C83" s="460"/>
      <c r="D83" s="449"/>
      <c r="E83" s="449"/>
      <c r="F83" s="449"/>
      <c r="G83" s="449"/>
      <c r="H83" s="449"/>
      <c r="I83" s="449"/>
      <c r="J83" s="449"/>
      <c r="K83" s="449"/>
      <c r="L83" s="449"/>
      <c r="M83" s="449"/>
      <c r="N83" s="461"/>
      <c r="O83" s="16"/>
      <c r="R83" s="1037"/>
      <c r="S83" s="1037"/>
    </row>
    <row r="84" spans="2:19" ht="38.25" customHeight="1" x14ac:dyDescent="0.2">
      <c r="B84" s="207"/>
      <c r="C84" s="1060"/>
      <c r="D84" s="1061"/>
      <c r="E84" s="1736" t="str">
        <f>Translations!$B$710</f>
        <v>Niniejsza podsekcja obejmuje przypisywanie emisji związanych ze strumieniami materiałów wsadowych, źródłami emisji, wprowadzaniem i wyprowadzaniem mierzalnego ciepła i gazów odlotowych, w tym stratami ciepła zgodnie z pkt 10 załącznika VII do FAR.</v>
      </c>
      <c r="F84" s="1736"/>
      <c r="G84" s="1736"/>
      <c r="H84" s="1736"/>
      <c r="I84" s="1736"/>
      <c r="J84" s="1736"/>
      <c r="K84" s="1736"/>
      <c r="L84" s="1736"/>
      <c r="M84" s="1736"/>
      <c r="N84" s="702"/>
      <c r="O84" s="16"/>
      <c r="P84" s="1037"/>
    </row>
    <row r="85" spans="2:19" ht="38.25" customHeight="1" x14ac:dyDescent="0.2">
      <c r="B85" s="207"/>
      <c r="C85" s="1060"/>
      <c r="D85" s="1061"/>
      <c r="E85" s="1736" t="str">
        <f>Translations!$B$711</f>
        <v xml:space="preserve">Należy zauważyć, że chociaż w odniesieniu do każdego z poniższych punktów przedstawiono pewne wskazówki, trzeba zapoznać się z dodatkowymi informacjami w wytycznych nr 5 („Monitorowanie i raportowanie w odniesieniu do FAR”), które zawierają również przykłady. </v>
      </c>
      <c r="F85" s="1736"/>
      <c r="G85" s="1736"/>
      <c r="H85" s="1736"/>
      <c r="I85" s="1736"/>
      <c r="J85" s="1736"/>
      <c r="K85" s="1736"/>
      <c r="L85" s="1736"/>
      <c r="M85" s="1736"/>
      <c r="N85" s="702"/>
      <c r="O85" s="16"/>
      <c r="P85" s="1037"/>
    </row>
    <row r="86" spans="2:19" ht="12.75" customHeight="1" x14ac:dyDescent="0.2">
      <c r="B86" s="207"/>
      <c r="C86" s="1060"/>
      <c r="D86" s="1061"/>
      <c r="E86" s="1736" t="str">
        <f>Translations!$B$712</f>
        <v xml:space="preserve">Wytyczne są dostępne pod adresem: </v>
      </c>
      <c r="F86" s="1364"/>
      <c r="G86" s="1364"/>
      <c r="H86" s="1364"/>
      <c r="I86" s="1364"/>
      <c r="J86" s="1364"/>
      <c r="K86" s="1364"/>
      <c r="L86" s="1364"/>
      <c r="M86" s="1364"/>
      <c r="N86" s="702"/>
      <c r="O86" s="16"/>
      <c r="P86" s="1037"/>
    </row>
    <row r="87" spans="2:19" ht="15" customHeight="1" x14ac:dyDescent="0.2">
      <c r="B87" s="207"/>
      <c r="C87" s="1060"/>
      <c r="D87" s="1061"/>
      <c r="E87" s="1623" t="str">
        <f>Translations!$B$713</f>
        <v>https://ec.europa.eu/clima/policies/ets/allowances_en#tab-0-1</v>
      </c>
      <c r="F87" s="1623"/>
      <c r="G87" s="1623"/>
      <c r="H87" s="1623"/>
      <c r="I87" s="1623"/>
      <c r="J87" s="1623"/>
      <c r="K87" s="1623"/>
      <c r="L87" s="1623"/>
      <c r="M87" s="1623"/>
      <c r="N87" s="702"/>
      <c r="O87" s="16"/>
      <c r="P87" s="1037"/>
    </row>
    <row r="88" spans="2:19" ht="5.0999999999999996" customHeight="1" x14ac:dyDescent="0.2">
      <c r="B88" s="20"/>
      <c r="C88" s="460"/>
      <c r="D88" s="449"/>
      <c r="E88" s="449"/>
      <c r="F88" s="449"/>
      <c r="G88" s="449"/>
      <c r="H88" s="449"/>
      <c r="I88" s="449"/>
      <c r="J88" s="449"/>
      <c r="K88" s="449"/>
      <c r="L88" s="449"/>
      <c r="M88" s="449"/>
      <c r="N88" s="461"/>
      <c r="O88" s="16"/>
      <c r="R88" s="1037"/>
      <c r="S88" s="1037"/>
    </row>
    <row r="89" spans="2:19" ht="15" customHeight="1" x14ac:dyDescent="0.2">
      <c r="B89" s="207"/>
      <c r="C89" s="1060"/>
      <c r="D89" s="1061"/>
      <c r="E89" s="1783" t="str">
        <f>Translations!$B$714</f>
        <v>Po dokonaniu poniższych wpisów emisje, które można przypisać, są obliczane w części K.III.2 arkusza podsumowania.</v>
      </c>
      <c r="F89" s="1783"/>
      <c r="G89" s="1783"/>
      <c r="H89" s="1783"/>
      <c r="I89" s="1783"/>
      <c r="J89" s="1783"/>
      <c r="K89" s="1783"/>
      <c r="L89" s="1783"/>
      <c r="M89" s="1783"/>
      <c r="N89" s="702"/>
      <c r="O89" s="16"/>
      <c r="P89" s="1037"/>
    </row>
    <row r="90" spans="2:19" ht="5.0999999999999996" customHeight="1" x14ac:dyDescent="0.2">
      <c r="B90" s="20"/>
      <c r="C90" s="460"/>
      <c r="D90" s="449"/>
      <c r="E90" s="449"/>
      <c r="F90" s="449"/>
      <c r="G90" s="449"/>
      <c r="H90" s="449"/>
      <c r="I90" s="449"/>
      <c r="J90" s="449"/>
      <c r="K90" s="449"/>
      <c r="L90" s="449"/>
      <c r="M90" s="449"/>
      <c r="N90" s="461"/>
      <c r="O90" s="16"/>
      <c r="R90" s="1037"/>
      <c r="S90" s="1037"/>
    </row>
    <row r="91" spans="2:19" ht="12.75" customHeight="1" x14ac:dyDescent="0.2">
      <c r="B91" s="207"/>
      <c r="C91" s="1060"/>
      <c r="D91" s="462" t="s">
        <v>87</v>
      </c>
      <c r="E91" s="1731" t="str">
        <f>Translations!$B$715</f>
        <v>Emisje, które można bezpośrednio przypisać (DirEm* (plan monitorowania strumieni materiałów wsadowych)) do tej podinstalacji</v>
      </c>
      <c r="F91" s="1734"/>
      <c r="G91" s="1734"/>
      <c r="H91" s="1734"/>
      <c r="I91" s="1734"/>
      <c r="J91" s="1734"/>
      <c r="K91" s="1734"/>
      <c r="L91" s="1734"/>
      <c r="M91" s="1734"/>
      <c r="N91" s="1735"/>
      <c r="O91" s="16"/>
      <c r="P91" s="1037"/>
      <c r="R91" s="1037"/>
      <c r="S91" s="1037"/>
    </row>
    <row r="92" spans="2:19" ht="12.75" customHeight="1" x14ac:dyDescent="0.2">
      <c r="B92" s="207"/>
      <c r="C92" s="1060"/>
      <c r="D92" s="699"/>
      <c r="E92" s="1730" t="str">
        <f>Translations!$B$716</f>
        <v>Podane tu dane wpłyną na emisje, które można przypisać, zgodnie z pkt 10.1.1 załącznika VII do FAR.</v>
      </c>
      <c r="F92" s="1731"/>
      <c r="G92" s="1731"/>
      <c r="H92" s="1731"/>
      <c r="I92" s="1731"/>
      <c r="J92" s="1731"/>
      <c r="K92" s="1731"/>
      <c r="L92" s="1731"/>
      <c r="M92" s="1731"/>
      <c r="N92" s="1732"/>
      <c r="O92" s="16"/>
      <c r="P92" s="1037"/>
      <c r="R92" s="1037"/>
      <c r="S92" s="1037"/>
    </row>
    <row r="93" spans="2:19" ht="12.75" customHeight="1" x14ac:dyDescent="0.2">
      <c r="B93" s="207"/>
      <c r="C93" s="1060"/>
      <c r="D93" s="1061"/>
      <c r="E93" s="1745" t="str">
        <f>Translations!$B$717</f>
        <v>W tym miejscu proszę podać emisje, które można bezpośrednio przypisać (DirEm* (plan monitorowania strumieni materiałów wsadowych)) do tej podinstalacji, uwzględniając następujące przepisy:</v>
      </c>
      <c r="F93" s="1745"/>
      <c r="G93" s="1745"/>
      <c r="H93" s="1745"/>
      <c r="I93" s="1745"/>
      <c r="J93" s="1745"/>
      <c r="K93" s="1745"/>
      <c r="L93" s="1745"/>
      <c r="M93" s="1745"/>
      <c r="N93" s="1746"/>
      <c r="O93" s="16"/>
      <c r="P93" s="1037"/>
      <c r="R93" s="1037"/>
    </row>
    <row r="94" spans="2:19" ht="38.25" customHeight="1" x14ac:dyDescent="0.2">
      <c r="B94" s="207"/>
      <c r="C94" s="1060"/>
      <c r="D94" s="1061"/>
      <c r="E94" s="676" t="s">
        <v>408</v>
      </c>
      <c r="F94" s="1733" t="str">
        <f>Translations!$B$718</f>
        <v>„Emisje, które można bezpośrednio przypisać” są monitorowane zgodnie z planem monitorowania zatwierdzonym na podstawie MRR, tj. z uwzględnieniem emisji z metodyki opartej na obliczeniach (z wykorzystaniem strumieni materiałów wsadowych), metodyki opartej na pomiarach (CEMS), a także metod nieuwzględniających poziomów dokładności („fall-back”).</v>
      </c>
      <c r="G94" s="1804"/>
      <c r="H94" s="1804"/>
      <c r="I94" s="1804"/>
      <c r="J94" s="1804"/>
      <c r="K94" s="1804"/>
      <c r="L94" s="1804"/>
      <c r="M94" s="1804"/>
      <c r="N94" s="1805"/>
      <c r="O94" s="16"/>
      <c r="P94" s="1037"/>
      <c r="R94" s="1037"/>
    </row>
    <row r="95" spans="2:19" ht="38.25" customHeight="1" x14ac:dyDescent="0.2">
      <c r="B95" s="207"/>
      <c r="C95" s="1060"/>
      <c r="D95" s="1061"/>
      <c r="E95" s="676"/>
      <c r="F95" s="1737" t="str">
        <f>Translations!$B$719</f>
        <v>W kilku sytuacjach jednak „emisje, które można bezpośrednio przypisać” w tej części nie są identyczne z emisjami zgłaszanymi na podstawie MRR. Takie sytuacje dotyczą np. strumieni materiałów wsadowych stosowanych do wytwarzania mierzalnego ciepła, gazów odlotowych itp. Innymi słowy, należy zachować ostrożność przy wypełnianiu poniższych części, aby ściśle przestrzegać instrukcji w celu uniknięcia podwójnego liczenia lub pominięć.</v>
      </c>
      <c r="G95" s="1364"/>
      <c r="H95" s="1364"/>
      <c r="I95" s="1364"/>
      <c r="J95" s="1364"/>
      <c r="K95" s="1364"/>
      <c r="L95" s="1364"/>
      <c r="M95" s="1364"/>
      <c r="N95" s="1738"/>
      <c r="O95" s="16"/>
      <c r="P95" s="1037"/>
      <c r="R95" s="1037"/>
    </row>
    <row r="96" spans="2:19" ht="12.75" customHeight="1" x14ac:dyDescent="0.2">
      <c r="B96" s="207"/>
      <c r="C96" s="1060"/>
      <c r="D96" s="1061"/>
      <c r="E96" s="676" t="s">
        <v>408</v>
      </c>
      <c r="F96" s="1733" t="str">
        <f>Translations!$B$720</f>
        <v xml:space="preserve">Mierzalne ciepło: w przypadku gdy ciepło jest wytwarzane wyłącznie dla jednej podinstalacji, emisje w tym miejscu można przypisać bezpośrednio, wykorzystując emisje z paliwa. </v>
      </c>
      <c r="G96" s="1804"/>
      <c r="H96" s="1804"/>
      <c r="I96" s="1804"/>
      <c r="J96" s="1804"/>
      <c r="K96" s="1804"/>
      <c r="L96" s="1804"/>
      <c r="M96" s="1804"/>
      <c r="N96" s="1805"/>
      <c r="O96" s="16"/>
      <c r="P96" s="1037"/>
      <c r="R96" s="1037"/>
    </row>
    <row r="97" spans="2:23" ht="38.85" customHeight="1" x14ac:dyDescent="0.2">
      <c r="B97" s="207"/>
      <c r="C97" s="1060"/>
      <c r="D97" s="1061"/>
      <c r="E97" s="676"/>
      <c r="F97" s="1733" t="str">
        <f>Translations!$B$721</f>
        <v>W każdym przypadku, w którym paliwa wykorzystuje się do wytwarzania mierzalnego ciepła jako „wsadu” do więcej niż jednej podinstalacji, w której zużywane jest ciepło (co obejmuje sytuacje związane z wprowadzaniem z innych instalacji i wyprowadzaniem do innych instalacji), paliw nie należy uwzględniać w „emisjach, które można bezpośrednio przypisać” z podinstalacji, tylko w lit. k) poniżej.</v>
      </c>
      <c r="G97" s="1804"/>
      <c r="H97" s="1804"/>
      <c r="I97" s="1804"/>
      <c r="J97" s="1804"/>
      <c r="K97" s="1804"/>
      <c r="L97" s="1804"/>
      <c r="M97" s="1804"/>
      <c r="N97" s="1805"/>
      <c r="O97" s="16"/>
      <c r="P97" s="1037"/>
      <c r="R97" s="1037"/>
    </row>
    <row r="98" spans="2:23" ht="25.5" customHeight="1" x14ac:dyDescent="0.2">
      <c r="B98" s="207"/>
      <c r="C98" s="1060"/>
      <c r="D98" s="1061"/>
      <c r="E98" s="676"/>
      <c r="F98" s="1733" t="str">
        <f>Translations!$B$722</f>
        <v>„Wsady” obejmują mierzalne ciepło z jednostki na miejscu (np. głównej elektrowni w instalacji lub bardziej złożonej sieci parowej z kilkoma jednostkami wytwarzającymi ciepło), które dostarczają ciepło do więcej niż jednej podinstalacji. W takim przypadku emisji również nie należy przypisywać w tym miejscu, tylko w lit. k) ppkt (i) poniżej.</v>
      </c>
      <c r="G98" s="1804"/>
      <c r="H98" s="1804"/>
      <c r="I98" s="1804"/>
      <c r="J98" s="1804"/>
      <c r="K98" s="1804"/>
      <c r="L98" s="1804"/>
      <c r="M98" s="1804"/>
      <c r="N98" s="1805"/>
      <c r="O98" s="16"/>
      <c r="P98" s="1037"/>
      <c r="R98" s="1037"/>
    </row>
    <row r="99" spans="2:23" ht="25.5" customHeight="1" x14ac:dyDescent="0.2">
      <c r="B99" s="207"/>
      <c r="C99" s="1060"/>
      <c r="D99" s="1061"/>
      <c r="E99" s="676" t="s">
        <v>408</v>
      </c>
      <c r="F99" s="1733" t="str">
        <f>Translations!$B$723</f>
        <v>Mierzalne ciepło wyprowadzone: w przypadku gdy takie ciepło jest odzyskiwane z procesu i wyprowadzane, w tym miejscu nie należy dokonywać żadnych korekt. Odliczenie z tytułu powiązanych emisji zostanie dokonane na podstawie wpisów w lit. k) ppkt (v) poniżej.</v>
      </c>
      <c r="G99" s="1804"/>
      <c r="H99" s="1804"/>
      <c r="I99" s="1804"/>
      <c r="J99" s="1804"/>
      <c r="K99" s="1804"/>
      <c r="L99" s="1804"/>
      <c r="M99" s="1804"/>
      <c r="N99" s="1805"/>
      <c r="O99" s="16"/>
      <c r="P99" s="1037"/>
      <c r="R99" s="1037"/>
    </row>
    <row r="100" spans="2:23" ht="25.5" customHeight="1" thickBot="1" x14ac:dyDescent="0.25">
      <c r="B100" s="207"/>
      <c r="C100" s="1060"/>
      <c r="D100" s="1061"/>
      <c r="E100" s="676" t="s">
        <v>408</v>
      </c>
      <c r="F100" s="1733" t="str">
        <f>Translations!$B$724</f>
        <v>Gazy odlotowe: emisji z gazów odlotowych, które są WPROWADZANE z innych instalacji lub podinstalacji i zużywane w tej podinstalacji, nie należy uwzględniać w tym miejscu, tylko w lit. l) poniżej.</v>
      </c>
      <c r="G100" s="1804"/>
      <c r="H100" s="1804"/>
      <c r="I100" s="1804"/>
      <c r="J100" s="1804"/>
      <c r="K100" s="1804"/>
      <c r="L100" s="1804"/>
      <c r="M100" s="1804"/>
      <c r="N100" s="1805"/>
      <c r="O100" s="16"/>
      <c r="P100" s="1037"/>
      <c r="R100" s="1037"/>
    </row>
    <row r="101" spans="2:23" ht="25.5" customHeight="1" x14ac:dyDescent="0.2">
      <c r="B101" s="207"/>
      <c r="C101" s="1060"/>
      <c r="D101" s="462"/>
      <c r="E101" s="1757" t="str">
        <f>Translations!$B$725</f>
        <v>Emisje, które można bezpośrednio przypisać (DirEm*)</v>
      </c>
      <c r="F101" s="1758"/>
      <c r="G101" s="1758"/>
      <c r="H101" s="450" t="str">
        <f>EUconst_Unit</f>
        <v>Jednostka</v>
      </c>
      <c r="I101" s="451">
        <f>I$1882</f>
        <v>2014</v>
      </c>
      <c r="J101" s="451">
        <f>J$1882</f>
        <v>2015</v>
      </c>
      <c r="K101" s="451">
        <f>K$1882</f>
        <v>2016</v>
      </c>
      <c r="L101" s="451">
        <f>L$1882</f>
        <v>2017</v>
      </c>
      <c r="M101" s="451">
        <f>M$1882</f>
        <v>2018</v>
      </c>
      <c r="N101" s="665"/>
      <c r="O101" s="16"/>
      <c r="P101" s="1037"/>
      <c r="R101" s="1052"/>
      <c r="S101" s="814">
        <f>I101</f>
        <v>2014</v>
      </c>
      <c r="T101" s="814">
        <f>J101</f>
        <v>2015</v>
      </c>
      <c r="U101" s="814">
        <f>K101</f>
        <v>2016</v>
      </c>
      <c r="V101" s="814">
        <f>L101</f>
        <v>2017</v>
      </c>
      <c r="W101" s="815">
        <f>M101</f>
        <v>2018</v>
      </c>
    </row>
    <row r="102" spans="2:23" ht="12.75" customHeight="1" thickBot="1" x14ac:dyDescent="0.25">
      <c r="B102" s="207"/>
      <c r="C102" s="1060"/>
      <c r="D102" s="1061"/>
      <c r="E102" s="1762" t="str">
        <f>I13</f>
        <v/>
      </c>
      <c r="F102" s="1762"/>
      <c r="G102" s="1762"/>
      <c r="H102" s="452" t="str">
        <f>EUconst_tCO2epa</f>
        <v>t CO2e/rok</v>
      </c>
      <c r="I102" s="313"/>
      <c r="J102" s="313"/>
      <c r="K102" s="313"/>
      <c r="L102" s="313"/>
      <c r="M102" s="313"/>
      <c r="N102" s="665"/>
      <c r="O102" s="16"/>
      <c r="P102" s="1062" t="str">
        <f>EUconst_CNTR_Emissions &amp; I13</f>
        <v>DirEmissions_</v>
      </c>
      <c r="R102" s="1053" t="str">
        <f>EUconst_CNTR_AttributedEmissions &amp; I13</f>
        <v>AttrEmissions_</v>
      </c>
      <c r="S102" s="119" t="str">
        <f>IF(S13,SUM(I102),"")</f>
        <v/>
      </c>
      <c r="T102" s="119" t="str">
        <f>IF(T13,SUM(J102),"")</f>
        <v/>
      </c>
      <c r="U102" s="119" t="str">
        <f>IF(U13,SUM(K102),"")</f>
        <v/>
      </c>
      <c r="V102" s="119" t="str">
        <f>IF(V13,SUM(L102),"")</f>
        <v/>
      </c>
      <c r="W102" s="120" t="str">
        <f>IF(W13,SUM(M102),"")</f>
        <v/>
      </c>
    </row>
    <row r="103" spans="2:23" ht="12.75" customHeight="1" x14ac:dyDescent="0.2">
      <c r="B103" s="207"/>
      <c r="C103" s="1060"/>
      <c r="D103" s="1061"/>
      <c r="E103" s="1061"/>
      <c r="F103" s="1061"/>
      <c r="G103" s="1061"/>
      <c r="H103" s="1061"/>
      <c r="I103" s="1061"/>
      <c r="J103" s="1061"/>
      <c r="K103" s="1061"/>
      <c r="L103" s="1061"/>
      <c r="M103" s="1063"/>
      <c r="N103" s="665"/>
      <c r="O103" s="16"/>
      <c r="P103" s="1037"/>
      <c r="R103" s="1037"/>
    </row>
    <row r="104" spans="2:23" ht="12.75" customHeight="1" x14ac:dyDescent="0.2">
      <c r="B104" s="207"/>
      <c r="C104" s="1060"/>
      <c r="D104" s="462" t="s">
        <v>88</v>
      </c>
      <c r="E104" s="1760" t="str">
        <f>Translations!$B$726</f>
        <v>Wsad paliwa do tej podinstalacji oraz odpowiedni współczynnik emisji</v>
      </c>
      <c r="F104" s="1760"/>
      <c r="G104" s="1760"/>
      <c r="H104" s="1760"/>
      <c r="I104" s="1760"/>
      <c r="J104" s="1760"/>
      <c r="K104" s="1760"/>
      <c r="L104" s="1760"/>
      <c r="M104" s="1760"/>
      <c r="N104" s="1761"/>
      <c r="O104" s="16"/>
      <c r="P104" s="1037"/>
      <c r="Q104" s="1037"/>
      <c r="R104" s="1037"/>
    </row>
    <row r="105" spans="2:23" ht="25.5" customHeight="1" x14ac:dyDescent="0.2">
      <c r="B105" s="207"/>
      <c r="C105" s="1060"/>
      <c r="D105" s="1061"/>
      <c r="E105" s="1733" t="str">
        <f>Translations!$B$727</f>
        <v>Zgodnie z wymogami określonymi w pkt 2.4 lit. a) załącznika IV do FAR należy podać całkowity wsad paliwa do podinstalacji i odpowiedni ważony współczynnik emisji, biorąc pod uwagę powiązaną zawartość energii w każdym paliwie, którą uwzględniono w liczbie podanej w lit. g), stosując te same granice systemowe co w przypadku lit. g).</v>
      </c>
      <c r="F105" s="1734"/>
      <c r="G105" s="1734"/>
      <c r="H105" s="1734"/>
      <c r="I105" s="1734"/>
      <c r="J105" s="1734"/>
      <c r="K105" s="1734"/>
      <c r="L105" s="1734"/>
      <c r="M105" s="1734"/>
      <c r="N105" s="1735"/>
      <c r="O105" s="16"/>
      <c r="P105" s="1037"/>
      <c r="Q105" s="1037"/>
      <c r="R105" s="1037"/>
    </row>
    <row r="106" spans="2:23" ht="25.5" customHeight="1" x14ac:dyDescent="0.2">
      <c r="B106" s="207"/>
      <c r="C106" s="1060"/>
      <c r="D106" s="1061"/>
      <c r="E106" s="1733" t="str">
        <f>Translations!$B$728</f>
        <v>Zgodnie z MRR termin „paliwo” należy rozumieć jako każdy strumień materiałów wsadowych, który jest palny i dla którego można określić wartość opałową. Ważony współczynnik emisji odpowiada skumulowanym emisjom z paliw podzielonym przez całkowitą zawartość energii.</v>
      </c>
      <c r="F106" s="1734"/>
      <c r="G106" s="1734"/>
      <c r="H106" s="1734"/>
      <c r="I106" s="1734"/>
      <c r="J106" s="1734"/>
      <c r="K106" s="1734"/>
      <c r="L106" s="1734"/>
      <c r="M106" s="1734"/>
      <c r="N106" s="1735"/>
      <c r="O106" s="16"/>
      <c r="P106" s="1037"/>
      <c r="R106" s="1037"/>
    </row>
    <row r="107" spans="2:23" ht="12.75" customHeight="1" x14ac:dyDescent="0.2">
      <c r="B107" s="207"/>
      <c r="C107" s="1060"/>
      <c r="D107" s="1061"/>
      <c r="E107" s="1733" t="str">
        <f>Translations!$B$729</f>
        <v>W stosownych przypadkach ważony współczynnik emisji powinien ponadto uwzględniać emisje pochodzące z odpowiedniego oczyszczania spalin.</v>
      </c>
      <c r="F107" s="1734"/>
      <c r="G107" s="1734"/>
      <c r="H107" s="1734"/>
      <c r="I107" s="1734"/>
      <c r="J107" s="1734"/>
      <c r="K107" s="1734"/>
      <c r="L107" s="1734"/>
      <c r="M107" s="1734"/>
      <c r="N107" s="1735"/>
      <c r="O107" s="16"/>
      <c r="P107" s="1037"/>
      <c r="R107" s="1037"/>
    </row>
    <row r="108" spans="2:23" ht="12.75" customHeight="1" x14ac:dyDescent="0.2">
      <c r="B108" s="207"/>
      <c r="C108" s="1060"/>
      <c r="D108" s="1061"/>
      <c r="E108" s="1730" t="str">
        <f>Translations!$B$730</f>
        <v>Podane tu dane wykorzystuje się jedynie do weryfikacji spójności i nie mają one bezpośredniego wpływu ani na emisje, które można przypisać, ani na przydział.</v>
      </c>
      <c r="F108" s="1731"/>
      <c r="G108" s="1731"/>
      <c r="H108" s="1731"/>
      <c r="I108" s="1731"/>
      <c r="J108" s="1731"/>
      <c r="K108" s="1731"/>
      <c r="L108" s="1731"/>
      <c r="M108" s="1731"/>
      <c r="N108" s="1732"/>
      <c r="O108" s="16"/>
      <c r="P108" s="1037"/>
      <c r="R108" s="1037"/>
    </row>
    <row r="109" spans="2:23" ht="12.75" customHeight="1" x14ac:dyDescent="0.2">
      <c r="B109" s="207"/>
      <c r="C109" s="1060"/>
      <c r="D109" s="462"/>
      <c r="E109" s="1757"/>
      <c r="F109" s="1758"/>
      <c r="G109" s="1758"/>
      <c r="H109" s="450" t="str">
        <f>EUconst_Unit</f>
        <v>Jednostka</v>
      </c>
      <c r="I109" s="451">
        <f>I$1882</f>
        <v>2014</v>
      </c>
      <c r="J109" s="451">
        <f>J$1882</f>
        <v>2015</v>
      </c>
      <c r="K109" s="451">
        <f>K$1882</f>
        <v>2016</v>
      </c>
      <c r="L109" s="451">
        <f>L$1882</f>
        <v>2017</v>
      </c>
      <c r="M109" s="451">
        <f>M$1882</f>
        <v>2018</v>
      </c>
      <c r="N109" s="665"/>
      <c r="O109" s="16"/>
      <c r="P109" s="1037"/>
      <c r="R109" s="1037"/>
    </row>
    <row r="110" spans="2:23" ht="12.75" customHeight="1" x14ac:dyDescent="0.2">
      <c r="B110" s="207"/>
      <c r="C110" s="1060"/>
      <c r="D110" s="699" t="s">
        <v>2</v>
      </c>
      <c r="E110" s="1739" t="str">
        <f>Translations!$B$731</f>
        <v>Wsad paliwa</v>
      </c>
      <c r="F110" s="1740"/>
      <c r="G110" s="1740"/>
      <c r="H110" s="453" t="str">
        <f>EUconst_TJpa</f>
        <v>TJ / rok</v>
      </c>
      <c r="I110" s="313"/>
      <c r="J110" s="313"/>
      <c r="K110" s="313"/>
      <c r="L110" s="313"/>
      <c r="M110" s="313"/>
      <c r="N110" s="702"/>
      <c r="O110" s="16"/>
      <c r="P110" s="1062" t="str">
        <f>EUconst_CNTR_FuelInput &amp; I13</f>
        <v>FuelInput_</v>
      </c>
      <c r="R110" s="1037"/>
    </row>
    <row r="111" spans="2:23" ht="12.75" customHeight="1" x14ac:dyDescent="0.2">
      <c r="B111" s="207"/>
      <c r="C111" s="1060"/>
      <c r="D111" s="699" t="s">
        <v>3</v>
      </c>
      <c r="E111" s="1772" t="str">
        <f>Translations!$B$732</f>
        <v>Ważony współczynnik emisji</v>
      </c>
      <c r="F111" s="1773"/>
      <c r="G111" s="1773"/>
      <c r="H111" s="569" t="str">
        <f>EUconst_tCO2pTJ</f>
        <v>t CO2 / TJ</v>
      </c>
      <c r="I111" s="323"/>
      <c r="J111" s="323"/>
      <c r="K111" s="323"/>
      <c r="L111" s="323"/>
      <c r="M111" s="323"/>
      <c r="N111" s="665"/>
      <c r="O111" s="16"/>
      <c r="P111" s="1062" t="str">
        <f>EUconst_CNTR_FuelEF &amp; I13</f>
        <v>FuelEF_</v>
      </c>
      <c r="R111" s="1037"/>
    </row>
    <row r="112" spans="2:23" ht="12.75" customHeight="1" x14ac:dyDescent="0.2">
      <c r="B112" s="207"/>
      <c r="C112" s="1060"/>
      <c r="D112" s="1061"/>
      <c r="E112" s="1061"/>
      <c r="F112" s="1061"/>
      <c r="G112" s="1061"/>
      <c r="H112" s="1061"/>
      <c r="I112" s="1061"/>
      <c r="J112" s="1061"/>
      <c r="K112" s="1061"/>
      <c r="L112" s="1061"/>
      <c r="M112" s="1063"/>
      <c r="N112" s="665"/>
      <c r="O112" s="16"/>
      <c r="P112" s="1037"/>
      <c r="R112" s="1037"/>
    </row>
    <row r="113" spans="2:27" ht="12.75" customHeight="1" x14ac:dyDescent="0.2">
      <c r="B113" s="207"/>
      <c r="C113" s="1060"/>
      <c r="D113" s="462" t="s">
        <v>89</v>
      </c>
      <c r="E113" s="1760" t="str">
        <f>Translations!$B$733</f>
        <v>Dalsze wewnętrzne strumienie materiałów wsadowych wprowadzane do tej podinstalacji lub z niej wyprowadzane</v>
      </c>
      <c r="F113" s="1760"/>
      <c r="G113" s="1760"/>
      <c r="H113" s="1760"/>
      <c r="I113" s="1760"/>
      <c r="J113" s="1760"/>
      <c r="K113" s="1760"/>
      <c r="L113" s="1760"/>
      <c r="M113" s="1760"/>
      <c r="N113" s="1761"/>
      <c r="O113" s="16"/>
      <c r="P113" s="1037"/>
      <c r="Q113" s="1037"/>
      <c r="R113" s="1037"/>
    </row>
    <row r="114" spans="2:27" ht="12.75" customHeight="1" x14ac:dyDescent="0.2">
      <c r="B114" s="207"/>
      <c r="C114" s="1060"/>
      <c r="D114" s="699"/>
      <c r="E114" s="1730" t="str">
        <f>Translations!$B$716</f>
        <v>Podane tu dane wpłyną na emisje, które można przypisać, zgodnie z pkt 10.1.1 załącznika VII do FAR.</v>
      </c>
      <c r="F114" s="1731"/>
      <c r="G114" s="1731"/>
      <c r="H114" s="1731"/>
      <c r="I114" s="1731"/>
      <c r="J114" s="1731"/>
      <c r="K114" s="1731"/>
      <c r="L114" s="1731"/>
      <c r="M114" s="1731"/>
      <c r="N114" s="1732"/>
      <c r="O114" s="16"/>
      <c r="P114" s="1037"/>
      <c r="R114" s="1037"/>
      <c r="S114" s="1037"/>
    </row>
    <row r="115" spans="2:27" ht="25.5" customHeight="1" x14ac:dyDescent="0.2">
      <c r="B115" s="207"/>
      <c r="C115" s="1060"/>
      <c r="D115" s="1061"/>
      <c r="E115" s="1730" t="str">
        <f>Translations!$B$734</f>
        <v>Należy zauważyć, że w celu uniknięcia luk w danych lub podwójnego liczenia wszystkie strumienie materiałów wsadowych należy wymienić w tym miejscu wyłącznie wówczas, gdy nie zostały jeszcze uwzględnione w emisjach bezpośrednich w lit. g) powyżej. Emisji związanych z gazami odlotowymi NIE należy wymieniać w tym miejscu, tylko w lit. l) poniżej.</v>
      </c>
      <c r="F115" s="1731"/>
      <c r="G115" s="1731"/>
      <c r="H115" s="1731"/>
      <c r="I115" s="1731"/>
      <c r="J115" s="1731"/>
      <c r="K115" s="1731"/>
      <c r="L115" s="1731"/>
      <c r="M115" s="1731"/>
      <c r="N115" s="1732"/>
      <c r="O115" s="16"/>
      <c r="P115" s="1037"/>
      <c r="Q115" s="1037"/>
      <c r="R115" s="1037"/>
    </row>
    <row r="116" spans="2:27" ht="25.5" customHeight="1" x14ac:dyDescent="0.2">
      <c r="B116" s="207"/>
      <c r="C116" s="1060"/>
      <c r="D116" s="1061"/>
      <c r="E116" s="1733" t="str">
        <f>Translations!$B$735</f>
        <v>W tym miejscu należy podać informacje dotyczące wewnętrznych strumieni materiałów wsadowych, które są przekazywane między podinstalacjami, tj. wprowadzane do tej instalacji lub z niej wyprowadzane.</v>
      </c>
      <c r="F116" s="1734"/>
      <c r="G116" s="1734"/>
      <c r="H116" s="1734"/>
      <c r="I116" s="1734"/>
      <c r="J116" s="1734"/>
      <c r="K116" s="1734"/>
      <c r="L116" s="1734"/>
      <c r="M116" s="1734"/>
      <c r="N116" s="1735"/>
      <c r="O116" s="16"/>
      <c r="P116" s="1037"/>
      <c r="Q116" s="1037"/>
      <c r="R116" s="1037"/>
    </row>
    <row r="117" spans="2:27" ht="38.85" customHeight="1" x14ac:dyDescent="0.2">
      <c r="B117" s="207"/>
      <c r="C117" s="1060"/>
      <c r="D117" s="1061"/>
      <c r="E117" s="1733" t="str">
        <f>Translations!$B$736</f>
        <v>Na przykład jeżeli jest to podinstalacja „koksownicza” w zintegrowanej hucie żelaza i stali, emisje związane z zużyciem koksu mają miejsce w wielkich piecach i nie należy ich przypisywać do tej podinstalacji (tj. podinstalacji „koksowniczej”). Część emisji zostanie jednak ujęta w lit. g) powyżej, ponieważ węgiel trafiający do pieca koksowniczego będzie jednym ze strumieni materiałów wsadowych przypisanych w tamtym miejscu w pierwszej kolejności.</v>
      </c>
      <c r="F117" s="1734"/>
      <c r="G117" s="1734"/>
      <c r="H117" s="1734"/>
      <c r="I117" s="1734"/>
      <c r="J117" s="1734"/>
      <c r="K117" s="1734"/>
      <c r="L117" s="1734"/>
      <c r="M117" s="1734"/>
      <c r="N117" s="1735"/>
      <c r="O117" s="16"/>
      <c r="P117" s="1037"/>
      <c r="R117" s="1037"/>
    </row>
    <row r="118" spans="2:27" ht="51" customHeight="1" x14ac:dyDescent="0.2">
      <c r="B118" s="207"/>
      <c r="C118" s="1060"/>
      <c r="D118" s="1061"/>
      <c r="E118" s="1733" t="str">
        <f>Translations!$B$737</f>
        <v>Aby uniknąć podwójnego liczenia, należy wprowadzić korektę w odniesieniu do koksu opuszczającego podinstalację koksowniczą jako wychodzącego „wewnętrznego strumienia materiałów wsadowych”. Korekty dokonuje się za pomocą ujemnej wartości liczby dotyczącej ilości koksu w przypadku „wyprowadzania”. Aby uzyskać pełny bilans emisji węgla wprowadzanego do podinstalacji koksowniczej, emisje związane z wykorzystywaniem gazu koksowniczego (= gazu odlotowego) zostały już uwzględnione w lit. g) powyżej (jako włączone do emisji z węgla) w zakresie, w jakim gaz jest wykorzystywany w tej podinstalacji. Korekt służących uwzględnieniu wyprowadzonych ilości gazów odlotowych nie należy dokonywać w tym miejscu, tylko w lit. l) ppkt (xx) poniżej.</v>
      </c>
      <c r="F118" s="1734"/>
      <c r="G118" s="1734"/>
      <c r="H118" s="1734"/>
      <c r="I118" s="1734"/>
      <c r="J118" s="1734"/>
      <c r="K118" s="1734"/>
      <c r="L118" s="1734"/>
      <c r="M118" s="1734"/>
      <c r="N118" s="1735"/>
      <c r="O118" s="16"/>
      <c r="P118" s="1037"/>
      <c r="R118" s="1037"/>
    </row>
    <row r="119" spans="2:27" ht="25.5" customHeight="1" thickBot="1" x14ac:dyDescent="0.25">
      <c r="B119" s="207"/>
      <c r="C119" s="1060"/>
      <c r="D119" s="1061"/>
      <c r="E119" s="1733" t="str">
        <f>Translations!$B$738</f>
        <v>Jeżeli natomiast jest to podinstalacja objęta wskaźnikiem emisyjności opartym na ciekłym metalu w zintegrowanej hucie żelaza i stali, koks należy wymienić w tym miejscu jako wchodzący/wprowadzany „wewnętrzny” strumień materiałów wsadowych o dodatnich ilościach.</v>
      </c>
      <c r="F119" s="1734"/>
      <c r="G119" s="1734"/>
      <c r="H119" s="1734"/>
      <c r="I119" s="1734"/>
      <c r="J119" s="1734"/>
      <c r="K119" s="1734"/>
      <c r="L119" s="1734"/>
      <c r="M119" s="1734"/>
      <c r="N119" s="1735"/>
      <c r="O119" s="16"/>
      <c r="P119" s="1037"/>
      <c r="R119" s="1037"/>
    </row>
    <row r="120" spans="2:27" ht="25.5" customHeight="1" thickBot="1" x14ac:dyDescent="0.25">
      <c r="B120" s="207"/>
      <c r="C120" s="1060"/>
      <c r="D120" s="699" t="s">
        <v>2</v>
      </c>
      <c r="E120" s="1774" t="str">
        <f>Translations!$B$739</f>
        <v>Czy tej podinstalacji dotyczy więcej wprowadzonych lub wyprowadzonych wewnętrznych strumieni materiałów wsadowych?</v>
      </c>
      <c r="F120" s="1774"/>
      <c r="G120" s="1774"/>
      <c r="H120" s="1774"/>
      <c r="I120" s="1774"/>
      <c r="J120" s="1774"/>
      <c r="K120" s="1775"/>
      <c r="L120" s="517"/>
      <c r="M120" s="1253"/>
      <c r="N120" s="1254"/>
      <c r="O120" s="16"/>
      <c r="P120" s="1037"/>
      <c r="R120" s="1037"/>
      <c r="W120" s="1048" t="s">
        <v>414</v>
      </c>
      <c r="X120" s="1046" t="b">
        <f>IF(AND(I13&lt;&gt;"",ISBLANK(L120)),EUconst_Error&amp;"BM"&amp;C13,FALSE)</f>
        <v>0</v>
      </c>
    </row>
    <row r="121" spans="2:27" ht="12.75" customHeight="1" thickBot="1" x14ac:dyDescent="0.25">
      <c r="B121" s="207"/>
      <c r="C121" s="1060"/>
      <c r="D121" s="1061"/>
      <c r="E121" s="1733" t="str">
        <f>Translations!$B$740</f>
        <v>Jeżeli występują więcej niż dwa wprowadzone lub wyprowadzone strumienie materiałów wsadowych, te strumienie materiałów wsadowych należy zgrupować i podać ich odpowiednie nazwy.</v>
      </c>
      <c r="F121" s="1734"/>
      <c r="G121" s="1734"/>
      <c r="H121" s="1734"/>
      <c r="I121" s="1734"/>
      <c r="J121" s="1734"/>
      <c r="K121" s="1734"/>
      <c r="L121" s="1734"/>
      <c r="M121" s="1734"/>
      <c r="N121" s="1735"/>
      <c r="O121" s="16"/>
      <c r="P121" s="1037"/>
      <c r="R121" s="1037"/>
      <c r="AA121" s="422" t="s">
        <v>272</v>
      </c>
    </row>
    <row r="122" spans="2:27" ht="12.75" customHeight="1" x14ac:dyDescent="0.2">
      <c r="B122" s="207"/>
      <c r="C122" s="1060"/>
      <c r="D122" s="699" t="s">
        <v>3</v>
      </c>
      <c r="E122" s="1760" t="str">
        <f>Translations!$B$741</f>
        <v>Nazwa dalszych strumieni materiałów wsadowych – 1:</v>
      </c>
      <c r="F122" s="1760"/>
      <c r="G122" s="1760"/>
      <c r="H122" s="1760"/>
      <c r="I122" s="1763"/>
      <c r="J122" s="1764"/>
      <c r="K122" s="1764"/>
      <c r="L122" s="1764"/>
      <c r="M122" s="1765"/>
      <c r="N122" s="664"/>
      <c r="O122" s="16"/>
      <c r="P122" s="1037"/>
      <c r="R122" s="1037"/>
      <c r="AA122" s="646" t="b">
        <f>IF(I13&lt;&gt;"",AND(L120&lt;&gt;"",L120=FALSE),FALSE)</f>
        <v>0</v>
      </c>
    </row>
    <row r="123" spans="2:27" ht="5.0999999999999996" customHeight="1" x14ac:dyDescent="0.2">
      <c r="B123" s="207"/>
      <c r="C123" s="1060"/>
      <c r="D123" s="1061"/>
      <c r="E123" s="1256"/>
      <c r="F123" s="1253"/>
      <c r="G123" s="1253"/>
      <c r="H123" s="1253"/>
      <c r="I123" s="1253"/>
      <c r="J123" s="1253"/>
      <c r="K123" s="1253"/>
      <c r="L123" s="1253"/>
      <c r="M123" s="1253"/>
      <c r="N123" s="1254"/>
      <c r="O123" s="16"/>
      <c r="P123" s="1037"/>
      <c r="R123" s="1037"/>
      <c r="AA123" s="608"/>
    </row>
    <row r="124" spans="2:27" ht="12.75" customHeight="1" x14ac:dyDescent="0.2">
      <c r="B124" s="207"/>
      <c r="C124" s="1060"/>
      <c r="D124" s="1061"/>
      <c r="E124" s="1757" t="str">
        <f>Translations!$B$742</f>
        <v>Dalsze strumienie materiałów wsadowych – 1:</v>
      </c>
      <c r="F124" s="1758"/>
      <c r="G124" s="1758"/>
      <c r="H124" s="450" t="str">
        <f>EUconst_Unit</f>
        <v>Jednostka</v>
      </c>
      <c r="I124" s="451">
        <f>I$1882</f>
        <v>2014</v>
      </c>
      <c r="J124" s="451">
        <f>J$1882</f>
        <v>2015</v>
      </c>
      <c r="K124" s="451">
        <f>K$1882</f>
        <v>2016</v>
      </c>
      <c r="L124" s="451">
        <f>L$1882</f>
        <v>2017</v>
      </c>
      <c r="M124" s="451">
        <f>M$1882</f>
        <v>2018</v>
      </c>
      <c r="N124" s="665"/>
      <c r="O124" s="16"/>
      <c r="P124" s="1037"/>
      <c r="R124" s="1037"/>
      <c r="AA124" s="608"/>
    </row>
    <row r="125" spans="2:27" ht="12.75" customHeight="1" x14ac:dyDescent="0.2">
      <c r="B125" s="207"/>
      <c r="C125" s="1060"/>
      <c r="D125" s="699" t="s">
        <v>4</v>
      </c>
      <c r="E125" s="1766" t="str">
        <f>Translations!$B$743</f>
        <v>Ilość wprowadzona lub wyprowadzona</v>
      </c>
      <c r="F125" s="1767"/>
      <c r="G125" s="1767"/>
      <c r="H125" s="454" t="str">
        <f>EUconst_tpa</f>
        <v>t / rok</v>
      </c>
      <c r="I125" s="331"/>
      <c r="J125" s="331"/>
      <c r="K125" s="331"/>
      <c r="L125" s="331"/>
      <c r="M125" s="331"/>
      <c r="N125" s="665"/>
      <c r="O125" s="16"/>
      <c r="P125" s="1037"/>
      <c r="R125" s="1037"/>
      <c r="AA125" s="345" t="b">
        <f>AA122</f>
        <v>0</v>
      </c>
    </row>
    <row r="126" spans="2:27" ht="12.75" customHeight="1" x14ac:dyDescent="0.2">
      <c r="B126" s="207"/>
      <c r="C126" s="1060"/>
      <c r="D126" s="699" t="s">
        <v>6</v>
      </c>
      <c r="E126" s="1771" t="str">
        <f>Translations!$B$744</f>
        <v>Wartość opałowa netto (NCV) (jeśli dotyczy)</v>
      </c>
      <c r="F126" s="1771"/>
      <c r="G126" s="1771"/>
      <c r="H126" s="541" t="str">
        <f>EUconst_GJpt</f>
        <v>GJ / t</v>
      </c>
      <c r="I126" s="330"/>
      <c r="J126" s="330"/>
      <c r="K126" s="330"/>
      <c r="L126" s="330"/>
      <c r="M126" s="330"/>
      <c r="N126" s="665"/>
      <c r="O126" s="16"/>
      <c r="P126" s="1037"/>
      <c r="R126" s="1037"/>
      <c r="AA126" s="345" t="b">
        <f>AA125</f>
        <v>0</v>
      </c>
    </row>
    <row r="127" spans="2:27" ht="12.75" customHeight="1" thickBot="1" x14ac:dyDescent="0.25">
      <c r="B127" s="207"/>
      <c r="C127" s="1060"/>
      <c r="D127" s="699" t="s">
        <v>316</v>
      </c>
      <c r="E127" s="1771" t="str">
        <f>Translations!$B$745</f>
        <v>Zawartość węgla (% masy)</v>
      </c>
      <c r="F127" s="1771"/>
      <c r="G127" s="1771"/>
      <c r="H127" s="542" t="s">
        <v>355</v>
      </c>
      <c r="I127" s="330"/>
      <c r="J127" s="330"/>
      <c r="K127" s="330"/>
      <c r="L127" s="330"/>
      <c r="M127" s="330"/>
      <c r="N127" s="665"/>
      <c r="O127" s="16"/>
      <c r="P127" s="1037"/>
      <c r="R127" s="1037"/>
      <c r="AA127" s="345" t="b">
        <f>AA126</f>
        <v>0</v>
      </c>
    </row>
    <row r="128" spans="2:27" ht="12.75" customHeight="1" x14ac:dyDescent="0.2">
      <c r="B128" s="207"/>
      <c r="C128" s="1060"/>
      <c r="D128" s="699" t="s">
        <v>317</v>
      </c>
      <c r="E128" s="1744" t="str">
        <f>Translations!$B$746</f>
        <v>Zawartość biomasy (jako frakcja węgla)</v>
      </c>
      <c r="F128" s="1744"/>
      <c r="G128" s="1744"/>
      <c r="H128" s="473" t="s">
        <v>355</v>
      </c>
      <c r="I128" s="329"/>
      <c r="J128" s="329"/>
      <c r="K128" s="329"/>
      <c r="L128" s="329"/>
      <c r="M128" s="329"/>
      <c r="N128" s="665"/>
      <c r="O128" s="16"/>
      <c r="P128" s="1037"/>
      <c r="R128" s="1052"/>
      <c r="S128" s="814">
        <f>I124</f>
        <v>2014</v>
      </c>
      <c r="T128" s="814">
        <f>J124</f>
        <v>2015</v>
      </c>
      <c r="U128" s="814">
        <f>K124</f>
        <v>2016</v>
      </c>
      <c r="V128" s="814">
        <f>L124</f>
        <v>2017</v>
      </c>
      <c r="W128" s="815">
        <f>M124</f>
        <v>2018</v>
      </c>
      <c r="AA128" s="345" t="b">
        <f>AA127</f>
        <v>0</v>
      </c>
    </row>
    <row r="129" spans="2:27" ht="12.75" customHeight="1" thickBot="1" x14ac:dyDescent="0.25">
      <c r="B129" s="207"/>
      <c r="C129" s="1060"/>
      <c r="D129" s="699" t="s">
        <v>318</v>
      </c>
      <c r="E129" s="1767" t="str">
        <f>Translations!$B$747</f>
        <v>Emisje (kopalne, obliczone)</v>
      </c>
      <c r="F129" s="1767"/>
      <c r="G129" s="1767"/>
      <c r="H129" s="543" t="str">
        <f>EUconst_tCO2pa</f>
        <v>t CO2 / rok</v>
      </c>
      <c r="I129" s="325" t="str">
        <f>IF(AND(COUNT(I125:I128)&gt;0,I132=""),3.664*I125*(I127/100)*(1-I128/100),"")</f>
        <v/>
      </c>
      <c r="J129" s="325" t="str">
        <f>IF(AND(COUNT(J125:J128)&gt;0,J132=""),3.664*J125*(J127/100)*(1-J128/100),"")</f>
        <v/>
      </c>
      <c r="K129" s="325" t="str">
        <f>IF(AND(COUNT(K125:K128)&gt;0,K132=""),3.664*K125*(K127/100)*(1-K128/100),"")</f>
        <v/>
      </c>
      <c r="L129" s="325" t="str">
        <f>IF(AND(COUNT(L125:L128)&gt;0,L132=""),3.664*L125*(L127/100)*(1-L128/100),"")</f>
        <v/>
      </c>
      <c r="M129" s="325" t="str">
        <f>IF(AND(COUNT(M125:M128)&gt;0,M132=""),3.664*M125*(M127/100)*(1-M128/100),"")</f>
        <v/>
      </c>
      <c r="N129" s="665"/>
      <c r="O129" s="16"/>
      <c r="P129" s="1062" t="str">
        <f>EUconst_CNTR_EmissionsIntSource1 &amp; I13</f>
        <v>EmInternalSource1_</v>
      </c>
      <c r="R129" s="1053" t="str">
        <f>EUconst_CNTR_AttributedEmissions &amp; I13</f>
        <v>AttrEmissions_</v>
      </c>
      <c r="S129" s="119" t="str">
        <f>IF(S13,SUM(I129),"")</f>
        <v/>
      </c>
      <c r="T129" s="119" t="str">
        <f>IF(T13,SUM(J129),"")</f>
        <v/>
      </c>
      <c r="U129" s="119" t="str">
        <f>IF(U13,SUM(K129),"")</f>
        <v/>
      </c>
      <c r="V129" s="119" t="str">
        <f>IF(V13,SUM(L129),"")</f>
        <v/>
      </c>
      <c r="W129" s="120" t="str">
        <f>IF(W13,SUM(M129),"")</f>
        <v/>
      </c>
      <c r="AA129" s="608"/>
    </row>
    <row r="130" spans="2:27" ht="12.75" customHeight="1" x14ac:dyDescent="0.2">
      <c r="B130" s="207"/>
      <c r="C130" s="1060"/>
      <c r="D130" s="699" t="s">
        <v>319</v>
      </c>
      <c r="E130" s="1769" t="str">
        <f>Translations!$B$748</f>
        <v>Nota uzupełniająca: Emisje pochodzące z biomasy</v>
      </c>
      <c r="F130" s="1769"/>
      <c r="G130" s="1769"/>
      <c r="H130" s="544" t="str">
        <f>EUconst_tCO2pa</f>
        <v>t CO2 / rok</v>
      </c>
      <c r="I130" s="324" t="str">
        <f>IF(ISNUMBER(I129),3.664*I125*(I127/100)*(I128/100),"")</f>
        <v/>
      </c>
      <c r="J130" s="324" t="str">
        <f>IF(ISNUMBER(J129),3.664*J125*(J127/100)*(J128/100),"")</f>
        <v/>
      </c>
      <c r="K130" s="324" t="str">
        <f>IF(ISNUMBER(K129),3.664*K125*(K127/100)*(K128/100),"")</f>
        <v/>
      </c>
      <c r="L130" s="324" t="str">
        <f>IF(ISNUMBER(L129),3.664*L125*(L127/100)*(L128/100),"")</f>
        <v/>
      </c>
      <c r="M130" s="324" t="str">
        <f>IF(ISNUMBER(M129),3.664*M125*(M127/100)*(M128/100),"")</f>
        <v/>
      </c>
      <c r="N130" s="665"/>
      <c r="O130" s="16"/>
      <c r="P130" s="1037"/>
      <c r="R130" s="1037"/>
      <c r="AA130" s="608"/>
    </row>
    <row r="131" spans="2:27" ht="12.75" customHeight="1" x14ac:dyDescent="0.2">
      <c r="B131" s="207"/>
      <c r="C131" s="1060"/>
      <c r="D131" s="699" t="s">
        <v>320</v>
      </c>
      <c r="E131" s="1744" t="str">
        <f>Translations!$B$749</f>
        <v>Zawartość energii (obliczona)</v>
      </c>
      <c r="F131" s="1744"/>
      <c r="G131" s="1744"/>
      <c r="H131" s="545" t="str">
        <f>EUconst_TJpa</f>
        <v>TJ / rok</v>
      </c>
      <c r="I131" s="327" t="str">
        <f>IF(COUNT(I125:I126)=2,I125*I126/1000,"")</f>
        <v/>
      </c>
      <c r="J131" s="327" t="str">
        <f>IF(COUNT(J125:J126)=2,J125*J126/1000,"")</f>
        <v/>
      </c>
      <c r="K131" s="327" t="str">
        <f>IF(COUNT(K125:K126)=2,K125*K126/1000,"")</f>
        <v/>
      </c>
      <c r="L131" s="327" t="str">
        <f>IF(COUNT(L125:L126)=2,L125*L126/1000,"")</f>
        <v/>
      </c>
      <c r="M131" s="327" t="str">
        <f>IF(COUNT(M125:M126)=2,M125*M126/1000,"")</f>
        <v/>
      </c>
      <c r="N131" s="665"/>
      <c r="O131" s="16"/>
      <c r="P131" s="1037"/>
      <c r="R131" s="1037"/>
      <c r="AA131" s="608"/>
    </row>
    <row r="132" spans="2:27" ht="12.75" customHeight="1" x14ac:dyDescent="0.2">
      <c r="B132" s="207"/>
      <c r="C132" s="1060"/>
      <c r="D132" s="699" t="s">
        <v>16</v>
      </c>
      <c r="E132" s="1770" t="str">
        <f>Translations!$B$750</f>
        <v>Komunikaty o błędach (emisje)</v>
      </c>
      <c r="F132" s="1770"/>
      <c r="G132" s="1770"/>
      <c r="H132" s="546"/>
      <c r="I132" s="666" t="str">
        <f>IF(COUNT(I125,I127:I128)&gt;0,IF(COUNTIF(I126:I128,"&lt;0")&gt;0,EUconst_Negative,IF(COUNT(I125,I127:I128)&lt;3,EUconst_Incomplete,"")),"")</f>
        <v/>
      </c>
      <c r="J132" s="666" t="str">
        <f>IF(COUNT(J125,J127:J128)&gt;0,IF(COUNTIF(J126:J128,"&lt;0")&gt;0,EUconst_Negative,IF(COUNT(J125,J127:J128)&lt;3,EUconst_Incomplete,"")),"")</f>
        <v/>
      </c>
      <c r="K132" s="666" t="str">
        <f>IF(COUNT(K125,K127:K128)&gt;0,IF(COUNTIF(K126:K128,"&lt;0")&gt;0,EUconst_Negative,IF(COUNT(K125,K127:K128)&lt;3,EUconst_Incomplete,"")),"")</f>
        <v/>
      </c>
      <c r="L132" s="666" t="str">
        <f>IF(COUNT(L125,L127:L128)&gt;0,IF(COUNTIF(L126:L128,"&lt;0")&gt;0,EUconst_Negative,IF(COUNT(L125,L127:L128)&lt;3,EUconst_Incomplete,"")),"")</f>
        <v/>
      </c>
      <c r="M132" s="666" t="str">
        <f>IF(COUNT(M125,M127:M128)&gt;0,IF(COUNTIF(M126:M128,"&lt;0")&gt;0,EUconst_Negative,IF(COUNT(M125,M127:M128)&lt;3,EUconst_Incomplete,"")),"")</f>
        <v/>
      </c>
      <c r="N132" s="665"/>
      <c r="O132" s="16"/>
      <c r="P132" s="1037"/>
      <c r="R132" s="1037"/>
      <c r="AA132" s="608"/>
    </row>
    <row r="133" spans="2:27" ht="12.75" customHeight="1" x14ac:dyDescent="0.2">
      <c r="B133" s="207"/>
      <c r="C133" s="1060"/>
      <c r="D133" s="699"/>
      <c r="E133" s="1061"/>
      <c r="F133" s="1061"/>
      <c r="G133" s="1061"/>
      <c r="H133" s="1061"/>
      <c r="I133" s="1061"/>
      <c r="J133" s="1061"/>
      <c r="K133" s="1061"/>
      <c r="L133" s="1061"/>
      <c r="M133" s="1063"/>
      <c r="N133" s="665"/>
      <c r="O133" s="16"/>
      <c r="P133" s="1037"/>
      <c r="R133" s="1037"/>
      <c r="AA133" s="608"/>
    </row>
    <row r="134" spans="2:27" ht="12.75" customHeight="1" x14ac:dyDescent="0.2">
      <c r="B134" s="207"/>
      <c r="C134" s="1060"/>
      <c r="D134" s="699" t="s">
        <v>17</v>
      </c>
      <c r="E134" s="1760" t="str">
        <f>Translations!$B$751</f>
        <v>Nazwa dalszych strumieni materiałów wsadowych – 2:</v>
      </c>
      <c r="F134" s="1760"/>
      <c r="G134" s="1760"/>
      <c r="H134" s="1760"/>
      <c r="I134" s="1763"/>
      <c r="J134" s="1764"/>
      <c r="K134" s="1764"/>
      <c r="L134" s="1764"/>
      <c r="M134" s="1765"/>
      <c r="N134" s="1254"/>
      <c r="O134" s="16"/>
      <c r="P134" s="1037"/>
      <c r="R134" s="1037"/>
      <c r="AA134" s="345" t="b">
        <f>AA122</f>
        <v>0</v>
      </c>
    </row>
    <row r="135" spans="2:27" ht="5.0999999999999996" customHeight="1" x14ac:dyDescent="0.2">
      <c r="B135" s="207"/>
      <c r="C135" s="1060"/>
      <c r="D135" s="1061"/>
      <c r="E135" s="1256"/>
      <c r="F135" s="1253"/>
      <c r="G135" s="1253"/>
      <c r="H135" s="1253"/>
      <c r="I135" s="1253"/>
      <c r="J135" s="1253"/>
      <c r="K135" s="1253"/>
      <c r="L135" s="1253"/>
      <c r="M135" s="1253"/>
      <c r="N135" s="1254"/>
      <c r="O135" s="16"/>
      <c r="P135" s="1037"/>
      <c r="R135" s="1037"/>
      <c r="AA135" s="608"/>
    </row>
    <row r="136" spans="2:27" ht="12.75" customHeight="1" x14ac:dyDescent="0.2">
      <c r="B136" s="207"/>
      <c r="C136" s="1060"/>
      <c r="D136" s="699"/>
      <c r="E136" s="1757" t="str">
        <f>Translations!$B$752</f>
        <v>Dalsze strumienie materiałów wsadowych – 2:</v>
      </c>
      <c r="F136" s="1758"/>
      <c r="G136" s="1758"/>
      <c r="H136" s="450" t="str">
        <f>EUconst_Unit</f>
        <v>Jednostka</v>
      </c>
      <c r="I136" s="451">
        <f>I$1882</f>
        <v>2014</v>
      </c>
      <c r="J136" s="451">
        <f>J$1882</f>
        <v>2015</v>
      </c>
      <c r="K136" s="451">
        <f>K$1882</f>
        <v>2016</v>
      </c>
      <c r="L136" s="451">
        <f>L$1882</f>
        <v>2017</v>
      </c>
      <c r="M136" s="451">
        <f>M$1882</f>
        <v>2018</v>
      </c>
      <c r="N136" s="665"/>
      <c r="O136" s="16"/>
      <c r="P136" s="1037"/>
      <c r="R136" s="1037"/>
      <c r="AA136" s="608"/>
    </row>
    <row r="137" spans="2:27" ht="12.75" customHeight="1" x14ac:dyDescent="0.2">
      <c r="B137" s="207"/>
      <c r="C137" s="1060"/>
      <c r="D137" s="699" t="s">
        <v>18</v>
      </c>
      <c r="E137" s="1766" t="str">
        <f>Translations!$B$743</f>
        <v>Ilość wprowadzona lub wyprowadzona</v>
      </c>
      <c r="F137" s="1767"/>
      <c r="G137" s="1767"/>
      <c r="H137" s="454" t="str">
        <f>EUconst_tpa</f>
        <v>t / rok</v>
      </c>
      <c r="I137" s="331"/>
      <c r="J137" s="331"/>
      <c r="K137" s="331"/>
      <c r="L137" s="331"/>
      <c r="M137" s="331"/>
      <c r="N137" s="665"/>
      <c r="O137" s="16"/>
      <c r="P137" s="1037"/>
      <c r="R137" s="1037"/>
      <c r="AA137" s="345" t="b">
        <f>AA134</f>
        <v>0</v>
      </c>
    </row>
    <row r="138" spans="2:27" ht="12.75" customHeight="1" x14ac:dyDescent="0.2">
      <c r="B138" s="207"/>
      <c r="C138" s="1060"/>
      <c r="D138" s="699" t="s">
        <v>454</v>
      </c>
      <c r="E138" s="1771" t="str">
        <f>Translations!$B$744</f>
        <v>Wartość opałowa netto (NCV) (jeśli dotyczy)</v>
      </c>
      <c r="F138" s="1771"/>
      <c r="G138" s="1771"/>
      <c r="H138" s="541" t="str">
        <f>EUconst_GJpt</f>
        <v>GJ / t</v>
      </c>
      <c r="I138" s="330"/>
      <c r="J138" s="330"/>
      <c r="K138" s="330"/>
      <c r="L138" s="330"/>
      <c r="M138" s="330"/>
      <c r="N138" s="665"/>
      <c r="O138" s="16"/>
      <c r="P138" s="1037"/>
      <c r="R138" s="1037"/>
      <c r="AA138" s="345" t="b">
        <f>AA137</f>
        <v>0</v>
      </c>
    </row>
    <row r="139" spans="2:27" ht="12.75" customHeight="1" thickBot="1" x14ac:dyDescent="0.25">
      <c r="B139" s="207"/>
      <c r="C139" s="1060"/>
      <c r="D139" s="699" t="s">
        <v>455</v>
      </c>
      <c r="E139" s="1771" t="str">
        <f>Translations!$B$745</f>
        <v>Zawartość węgla (% masy)</v>
      </c>
      <c r="F139" s="1771"/>
      <c r="G139" s="1771"/>
      <c r="H139" s="542" t="s">
        <v>355</v>
      </c>
      <c r="I139" s="330"/>
      <c r="J139" s="330"/>
      <c r="K139" s="330"/>
      <c r="L139" s="330"/>
      <c r="M139" s="330"/>
      <c r="N139" s="665"/>
      <c r="O139" s="16"/>
      <c r="P139" s="1037"/>
      <c r="R139" s="1037"/>
      <c r="AA139" s="345" t="b">
        <f>AA138</f>
        <v>0</v>
      </c>
    </row>
    <row r="140" spans="2:27" ht="12.75" customHeight="1" thickBot="1" x14ac:dyDescent="0.25">
      <c r="B140" s="207"/>
      <c r="C140" s="1060"/>
      <c r="D140" s="699" t="s">
        <v>456</v>
      </c>
      <c r="E140" s="1744" t="str">
        <f>Translations!$B$746</f>
        <v>Zawartość biomasy (jako frakcja węgla)</v>
      </c>
      <c r="F140" s="1744"/>
      <c r="G140" s="1744"/>
      <c r="H140" s="473" t="s">
        <v>355</v>
      </c>
      <c r="I140" s="329"/>
      <c r="J140" s="329"/>
      <c r="K140" s="329"/>
      <c r="L140" s="329"/>
      <c r="M140" s="329"/>
      <c r="N140" s="665"/>
      <c r="O140" s="16"/>
      <c r="P140" s="1037"/>
      <c r="R140" s="1052"/>
      <c r="S140" s="814">
        <f>I136</f>
        <v>2014</v>
      </c>
      <c r="T140" s="814">
        <f>J136</f>
        <v>2015</v>
      </c>
      <c r="U140" s="814">
        <f>K136</f>
        <v>2016</v>
      </c>
      <c r="V140" s="814">
        <f>L136</f>
        <v>2017</v>
      </c>
      <c r="W140" s="815">
        <f>M136</f>
        <v>2018</v>
      </c>
      <c r="AA140" s="168" t="b">
        <f>AA139</f>
        <v>0</v>
      </c>
    </row>
    <row r="141" spans="2:27" ht="12.75" customHeight="1" thickBot="1" x14ac:dyDescent="0.25">
      <c r="B141" s="207"/>
      <c r="C141" s="1060"/>
      <c r="D141" s="699" t="s">
        <v>457</v>
      </c>
      <c r="E141" s="1767" t="str">
        <f>Translations!$B$747</f>
        <v>Emisje (kopalne, obliczone)</v>
      </c>
      <c r="F141" s="1767"/>
      <c r="G141" s="1767"/>
      <c r="H141" s="543" t="str">
        <f>EUconst_tCO2pa</f>
        <v>t CO2 / rok</v>
      </c>
      <c r="I141" s="325" t="str">
        <f>IF(AND(COUNT(I137:I140)&gt;0,I144=""),3.664*I137*(I139/100)*(1-I140/100),"")</f>
        <v/>
      </c>
      <c r="J141" s="325" t="str">
        <f>IF(AND(COUNT(J137:J140)&gt;0,J144=""),3.664*J137*(J139/100)*(1-J140/100),"")</f>
        <v/>
      </c>
      <c r="K141" s="325" t="str">
        <f>IF(AND(COUNT(K137:K140)&gt;0,K144=""),3.664*K137*(K139/100)*(1-K140/100),"")</f>
        <v/>
      </c>
      <c r="L141" s="325" t="str">
        <f>IF(AND(COUNT(L137:L140)&gt;0,L144=""),3.664*L137*(L139/100)*(1-L140/100),"")</f>
        <v/>
      </c>
      <c r="M141" s="325" t="str">
        <f>IF(AND(COUNT(M137:M140)&gt;0,M144=""),3.664*M137*(M139/100)*(1-M140/100),"")</f>
        <v/>
      </c>
      <c r="N141" s="665"/>
      <c r="O141" s="16"/>
      <c r="P141" s="1062" t="str">
        <f>EUconst_CNTR_EmissionsIntSource2 &amp; I13</f>
        <v>EmInternalSource2_</v>
      </c>
      <c r="R141" s="1053" t="str">
        <f>EUconst_CNTR_AttributedEmissions &amp; I13</f>
        <v>AttrEmissions_</v>
      </c>
      <c r="S141" s="119" t="str">
        <f>IF(S13,SUM(I141),"")</f>
        <v/>
      </c>
      <c r="T141" s="119" t="str">
        <f>IF(T13,SUM(J141),"")</f>
        <v/>
      </c>
      <c r="U141" s="119" t="str">
        <f>IF(U13,SUM(K141),"")</f>
        <v/>
      </c>
      <c r="V141" s="119" t="str">
        <f>IF(V13,SUM(L141),"")</f>
        <v/>
      </c>
      <c r="W141" s="120" t="str">
        <f>IF(W13,SUM(M141),"")</f>
        <v/>
      </c>
    </row>
    <row r="142" spans="2:27" ht="12.75" customHeight="1" x14ac:dyDescent="0.2">
      <c r="B142" s="207"/>
      <c r="C142" s="1060"/>
      <c r="D142" s="699" t="s">
        <v>458</v>
      </c>
      <c r="E142" s="1769" t="str">
        <f>Translations!$B$748</f>
        <v>Nota uzupełniająca: Emisje pochodzące z biomasy</v>
      </c>
      <c r="F142" s="1769"/>
      <c r="G142" s="1769"/>
      <c r="H142" s="544" t="str">
        <f>EUconst_tCO2pa</f>
        <v>t CO2 / rok</v>
      </c>
      <c r="I142" s="324" t="str">
        <f>IF(ISNUMBER(I141),3.664*I137*(I139/100)*(I140/100),"")</f>
        <v/>
      </c>
      <c r="J142" s="324" t="str">
        <f>IF(ISNUMBER(J141),3.664*J137*(J139/100)*(J140/100),"")</f>
        <v/>
      </c>
      <c r="K142" s="324" t="str">
        <f>IF(ISNUMBER(K141),3.664*K137*(K139/100)*(K140/100),"")</f>
        <v/>
      </c>
      <c r="L142" s="324" t="str">
        <f>IF(ISNUMBER(L141),3.664*L137*(L139/100)*(L140/100),"")</f>
        <v/>
      </c>
      <c r="M142" s="324" t="str">
        <f>IF(ISNUMBER(M141),3.664*M137*(M139/100)*(M140/100),"")</f>
        <v/>
      </c>
      <c r="N142" s="665"/>
      <c r="O142" s="16"/>
      <c r="P142" s="1037"/>
      <c r="R142" s="1037"/>
    </row>
    <row r="143" spans="2:27" ht="12.75" customHeight="1" x14ac:dyDescent="0.2">
      <c r="B143" s="207"/>
      <c r="C143" s="1060"/>
      <c r="D143" s="699" t="s">
        <v>459</v>
      </c>
      <c r="E143" s="1744" t="str">
        <f>Translations!$B$749</f>
        <v>Zawartość energii (obliczona)</v>
      </c>
      <c r="F143" s="1744"/>
      <c r="G143" s="1744"/>
      <c r="H143" s="545" t="str">
        <f>EUconst_TJpa</f>
        <v>TJ / rok</v>
      </c>
      <c r="I143" s="327" t="str">
        <f>IF(COUNT(I137:I138)=2,I137*I138/1000,"")</f>
        <v/>
      </c>
      <c r="J143" s="327" t="str">
        <f>IF(COUNT(J137:J138)=2,J137*J138/1000,"")</f>
        <v/>
      </c>
      <c r="K143" s="327" t="str">
        <f>IF(COUNT(K137:K138)=2,K137*K138/1000,"")</f>
        <v/>
      </c>
      <c r="L143" s="327" t="str">
        <f>IF(COUNT(L137:L138)=2,L137*L138/1000,"")</f>
        <v/>
      </c>
      <c r="M143" s="327" t="str">
        <f>IF(COUNT(M137:M138)=2,M137*M138/1000,"")</f>
        <v/>
      </c>
      <c r="N143" s="665"/>
      <c r="O143" s="16"/>
      <c r="P143" s="1037"/>
      <c r="R143" s="1037"/>
    </row>
    <row r="144" spans="2:27" ht="12.75" customHeight="1" x14ac:dyDescent="0.2">
      <c r="B144" s="207"/>
      <c r="C144" s="1060"/>
      <c r="D144" s="699" t="s">
        <v>455</v>
      </c>
      <c r="E144" s="1770" t="str">
        <f>Translations!$B$750</f>
        <v>Komunikaty o błędach (emisje)</v>
      </c>
      <c r="F144" s="1770"/>
      <c r="G144" s="1770"/>
      <c r="H144" s="546"/>
      <c r="I144" s="666" t="str">
        <f>IF(COUNT(I137,I139:I140)&gt;0,IF(COUNTIF(I138:I140,"&lt;0")&gt;0,EUconst_Negative,IF(COUNT(I137,I139:I140)&lt;3,EUconst_Incomplete,"")),"")</f>
        <v/>
      </c>
      <c r="J144" s="666" t="str">
        <f>IF(COUNT(J137,J139:J140)&gt;0,IF(COUNTIF(J138:J140,"&lt;0")&gt;0,EUconst_Negative,IF(COUNT(J137,J139:J140)&lt;3,EUconst_Incomplete,"")),"")</f>
        <v/>
      </c>
      <c r="K144" s="666" t="str">
        <f>IF(COUNT(K137,K139:K140)&gt;0,IF(COUNTIF(K138:K140,"&lt;0")&gt;0,EUconst_Negative,IF(COUNT(K137,K139:K140)&lt;3,EUconst_Incomplete,"")),"")</f>
        <v/>
      </c>
      <c r="L144" s="666" t="str">
        <f>IF(COUNT(L137,L139:L140)&gt;0,IF(COUNTIF(L138:L140,"&lt;0")&gt;0,EUconst_Negative,IF(COUNT(L137,L139:L140)&lt;3,EUconst_Incomplete,"")),"")</f>
        <v/>
      </c>
      <c r="M144" s="666" t="str">
        <f>IF(COUNT(M137,M139:M140)&gt;0,IF(COUNTIF(M138:M140,"&lt;0")&gt;0,EUconst_Negative,IF(COUNT(M137,M139:M140)&lt;3,EUconst_Incomplete,"")),"")</f>
        <v/>
      </c>
      <c r="N144" s="665"/>
      <c r="O144" s="16"/>
      <c r="P144" s="1037"/>
      <c r="R144" s="1037"/>
    </row>
    <row r="145" spans="2:27" ht="12.75" customHeight="1" x14ac:dyDescent="0.2">
      <c r="B145" s="207"/>
      <c r="C145" s="1060"/>
      <c r="D145" s="1061"/>
      <c r="E145" s="1061"/>
      <c r="F145" s="1061"/>
      <c r="G145" s="1061"/>
      <c r="H145" s="1061"/>
      <c r="I145" s="1061"/>
      <c r="J145" s="1061"/>
      <c r="K145" s="1061"/>
      <c r="L145" s="1061"/>
      <c r="M145" s="1063"/>
      <c r="N145" s="665"/>
      <c r="O145" s="16"/>
      <c r="P145" s="1037"/>
      <c r="R145" s="1037"/>
    </row>
    <row r="146" spans="2:27" ht="12.75" customHeight="1" x14ac:dyDescent="0.2">
      <c r="B146" s="207"/>
      <c r="C146" s="1060"/>
      <c r="D146" s="462" t="s">
        <v>218</v>
      </c>
      <c r="E146" s="1731" t="str">
        <f>Translations!$B$753</f>
        <v>Ilość gazów cieplarnianych wprowadzonych lub wyprowadzonych w charakterze materiałów wsadowych</v>
      </c>
      <c r="F146" s="1734"/>
      <c r="G146" s="1734"/>
      <c r="H146" s="1734"/>
      <c r="I146" s="1734"/>
      <c r="J146" s="1734"/>
      <c r="K146" s="1734"/>
      <c r="L146" s="1734"/>
      <c r="M146" s="1734"/>
      <c r="N146" s="1735"/>
      <c r="O146" s="16"/>
      <c r="P146" s="1037"/>
      <c r="R146" s="1037"/>
    </row>
    <row r="147" spans="2:27" ht="12.75" customHeight="1" x14ac:dyDescent="0.2">
      <c r="B147" s="207"/>
      <c r="C147" s="1060"/>
      <c r="D147" s="699"/>
      <c r="E147" s="1730" t="str">
        <f>Translations!$B$716</f>
        <v>Podane tu dane wpłyną na emisje, które można przypisać, zgodnie z pkt 10.1.1 załącznika VII do FAR.</v>
      </c>
      <c r="F147" s="1731"/>
      <c r="G147" s="1731"/>
      <c r="H147" s="1731"/>
      <c r="I147" s="1731"/>
      <c r="J147" s="1731"/>
      <c r="K147" s="1731"/>
      <c r="L147" s="1731"/>
      <c r="M147" s="1731"/>
      <c r="N147" s="1732"/>
      <c r="O147" s="16"/>
      <c r="P147" s="1037"/>
      <c r="R147" s="1037"/>
      <c r="S147" s="1037"/>
      <c r="AA147" s="608"/>
    </row>
    <row r="148" spans="2:27" ht="25.5" customHeight="1" x14ac:dyDescent="0.2">
      <c r="B148" s="207"/>
      <c r="C148" s="1060"/>
      <c r="D148" s="1061"/>
      <c r="E148" s="1733" t="str">
        <f>Translations!$B$754</f>
        <v>Zgodnie z wymogami określonymi w pkt. 3.1 lit. k) i l) załącznika IV do FAR w tym miejscu należy podać ilość przenoszonego dwutlenku węgla wprowadzonego z innych podinstalacji, instalacji lub od innych podmiotów lub do nich wyprowadzonego zgodnie z zasadami określonymi w MRR.</v>
      </c>
      <c r="F148" s="1734"/>
      <c r="G148" s="1734"/>
      <c r="H148" s="1734"/>
      <c r="I148" s="1734"/>
      <c r="J148" s="1734"/>
      <c r="K148" s="1734"/>
      <c r="L148" s="1734"/>
      <c r="M148" s="1734"/>
      <c r="N148" s="1735"/>
      <c r="O148" s="16"/>
      <c r="P148" s="1037"/>
      <c r="R148" s="1037"/>
    </row>
    <row r="149" spans="2:27" ht="12.75" customHeight="1" thickBot="1" x14ac:dyDescent="0.25">
      <c r="B149" s="207"/>
      <c r="C149" s="1060"/>
      <c r="D149" s="1061"/>
      <c r="E149" s="1733" t="str">
        <f>Translations!$B$755</f>
        <v>Wyprowadzone ilości należy podać jako wartości ujemne i powinny one odpowiadać CO2, który jest wyprowadzony, lecz nie uwolniony do atmosfery przez tę podinstalację.</v>
      </c>
      <c r="F149" s="1734"/>
      <c r="G149" s="1734"/>
      <c r="H149" s="1734"/>
      <c r="I149" s="1734"/>
      <c r="J149" s="1734"/>
      <c r="K149" s="1734"/>
      <c r="L149" s="1734"/>
      <c r="M149" s="1734"/>
      <c r="N149" s="1735"/>
      <c r="O149" s="16"/>
      <c r="P149" s="1037"/>
      <c r="R149" s="1037"/>
    </row>
    <row r="150" spans="2:27" ht="12.75" customHeight="1" x14ac:dyDescent="0.2">
      <c r="B150" s="207"/>
      <c r="C150" s="1060"/>
      <c r="D150" s="462"/>
      <c r="E150" s="1757"/>
      <c r="F150" s="1758"/>
      <c r="G150" s="1758"/>
      <c r="H150" s="450" t="str">
        <f>EUconst_Unit</f>
        <v>Jednostka</v>
      </c>
      <c r="I150" s="451">
        <f>I$1882</f>
        <v>2014</v>
      </c>
      <c r="J150" s="451">
        <f>J$1882</f>
        <v>2015</v>
      </c>
      <c r="K150" s="451">
        <f>K$1882</f>
        <v>2016</v>
      </c>
      <c r="L150" s="451">
        <f>L$1882</f>
        <v>2017</v>
      </c>
      <c r="M150" s="451">
        <f>M$1882</f>
        <v>2018</v>
      </c>
      <c r="N150" s="665"/>
      <c r="O150" s="16"/>
      <c r="P150" s="1037"/>
      <c r="R150" s="1052"/>
      <c r="S150" s="814">
        <f>I150</f>
        <v>2014</v>
      </c>
      <c r="T150" s="814">
        <f>J150</f>
        <v>2015</v>
      </c>
      <c r="U150" s="814">
        <f>K150</f>
        <v>2016</v>
      </c>
      <c r="V150" s="814">
        <f>L150</f>
        <v>2017</v>
      </c>
      <c r="W150" s="815">
        <f>M150</f>
        <v>2018</v>
      </c>
    </row>
    <row r="151" spans="2:27" ht="25.5" customHeight="1" thickBot="1" x14ac:dyDescent="0.25">
      <c r="B151" s="207"/>
      <c r="C151" s="1060"/>
      <c r="D151" s="699"/>
      <c r="E151" s="1739" t="str">
        <f>Translations!$B$756</f>
        <v>Wprowadzone lub wyprowadzone gazy cieplarniane</v>
      </c>
      <c r="F151" s="1740"/>
      <c r="G151" s="1740"/>
      <c r="H151" s="453" t="str">
        <f>EUconst_tCO2epa</f>
        <v>t CO2e/rok</v>
      </c>
      <c r="I151" s="471"/>
      <c r="J151" s="471"/>
      <c r="K151" s="471"/>
      <c r="L151" s="471"/>
      <c r="M151" s="471"/>
      <c r="N151" s="1257"/>
      <c r="O151" s="16"/>
      <c r="P151" s="1062" t="str">
        <f>EUconst_CNTR_CO2Feedstock &amp; I13</f>
        <v>EmCO2Feedstock_</v>
      </c>
      <c r="R151" s="1053" t="str">
        <f>EUconst_CNTR_AttributedEmissions &amp; I13</f>
        <v>AttrEmissions_</v>
      </c>
      <c r="S151" s="119" t="str">
        <f>IF(S13,SUM(I151),"")</f>
        <v/>
      </c>
      <c r="T151" s="119" t="str">
        <f>IF(T13,SUM(J151),"")</f>
        <v/>
      </c>
      <c r="U151" s="119" t="str">
        <f>IF(U13,SUM(K151),"")</f>
        <v/>
      </c>
      <c r="V151" s="119" t="str">
        <f>IF(V13,SUM(L151),"")</f>
        <v/>
      </c>
      <c r="W151" s="120" t="str">
        <f>IF(W13,SUM(M151),"")</f>
        <v/>
      </c>
    </row>
    <row r="152" spans="2:27" ht="12.75" customHeight="1" x14ac:dyDescent="0.2">
      <c r="B152" s="207"/>
      <c r="C152" s="1060"/>
      <c r="D152" s="1061"/>
      <c r="E152" s="1061"/>
      <c r="F152" s="1061"/>
      <c r="G152" s="1061"/>
      <c r="H152" s="1061"/>
      <c r="I152" s="1061"/>
      <c r="J152" s="1061"/>
      <c r="K152" s="1061"/>
      <c r="L152" s="1061"/>
      <c r="M152" s="1063"/>
      <c r="N152" s="665"/>
      <c r="O152" s="16"/>
      <c r="P152" s="1037"/>
      <c r="R152" s="1037"/>
    </row>
    <row r="153" spans="2:27" ht="12.75" customHeight="1" x14ac:dyDescent="0.2">
      <c r="B153" s="207"/>
      <c r="C153" s="1060"/>
      <c r="D153" s="462" t="s">
        <v>219</v>
      </c>
      <c r="E153" s="1731" t="str">
        <f>Translations!$B$757</f>
        <v>Mierzalne ciepło wprowadzone do tej podinstalacji i z niej wyprowadzone</v>
      </c>
      <c r="F153" s="1734"/>
      <c r="G153" s="1734"/>
      <c r="H153" s="1734"/>
      <c r="I153" s="1734"/>
      <c r="J153" s="1734"/>
      <c r="K153" s="1734"/>
      <c r="L153" s="1734"/>
      <c r="M153" s="1734"/>
      <c r="N153" s="1735"/>
      <c r="O153" s="16"/>
      <c r="P153" s="1037"/>
      <c r="R153" s="1037"/>
    </row>
    <row r="154" spans="2:27" ht="12.75" customHeight="1" x14ac:dyDescent="0.2">
      <c r="B154" s="207"/>
      <c r="C154" s="1060"/>
      <c r="D154" s="699"/>
      <c r="E154" s="1730" t="str">
        <f>Translations!$B$758</f>
        <v>Podane tu dane wpłyną na emisje, które można przypisać, zgodnie z pkt 10.1.2 i 10.1.3 załącznika VII do FAR.</v>
      </c>
      <c r="F154" s="1731"/>
      <c r="G154" s="1731"/>
      <c r="H154" s="1731"/>
      <c r="I154" s="1731"/>
      <c r="J154" s="1731"/>
      <c r="K154" s="1731"/>
      <c r="L154" s="1731"/>
      <c r="M154" s="1731"/>
      <c r="N154" s="1732"/>
      <c r="O154" s="16"/>
      <c r="P154" s="1037"/>
      <c r="R154" s="1037"/>
      <c r="S154" s="1037"/>
      <c r="AA154" s="608"/>
    </row>
    <row r="155" spans="2:27" ht="38.85" customHeight="1" x14ac:dyDescent="0.2">
      <c r="B155" s="207"/>
      <c r="C155" s="1060"/>
      <c r="D155" s="1061"/>
      <c r="E155" s="1733" t="str">
        <f>Translations!$B$759</f>
        <v>Pozycja ta obejmuje całkowitą ilość ciepła wytworzonego w (pod)instalacjach objętych EU ETS lub w instalacjach lub u podmiotów nieobjętych EU ETS, wprowadzonego z takich (pod)instalacji lub od takich podmiotów albo wyprowadzonego do takich (pod)instalacji lub podmiotów. Właściwe współczynniki emisji związane z ciepłem powinny uwzględniać przepisy zawarte w pkt 8 i 10 załącznika VII do FAR, w szczególności w jego pkt 10.1.2 i 10.1.3.</v>
      </c>
      <c r="F155" s="1734"/>
      <c r="G155" s="1734"/>
      <c r="H155" s="1734"/>
      <c r="I155" s="1734"/>
      <c r="J155" s="1734"/>
      <c r="K155" s="1734"/>
      <c r="L155" s="1734"/>
      <c r="M155" s="1734"/>
      <c r="N155" s="1735"/>
      <c r="O155" s="16"/>
      <c r="P155" s="1037"/>
      <c r="R155" s="1037"/>
    </row>
    <row r="156" spans="2:27" ht="25.5" customHeight="1" x14ac:dyDescent="0.2">
      <c r="B156" s="207"/>
      <c r="C156" s="1060"/>
      <c r="D156" s="1061"/>
      <c r="E156" s="1733" t="str">
        <f>Translations!$B$760</f>
        <v>Emisje związane z mierzalnym ciepłem wytworzonym na miejscu w jednostkach obsługujących więcej niż jedną podinstalację należy również wprowadzić w tym miejscu w pozycji „wprowadzenia” zamiast bezpośrednio przypisywać emisje przy użyciu współczynnika emisji z paliwa z lit. g) powyżej. To samo odnosi się do wszelkiego ciepła „wprowadzonego” z innych podinstalacji.</v>
      </c>
      <c r="F156" s="1734"/>
      <c r="G156" s="1734"/>
      <c r="H156" s="1734"/>
      <c r="I156" s="1734"/>
      <c r="J156" s="1734"/>
      <c r="K156" s="1734"/>
      <c r="L156" s="1734"/>
      <c r="M156" s="1734"/>
      <c r="N156" s="1735"/>
      <c r="O156" s="16"/>
      <c r="P156" s="1037"/>
      <c r="R156" s="1037"/>
    </row>
    <row r="157" spans="2:27" ht="25.5" customHeight="1" x14ac:dyDescent="0.2">
      <c r="B157" s="207"/>
      <c r="C157" s="1060"/>
      <c r="D157" s="1061"/>
      <c r="E157" s="1733" t="str">
        <f>Translations!$B$761</f>
        <v xml:space="preserve">W przypadku gdy ciepło jest wytwarzane wyłącznie dla jednej podinstalacji, a odpowiadające mu poziomy emisji wprowadzono w lit. g) powyżej, odpowiednich ilości nie należy podawać w tym miejscu jako wprowadzenia, aby uniknąć podwójnego liczenia. </v>
      </c>
      <c r="F157" s="1734"/>
      <c r="G157" s="1734"/>
      <c r="H157" s="1734"/>
      <c r="I157" s="1734"/>
      <c r="J157" s="1734"/>
      <c r="K157" s="1734"/>
      <c r="L157" s="1734"/>
      <c r="M157" s="1734"/>
      <c r="N157" s="1735"/>
      <c r="O157" s="16"/>
      <c r="P157" s="1037"/>
      <c r="R157" s="1037"/>
    </row>
    <row r="158" spans="2:27" ht="12.75" customHeight="1" thickBot="1" x14ac:dyDescent="0.25">
      <c r="B158" s="207"/>
      <c r="C158" s="1060"/>
      <c r="D158" s="1061"/>
      <c r="E158" s="1674" t="str">
        <f>Translations!$B$762</f>
        <v>W celu przypisania emisji z kogeneracji (CHP) do wytwarzania ciepła należy zastosować „narzędzie dotyczące CHP” w części D.III. niniejszego formularza.</v>
      </c>
      <c r="F158" s="1674"/>
      <c r="G158" s="1674"/>
      <c r="H158" s="1674"/>
      <c r="I158" s="1674"/>
      <c r="J158" s="1674"/>
      <c r="K158" s="1674"/>
      <c r="L158" s="1674"/>
      <c r="M158" s="1674"/>
      <c r="N158" s="1257"/>
      <c r="O158" s="16"/>
      <c r="P158" s="1037"/>
    </row>
    <row r="159" spans="2:27" ht="12.75" customHeight="1" x14ac:dyDescent="0.2">
      <c r="B159" s="207"/>
      <c r="C159" s="1060"/>
      <c r="D159" s="1061"/>
      <c r="E159" s="1757" t="str">
        <f>Translations!$B$763</f>
        <v>Całkowite ciepło wprowadzone</v>
      </c>
      <c r="F159" s="1758"/>
      <c r="G159" s="1758"/>
      <c r="H159" s="450" t="str">
        <f>EUconst_Unit</f>
        <v>Jednostka</v>
      </c>
      <c r="I159" s="451">
        <f>I$1882</f>
        <v>2014</v>
      </c>
      <c r="J159" s="451">
        <f>J$1882</f>
        <v>2015</v>
      </c>
      <c r="K159" s="451">
        <f>K$1882</f>
        <v>2016</v>
      </c>
      <c r="L159" s="451">
        <f>L$1882</f>
        <v>2017</v>
      </c>
      <c r="M159" s="451">
        <f>M$1882</f>
        <v>2018</v>
      </c>
      <c r="N159" s="1257"/>
      <c r="O159" s="16"/>
      <c r="P159" s="1037"/>
      <c r="R159" s="1052"/>
      <c r="S159" s="814">
        <f>I159</f>
        <v>2014</v>
      </c>
      <c r="T159" s="814">
        <f>J159</f>
        <v>2015</v>
      </c>
      <c r="U159" s="814">
        <f>K159</f>
        <v>2016</v>
      </c>
      <c r="V159" s="814">
        <f>L159</f>
        <v>2017</v>
      </c>
      <c r="W159" s="815">
        <f>M159</f>
        <v>2018</v>
      </c>
    </row>
    <row r="160" spans="2:27" ht="25.5" customHeight="1" x14ac:dyDescent="0.2">
      <c r="B160" s="207"/>
      <c r="C160" s="1060"/>
      <c r="D160" s="699" t="s">
        <v>2</v>
      </c>
      <c r="E160" s="1739" t="str">
        <f>Translations!$B$764</f>
        <v>Ciepło wprowadzone netto</v>
      </c>
      <c r="F160" s="1740"/>
      <c r="G160" s="1740"/>
      <c r="H160" s="453" t="str">
        <f>EUconst_TJpa</f>
        <v>TJ / rok</v>
      </c>
      <c r="I160" s="471"/>
      <c r="J160" s="471"/>
      <c r="K160" s="471"/>
      <c r="L160" s="471"/>
      <c r="M160" s="471"/>
      <c r="N160" s="702"/>
      <c r="O160" s="16"/>
      <c r="P160" s="1062" t="str">
        <f>EUconst_CNTR_HeatImport &amp; I13</f>
        <v>HeatIm_</v>
      </c>
      <c r="R160" s="1064" t="str">
        <f>EUconst_ERR_AttrEmBMapplied &amp; I13</f>
        <v>ERR_AttrEmBM_ </v>
      </c>
      <c r="S160" s="116">
        <f>IF(AND(I160&lt;&gt;0,I161="",EUconst_StatusOfDataCollection=FALSE),1,0)</f>
        <v>0</v>
      </c>
      <c r="T160" s="116">
        <f>IF(AND(J160&lt;&gt;0,J161="",EUconst_StatusOfDataCollection=FALSE),1,0)</f>
        <v>0</v>
      </c>
      <c r="U160" s="116">
        <f>IF(AND(K160&lt;&gt;0,K161="",EUconst_StatusOfDataCollection=FALSE),1,0)</f>
        <v>0</v>
      </c>
      <c r="V160" s="116">
        <f>IF(AND(L160&lt;&gt;0,L161="",EUconst_StatusOfDataCollection=FALSE),1,0)</f>
        <v>0</v>
      </c>
      <c r="W160" s="117">
        <f>IF(AND(M160&lt;&gt;0,M161="",EUconst_StatusOfDataCollection=FALSE),1,0)</f>
        <v>0</v>
      </c>
      <c r="X160" s="45"/>
    </row>
    <row r="161" spans="2:27" ht="25.5" customHeight="1" thickBot="1" x14ac:dyDescent="0.25">
      <c r="B161" s="207"/>
      <c r="C161" s="1060"/>
      <c r="D161" s="699" t="s">
        <v>3</v>
      </c>
      <c r="E161" s="1739" t="str">
        <f>Translations!$B$765</f>
        <v>Właściwy współczynnik emisji (ciepło wprowadzone)</v>
      </c>
      <c r="F161" s="1740"/>
      <c r="G161" s="1740"/>
      <c r="H161" s="453" t="str">
        <f>EUconst_tCO2pTJ</f>
        <v>t CO2 / TJ</v>
      </c>
      <c r="I161" s="764"/>
      <c r="J161" s="764"/>
      <c r="K161" s="764"/>
      <c r="L161" s="764"/>
      <c r="M161" s="764"/>
      <c r="N161" s="665"/>
      <c r="O161" s="16"/>
      <c r="P161" s="1062" t="str">
        <f>EUconst_CNTR_HeatImportEF &amp; I13</f>
        <v>HeatImEF_</v>
      </c>
      <c r="R161" s="1053" t="str">
        <f>EUconst_CNTR_AttributedEmissions &amp; I13</f>
        <v>AttrEmissions_</v>
      </c>
      <c r="S161" s="119" t="str">
        <f>IF(S13,SUM(I160)*IF(ISNUMBER(I161),I161,EUconst_HeatBMvalue),"")</f>
        <v/>
      </c>
      <c r="T161" s="119" t="str">
        <f>IF(T13,SUM(J160)*IF(ISNUMBER(J161),J161,EUconst_HeatBMvalue),"")</f>
        <v/>
      </c>
      <c r="U161" s="119" t="str">
        <f>IF(U13,SUM(K160)*IF(ISNUMBER(K161),K161,EUconst_HeatBMvalue),"")</f>
        <v/>
      </c>
      <c r="V161" s="119" t="str">
        <f>IF(V13,SUM(L160)*IF(ISNUMBER(L161),L161,EUconst_HeatBMvalue),"")</f>
        <v/>
      </c>
      <c r="W161" s="120" t="str">
        <f>IF(W13,SUM(M160)*IF(ISNUMBER(M161),M161,EUconst_HeatBMvalue),"")</f>
        <v/>
      </c>
    </row>
    <row r="162" spans="2:27" ht="5.0999999999999996" customHeight="1" x14ac:dyDescent="0.2">
      <c r="B162" s="207"/>
      <c r="C162" s="1060"/>
      <c r="D162" s="1061"/>
      <c r="E162" s="1061"/>
      <c r="F162" s="1061"/>
      <c r="G162" s="1061"/>
      <c r="H162" s="1061"/>
      <c r="I162" s="1061"/>
      <c r="J162" s="1061"/>
      <c r="K162" s="1061"/>
      <c r="L162" s="1061"/>
      <c r="M162" s="1063"/>
      <c r="N162" s="665"/>
      <c r="O162" s="16"/>
      <c r="P162" s="1037"/>
      <c r="R162" s="1037"/>
      <c r="S162" s="1037"/>
    </row>
    <row r="163" spans="2:27" ht="12.75" customHeight="1" x14ac:dyDescent="0.2">
      <c r="B163" s="207"/>
      <c r="C163" s="1060"/>
      <c r="D163" s="1061"/>
      <c r="E163" s="1757" t="str">
        <f>Translations!$B$766</f>
        <v>Szczególne wprowadzenie ciepła</v>
      </c>
      <c r="F163" s="1757"/>
      <c r="G163" s="1757"/>
      <c r="H163" s="450" t="str">
        <f>EUconst_Unit</f>
        <v>Jednostka</v>
      </c>
      <c r="I163" s="451">
        <f>I$1882</f>
        <v>2014</v>
      </c>
      <c r="J163" s="451">
        <f>J$1882</f>
        <v>2015</v>
      </c>
      <c r="K163" s="451">
        <f>K$1882</f>
        <v>2016</v>
      </c>
      <c r="L163" s="451">
        <f>L$1882</f>
        <v>2017</v>
      </c>
      <c r="M163" s="451">
        <f>M$1882</f>
        <v>2018</v>
      </c>
      <c r="N163" s="1257"/>
      <c r="O163" s="16"/>
      <c r="P163" s="1037"/>
      <c r="R163" s="1037"/>
      <c r="S163" s="1037"/>
    </row>
    <row r="164" spans="2:27" ht="25.5" customHeight="1" x14ac:dyDescent="0.2">
      <c r="B164" s="207"/>
      <c r="C164" s="1060"/>
      <c r="D164" s="699" t="s">
        <v>4</v>
      </c>
      <c r="E164" s="1739" t="str">
        <f>Translations!$B$767</f>
        <v>Ciepło wprowadzone netto z podinstalacji wytwarzającej masę celulozową</v>
      </c>
      <c r="F164" s="1740"/>
      <c r="G164" s="1740"/>
      <c r="H164" s="453" t="str">
        <f>EUconst_TJpa</f>
        <v>TJ / rok</v>
      </c>
      <c r="I164" s="540"/>
      <c r="J164" s="540"/>
      <c r="K164" s="540"/>
      <c r="L164" s="540"/>
      <c r="M164" s="540"/>
      <c r="N164" s="702"/>
      <c r="O164" s="16"/>
      <c r="P164" s="1062" t="str">
        <f>EUconst_CNTR_HeatImportPulp &amp; I13</f>
        <v>HeatImPulp_</v>
      </c>
      <c r="R164" s="1037"/>
      <c r="S164" s="1037"/>
    </row>
    <row r="165" spans="2:27" ht="25.5" customHeight="1" x14ac:dyDescent="0.2">
      <c r="B165" s="207"/>
      <c r="C165" s="1060"/>
      <c r="D165" s="699" t="s">
        <v>6</v>
      </c>
      <c r="E165" s="1739" t="str">
        <f>Translations!$B$768</f>
        <v>Ciepło wprowadzone netto z podinstalacji wytwarzającej kwas azotowy</v>
      </c>
      <c r="F165" s="1740"/>
      <c r="G165" s="1740"/>
      <c r="H165" s="453" t="str">
        <f>EUconst_TJpa</f>
        <v>TJ / rok</v>
      </c>
      <c r="I165" s="471"/>
      <c r="J165" s="471"/>
      <c r="K165" s="471"/>
      <c r="L165" s="471"/>
      <c r="M165" s="471"/>
      <c r="N165" s="702"/>
      <c r="O165" s="16"/>
      <c r="P165" s="1062" t="str">
        <f>EUconst_CNTR_HeatImportNitric &amp; I13</f>
        <v>HeatImNitric_</v>
      </c>
      <c r="R165" s="1037"/>
      <c r="S165" s="1037"/>
    </row>
    <row r="166" spans="2:27" ht="5.0999999999999996" customHeight="1" thickBot="1" x14ac:dyDescent="0.25">
      <c r="B166" s="207"/>
      <c r="C166" s="1060"/>
      <c r="D166" s="1061"/>
      <c r="E166" s="1061"/>
      <c r="F166" s="1061"/>
      <c r="G166" s="1061"/>
      <c r="H166" s="1061"/>
      <c r="I166" s="1061"/>
      <c r="J166" s="1061"/>
      <c r="K166" s="1061"/>
      <c r="L166" s="1061"/>
      <c r="M166" s="1063"/>
      <c r="N166" s="665"/>
      <c r="O166" s="16"/>
      <c r="P166" s="1037"/>
      <c r="R166" s="1037"/>
      <c r="S166" s="1037"/>
    </row>
    <row r="167" spans="2:27" ht="12.75" customHeight="1" x14ac:dyDescent="0.2">
      <c r="B167" s="207"/>
      <c r="C167" s="1060"/>
      <c r="D167" s="1061"/>
      <c r="E167" s="1757" t="str">
        <f>Translations!$B$769</f>
        <v>Całkowite ciepło wyprowadzone</v>
      </c>
      <c r="F167" s="1757"/>
      <c r="G167" s="1757"/>
      <c r="H167" s="450" t="str">
        <f>EUconst_Unit</f>
        <v>Jednostka</v>
      </c>
      <c r="I167" s="451">
        <f>I$1882</f>
        <v>2014</v>
      </c>
      <c r="J167" s="451">
        <f>J$1882</f>
        <v>2015</v>
      </c>
      <c r="K167" s="451">
        <f>K$1882</f>
        <v>2016</v>
      </c>
      <c r="L167" s="451">
        <f>L$1882</f>
        <v>2017</v>
      </c>
      <c r="M167" s="451">
        <f>M$1882</f>
        <v>2018</v>
      </c>
      <c r="N167" s="1257"/>
      <c r="O167" s="16"/>
      <c r="P167" s="1037"/>
      <c r="R167" s="1052"/>
      <c r="S167" s="814">
        <f>I167</f>
        <v>2014</v>
      </c>
      <c r="T167" s="814">
        <f>J167</f>
        <v>2015</v>
      </c>
      <c r="U167" s="814">
        <f>K167</f>
        <v>2016</v>
      </c>
      <c r="V167" s="814">
        <f>L167</f>
        <v>2017</v>
      </c>
      <c r="W167" s="815">
        <f>M167</f>
        <v>2018</v>
      </c>
    </row>
    <row r="168" spans="2:27" ht="12.75" customHeight="1" x14ac:dyDescent="0.2">
      <c r="B168" s="207"/>
      <c r="C168" s="1060"/>
      <c r="D168" s="699" t="s">
        <v>316</v>
      </c>
      <c r="E168" s="1739" t="str">
        <f>Translations!$B$770</f>
        <v>Ciepło wyprowadzone netto</v>
      </c>
      <c r="F168" s="1740"/>
      <c r="G168" s="1740"/>
      <c r="H168" s="453" t="str">
        <f>EUconst_TJpa</f>
        <v>TJ / rok</v>
      </c>
      <c r="I168" s="471"/>
      <c r="J168" s="471"/>
      <c r="K168" s="471"/>
      <c r="L168" s="471"/>
      <c r="M168" s="471"/>
      <c r="N168" s="702"/>
      <c r="O168" s="16"/>
      <c r="P168" s="1062" t="str">
        <f>EUconst_CNTR_HeatExport &amp; I13</f>
        <v>HeatEx_</v>
      </c>
      <c r="R168" s="1064" t="str">
        <f>EUconst_ERR_AttrEmBMapplied &amp; I13</f>
        <v>ERR_AttrEmBM_ </v>
      </c>
      <c r="S168" s="116">
        <f>IF(AND(I168&lt;&gt;0,I169="",EUconst_StatusOfDataCollection=FALSE),1,0)</f>
        <v>0</v>
      </c>
      <c r="T168" s="116">
        <f>IF(AND(J168&lt;&gt;0,J169="",EUconst_StatusOfDataCollection=FALSE),1,0)</f>
        <v>0</v>
      </c>
      <c r="U168" s="116">
        <f>IF(AND(K168&lt;&gt;0,K169="",EUconst_StatusOfDataCollection=FALSE),1,0)</f>
        <v>0</v>
      </c>
      <c r="V168" s="116">
        <f>IF(AND(L168&lt;&gt;0,L169="",EUconst_StatusOfDataCollection=FALSE),1,0)</f>
        <v>0</v>
      </c>
      <c r="W168" s="117">
        <f>IF(AND(M168&lt;&gt;0,M169="",EUconst_StatusOfDataCollection=FALSE),1,0)</f>
        <v>0</v>
      </c>
    </row>
    <row r="169" spans="2:27" ht="25.5" customHeight="1" thickBot="1" x14ac:dyDescent="0.25">
      <c r="B169" s="207"/>
      <c r="C169" s="1060"/>
      <c r="D169" s="699" t="s">
        <v>317</v>
      </c>
      <c r="E169" s="1739" t="str">
        <f>Translations!$B$771</f>
        <v>Właściwy współczynnik emisji (ciepło wyprowadzone)</v>
      </c>
      <c r="F169" s="1740"/>
      <c r="G169" s="1740"/>
      <c r="H169" s="453" t="str">
        <f>EUconst_tCO2pTJ</f>
        <v>t CO2 / TJ</v>
      </c>
      <c r="I169" s="764"/>
      <c r="J169" s="764"/>
      <c r="K169" s="764"/>
      <c r="L169" s="764"/>
      <c r="M169" s="764"/>
      <c r="N169" s="665"/>
      <c r="O169" s="16"/>
      <c r="P169" s="1062" t="str">
        <f>EUconst_CNTR_HeatExportEF &amp; I13</f>
        <v>HeatExEF_</v>
      </c>
      <c r="R169" s="1053" t="str">
        <f>EUconst_CNTR_AttributedEmissions &amp; I13</f>
        <v>AttrEmissions_</v>
      </c>
      <c r="S169" s="119" t="str">
        <f>IF(S13,-SUM(I168)*IF(INDEX(EUconst_BMlistNumberOfBM,MATCH($I13,EUconst_BMlistNames,0))=39,0,IF(ISNUMBER(I169),I169,EUconst_HeatBMvalue)),"")</f>
        <v/>
      </c>
      <c r="T169" s="119" t="str">
        <f>IF(T13,-SUM(J168)*IF(INDEX(EUconst_BMlistNumberOfBM,MATCH($I13,EUconst_BMlistNames,0))=39,0,IF(ISNUMBER(J169),J169,EUconst_HeatBMvalue)),"")</f>
        <v/>
      </c>
      <c r="U169" s="119" t="str">
        <f>IF(U13,-SUM(K168)*IF(INDEX(EUconst_BMlistNumberOfBM,MATCH($I13,EUconst_BMlistNames,0))=39,0,IF(ISNUMBER(K169),K169,EUconst_HeatBMvalue)),"")</f>
        <v/>
      </c>
      <c r="V169" s="119" t="str">
        <f>IF(V13,-SUM(L168)*IF(INDEX(EUconst_BMlistNumberOfBM,MATCH($I13,EUconst_BMlistNames,0))=39,0,IF(ISNUMBER(L169),L169,EUconst_HeatBMvalue)),"")</f>
        <v/>
      </c>
      <c r="W169" s="120" t="str">
        <f>IF(W13,-SUM(M168)*IF(INDEX(EUconst_BMlistNumberOfBM,MATCH($I13,EUconst_BMlistNames,0))=39,0,IF(ISNUMBER(M169),M169,EUconst_HeatBMvalue)),"")</f>
        <v/>
      </c>
    </row>
    <row r="170" spans="2:27" ht="12.75" customHeight="1" x14ac:dyDescent="0.2">
      <c r="B170" s="207"/>
      <c r="C170" s="1060"/>
      <c r="D170" s="1061"/>
      <c r="E170" s="1061"/>
      <c r="F170" s="1061"/>
      <c r="G170" s="1061"/>
      <c r="H170" s="1061"/>
      <c r="I170" s="1061"/>
      <c r="J170" s="1061"/>
      <c r="K170" s="1061"/>
      <c r="L170" s="1061"/>
      <c r="M170" s="1063"/>
      <c r="N170" s="665"/>
      <c r="O170" s="16"/>
      <c r="P170" s="1037"/>
      <c r="R170" s="1037"/>
      <c r="S170" s="1037"/>
    </row>
    <row r="171" spans="2:27" ht="12.75" customHeight="1" x14ac:dyDescent="0.2">
      <c r="B171" s="207"/>
      <c r="C171" s="1060"/>
      <c r="D171" s="462" t="s">
        <v>220</v>
      </c>
      <c r="E171" s="1731" t="str">
        <f>Translations!$B$772</f>
        <v>Bilans gazów odlotowych dla tej podinstalacji</v>
      </c>
      <c r="F171" s="1734"/>
      <c r="G171" s="1734"/>
      <c r="H171" s="1734"/>
      <c r="I171" s="1734"/>
      <c r="J171" s="1734"/>
      <c r="K171" s="1734"/>
      <c r="L171" s="1734"/>
      <c r="M171" s="1734"/>
      <c r="N171" s="1735"/>
      <c r="O171" s="16"/>
      <c r="P171" s="1037"/>
      <c r="R171" s="1037"/>
      <c r="S171" s="1037"/>
    </row>
    <row r="172" spans="2:27" ht="5.0999999999999996" customHeight="1" thickBot="1" x14ac:dyDescent="0.25">
      <c r="B172" s="207"/>
      <c r="C172" s="1060"/>
      <c r="D172" s="1061"/>
      <c r="E172" s="1733"/>
      <c r="F172" s="1733"/>
      <c r="G172" s="1733"/>
      <c r="H172" s="1733"/>
      <c r="I172" s="1733"/>
      <c r="J172" s="1733"/>
      <c r="K172" s="1733"/>
      <c r="L172" s="1733"/>
      <c r="M172" s="1733"/>
      <c r="N172" s="1768"/>
      <c r="O172" s="16"/>
      <c r="P172" s="1037"/>
      <c r="R172" s="1037"/>
      <c r="S172" s="1037"/>
    </row>
    <row r="173" spans="2:27" ht="12.75" customHeight="1" thickBot="1" x14ac:dyDescent="0.25">
      <c r="B173" s="207"/>
      <c r="C173" s="1060"/>
      <c r="D173" s="699" t="s">
        <v>2</v>
      </c>
      <c r="E173" s="1741" t="str">
        <f>Translations!$B$773</f>
        <v>Czy gazy odlotowe dotyczą tej podinstalacji?</v>
      </c>
      <c r="F173" s="1741"/>
      <c r="G173" s="1741"/>
      <c r="H173" s="1741"/>
      <c r="I173" s="1741"/>
      <c r="J173" s="1741"/>
      <c r="K173" s="1742"/>
      <c r="L173" s="517"/>
      <c r="M173" s="1253"/>
      <c r="N173" s="1254"/>
      <c r="O173" s="16"/>
      <c r="P173" s="1037"/>
      <c r="R173" s="1037"/>
      <c r="W173" s="1048" t="s">
        <v>414</v>
      </c>
      <c r="X173" s="1046" t="b">
        <f>IF(AND(I13&lt;&gt;"",ISBLANK(L173)),EUconst_Error&amp;"BM"&amp;C13,FALSE)</f>
        <v>0</v>
      </c>
    </row>
    <row r="174" spans="2:27" ht="12.75" customHeight="1" thickBot="1" x14ac:dyDescent="0.25">
      <c r="B174" s="207"/>
      <c r="C174" s="1060"/>
      <c r="D174" s="1061"/>
      <c r="E174" s="1733" t="str">
        <f>Translations!$B$774</f>
        <v>Jeśli wartość tej komórki to „Fałsz”, cała część zostanie wyszarzona i można kontynuować wypełnianie kolejnych punktów poniżej.</v>
      </c>
      <c r="F174" s="1734"/>
      <c r="G174" s="1734"/>
      <c r="H174" s="1734"/>
      <c r="I174" s="1734"/>
      <c r="J174" s="1734"/>
      <c r="K174" s="1734"/>
      <c r="L174" s="1734"/>
      <c r="M174" s="1734"/>
      <c r="N174" s="1735"/>
      <c r="O174" s="16"/>
      <c r="P174" s="1037"/>
      <c r="R174" s="1037"/>
      <c r="AA174" s="422" t="s">
        <v>272</v>
      </c>
    </row>
    <row r="175" spans="2:27" ht="12.75" customHeight="1" x14ac:dyDescent="0.2">
      <c r="B175" s="207"/>
      <c r="C175" s="1060"/>
      <c r="D175" s="699" t="s">
        <v>3</v>
      </c>
      <c r="E175" s="1760" t="str">
        <f>Translations!$B$775</f>
        <v>Rodzaje wytworzonych gazów odlotowych:</v>
      </c>
      <c r="F175" s="1760"/>
      <c r="G175" s="1760"/>
      <c r="H175" s="1760"/>
      <c r="I175" s="1763"/>
      <c r="J175" s="1764"/>
      <c r="K175" s="1764"/>
      <c r="L175" s="1764"/>
      <c r="M175" s="1765"/>
      <c r="N175" s="1254"/>
      <c r="O175" s="16"/>
      <c r="P175" s="1037"/>
      <c r="R175" s="1037"/>
      <c r="AA175" s="646" t="b">
        <f>IF(I13&lt;&gt;"",AND(L173&lt;&gt;"",L173=FALSE),FALSE)</f>
        <v>0</v>
      </c>
    </row>
    <row r="176" spans="2:27" ht="12.75" customHeight="1" x14ac:dyDescent="0.2">
      <c r="B176" s="207"/>
      <c r="C176" s="1060"/>
      <c r="D176" s="1061"/>
      <c r="E176" s="1733" t="str">
        <f>Translations!$B$776</f>
        <v>Jako jednostkę można wybrać tony albo 1000 Nm3. Jednostki muszą być zgodne z jednostkami NCV i EF poniżej.</v>
      </c>
      <c r="F176" s="1734"/>
      <c r="G176" s="1734"/>
      <c r="H176" s="1734"/>
      <c r="I176" s="1734"/>
      <c r="J176" s="1734"/>
      <c r="K176" s="1734"/>
      <c r="L176" s="1734"/>
      <c r="M176" s="1734"/>
      <c r="N176" s="1735"/>
      <c r="O176" s="16"/>
      <c r="P176" s="1037"/>
      <c r="R176" s="1037"/>
      <c r="S176" s="1037"/>
      <c r="AA176" s="608"/>
    </row>
    <row r="177" spans="2:27" ht="12.75" customHeight="1" x14ac:dyDescent="0.2">
      <c r="B177" s="207"/>
      <c r="C177" s="1060"/>
      <c r="D177" s="1061"/>
      <c r="E177" s="1730" t="str">
        <f>Translations!$B$730</f>
        <v>Podane tu dane wykorzystuje się jedynie do weryfikacji spójności i nie mają one bezpośredniego wpływu ani na emisje, które można przypisać, ani na przydział.</v>
      </c>
      <c r="F177" s="1731"/>
      <c r="G177" s="1731"/>
      <c r="H177" s="1731"/>
      <c r="I177" s="1731"/>
      <c r="J177" s="1731"/>
      <c r="K177" s="1731"/>
      <c r="L177" s="1731"/>
      <c r="M177" s="1731"/>
      <c r="N177" s="1732"/>
      <c r="O177" s="16"/>
      <c r="P177" s="1037"/>
      <c r="R177" s="1037"/>
      <c r="S177" s="1037"/>
      <c r="AA177" s="608"/>
    </row>
    <row r="178" spans="2:27" ht="12.75" customHeight="1" x14ac:dyDescent="0.2">
      <c r="B178" s="207"/>
      <c r="C178" s="1060"/>
      <c r="D178" s="1061"/>
      <c r="E178" s="1757"/>
      <c r="F178" s="1758"/>
      <c r="G178" s="1758"/>
      <c r="H178" s="450" t="str">
        <f>EUconst_Unit</f>
        <v>Jednostka</v>
      </c>
      <c r="I178" s="451">
        <f>I$1882</f>
        <v>2014</v>
      </c>
      <c r="J178" s="451">
        <f>J$1882</f>
        <v>2015</v>
      </c>
      <c r="K178" s="451">
        <f>K$1882</f>
        <v>2016</v>
      </c>
      <c r="L178" s="451">
        <f>L$1882</f>
        <v>2017</v>
      </c>
      <c r="M178" s="451">
        <f>M$1882</f>
        <v>2018</v>
      </c>
      <c r="N178" s="1257"/>
      <c r="O178" s="16"/>
      <c r="P178" s="1037"/>
      <c r="R178" s="1037"/>
      <c r="S178" s="1037"/>
      <c r="AA178" s="608"/>
    </row>
    <row r="179" spans="2:27" ht="12.75" customHeight="1" x14ac:dyDescent="0.2">
      <c r="B179" s="207"/>
      <c r="C179" s="1060"/>
      <c r="D179" s="699" t="s">
        <v>4</v>
      </c>
      <c r="E179" s="1766" t="str">
        <f>Translations!$B$777</f>
        <v>Ilości wytworzone</v>
      </c>
      <c r="F179" s="1767"/>
      <c r="G179" s="1767"/>
      <c r="H179" s="231"/>
      <c r="I179" s="472"/>
      <c r="J179" s="472"/>
      <c r="K179" s="472"/>
      <c r="L179" s="472"/>
      <c r="M179" s="472"/>
      <c r="N179" s="1257"/>
      <c r="O179" s="16"/>
      <c r="P179" s="1037"/>
      <c r="R179" s="1037"/>
      <c r="S179" s="1037"/>
      <c r="AA179" s="345" t="b">
        <f>AA175</f>
        <v>0</v>
      </c>
    </row>
    <row r="180" spans="2:27" ht="12.75" customHeight="1" x14ac:dyDescent="0.2">
      <c r="B180" s="207"/>
      <c r="C180" s="1060"/>
      <c r="D180" s="699" t="s">
        <v>6</v>
      </c>
      <c r="E180" s="1743" t="str">
        <f>Translations!$B$470</f>
        <v>Wartość opałowa</v>
      </c>
      <c r="F180" s="1744"/>
      <c r="G180" s="1744"/>
      <c r="H180" s="56" t="str">
        <f>IF(ISBLANK(H179),EUconst_GJperUnit,INDEX(EUconst_GJperTorKNm3,MATCH(H179,EUconst_TonnesOrkNm3pa,0)))</f>
        <v>GJ / Jednostka</v>
      </c>
      <c r="I180" s="446"/>
      <c r="J180" s="446"/>
      <c r="K180" s="446"/>
      <c r="L180" s="446"/>
      <c r="M180" s="446"/>
      <c r="N180" s="1257"/>
      <c r="O180" s="16"/>
      <c r="R180" s="1037"/>
      <c r="S180" s="1037"/>
      <c r="T180" s="1037"/>
      <c r="U180" s="1037"/>
      <c r="V180" s="1037"/>
      <c r="W180" s="1037"/>
      <c r="AA180" s="345" t="b">
        <f>AA179</f>
        <v>0</v>
      </c>
    </row>
    <row r="181" spans="2:27" ht="12.75" customHeight="1" x14ac:dyDescent="0.2">
      <c r="B181" s="207"/>
      <c r="C181" s="1060"/>
      <c r="D181" s="699" t="s">
        <v>316</v>
      </c>
      <c r="E181" s="1739" t="str">
        <f>Translations!$B$778</f>
        <v>Gazy odlotowe wytworzone</v>
      </c>
      <c r="F181" s="1740"/>
      <c r="G181" s="1740"/>
      <c r="H181" s="453" t="str">
        <f>EUconst_TJpa</f>
        <v>TJ / rok</v>
      </c>
      <c r="I181" s="513" t="str">
        <f>IF(COUNT(I179:I180)=2,I179*I180/1000,"")</f>
        <v/>
      </c>
      <c r="J181" s="513" t="str">
        <f>IF(COUNT(J179:J180)=2,J179*J180/1000,"")</f>
        <v/>
      </c>
      <c r="K181" s="513" t="str">
        <f>IF(COUNT(K179:K180)=2,K179*K180/1000,"")</f>
        <v/>
      </c>
      <c r="L181" s="513" t="str">
        <f>IF(COUNT(L179:L180)=2,L179*L180/1000,"")</f>
        <v/>
      </c>
      <c r="M181" s="513" t="str">
        <f>IF(COUNT(M179:M180)=2,M179*M180/1000,"")</f>
        <v/>
      </c>
      <c r="N181" s="1257"/>
      <c r="O181" s="16"/>
      <c r="P181" s="1062" t="str">
        <f>EUconst_CNTR_WGProduced &amp; I13</f>
        <v>WasteGasProd_</v>
      </c>
      <c r="R181" s="1037"/>
      <c r="S181" s="1037"/>
      <c r="T181" s="1037"/>
      <c r="U181" s="1037"/>
      <c r="V181" s="1037"/>
      <c r="W181" s="1037"/>
      <c r="AA181" s="608"/>
    </row>
    <row r="182" spans="2:27" ht="25.5" customHeight="1" x14ac:dyDescent="0.2">
      <c r="B182" s="207"/>
      <c r="C182" s="1060"/>
      <c r="D182" s="699" t="s">
        <v>317</v>
      </c>
      <c r="E182" s="1739" t="str">
        <f>Translations!$B$779</f>
        <v>Właściwy współczynnik emisji (gazy odlotowe wytworzone)</v>
      </c>
      <c r="F182" s="1740"/>
      <c r="G182" s="1740"/>
      <c r="H182" s="453" t="str">
        <f>EUconst_tCO2pTJ</f>
        <v>t CO2 / TJ</v>
      </c>
      <c r="I182" s="471"/>
      <c r="J182" s="471"/>
      <c r="K182" s="471"/>
      <c r="L182" s="471"/>
      <c r="M182" s="471"/>
      <c r="N182" s="665"/>
      <c r="O182" s="16"/>
      <c r="P182" s="1062" t="str">
        <f>EUconst_CNTR_WGProducedEF &amp; I13</f>
        <v>WasteGasProdEF_</v>
      </c>
      <c r="R182" s="1037"/>
      <c r="S182" s="1037"/>
      <c r="T182" s="1037"/>
      <c r="U182" s="1037"/>
      <c r="V182" s="1037"/>
      <c r="W182" s="1037"/>
      <c r="AA182" s="345" t="b">
        <f>AA180</f>
        <v>0</v>
      </c>
    </row>
    <row r="183" spans="2:27" ht="12.75" customHeight="1" x14ac:dyDescent="0.2">
      <c r="B183" s="207"/>
      <c r="C183" s="1060"/>
      <c r="D183" s="1061"/>
      <c r="E183" s="1061"/>
      <c r="F183" s="1061"/>
      <c r="G183" s="1061"/>
      <c r="H183" s="1061"/>
      <c r="I183" s="1061"/>
      <c r="J183" s="1061"/>
      <c r="K183" s="1061"/>
      <c r="L183" s="1061"/>
      <c r="M183" s="1063"/>
      <c r="N183" s="665"/>
      <c r="O183" s="16"/>
      <c r="P183" s="1037"/>
      <c r="R183" s="1037"/>
      <c r="S183" s="1037"/>
      <c r="T183" s="1037"/>
      <c r="U183" s="1037"/>
      <c r="V183" s="1037"/>
      <c r="W183" s="1037"/>
      <c r="AA183" s="608"/>
    </row>
    <row r="184" spans="2:27" ht="12.75" customHeight="1" x14ac:dyDescent="0.2">
      <c r="B184" s="207"/>
      <c r="C184" s="1060"/>
      <c r="D184" s="699" t="s">
        <v>318</v>
      </c>
      <c r="E184" s="1760" t="str">
        <f>Translations!$B$780</f>
        <v>Rodzaje zużytych gazów odlotowych:</v>
      </c>
      <c r="F184" s="1760"/>
      <c r="G184" s="1760"/>
      <c r="H184" s="1760"/>
      <c r="I184" s="1763"/>
      <c r="J184" s="1764"/>
      <c r="K184" s="1764"/>
      <c r="L184" s="1764"/>
      <c r="M184" s="1765"/>
      <c r="N184" s="1254"/>
      <c r="O184" s="16"/>
      <c r="P184" s="1037"/>
      <c r="R184" s="1037"/>
      <c r="S184" s="1037"/>
      <c r="T184" s="1037"/>
      <c r="U184" s="1037"/>
      <c r="V184" s="1037"/>
      <c r="W184" s="1037"/>
      <c r="AA184" s="345" t="b">
        <f>AA182</f>
        <v>0</v>
      </c>
    </row>
    <row r="185" spans="2:27" ht="38.25" customHeight="1" x14ac:dyDescent="0.2">
      <c r="B185" s="207"/>
      <c r="C185" s="1060"/>
      <c r="D185" s="699"/>
      <c r="E185" s="1733" t="str">
        <f>Translations!$B$781</f>
        <v>Pozycja ta obejmuje wszystkie rodzaje gazów odlotowych zużytych w tej podinstalacji do celów wytworzenia mierzalnego ciepła, niemierzalnego ciepła (w tym spalania na pochodniach dla zapewnienia bezpieczeństwa) lub energii mechanicznej (innej niż przeznaczona do wytwarzania energii elektrycznej). Ilości spalone na pochodniach poza spalaniem na pochodniach dla zapewnienia bezpieczeństwa należy podać w poniższym punkcie.</v>
      </c>
      <c r="F185" s="1734"/>
      <c r="G185" s="1734"/>
      <c r="H185" s="1734"/>
      <c r="I185" s="1734"/>
      <c r="J185" s="1734"/>
      <c r="K185" s="1734"/>
      <c r="L185" s="1734"/>
      <c r="M185" s="1734"/>
      <c r="N185" s="1735"/>
      <c r="O185" s="16"/>
      <c r="P185" s="1037"/>
      <c r="R185" s="1037"/>
      <c r="S185" s="1037"/>
      <c r="T185" s="1037"/>
      <c r="U185" s="1037"/>
      <c r="V185" s="1037"/>
      <c r="W185" s="1037"/>
      <c r="AA185" s="608"/>
    </row>
    <row r="186" spans="2:27" ht="12.75" customHeight="1" x14ac:dyDescent="0.2">
      <c r="B186" s="207"/>
      <c r="C186" s="1060"/>
      <c r="D186" s="1061"/>
      <c r="E186" s="1730" t="str">
        <f>Translations!$B$730</f>
        <v>Podane tu dane wykorzystuje się jedynie do weryfikacji spójności i nie mają one bezpośredniego wpływu ani na emisje, które można przypisać, ani na przydział.</v>
      </c>
      <c r="F186" s="1731"/>
      <c r="G186" s="1731"/>
      <c r="H186" s="1731"/>
      <c r="I186" s="1731"/>
      <c r="J186" s="1731"/>
      <c r="K186" s="1731"/>
      <c r="L186" s="1731"/>
      <c r="M186" s="1731"/>
      <c r="N186" s="1732"/>
      <c r="O186" s="16"/>
      <c r="P186" s="1037"/>
      <c r="R186" s="1037"/>
      <c r="S186" s="1037"/>
      <c r="T186" s="1037"/>
      <c r="U186" s="1037"/>
      <c r="V186" s="1037"/>
      <c r="W186" s="1037"/>
      <c r="AA186" s="608"/>
    </row>
    <row r="187" spans="2:27" ht="12.75" customHeight="1" x14ac:dyDescent="0.2">
      <c r="B187" s="207"/>
      <c r="C187" s="1060"/>
      <c r="D187" s="1061"/>
      <c r="E187" s="1757"/>
      <c r="F187" s="1758"/>
      <c r="G187" s="1758"/>
      <c r="H187" s="450" t="str">
        <f>EUconst_Unit</f>
        <v>Jednostka</v>
      </c>
      <c r="I187" s="451">
        <f>I$1882</f>
        <v>2014</v>
      </c>
      <c r="J187" s="451">
        <f>J$1882</f>
        <v>2015</v>
      </c>
      <c r="K187" s="451">
        <f>K$1882</f>
        <v>2016</v>
      </c>
      <c r="L187" s="451">
        <f>L$1882</f>
        <v>2017</v>
      </c>
      <c r="M187" s="451">
        <f>M$1882</f>
        <v>2018</v>
      </c>
      <c r="N187" s="1257"/>
      <c r="O187" s="16"/>
      <c r="P187" s="1037"/>
      <c r="R187" s="1037"/>
      <c r="S187" s="1037"/>
      <c r="T187" s="1037"/>
      <c r="U187" s="1037"/>
      <c r="V187" s="1037"/>
      <c r="W187" s="1037"/>
      <c r="AA187" s="608"/>
    </row>
    <row r="188" spans="2:27" ht="12.75" customHeight="1" x14ac:dyDescent="0.2">
      <c r="B188" s="207"/>
      <c r="C188" s="1060"/>
      <c r="D188" s="699" t="s">
        <v>319</v>
      </c>
      <c r="E188" s="1766" t="str">
        <f>Translations!$B$782</f>
        <v>Ilości zużyte</v>
      </c>
      <c r="F188" s="1767"/>
      <c r="G188" s="1767"/>
      <c r="H188" s="231"/>
      <c r="I188" s="472"/>
      <c r="J188" s="472"/>
      <c r="K188" s="472"/>
      <c r="L188" s="472"/>
      <c r="M188" s="472"/>
      <c r="N188" s="1257"/>
      <c r="O188" s="16"/>
      <c r="P188" s="1037"/>
      <c r="R188" s="1037"/>
      <c r="S188" s="1037"/>
      <c r="T188" s="1037"/>
      <c r="U188" s="1037"/>
      <c r="V188" s="1037"/>
      <c r="W188" s="1037"/>
      <c r="AA188" s="345" t="b">
        <f>AA184</f>
        <v>0</v>
      </c>
    </row>
    <row r="189" spans="2:27" ht="12.75" customHeight="1" x14ac:dyDescent="0.2">
      <c r="B189" s="207"/>
      <c r="C189" s="1060"/>
      <c r="D189" s="699" t="s">
        <v>320</v>
      </c>
      <c r="E189" s="1743" t="str">
        <f>Translations!$B$470</f>
        <v>Wartość opałowa</v>
      </c>
      <c r="F189" s="1744"/>
      <c r="G189" s="1744"/>
      <c r="H189" s="56" t="str">
        <f>IF(ISBLANK(H188),EUconst_GJperUnit,INDEX(EUconst_GJperTorKNm3,MATCH(H188,EUconst_TonnesOrkNm3pa,0)))</f>
        <v>GJ / Jednostka</v>
      </c>
      <c r="I189" s="446"/>
      <c r="J189" s="446"/>
      <c r="K189" s="446"/>
      <c r="L189" s="446"/>
      <c r="M189" s="446"/>
      <c r="N189" s="1257"/>
      <c r="O189" s="16"/>
      <c r="R189" s="1037"/>
      <c r="S189" s="1037"/>
      <c r="T189" s="1037"/>
      <c r="U189" s="1037"/>
      <c r="V189" s="1037"/>
      <c r="W189" s="1037"/>
      <c r="AA189" s="345" t="b">
        <f>AA188</f>
        <v>0</v>
      </c>
    </row>
    <row r="190" spans="2:27" ht="12.75" customHeight="1" x14ac:dyDescent="0.2">
      <c r="B190" s="207"/>
      <c r="C190" s="1060"/>
      <c r="D190" s="699" t="s">
        <v>16</v>
      </c>
      <c r="E190" s="1739" t="str">
        <f>Translations!$B$783</f>
        <v>Gazy odlotowe zużyte</v>
      </c>
      <c r="F190" s="1740"/>
      <c r="G190" s="1740"/>
      <c r="H190" s="453" t="str">
        <f>EUconst_TJpa</f>
        <v>TJ / rok</v>
      </c>
      <c r="I190" s="513" t="str">
        <f>IF(COUNT(I188:I189)=2,I188*I189/1000,"")</f>
        <v/>
      </c>
      <c r="J190" s="513" t="str">
        <f>IF(COUNT(J188:J189)=2,J188*J189/1000,"")</f>
        <v/>
      </c>
      <c r="K190" s="513" t="str">
        <f>IF(COUNT(K188:K189)=2,K188*K189/1000,"")</f>
        <v/>
      </c>
      <c r="L190" s="513" t="str">
        <f>IF(COUNT(L188:L189)=2,L188*L189/1000,"")</f>
        <v/>
      </c>
      <c r="M190" s="513" t="str">
        <f>IF(COUNT(M188:M189)=2,M188*M189/1000,"")</f>
        <v/>
      </c>
      <c r="N190" s="1257"/>
      <c r="O190" s="16"/>
      <c r="P190" s="1062" t="str">
        <f>EUconst_CNTR_WGConsumed &amp; I13</f>
        <v>WasteGasCons_</v>
      </c>
      <c r="R190" s="1037"/>
      <c r="S190" s="1037"/>
      <c r="T190" s="1037"/>
      <c r="U190" s="1037"/>
      <c r="V190" s="1037"/>
      <c r="W190" s="1037"/>
      <c r="AA190" s="608"/>
    </row>
    <row r="191" spans="2:27" ht="25.5" customHeight="1" x14ac:dyDescent="0.2">
      <c r="B191" s="207"/>
      <c r="C191" s="1060"/>
      <c r="D191" s="699" t="s">
        <v>17</v>
      </c>
      <c r="E191" s="1739" t="str">
        <f>Translations!$B$784</f>
        <v>Właściwy współczynnik emisji (gazy odlotowe zużyte)</v>
      </c>
      <c r="F191" s="1740"/>
      <c r="G191" s="1740"/>
      <c r="H191" s="453" t="str">
        <f>EUconst_tCO2pTJ</f>
        <v>t CO2 / TJ</v>
      </c>
      <c r="I191" s="471"/>
      <c r="J191" s="471"/>
      <c r="K191" s="471"/>
      <c r="L191" s="471"/>
      <c r="M191" s="471"/>
      <c r="N191" s="665"/>
      <c r="O191" s="16"/>
      <c r="P191" s="1062" t="str">
        <f>EUconst_CNTR_WGConsumedEF &amp; I13</f>
        <v>WasteGasConsEF_</v>
      </c>
      <c r="R191" s="1037"/>
      <c r="S191" s="1037"/>
      <c r="T191" s="1037"/>
      <c r="U191" s="1037"/>
      <c r="V191" s="1037"/>
      <c r="W191" s="1037"/>
      <c r="AA191" s="345" t="b">
        <f>AA189</f>
        <v>0</v>
      </c>
    </row>
    <row r="192" spans="2:27" ht="12.75" customHeight="1" x14ac:dyDescent="0.2">
      <c r="B192" s="207"/>
      <c r="C192" s="1060"/>
      <c r="D192" s="1061"/>
      <c r="E192" s="1061"/>
      <c r="F192" s="1061"/>
      <c r="G192" s="1061"/>
      <c r="H192" s="1061"/>
      <c r="I192" s="1061"/>
      <c r="J192" s="1061"/>
      <c r="K192" s="1061"/>
      <c r="L192" s="1061"/>
      <c r="M192" s="1063"/>
      <c r="N192" s="665"/>
      <c r="O192" s="16"/>
      <c r="P192" s="1037"/>
      <c r="R192" s="1037"/>
      <c r="S192" s="1037"/>
      <c r="AA192" s="608"/>
    </row>
    <row r="193" spans="2:27" ht="12.75" customHeight="1" x14ac:dyDescent="0.2">
      <c r="B193" s="207"/>
      <c r="C193" s="1060"/>
      <c r="D193" s="699" t="s">
        <v>18</v>
      </c>
      <c r="E193" s="1760" t="str">
        <f>Translations!$B$785</f>
        <v>Rodzaje gazów odlotowych spalonych na pochodniach:</v>
      </c>
      <c r="F193" s="1760"/>
      <c r="G193" s="1760"/>
      <c r="H193" s="1760"/>
      <c r="I193" s="1763"/>
      <c r="J193" s="1764"/>
      <c r="K193" s="1764"/>
      <c r="L193" s="1764"/>
      <c r="M193" s="1765"/>
      <c r="N193" s="1254"/>
      <c r="O193" s="16"/>
      <c r="P193" s="1037"/>
      <c r="R193" s="1037"/>
      <c r="AA193" s="345" t="b">
        <f>AA182</f>
        <v>0</v>
      </c>
    </row>
    <row r="194" spans="2:27" ht="25.5" customHeight="1" x14ac:dyDescent="0.2">
      <c r="B194" s="207"/>
      <c r="C194" s="1060"/>
      <c r="D194" s="699"/>
      <c r="E194" s="1733" t="str">
        <f>Translations!$B$786</f>
        <v>Pozycja ta obejmuje wszystkie rodzaje gazów odlotowych ostatecznie spalonych na pochodniach w innych celach niż spalanie na pochodniach dla zapewnienia bezpieczeństwa zarówno wewnątrz tej podinstalacji, jak i poza nią.</v>
      </c>
      <c r="F194" s="1734"/>
      <c r="G194" s="1734"/>
      <c r="H194" s="1734"/>
      <c r="I194" s="1734"/>
      <c r="J194" s="1734"/>
      <c r="K194" s="1734"/>
      <c r="L194" s="1734"/>
      <c r="M194" s="1734"/>
      <c r="N194" s="1735"/>
      <c r="O194" s="16"/>
      <c r="P194" s="1037"/>
      <c r="S194" s="1037"/>
      <c r="AA194" s="608"/>
    </row>
    <row r="195" spans="2:27" ht="12.75" customHeight="1" x14ac:dyDescent="0.2">
      <c r="B195" s="207"/>
      <c r="C195" s="1060"/>
      <c r="D195" s="1061"/>
      <c r="E195" s="1733" t="str">
        <f>Translations!$B$787</f>
        <v>Podane tu dane wykorzystuje się jedynie do weryfikacji spójności i nie mają one żadnego bezpośredniego wpływu na emisje, które można przypisać.</v>
      </c>
      <c r="F195" s="1804"/>
      <c r="G195" s="1804"/>
      <c r="H195" s="1804"/>
      <c r="I195" s="1804"/>
      <c r="J195" s="1804"/>
      <c r="K195" s="1804"/>
      <c r="L195" s="1804"/>
      <c r="M195" s="1804"/>
      <c r="N195" s="1805"/>
      <c r="O195" s="16"/>
      <c r="P195" s="1037"/>
      <c r="R195" s="1037"/>
      <c r="S195" s="1037"/>
      <c r="AA195" s="608"/>
    </row>
    <row r="196" spans="2:27" ht="12.75" customHeight="1" x14ac:dyDescent="0.2">
      <c r="B196" s="207"/>
      <c r="C196" s="1060"/>
      <c r="D196" s="1061"/>
      <c r="E196" s="1730" t="str">
        <f>Translations!$B$788</f>
        <v>Od 2026 r. przydziały w odniesieniu do spalania gazów odlotowych na pochodniach poza spalaniem na pochodniach dla zapewnienia bezpieczeństwa zostaną jednak zmniejszone.</v>
      </c>
      <c r="F196" s="1731"/>
      <c r="G196" s="1731"/>
      <c r="H196" s="1731"/>
      <c r="I196" s="1731"/>
      <c r="J196" s="1731"/>
      <c r="K196" s="1731"/>
      <c r="L196" s="1731"/>
      <c r="M196" s="1731"/>
      <c r="N196" s="1732"/>
      <c r="O196" s="16"/>
      <c r="P196" s="1037"/>
      <c r="R196" s="1037"/>
      <c r="S196" s="1037"/>
      <c r="AA196" s="608"/>
    </row>
    <row r="197" spans="2:27" ht="12.75" customHeight="1" x14ac:dyDescent="0.2">
      <c r="B197" s="207"/>
      <c r="C197" s="1060"/>
      <c r="D197" s="1061"/>
      <c r="E197" s="1757"/>
      <c r="F197" s="1758"/>
      <c r="G197" s="1758"/>
      <c r="H197" s="450" t="str">
        <f>EUconst_Unit</f>
        <v>Jednostka</v>
      </c>
      <c r="I197" s="451">
        <f>I$1882</f>
        <v>2014</v>
      </c>
      <c r="J197" s="451">
        <f>J$1882</f>
        <v>2015</v>
      </c>
      <c r="K197" s="451">
        <f>K$1882</f>
        <v>2016</v>
      </c>
      <c r="L197" s="451">
        <f>L$1882</f>
        <v>2017</v>
      </c>
      <c r="M197" s="451">
        <f>M$1882</f>
        <v>2018</v>
      </c>
      <c r="N197" s="1257"/>
      <c r="O197" s="16"/>
      <c r="P197" s="1037"/>
      <c r="AA197" s="608"/>
    </row>
    <row r="198" spans="2:27" ht="12.75" customHeight="1" thickBot="1" x14ac:dyDescent="0.25">
      <c r="B198" s="207"/>
      <c r="C198" s="1060"/>
      <c r="D198" s="699" t="s">
        <v>454</v>
      </c>
      <c r="E198" s="1766" t="str">
        <f>Translations!$B$789</f>
        <v>Ilości spalone na pochodniach</v>
      </c>
      <c r="F198" s="1767"/>
      <c r="G198" s="1767"/>
      <c r="H198" s="231"/>
      <c r="I198" s="472"/>
      <c r="J198" s="472"/>
      <c r="K198" s="472"/>
      <c r="L198" s="472"/>
      <c r="M198" s="472"/>
      <c r="N198" s="1257"/>
      <c r="O198" s="16"/>
      <c r="P198" s="1037"/>
      <c r="R198" s="1037" t="s">
        <v>546</v>
      </c>
      <c r="AA198" s="345" t="b">
        <f>AA193</f>
        <v>0</v>
      </c>
    </row>
    <row r="199" spans="2:27" ht="12.75" customHeight="1" thickBot="1" x14ac:dyDescent="0.25">
      <c r="B199" s="207"/>
      <c r="C199" s="1060"/>
      <c r="D199" s="699" t="s">
        <v>455</v>
      </c>
      <c r="E199" s="1743" t="str">
        <f>Translations!$B$470</f>
        <v>Wartość opałowa</v>
      </c>
      <c r="F199" s="1744"/>
      <c r="G199" s="1744"/>
      <c r="H199" s="56" t="str">
        <f>IF(ISBLANK(H198),EUconst_GJperUnit,INDEX(EUconst_GJperTorKNm3,MATCH(H198,EUconst_TonnesOrkNm3pa,0)))</f>
        <v>GJ / Jednostka</v>
      </c>
      <c r="I199" s="446"/>
      <c r="J199" s="446"/>
      <c r="K199" s="446"/>
      <c r="L199" s="446"/>
      <c r="M199" s="446"/>
      <c r="N199" s="1257"/>
      <c r="O199" s="16"/>
      <c r="R199" s="712" t="s">
        <v>437</v>
      </c>
      <c r="S199" s="709">
        <f>I197</f>
        <v>2014</v>
      </c>
      <c r="T199" s="710">
        <f>J197</f>
        <v>2015</v>
      </c>
      <c r="U199" s="710">
        <f>K197</f>
        <v>2016</v>
      </c>
      <c r="V199" s="710">
        <f>L197</f>
        <v>2017</v>
      </c>
      <c r="W199" s="711">
        <f>M197</f>
        <v>2018</v>
      </c>
      <c r="AA199" s="345" t="b">
        <f>AA198</f>
        <v>0</v>
      </c>
    </row>
    <row r="200" spans="2:27" ht="12.75" customHeight="1" thickBot="1" x14ac:dyDescent="0.25">
      <c r="B200" s="207"/>
      <c r="C200" s="1060"/>
      <c r="D200" s="699" t="s">
        <v>456</v>
      </c>
      <c r="E200" s="1739" t="str">
        <f>Translations!$B$790</f>
        <v>Gazy odlotowe spalone na pochodniach</v>
      </c>
      <c r="F200" s="1740"/>
      <c r="G200" s="1740"/>
      <c r="H200" s="453" t="str">
        <f>EUconst_TJpa</f>
        <v>TJ / rok</v>
      </c>
      <c r="I200" s="513" t="str">
        <f>IF(COUNT(I198:I199)=2,I198*I199/1000,"")</f>
        <v/>
      </c>
      <c r="J200" s="513" t="str">
        <f>IF(COUNT(J198:J199)=2,J198*J199/1000,"")</f>
        <v/>
      </c>
      <c r="K200" s="513" t="str">
        <f>IF(COUNT(K198:K199)=2,K198*K199/1000,"")</f>
        <v/>
      </c>
      <c r="L200" s="513" t="str">
        <f>IF(COUNT(L198:L199)=2,L198*L199/1000,"")</f>
        <v/>
      </c>
      <c r="M200" s="513" t="str">
        <f>IF(COUNT(M198:M199)=2,M198*M199/1000,"")</f>
        <v/>
      </c>
      <c r="N200" s="1257"/>
      <c r="O200" s="16"/>
      <c r="P200" s="1062" t="str">
        <f>EUconst_CNTR_WGFlared &amp; I13</f>
        <v>WasteGasFlare_</v>
      </c>
      <c r="R200" s="347" t="str">
        <f>IF(COUNT(S200:W200)&gt;0,AVERAGE(S200:W200),"")</f>
        <v/>
      </c>
      <c r="S200" s="442" t="str">
        <f>IF(S13,IF(ISNUMBER(I200),I200,0),"")</f>
        <v/>
      </c>
      <c r="T200" s="443" t="str">
        <f>IF(T13,IF(ISNUMBER(J200),J200,0),"")</f>
        <v/>
      </c>
      <c r="U200" s="443" t="str">
        <f>IF(U13,IF(ISNUMBER(K200),K200,0),"")</f>
        <v/>
      </c>
      <c r="V200" s="443" t="str">
        <f>IF(V13,IF(ISNUMBER(L200),L200,0),"")</f>
        <v/>
      </c>
      <c r="W200" s="444" t="str">
        <f>IF(W13,IF(ISNUMBER(M200),M200,0),"")</f>
        <v/>
      </c>
      <c r="AA200" s="608"/>
    </row>
    <row r="201" spans="2:27" ht="25.5" customHeight="1" thickBot="1" x14ac:dyDescent="0.25">
      <c r="B201" s="207"/>
      <c r="C201" s="1060"/>
      <c r="D201" s="699" t="s">
        <v>457</v>
      </c>
      <c r="E201" s="1739" t="str">
        <f>Translations!$B$791</f>
        <v>Właściwy współczynnik emisji (gazy odlotowe spalone na pochodniach)</v>
      </c>
      <c r="F201" s="1740"/>
      <c r="G201" s="1740"/>
      <c r="H201" s="453" t="str">
        <f>EUconst_tCO2pTJ</f>
        <v>t CO2 / TJ</v>
      </c>
      <c r="I201" s="471"/>
      <c r="J201" s="471"/>
      <c r="K201" s="471"/>
      <c r="L201" s="471"/>
      <c r="M201" s="471"/>
      <c r="N201" s="665"/>
      <c r="O201" s="16"/>
      <c r="P201" s="1062" t="str">
        <f>EUconst_CNTR_WGFlaredEF &amp; I13</f>
        <v>WasteGasFlareEF_</v>
      </c>
      <c r="R201" s="854" t="str">
        <f>IF(COUNT(S201:W201)&gt;0,AVERAGE(S201:W201),"")</f>
        <v/>
      </c>
      <c r="S201" s="442" t="str">
        <f>IF(S13,SUM(I200)*SUM(I201),"")</f>
        <v/>
      </c>
      <c r="T201" s="443" t="str">
        <f>IF(T13,SUM(J200)*SUM(J201),"")</f>
        <v/>
      </c>
      <c r="U201" s="443" t="str">
        <f>IF(U13,SUM(K200)*SUM(K201),"")</f>
        <v/>
      </c>
      <c r="V201" s="443" t="str">
        <f>IF(V13,SUM(L200)*SUM(L201),"")</f>
        <v/>
      </c>
      <c r="W201" s="444" t="str">
        <f>IF(W13,SUM(M200)*SUM(M201),"")</f>
        <v/>
      </c>
      <c r="AA201" s="345" t="b">
        <f>AA199</f>
        <v>0</v>
      </c>
    </row>
    <row r="202" spans="2:27" ht="12.75" customHeight="1" x14ac:dyDescent="0.2">
      <c r="B202" s="207"/>
      <c r="C202" s="1060"/>
      <c r="D202" s="1061"/>
      <c r="E202" s="1061"/>
      <c r="F202" s="1061"/>
      <c r="G202" s="1061"/>
      <c r="H202" s="1061"/>
      <c r="I202" s="1061"/>
      <c r="J202" s="1061"/>
      <c r="K202" s="1061"/>
      <c r="L202" s="1061"/>
      <c r="M202" s="1063"/>
      <c r="N202" s="665"/>
      <c r="O202" s="16"/>
      <c r="P202" s="1037"/>
      <c r="R202" s="1037"/>
      <c r="S202" s="1037"/>
      <c r="AA202" s="608"/>
    </row>
    <row r="203" spans="2:27" ht="12.75" customHeight="1" x14ac:dyDescent="0.2">
      <c r="B203" s="207"/>
      <c r="C203" s="1060"/>
      <c r="D203" s="699" t="s">
        <v>458</v>
      </c>
      <c r="E203" s="1760" t="str">
        <f>Translations!$B$792</f>
        <v>Rodzaje gazów odlotowych wprowadzonych:</v>
      </c>
      <c r="F203" s="1760"/>
      <c r="G203" s="1760"/>
      <c r="H203" s="1760"/>
      <c r="I203" s="1763"/>
      <c r="J203" s="1764"/>
      <c r="K203" s="1764"/>
      <c r="L203" s="1764"/>
      <c r="M203" s="1765"/>
      <c r="N203" s="665"/>
      <c r="O203" s="16"/>
      <c r="P203" s="1037"/>
      <c r="R203" s="1037"/>
      <c r="AA203" s="345" t="b">
        <f>AA180</f>
        <v>0</v>
      </c>
    </row>
    <row r="204" spans="2:27" ht="12.75" customHeight="1" x14ac:dyDescent="0.2">
      <c r="B204" s="207"/>
      <c r="C204" s="1060"/>
      <c r="D204" s="699"/>
      <c r="E204" s="1730" t="str">
        <f>Translations!$B$793</f>
        <v>Podane tu dane wpłyną na emisje, które można przypisać, zgodnie z pkt 10.1.5 załącznika VII do FAR.</v>
      </c>
      <c r="F204" s="1731"/>
      <c r="G204" s="1731"/>
      <c r="H204" s="1731"/>
      <c r="I204" s="1731"/>
      <c r="J204" s="1731"/>
      <c r="K204" s="1731"/>
      <c r="L204" s="1731"/>
      <c r="M204" s="1731"/>
      <c r="N204" s="1732"/>
      <c r="O204" s="16"/>
      <c r="P204" s="1037"/>
      <c r="R204" s="1037"/>
      <c r="S204" s="1037"/>
      <c r="AA204" s="608"/>
    </row>
    <row r="205" spans="2:27" ht="38.25" customHeight="1" x14ac:dyDescent="0.2">
      <c r="B205" s="207"/>
      <c r="C205" s="1060"/>
      <c r="D205" s="699"/>
      <c r="E205" s="1733" t="str">
        <f>Translations!$B$794</f>
        <v>Pozycja ta obejmuje wszystkie rodzaje gazów odlotowych wytworzonych poza granicami systemowymi tej podinstalacji, ale wprowadzonych do tej podinstalacji i zużytych do wytworzenia mierzalnego ciepła, niemierzalnego ciepła (w tym spalania na pochodniach dla zapewnienia bezpieczeństwa) lub energii mechanicznej (innej niż przeznaczona do wytwarzania energii elektrycznej).</v>
      </c>
      <c r="F205" s="1734"/>
      <c r="G205" s="1734"/>
      <c r="H205" s="1734"/>
      <c r="I205" s="1734"/>
      <c r="J205" s="1734"/>
      <c r="K205" s="1734"/>
      <c r="L205" s="1734"/>
      <c r="M205" s="1734"/>
      <c r="N205" s="1735"/>
      <c r="O205" s="16"/>
      <c r="P205" s="1037"/>
      <c r="R205" s="1037"/>
      <c r="S205" s="1037"/>
      <c r="AA205" s="608"/>
    </row>
    <row r="206" spans="2:27" ht="12.75" customHeight="1" x14ac:dyDescent="0.2">
      <c r="B206" s="207"/>
      <c r="C206" s="1060"/>
      <c r="D206" s="1061"/>
      <c r="E206" s="1757"/>
      <c r="F206" s="1758"/>
      <c r="G206" s="1758"/>
      <c r="H206" s="450" t="str">
        <f>EUconst_Unit</f>
        <v>Jednostka</v>
      </c>
      <c r="I206" s="451">
        <f>I$1882</f>
        <v>2014</v>
      </c>
      <c r="J206" s="451">
        <f>J$1882</f>
        <v>2015</v>
      </c>
      <c r="K206" s="451">
        <f>K$1882</f>
        <v>2016</v>
      </c>
      <c r="L206" s="451">
        <f>L$1882</f>
        <v>2017</v>
      </c>
      <c r="M206" s="451">
        <f>M$1882</f>
        <v>2018</v>
      </c>
      <c r="N206" s="1257"/>
      <c r="O206" s="16"/>
      <c r="P206" s="1037"/>
      <c r="R206" s="1037"/>
      <c r="S206" s="1037"/>
      <c r="AA206" s="608"/>
    </row>
    <row r="207" spans="2:27" ht="12.75" customHeight="1" thickBot="1" x14ac:dyDescent="0.25">
      <c r="B207" s="207"/>
      <c r="C207" s="1060"/>
      <c r="D207" s="699" t="s">
        <v>459</v>
      </c>
      <c r="E207" s="1766" t="str">
        <f>Translations!$B$795</f>
        <v>Ilości wprowadzone</v>
      </c>
      <c r="F207" s="1767"/>
      <c r="G207" s="1767"/>
      <c r="H207" s="231"/>
      <c r="I207" s="472"/>
      <c r="J207" s="472"/>
      <c r="K207" s="472"/>
      <c r="L207" s="472"/>
      <c r="M207" s="472"/>
      <c r="N207" s="1257"/>
      <c r="O207" s="16"/>
      <c r="P207" s="1037"/>
      <c r="R207" s="1037"/>
      <c r="S207" s="1037"/>
      <c r="AA207" s="345" t="b">
        <f>AA203</f>
        <v>0</v>
      </c>
    </row>
    <row r="208" spans="2:27" ht="12.75" customHeight="1" x14ac:dyDescent="0.2">
      <c r="B208" s="207"/>
      <c r="C208" s="1060"/>
      <c r="D208" s="699" t="s">
        <v>460</v>
      </c>
      <c r="E208" s="1743" t="str">
        <f>Translations!$B$470</f>
        <v>Wartość opałowa</v>
      </c>
      <c r="F208" s="1744"/>
      <c r="G208" s="1744"/>
      <c r="H208" s="56" t="str">
        <f>IF(ISBLANK(H207),EUconst_GJperUnit,INDEX(EUconst_GJperTorKNm3,MATCH(H207,EUconst_TonnesOrkNm3pa,0)))</f>
        <v>GJ / Jednostka</v>
      </c>
      <c r="I208" s="446"/>
      <c r="J208" s="446"/>
      <c r="K208" s="446"/>
      <c r="L208" s="446"/>
      <c r="M208" s="446"/>
      <c r="N208" s="1257"/>
      <c r="O208" s="16"/>
      <c r="P208" s="1065"/>
      <c r="R208" s="1052"/>
      <c r="S208" s="814">
        <f>I206</f>
        <v>2014</v>
      </c>
      <c r="T208" s="814">
        <f>J206</f>
        <v>2015</v>
      </c>
      <c r="U208" s="814">
        <f>K206</f>
        <v>2016</v>
      </c>
      <c r="V208" s="814">
        <f>L206</f>
        <v>2017</v>
      </c>
      <c r="W208" s="815">
        <f>M206</f>
        <v>2018</v>
      </c>
      <c r="AA208" s="345" t="b">
        <f>AA207</f>
        <v>0</v>
      </c>
    </row>
    <row r="209" spans="1:27" ht="12.75" customHeight="1" x14ac:dyDescent="0.2">
      <c r="B209" s="207"/>
      <c r="C209" s="1060"/>
      <c r="D209" s="699" t="s">
        <v>461</v>
      </c>
      <c r="E209" s="1739" t="str">
        <f>Translations!$B$796</f>
        <v>Gazy odlotowe wprowadzone</v>
      </c>
      <c r="F209" s="1740"/>
      <c r="G209" s="1740"/>
      <c r="H209" s="453" t="str">
        <f>EUconst_TJpa</f>
        <v>TJ / rok</v>
      </c>
      <c r="I209" s="433" t="str">
        <f>IF(COUNT(I207:I208)=2,I207*I208/1000,"")</f>
        <v/>
      </c>
      <c r="J209" s="433" t="str">
        <f>IF(COUNT(J207:J208)=2,J207*J208/1000,"")</f>
        <v/>
      </c>
      <c r="K209" s="433" t="str">
        <f>IF(COUNT(K207:K208)=2,K207*K208/1000,"")</f>
        <v/>
      </c>
      <c r="L209" s="433" t="str">
        <f>IF(COUNT(L207:L208)=2,L207*L208/1000,"")</f>
        <v/>
      </c>
      <c r="M209" s="433" t="str">
        <f>IF(COUNT(M207:M208)=2,M207*M208/1000,"")</f>
        <v/>
      </c>
      <c r="N209" s="1257"/>
      <c r="O209" s="16"/>
      <c r="P209" s="1062" t="str">
        <f>EUconst_CNTR_WGImport &amp; I13</f>
        <v>WasteGasIm_</v>
      </c>
      <c r="R209" s="1064" t="str">
        <f>EUconst_ERR_AttrEmBMapplied &amp; I13</f>
        <v>ERR_AttrEmBM_ </v>
      </c>
      <c r="S209" s="116">
        <f>IF(AND(I209&lt;&gt;"",EUconst_StatusOfDataCollection=FALSE),1,0)</f>
        <v>0</v>
      </c>
      <c r="T209" s="116">
        <f>IF(AND(J209&lt;&gt;"",EUconst_StatusOfDataCollection=FALSE),1,0)</f>
        <v>0</v>
      </c>
      <c r="U209" s="116">
        <f>IF(AND(K209&lt;&gt;"",EUconst_StatusOfDataCollection=FALSE),1,0)</f>
        <v>0</v>
      </c>
      <c r="V209" s="116">
        <f>IF(AND(L209&lt;&gt;"",EUconst_StatusOfDataCollection=FALSE),1,0)</f>
        <v>0</v>
      </c>
      <c r="W209" s="117">
        <f>IF(AND(M209&lt;&gt;"",EUconst_StatusOfDataCollection=FALSE),1,0)</f>
        <v>0</v>
      </c>
      <c r="AA209" s="608"/>
    </row>
    <row r="210" spans="1:27" s="701" customFormat="1" ht="25.5" customHeight="1" thickBot="1" x14ac:dyDescent="0.25">
      <c r="A210" s="422"/>
      <c r="B210" s="207"/>
      <c r="C210" s="1060"/>
      <c r="D210" s="699" t="s">
        <v>462</v>
      </c>
      <c r="E210" s="1739" t="str">
        <f>Translations!$B$797</f>
        <v>Właściwy współczynnik emisji (gazy odlotowe wprowadzone)</v>
      </c>
      <c r="F210" s="1739"/>
      <c r="G210" s="1739"/>
      <c r="H210" s="452" t="str">
        <f>EUconst_tCO2pTJ</f>
        <v>t CO2 / TJ</v>
      </c>
      <c r="I210" s="765"/>
      <c r="J210" s="765"/>
      <c r="K210" s="765"/>
      <c r="L210" s="765"/>
      <c r="M210" s="765"/>
      <c r="N210" s="665"/>
      <c r="O210" s="16"/>
      <c r="P210" s="1062" t="str">
        <f>EUconst_CNTR_WGImportEF &amp; I13</f>
        <v>WasteGasImEF_</v>
      </c>
      <c r="Q210" s="422"/>
      <c r="R210" s="1053" t="str">
        <f>EUconst_CNTR_AttributedEmissions &amp; I13</f>
        <v>AttrEmissions_</v>
      </c>
      <c r="S210" s="119" t="str">
        <f>IF(S13,SUM(I209)*EUconst_FuelBMvalue,"")</f>
        <v/>
      </c>
      <c r="T210" s="119" t="str">
        <f>IF(T13,SUM(J209)*EUconst_FuelBMvalue,"")</f>
        <v/>
      </c>
      <c r="U210" s="119" t="str">
        <f>IF(U13,SUM(K209)*EUconst_FuelBMvalue,"")</f>
        <v/>
      </c>
      <c r="V210" s="119" t="str">
        <f>IF(V13,SUM(L209)*EUconst_FuelBMvalue,"")</f>
        <v/>
      </c>
      <c r="W210" s="120" t="str">
        <f>IF(W13,SUM(M209)*EUconst_FuelBMvalue,"")</f>
        <v/>
      </c>
      <c r="X210" s="422"/>
      <c r="Y210" s="422"/>
      <c r="Z210" s="422"/>
      <c r="AA210" s="345" t="b">
        <f>AA208</f>
        <v>0</v>
      </c>
    </row>
    <row r="211" spans="1:27" ht="12.75" customHeight="1" x14ac:dyDescent="0.2">
      <c r="B211" s="207"/>
      <c r="C211" s="1060"/>
      <c r="D211" s="1061"/>
      <c r="E211" s="1061"/>
      <c r="F211" s="1061"/>
      <c r="G211" s="1061"/>
      <c r="H211" s="1061"/>
      <c r="I211" s="1061"/>
      <c r="J211" s="1061"/>
      <c r="K211" s="1061"/>
      <c r="L211" s="1061"/>
      <c r="M211" s="1063"/>
      <c r="N211" s="665"/>
      <c r="O211" s="16"/>
      <c r="P211" s="1037"/>
      <c r="R211" s="1037"/>
      <c r="S211" s="1037"/>
      <c r="AA211" s="608"/>
    </row>
    <row r="212" spans="1:27" ht="12.75" customHeight="1" x14ac:dyDescent="0.2">
      <c r="B212" s="207"/>
      <c r="C212" s="1060"/>
      <c r="D212" s="699" t="s">
        <v>463</v>
      </c>
      <c r="E212" s="1760" t="str">
        <f>Translations!$B$798</f>
        <v>Rodzaje wyprowadzonych gazów odlotowych:</v>
      </c>
      <c r="F212" s="1760"/>
      <c r="G212" s="1760"/>
      <c r="H212" s="1760"/>
      <c r="I212" s="1763"/>
      <c r="J212" s="1764"/>
      <c r="K212" s="1764"/>
      <c r="L212" s="1764"/>
      <c r="M212" s="1765"/>
      <c r="N212" s="1254"/>
      <c r="O212" s="16"/>
      <c r="P212" s="1037"/>
      <c r="R212" s="1037"/>
      <c r="AA212" s="345" t="b">
        <f>AA207</f>
        <v>0</v>
      </c>
    </row>
    <row r="213" spans="1:27" ht="12.75" customHeight="1" x14ac:dyDescent="0.2">
      <c r="B213" s="207"/>
      <c r="C213" s="1060"/>
      <c r="D213" s="699"/>
      <c r="E213" s="1730" t="str">
        <f>Translations!$B$793</f>
        <v>Podane tu dane wpłyną na emisje, które można przypisać, zgodnie z pkt 10.1.5 załącznika VII do FAR.</v>
      </c>
      <c r="F213" s="1731"/>
      <c r="G213" s="1731"/>
      <c r="H213" s="1731"/>
      <c r="I213" s="1731"/>
      <c r="J213" s="1731"/>
      <c r="K213" s="1731"/>
      <c r="L213" s="1731"/>
      <c r="M213" s="1731"/>
      <c r="N213" s="1732"/>
      <c r="O213" s="16"/>
      <c r="P213" s="1037"/>
      <c r="R213" s="1037"/>
      <c r="S213" s="1037"/>
      <c r="AA213" s="608"/>
    </row>
    <row r="214" spans="1:27" ht="25.5" customHeight="1" x14ac:dyDescent="0.2">
      <c r="B214" s="207"/>
      <c r="C214" s="1060"/>
      <c r="D214" s="699"/>
      <c r="E214" s="1733" t="str">
        <f>Translations!$B$799</f>
        <v>Pozycja ta obejmuje wszystkie rodzaje gazów odlotowych wytworzonych w granicach systemowych tej podinstalacji i wyprowadzonych z tej podinstalacji do jakiejkolwiek innej podinstalacji, jak również do wszelkich innych instalacji lub podmiotów.</v>
      </c>
      <c r="F214" s="1734"/>
      <c r="G214" s="1734"/>
      <c r="H214" s="1734"/>
      <c r="I214" s="1734"/>
      <c r="J214" s="1734"/>
      <c r="K214" s="1734"/>
      <c r="L214" s="1734"/>
      <c r="M214" s="1734"/>
      <c r="N214" s="1735"/>
      <c r="O214" s="16"/>
      <c r="P214" s="1037"/>
      <c r="R214" s="1037"/>
      <c r="S214" s="1037"/>
      <c r="AA214" s="608"/>
    </row>
    <row r="215" spans="1:27" ht="12.75" customHeight="1" x14ac:dyDescent="0.2">
      <c r="B215" s="207"/>
      <c r="C215" s="1060"/>
      <c r="D215" s="1061"/>
      <c r="E215" s="1757"/>
      <c r="F215" s="1758"/>
      <c r="G215" s="1758"/>
      <c r="H215" s="450" t="str">
        <f>EUconst_Unit</f>
        <v>Jednostka</v>
      </c>
      <c r="I215" s="451">
        <f>I$1882</f>
        <v>2014</v>
      </c>
      <c r="J215" s="451">
        <f>J$1882</f>
        <v>2015</v>
      </c>
      <c r="K215" s="451">
        <f>K$1882</f>
        <v>2016</v>
      </c>
      <c r="L215" s="451">
        <f>L$1882</f>
        <v>2017</v>
      </c>
      <c r="M215" s="451">
        <f>M$1882</f>
        <v>2018</v>
      </c>
      <c r="N215" s="1257"/>
      <c r="O215" s="16"/>
      <c r="P215" s="1037"/>
      <c r="R215" s="1037"/>
      <c r="S215" s="1037"/>
      <c r="AA215" s="608"/>
    </row>
    <row r="216" spans="1:27" ht="12.75" customHeight="1" x14ac:dyDescent="0.2">
      <c r="B216" s="207"/>
      <c r="C216" s="1060"/>
      <c r="D216" s="699" t="s">
        <v>464</v>
      </c>
      <c r="E216" s="1766" t="str">
        <f>Translations!$B$800</f>
        <v>Ilości wyprowadzone</v>
      </c>
      <c r="F216" s="1767"/>
      <c r="G216" s="1767"/>
      <c r="H216" s="231"/>
      <c r="I216" s="472"/>
      <c r="J216" s="472"/>
      <c r="K216" s="472"/>
      <c r="L216" s="472"/>
      <c r="M216" s="472"/>
      <c r="N216" s="1257"/>
      <c r="O216" s="16"/>
      <c r="P216" s="1037"/>
      <c r="R216" s="1037"/>
      <c r="S216" s="1037"/>
      <c r="AA216" s="345" t="b">
        <f>AA212</f>
        <v>0</v>
      </c>
    </row>
    <row r="217" spans="1:27" ht="12.75" customHeight="1" thickBot="1" x14ac:dyDescent="0.25">
      <c r="B217" s="207"/>
      <c r="C217" s="1060"/>
      <c r="D217" s="699" t="s">
        <v>643</v>
      </c>
      <c r="E217" s="1743" t="str">
        <f>Translations!$B$470</f>
        <v>Wartość opałowa</v>
      </c>
      <c r="F217" s="1744"/>
      <c r="G217" s="1744"/>
      <c r="H217" s="56" t="str">
        <f>IF(ISBLANK(H216),EUconst_GJperUnit,INDEX(EUconst_GJperTorKNm3,MATCH(H216,EUconst_TonnesOrkNm3pa,0)))</f>
        <v>GJ / Jednostka</v>
      </c>
      <c r="I217" s="446"/>
      <c r="J217" s="446"/>
      <c r="K217" s="446"/>
      <c r="L217" s="446"/>
      <c r="M217" s="446"/>
      <c r="N217" s="1257"/>
      <c r="O217" s="16"/>
      <c r="P217" s="1065"/>
      <c r="R217" s="1037"/>
      <c r="S217" s="1037"/>
      <c r="AA217" s="345" t="b">
        <f>AA216</f>
        <v>0</v>
      </c>
    </row>
    <row r="218" spans="1:27" ht="12.75" customHeight="1" x14ac:dyDescent="0.2">
      <c r="B218" s="207"/>
      <c r="C218" s="1060"/>
      <c r="D218" s="699" t="s">
        <v>644</v>
      </c>
      <c r="E218" s="1739" t="str">
        <f>Translations!$B$801</f>
        <v>Gazy odlotowe wyprowadzone</v>
      </c>
      <c r="F218" s="1740"/>
      <c r="G218" s="1740"/>
      <c r="H218" s="453" t="str">
        <f>EUconst_TJpa</f>
        <v>TJ / rok</v>
      </c>
      <c r="I218" s="433" t="str">
        <f>IF(COUNT(I216:I217)=2,I216*I217/1000,"")</f>
        <v/>
      </c>
      <c r="J218" s="433" t="str">
        <f>IF(COUNT(J216:J217)=2,J216*J217/1000,"")</f>
        <v/>
      </c>
      <c r="K218" s="433" t="str">
        <f>IF(COUNT(K216:K217)=2,K216*K217/1000,"")</f>
        <v/>
      </c>
      <c r="L218" s="433" t="str">
        <f>IF(COUNT(L216:L217)=2,L216*L217/1000,"")</f>
        <v/>
      </c>
      <c r="M218" s="433" t="str">
        <f>IF(COUNT(M216:M217)=2,M216*M217/1000,"")</f>
        <v/>
      </c>
      <c r="N218" s="702"/>
      <c r="O218" s="16"/>
      <c r="P218" s="1062" t="str">
        <f>EUconst_CNTR_WGExport &amp; I13</f>
        <v>WasteGasEx_</v>
      </c>
      <c r="R218" s="1052"/>
      <c r="S218" s="814">
        <f>I215</f>
        <v>2014</v>
      </c>
      <c r="T218" s="814">
        <f>J215</f>
        <v>2015</v>
      </c>
      <c r="U218" s="814">
        <f>K215</f>
        <v>2016</v>
      </c>
      <c r="V218" s="814">
        <f>L215</f>
        <v>2017</v>
      </c>
      <c r="W218" s="815">
        <f>M215</f>
        <v>2018</v>
      </c>
      <c r="AA218" s="608"/>
    </row>
    <row r="219" spans="1:27" s="701" customFormat="1" ht="25.5" customHeight="1" thickBot="1" x14ac:dyDescent="0.25">
      <c r="A219" s="2"/>
      <c r="B219" s="207"/>
      <c r="C219" s="1060"/>
      <c r="D219" s="699" t="s">
        <v>645</v>
      </c>
      <c r="E219" s="1739" t="str">
        <f>Translations!$B$802</f>
        <v>Właściwy współczynnik emisji (gazy odlotowe wyprowadzone)</v>
      </c>
      <c r="F219" s="1739"/>
      <c r="G219" s="1739"/>
      <c r="H219" s="452" t="str">
        <f>EUconst_tCO2pTJ</f>
        <v>t CO2 / TJ</v>
      </c>
      <c r="I219" s="765"/>
      <c r="J219" s="765"/>
      <c r="K219" s="765"/>
      <c r="L219" s="765"/>
      <c r="M219" s="765"/>
      <c r="N219" s="665"/>
      <c r="O219" s="16"/>
      <c r="P219" s="1062" t="str">
        <f>EUconst_CNTR_WGExportEF &amp; I13</f>
        <v>WasteGasExEF_</v>
      </c>
      <c r="Q219" s="422"/>
      <c r="R219" s="1053" t="str">
        <f>EUconst_CNTR_AttributedEmissions &amp; I13</f>
        <v>AttrEmissions_</v>
      </c>
      <c r="S219" s="119" t="str">
        <f>IF(S13,-SUM(I218)*EUconst_NGEFvalue*EUconst_WasteGasCorrFactor,"")</f>
        <v/>
      </c>
      <c r="T219" s="119" t="str">
        <f>IF(T13,-SUM(J218)*EUconst_NGEFvalue*EUconst_WasteGasCorrFactor,"")</f>
        <v/>
      </c>
      <c r="U219" s="119" t="str">
        <f>IF(U13,-SUM(K218)*EUconst_NGEFvalue*EUconst_WasteGasCorrFactor,"")</f>
        <v/>
      </c>
      <c r="V219" s="119" t="str">
        <f>IF(V13,-SUM(L218)*EUconst_NGEFvalue*EUconst_WasteGasCorrFactor,"")</f>
        <v/>
      </c>
      <c r="W219" s="120" t="str">
        <f>IF(W13,-SUM(M218)*EUconst_NGEFvalue*EUconst_WasteGasCorrFactor,"")</f>
        <v/>
      </c>
      <c r="X219" s="422"/>
      <c r="Y219" s="422"/>
      <c r="Z219" s="422"/>
      <c r="AA219" s="168" t="b">
        <f>AA217</f>
        <v>0</v>
      </c>
    </row>
    <row r="220" spans="1:27" ht="12.75" customHeight="1" x14ac:dyDescent="0.2">
      <c r="B220" s="207"/>
      <c r="C220" s="1060"/>
      <c r="D220" s="1061"/>
      <c r="E220" s="1061"/>
      <c r="F220" s="1061"/>
      <c r="G220" s="1061"/>
      <c r="H220" s="1061"/>
      <c r="I220" s="1061"/>
      <c r="J220" s="1061"/>
      <c r="K220" s="1061"/>
      <c r="L220" s="1061"/>
      <c r="M220" s="1063"/>
      <c r="N220" s="665"/>
      <c r="O220" s="16"/>
      <c r="P220" s="1037"/>
      <c r="R220" s="1037"/>
    </row>
    <row r="221" spans="1:27" ht="12.75" customHeight="1" x14ac:dyDescent="0.2">
      <c r="B221" s="207"/>
      <c r="C221" s="1060"/>
      <c r="D221" s="462" t="s">
        <v>221</v>
      </c>
      <c r="E221" s="1731" t="str">
        <f>Translations!$B$420</f>
        <v>Wytwarzanie energii elektrycznej</v>
      </c>
      <c r="F221" s="1734"/>
      <c r="G221" s="1734"/>
      <c r="H221" s="1734"/>
      <c r="I221" s="1734"/>
      <c r="J221" s="1734"/>
      <c r="K221" s="1734"/>
      <c r="L221" s="1734"/>
      <c r="M221" s="1734"/>
      <c r="N221" s="1735"/>
      <c r="O221" s="16"/>
      <c r="P221" s="1037"/>
      <c r="R221" s="1037"/>
    </row>
    <row r="222" spans="1:27" ht="12.75" customHeight="1" x14ac:dyDescent="0.2">
      <c r="B222" s="207"/>
      <c r="C222" s="1060"/>
      <c r="D222" s="699"/>
      <c r="E222" s="1730" t="str">
        <f>Translations!$B$803</f>
        <v>Podane tu dane wpłyną na emisje, które można przypisać, zgodnie z rozdziałem 10 załącznika VII do FAR.</v>
      </c>
      <c r="F222" s="1731"/>
      <c r="G222" s="1731"/>
      <c r="H222" s="1731"/>
      <c r="I222" s="1731"/>
      <c r="J222" s="1731"/>
      <c r="K222" s="1731"/>
      <c r="L222" s="1731"/>
      <c r="M222" s="1731"/>
      <c r="N222" s="1732"/>
      <c r="O222" s="16"/>
      <c r="P222" s="1037"/>
      <c r="R222" s="1037"/>
      <c r="S222" s="1037"/>
      <c r="AA222" s="608"/>
    </row>
    <row r="223" spans="1:27" ht="38.25" customHeight="1" thickBot="1" x14ac:dyDescent="0.25">
      <c r="B223" s="207"/>
      <c r="C223" s="1060"/>
      <c r="D223" s="1061"/>
      <c r="E223" s="1733" t="str">
        <f>Translations!$B$804</f>
        <v>Pozycja ta obejmuje energię elektryczną wytwarzaną bezpośrednio w tej podinstalacji zgodnie z wymogami określonymi w pkt 3.1 lit. i) załącznika IV do FAR. Informacji dotyczących energii elektrycznej wytwarzanej za pomocą pośredniego mierzalnego ciepła nie należy podawać w tym miejscu, tylko w lit. k) ppkt (v) powyżej dotyczącym wyprowadzania mierzalnego ciepła.</v>
      </c>
      <c r="F223" s="1734"/>
      <c r="G223" s="1734"/>
      <c r="H223" s="1734"/>
      <c r="I223" s="1734"/>
      <c r="J223" s="1734"/>
      <c r="K223" s="1734"/>
      <c r="L223" s="1734"/>
      <c r="M223" s="1734"/>
      <c r="N223" s="1735"/>
      <c r="O223" s="16"/>
      <c r="P223" s="1037"/>
      <c r="R223" s="1037"/>
    </row>
    <row r="224" spans="1:27" ht="12.75" customHeight="1" x14ac:dyDescent="0.2">
      <c r="B224" s="207"/>
      <c r="C224" s="1060"/>
      <c r="D224" s="462"/>
      <c r="E224" s="1757"/>
      <c r="F224" s="1758"/>
      <c r="G224" s="1758"/>
      <c r="H224" s="450" t="str">
        <f>EUconst_Unit</f>
        <v>Jednostka</v>
      </c>
      <c r="I224" s="451">
        <f>I$1882</f>
        <v>2014</v>
      </c>
      <c r="J224" s="451">
        <f>J$1882</f>
        <v>2015</v>
      </c>
      <c r="K224" s="451">
        <f>K$1882</f>
        <v>2016</v>
      </c>
      <c r="L224" s="451">
        <f>L$1882</f>
        <v>2017</v>
      </c>
      <c r="M224" s="451">
        <f>M$1882</f>
        <v>2018</v>
      </c>
      <c r="N224" s="665"/>
      <c r="O224" s="16"/>
      <c r="P224" s="1037"/>
      <c r="R224" s="1052"/>
      <c r="S224" s="814">
        <f>I224</f>
        <v>2014</v>
      </c>
      <c r="T224" s="814">
        <f>J224</f>
        <v>2015</v>
      </c>
      <c r="U224" s="814">
        <f>K224</f>
        <v>2016</v>
      </c>
      <c r="V224" s="814">
        <f>L224</f>
        <v>2017</v>
      </c>
      <c r="W224" s="815">
        <f>M224</f>
        <v>2018</v>
      </c>
    </row>
    <row r="225" spans="2:27" ht="12.75" customHeight="1" thickBot="1" x14ac:dyDescent="0.25">
      <c r="B225" s="207"/>
      <c r="C225" s="1060"/>
      <c r="D225" s="699"/>
      <c r="E225" s="1739" t="str">
        <f>Translations!$B$805</f>
        <v>Energia elektryczna wytworzona</v>
      </c>
      <c r="F225" s="1740"/>
      <c r="G225" s="1740"/>
      <c r="H225" s="453" t="str">
        <f>EUconst_MWhpa</f>
        <v>MWh / rok</v>
      </c>
      <c r="I225" s="471"/>
      <c r="J225" s="471"/>
      <c r="K225" s="471"/>
      <c r="L225" s="471"/>
      <c r="M225" s="471"/>
      <c r="N225" s="1257"/>
      <c r="O225" s="16"/>
      <c r="P225" s="1062" t="str">
        <f>EUconst_CNTR_ElectricityExported &amp; I13</f>
        <v>ElecEx_</v>
      </c>
      <c r="R225" s="1053" t="str">
        <f>EUconst_CNTR_AttributedEmissions &amp; I13</f>
        <v>AttrEmissions_</v>
      </c>
      <c r="S225" s="119" t="str">
        <f>IF(S13,-SUM(I225)*EUconst_ElBM,"")</f>
        <v/>
      </c>
      <c r="T225" s="119" t="str">
        <f>IF(T13,-SUM(J225)*EUconst_ElBM,"")</f>
        <v/>
      </c>
      <c r="U225" s="119" t="str">
        <f>IF(U13,-SUM(K225)*EUconst_ElBM,"")</f>
        <v/>
      </c>
      <c r="V225" s="119" t="str">
        <f>IF(V13,-SUM(L225)*EUconst_ElBM,"")</f>
        <v/>
      </c>
      <c r="W225" s="120" t="str">
        <f>IF(W13,-SUM(M225)*EUconst_ElBM,"")</f>
        <v/>
      </c>
    </row>
    <row r="226" spans="2:27" ht="12.75" customHeight="1" x14ac:dyDescent="0.2">
      <c r="B226" s="207"/>
      <c r="C226" s="1060"/>
      <c r="D226" s="1061"/>
      <c r="E226" s="1061"/>
      <c r="F226" s="1061"/>
      <c r="G226" s="1061"/>
      <c r="H226" s="1061"/>
      <c r="I226" s="1061"/>
      <c r="J226" s="1061"/>
      <c r="K226" s="1061"/>
      <c r="L226" s="1061"/>
      <c r="M226" s="1063"/>
      <c r="N226" s="665"/>
      <c r="O226" s="16"/>
      <c r="P226" s="1037"/>
      <c r="R226" s="1037"/>
      <c r="S226" s="1037"/>
    </row>
    <row r="227" spans="2:27" ht="12.75" customHeight="1" x14ac:dyDescent="0.2">
      <c r="B227" s="207"/>
      <c r="C227" s="1060"/>
      <c r="D227" s="462" t="s">
        <v>79</v>
      </c>
      <c r="E227" s="1760" t="str">
        <f>Translations!$B$806</f>
        <v>Całkowita ilość wyprodukowanej masy celulozowej</v>
      </c>
      <c r="F227" s="1760"/>
      <c r="G227" s="1760"/>
      <c r="H227" s="1760"/>
      <c r="I227" s="1760"/>
      <c r="J227" s="1760"/>
      <c r="K227" s="1760"/>
      <c r="L227" s="1760"/>
      <c r="M227" s="1760"/>
      <c r="N227" s="1761"/>
      <c r="O227" s="16"/>
      <c r="S227" s="1037"/>
    </row>
    <row r="228" spans="2:27" ht="38.25" customHeight="1" x14ac:dyDescent="0.2">
      <c r="B228" s="207"/>
      <c r="C228" s="1060"/>
      <c r="D228" s="1061"/>
      <c r="E228" s="1733" t="str">
        <f>Translations!$B$807</f>
        <v>Zgodnie z załącznikiem IV pkt 2.7 lit. k) należy podać całkowitą ilość masy celulozowej wyprodukowanej w podinstalacjach objętych wskaźnikiem emisyjności dla produktów, produkujących krótkowłóknistą masę celulozową siarczanową, długowłóknistą masę celulozową siarczanową, masę termomechaniczną i mechaniczną, masę celulozową uzyskaną metodą siarczynową.</v>
      </c>
      <c r="F228" s="1734"/>
      <c r="G228" s="1734"/>
      <c r="H228" s="1734"/>
      <c r="I228" s="1734"/>
      <c r="J228" s="1734"/>
      <c r="K228" s="1734"/>
      <c r="L228" s="1734"/>
      <c r="M228" s="1734"/>
      <c r="N228" s="1735"/>
      <c r="O228" s="16"/>
      <c r="P228" s="1037"/>
      <c r="R228" s="1037"/>
      <c r="S228" s="1037"/>
      <c r="AA228" s="422"/>
    </row>
    <row r="229" spans="2:27" ht="12.75" customHeight="1" x14ac:dyDescent="0.2">
      <c r="B229" s="207"/>
      <c r="C229" s="1060"/>
      <c r="D229" s="1061"/>
      <c r="E229" s="1733" t="str">
        <f>Translations!$B$808</f>
        <v>Część ta zostanie wyszarzona, jeżeli dana podinstalacja nie produkuje masy celulozowej. W takim przypadku należy przejść do kolejnych punktów poniżej.</v>
      </c>
      <c r="F229" s="1734"/>
      <c r="G229" s="1734"/>
      <c r="H229" s="1734"/>
      <c r="I229" s="1734"/>
      <c r="J229" s="1734"/>
      <c r="K229" s="1734"/>
      <c r="L229" s="1734"/>
      <c r="M229" s="1734"/>
      <c r="N229" s="1735"/>
      <c r="O229" s="16"/>
      <c r="P229" s="1037"/>
      <c r="R229" s="1037"/>
      <c r="S229" s="1037"/>
      <c r="AA229" s="422" t="s">
        <v>272</v>
      </c>
    </row>
    <row r="230" spans="2:27" ht="12.75" customHeight="1" thickBot="1" x14ac:dyDescent="0.25">
      <c r="B230" s="207"/>
      <c r="C230" s="1060"/>
      <c r="D230" s="699"/>
      <c r="E230" s="1730" t="str">
        <f>Translations!$B$809</f>
        <v>Podane tu dane będą istotne dla aktualizacji wskaźnika dotyczącego masy celulozowej.</v>
      </c>
      <c r="F230" s="1731"/>
      <c r="G230" s="1731"/>
      <c r="H230" s="1731"/>
      <c r="I230" s="1731"/>
      <c r="J230" s="1731"/>
      <c r="K230" s="1731"/>
      <c r="L230" s="1731"/>
      <c r="M230" s="1731"/>
      <c r="N230" s="1732"/>
      <c r="O230" s="16"/>
      <c r="P230" s="1037"/>
      <c r="R230" s="1037"/>
      <c r="S230" s="1037"/>
      <c r="AA230" s="608"/>
    </row>
    <row r="231" spans="2:27" ht="12.75" customHeight="1" thickBot="1" x14ac:dyDescent="0.25">
      <c r="B231" s="207"/>
      <c r="C231" s="1060"/>
      <c r="D231" s="699"/>
      <c r="E231" s="1762" t="str">
        <f>IF(I13="","",IF(INDEX(EUconst_BMlistPulp,MATCH(I13,EUconst_BMlistNames,0)),I13,""))</f>
        <v/>
      </c>
      <c r="F231" s="1762"/>
      <c r="G231" s="1762"/>
      <c r="H231" s="453" t="str">
        <f>EUconst_Tons</f>
        <v>tony</v>
      </c>
      <c r="I231" s="471"/>
      <c r="J231" s="471"/>
      <c r="K231" s="471"/>
      <c r="L231" s="471"/>
      <c r="M231" s="471"/>
      <c r="N231" s="1257"/>
      <c r="O231" s="16"/>
      <c r="P231" s="1062" t="str">
        <f>EUconst_CNTR_HALPulpTotal &amp; I13</f>
        <v>HALPulpTotal_</v>
      </c>
      <c r="R231" s="1037"/>
      <c r="AA231" s="738" t="b">
        <f>IF(I13&lt;&gt;"",IF(INDEX(EUconst_BMlistPulp,MATCH(I13,EUconst_BMlistNames,0))=TRUE,FALSE,TRUE),FALSE)</f>
        <v>0</v>
      </c>
    </row>
    <row r="232" spans="2:27" ht="12.75" customHeight="1" x14ac:dyDescent="0.2">
      <c r="B232" s="207"/>
      <c r="C232" s="1060"/>
      <c r="D232" s="699"/>
      <c r="E232" s="699"/>
      <c r="F232" s="699"/>
      <c r="G232" s="699"/>
      <c r="H232" s="699"/>
      <c r="I232" s="699"/>
      <c r="J232" s="699"/>
      <c r="K232" s="699"/>
      <c r="L232" s="699"/>
      <c r="M232" s="699"/>
      <c r="N232" s="1257"/>
      <c r="O232" s="16"/>
      <c r="P232" s="1065"/>
      <c r="R232" s="1037"/>
      <c r="S232" s="1037"/>
    </row>
    <row r="233" spans="2:27" ht="12.75" customHeight="1" x14ac:dyDescent="0.2">
      <c r="B233" s="207"/>
      <c r="C233" s="1060"/>
      <c r="D233" s="462" t="s">
        <v>333</v>
      </c>
      <c r="E233" s="1731" t="str">
        <f>Translations!$B$810</f>
        <v>Wprowadzanie lub wyprowadzanie produktów pośrednich objętych wskaźnikami emisyjności dla produktów</v>
      </c>
      <c r="F233" s="1734"/>
      <c r="G233" s="1734"/>
      <c r="H233" s="1734"/>
      <c r="I233" s="1734"/>
      <c r="J233" s="1734"/>
      <c r="K233" s="1734"/>
      <c r="L233" s="1734"/>
      <c r="M233" s="1734"/>
      <c r="N233" s="1735"/>
      <c r="O233" s="16"/>
      <c r="P233" s="1037"/>
      <c r="R233" s="1037"/>
      <c r="S233" s="1037"/>
    </row>
    <row r="234" spans="2:27" ht="25.5" customHeight="1" x14ac:dyDescent="0.2">
      <c r="B234" s="207"/>
      <c r="C234" s="1060"/>
      <c r="D234" s="1061"/>
      <c r="E234" s="1733" t="str">
        <f>Translations!$B$811</f>
        <v>Aby podczas ustalania aktualizowanych wskaźników uniknąć podwójnego liczenia lub braków w przypisanych emisjach, zgodnie z pkt 2.7 lit. d) załącznika IV do FAR należy zgłaszać wszelkie wprowadzanie lub wyprowadzanie produktów pośrednich objętych dowolnym ze wskaźników emisyjności dla produktów wymienionych w załączniku I do FAR.</v>
      </c>
      <c r="F234" s="1734"/>
      <c r="G234" s="1734"/>
      <c r="H234" s="1734"/>
      <c r="I234" s="1734"/>
      <c r="J234" s="1734"/>
      <c r="K234" s="1734"/>
      <c r="L234" s="1734"/>
      <c r="M234" s="1734"/>
      <c r="N234" s="1735"/>
      <c r="O234" s="16"/>
      <c r="P234" s="1037"/>
      <c r="R234" s="1037"/>
      <c r="S234" s="1037"/>
    </row>
    <row r="235" spans="2:27" ht="12.75" customHeight="1" thickBot="1" x14ac:dyDescent="0.25">
      <c r="B235" s="207"/>
      <c r="C235" s="1060"/>
      <c r="D235" s="1061"/>
      <c r="E235" s="1730" t="str">
        <f>Translations!$B$812</f>
        <v>Podane tu dane mogą być istotne dla aktualizacji właściwego wskaźnika.</v>
      </c>
      <c r="F235" s="1731"/>
      <c r="G235" s="1731"/>
      <c r="H235" s="1731"/>
      <c r="I235" s="1731"/>
      <c r="J235" s="1731"/>
      <c r="K235" s="1731"/>
      <c r="L235" s="1731"/>
      <c r="M235" s="1731"/>
      <c r="N235" s="1732"/>
      <c r="O235" s="16"/>
      <c r="P235" s="1037"/>
      <c r="R235" s="1037"/>
      <c r="S235" s="1037"/>
    </row>
    <row r="236" spans="2:27" ht="25.5" customHeight="1" thickBot="1" x14ac:dyDescent="0.25">
      <c r="B236" s="20"/>
      <c r="C236" s="1060"/>
      <c r="D236" s="699" t="s">
        <v>2</v>
      </c>
      <c r="E236" s="1774" t="str">
        <f>Translations!$B$813</f>
        <v>Czy ma miejsce jakiekolwiek wprowadzanie lub wyprowadzanie produktów pośrednich objętych wskaźnikami emisyjności dla produktów?</v>
      </c>
      <c r="F236" s="1774"/>
      <c r="G236" s="1774"/>
      <c r="H236" s="1774"/>
      <c r="I236" s="1774"/>
      <c r="J236" s="1774"/>
      <c r="K236" s="1775"/>
      <c r="L236" s="517"/>
      <c r="M236" s="449"/>
      <c r="N236" s="702"/>
      <c r="O236" s="16"/>
      <c r="W236" s="1048" t="s">
        <v>414</v>
      </c>
      <c r="X236" s="1046" t="b">
        <f>IF(AND(I13&lt;&gt;"",ISBLANK(L236)),EUconst_Error&amp;"BM"&amp;C13,FALSE)</f>
        <v>0</v>
      </c>
    </row>
    <row r="237" spans="2:27" ht="5.0999999999999996" customHeight="1" x14ac:dyDescent="0.2">
      <c r="B237" s="207"/>
      <c r="C237" s="1060"/>
      <c r="D237" s="699"/>
      <c r="E237" s="699"/>
      <c r="F237" s="699"/>
      <c r="G237" s="699"/>
      <c r="H237" s="699"/>
      <c r="I237" s="699"/>
      <c r="J237" s="699"/>
      <c r="K237" s="699"/>
      <c r="L237" s="699"/>
      <c r="M237" s="699"/>
      <c r="N237" s="1257"/>
      <c r="O237" s="16"/>
      <c r="P237" s="1065"/>
      <c r="R237" s="1037"/>
      <c r="S237" s="1037"/>
    </row>
    <row r="238" spans="2:27" ht="12.75" customHeight="1" thickBot="1" x14ac:dyDescent="0.25">
      <c r="B238" s="207"/>
      <c r="C238" s="1060"/>
      <c r="D238" s="514"/>
      <c r="E238" s="1757" t="str">
        <f>Translations!$B$814</f>
        <v>Ilości wprowadzone:</v>
      </c>
      <c r="F238" s="1758"/>
      <c r="G238" s="1758"/>
      <c r="H238" s="515" t="str">
        <f>EUconst_Unit</f>
        <v>Jednostka</v>
      </c>
      <c r="I238" s="451">
        <f>I$1882</f>
        <v>2014</v>
      </c>
      <c r="J238" s="451">
        <f>J$1882</f>
        <v>2015</v>
      </c>
      <c r="K238" s="451">
        <f>K$1882</f>
        <v>2016</v>
      </c>
      <c r="L238" s="451">
        <f>L$1882</f>
        <v>2017</v>
      </c>
      <c r="M238" s="451">
        <f>M$1882</f>
        <v>2018</v>
      </c>
      <c r="N238" s="1257"/>
      <c r="O238" s="16"/>
      <c r="P238" s="1065"/>
      <c r="R238" s="1037"/>
      <c r="S238" s="1037"/>
      <c r="AA238" s="422" t="s">
        <v>272</v>
      </c>
    </row>
    <row r="239" spans="2:27" ht="12.75" customHeight="1" x14ac:dyDescent="0.2">
      <c r="B239" s="207"/>
      <c r="C239" s="1060"/>
      <c r="D239" s="516" t="s">
        <v>3</v>
      </c>
      <c r="E239" s="1759"/>
      <c r="F239" s="1759"/>
      <c r="G239" s="1759"/>
      <c r="H239" s="64" t="str">
        <f>IF(E239&lt;&gt;"",INDEX(EUconst_BMlistUnits,MATCH(E239,EUconst_BMlistNames,0)),EUconst_Tons)</f>
        <v>tony</v>
      </c>
      <c r="I239" s="318"/>
      <c r="J239" s="318"/>
      <c r="K239" s="318"/>
      <c r="L239" s="318"/>
      <c r="M239" s="318"/>
      <c r="N239" s="1257"/>
      <c r="O239" s="16"/>
      <c r="P239" s="1062" t="str">
        <f>EUconst_CNTR_IntermediateImport &amp; R239 &amp; "_" &amp; I13</f>
        <v>IntImp_1_</v>
      </c>
      <c r="R239" s="1062">
        <v>1</v>
      </c>
      <c r="S239" s="1037"/>
      <c r="AA239" s="646" t="b">
        <f>AND(NOT(ISBLANK(L236)),L236=FALSE)</f>
        <v>0</v>
      </c>
    </row>
    <row r="240" spans="2:27" ht="12.75" customHeight="1" x14ac:dyDescent="0.2">
      <c r="B240" s="207"/>
      <c r="C240" s="1060"/>
      <c r="D240" s="516" t="s">
        <v>4</v>
      </c>
      <c r="E240" s="1747"/>
      <c r="F240" s="1747"/>
      <c r="G240" s="1747"/>
      <c r="H240" s="56" t="str">
        <f>IF(E240&lt;&gt;"",INDEX(EUconst_BMlistUnits,MATCH(E240,EUconst_BMlistNames,0)),EUconst_Tons)</f>
        <v>tony</v>
      </c>
      <c r="I240" s="317"/>
      <c r="J240" s="317"/>
      <c r="K240" s="317"/>
      <c r="L240" s="317"/>
      <c r="M240" s="317"/>
      <c r="N240" s="1257"/>
      <c r="O240" s="16"/>
      <c r="P240" s="1062" t="str">
        <f>EUconst_CNTR_IntermediateImport &amp; R240 &amp; "_" &amp; I13</f>
        <v>IntImp_2_</v>
      </c>
      <c r="R240" s="1062">
        <v>2</v>
      </c>
      <c r="S240" s="1037"/>
      <c r="AA240" s="345" t="b">
        <f>AA239</f>
        <v>0</v>
      </c>
    </row>
    <row r="241" spans="2:27" ht="5.0999999999999996" customHeight="1" x14ac:dyDescent="0.2">
      <c r="B241" s="207"/>
      <c r="C241" s="1060"/>
      <c r="D241" s="699"/>
      <c r="E241" s="699"/>
      <c r="F241" s="699"/>
      <c r="G241" s="699"/>
      <c r="H241" s="699"/>
      <c r="I241" s="699"/>
      <c r="J241" s="699"/>
      <c r="K241" s="699"/>
      <c r="L241" s="699"/>
      <c r="M241" s="699"/>
      <c r="N241" s="1257"/>
      <c r="O241" s="16"/>
      <c r="P241" s="1065"/>
      <c r="R241" s="1037"/>
      <c r="S241" s="1037"/>
      <c r="AA241" s="608"/>
    </row>
    <row r="242" spans="2:27" ht="12.75" customHeight="1" x14ac:dyDescent="0.2">
      <c r="B242" s="207"/>
      <c r="C242" s="1060"/>
      <c r="D242" s="514"/>
      <c r="E242" s="1757" t="str">
        <f>Translations!$B$815</f>
        <v>Ilości wyprowadzone:</v>
      </c>
      <c r="F242" s="1758"/>
      <c r="G242" s="1758"/>
      <c r="H242" s="515" t="str">
        <f>EUconst_Unit</f>
        <v>Jednostka</v>
      </c>
      <c r="I242" s="451">
        <f>I$1882</f>
        <v>2014</v>
      </c>
      <c r="J242" s="451">
        <f>J$1882</f>
        <v>2015</v>
      </c>
      <c r="K242" s="451">
        <f>K$1882</f>
        <v>2016</v>
      </c>
      <c r="L242" s="451">
        <f>L$1882</f>
        <v>2017</v>
      </c>
      <c r="M242" s="451">
        <f>M$1882</f>
        <v>2018</v>
      </c>
      <c r="N242" s="1257"/>
      <c r="O242" s="16"/>
      <c r="P242" s="1065"/>
      <c r="R242" s="1037"/>
      <c r="S242" s="1037"/>
      <c r="AA242" s="608"/>
    </row>
    <row r="243" spans="2:27" ht="12.75" customHeight="1" x14ac:dyDescent="0.2">
      <c r="B243" s="207"/>
      <c r="C243" s="1060"/>
      <c r="D243" s="516" t="s">
        <v>6</v>
      </c>
      <c r="E243" s="1759"/>
      <c r="F243" s="1759"/>
      <c r="G243" s="1759"/>
      <c r="H243" s="64" t="str">
        <f>IF(E243&lt;&gt;"",INDEX(EUconst_BMlistUnits,MATCH(E243,EUconst_BMlistNames,0)),EUconst_Tons)</f>
        <v>tony</v>
      </c>
      <c r="I243" s="318"/>
      <c r="J243" s="318"/>
      <c r="K243" s="318"/>
      <c r="L243" s="318"/>
      <c r="M243" s="318"/>
      <c r="N243" s="1257"/>
      <c r="O243" s="16"/>
      <c r="P243" s="1062" t="str">
        <f>EUconst_CNTR_IntermediateExport &amp; R239 &amp; "_" &amp; I13</f>
        <v>IntExp_1_</v>
      </c>
      <c r="R243" s="1062">
        <v>1</v>
      </c>
      <c r="S243" s="1037"/>
      <c r="U243" s="512"/>
      <c r="V243" s="512"/>
      <c r="AA243" s="345" t="b">
        <f>AA239</f>
        <v>0</v>
      </c>
    </row>
    <row r="244" spans="2:27" ht="12.75" customHeight="1" x14ac:dyDescent="0.2">
      <c r="B244" s="207"/>
      <c r="C244" s="1060"/>
      <c r="D244" s="516" t="s">
        <v>316</v>
      </c>
      <c r="E244" s="1747"/>
      <c r="F244" s="1747"/>
      <c r="G244" s="1747"/>
      <c r="H244" s="56" t="str">
        <f>IF(E244&lt;&gt;"",INDEX(EUconst_BMlistUnits,MATCH(E244,EUconst_BMlistNames,0)),EUconst_Tons)</f>
        <v>tony</v>
      </c>
      <c r="I244" s="317"/>
      <c r="J244" s="317"/>
      <c r="K244" s="317"/>
      <c r="L244" s="317"/>
      <c r="M244" s="317"/>
      <c r="N244" s="1257"/>
      <c r="O244" s="16"/>
      <c r="P244" s="1062" t="str">
        <f>EUconst_CNTR_IntermediateExport &amp; R244 &amp; "_" &amp; I13</f>
        <v>IntExp_2_</v>
      </c>
      <c r="R244" s="1062">
        <v>2</v>
      </c>
      <c r="S244" s="1037"/>
      <c r="U244" s="512"/>
      <c r="V244" s="512"/>
      <c r="AA244" s="345" t="b">
        <f>AA239</f>
        <v>0</v>
      </c>
    </row>
    <row r="245" spans="2:27" ht="5.0999999999999996" customHeight="1" x14ac:dyDescent="0.2">
      <c r="B245" s="207"/>
      <c r="C245" s="1060"/>
      <c r="D245" s="699"/>
      <c r="E245" s="699"/>
      <c r="F245" s="699"/>
      <c r="G245" s="699"/>
      <c r="H245" s="699"/>
      <c r="I245" s="699"/>
      <c r="J245" s="699"/>
      <c r="K245" s="699"/>
      <c r="L245" s="699"/>
      <c r="M245" s="699"/>
      <c r="N245" s="1257"/>
      <c r="O245" s="16"/>
      <c r="P245" s="1065"/>
      <c r="R245" s="1037"/>
      <c r="S245" s="1037"/>
      <c r="U245" s="512"/>
      <c r="V245" s="512"/>
      <c r="AA245" s="608"/>
    </row>
    <row r="246" spans="2:27" ht="12.75" customHeight="1" x14ac:dyDescent="0.2">
      <c r="B246" s="207"/>
      <c r="C246" s="1060"/>
      <c r="D246" s="516" t="s">
        <v>317</v>
      </c>
      <c r="E246" s="1748" t="str">
        <f>Translations!$B$816</f>
        <v>Opis produktów pośrednich wprowadzonych lub wyprowadzonych</v>
      </c>
      <c r="F246" s="1748"/>
      <c r="G246" s="1748"/>
      <c r="H246" s="1748"/>
      <c r="I246" s="1748"/>
      <c r="J246" s="1748"/>
      <c r="K246" s="1748"/>
      <c r="L246" s="1748"/>
      <c r="M246" s="1748"/>
      <c r="N246" s="1257"/>
      <c r="O246" s="16"/>
      <c r="P246" s="1065"/>
      <c r="R246" s="1037"/>
      <c r="S246" s="1037"/>
      <c r="U246" s="512"/>
      <c r="V246" s="512"/>
      <c r="AA246" s="608"/>
    </row>
    <row r="247" spans="2:27" ht="12.75" customHeight="1" x14ac:dyDescent="0.2">
      <c r="B247" s="207"/>
      <c r="C247" s="1060"/>
      <c r="D247" s="516"/>
      <c r="E247" s="1733" t="str">
        <f>Translations!$B$817</f>
        <v>Proszę przedstawić krótki opis procesu produkcyjnego w odniesieniu do produktów pośrednich wprowadzonych lub wyprowadzonych.</v>
      </c>
      <c r="F247" s="1734"/>
      <c r="G247" s="1734"/>
      <c r="H247" s="1734"/>
      <c r="I247" s="1734"/>
      <c r="J247" s="1734"/>
      <c r="K247" s="1734"/>
      <c r="L247" s="1734"/>
      <c r="M247" s="1734"/>
      <c r="N247" s="1735"/>
      <c r="O247" s="16"/>
      <c r="P247" s="1065"/>
      <c r="R247" s="1037"/>
      <c r="S247" s="1037"/>
      <c r="U247" s="512"/>
      <c r="V247" s="512"/>
      <c r="AA247" s="608"/>
    </row>
    <row r="248" spans="2:27" ht="38.25" customHeight="1" x14ac:dyDescent="0.2">
      <c r="B248" s="207"/>
      <c r="C248" s="1060"/>
      <c r="D248" s="699"/>
      <c r="E248" s="1749"/>
      <c r="F248" s="1750"/>
      <c r="G248" s="1750"/>
      <c r="H248" s="1750"/>
      <c r="I248" s="1750"/>
      <c r="J248" s="1750"/>
      <c r="K248" s="1750"/>
      <c r="L248" s="1750"/>
      <c r="M248" s="1751"/>
      <c r="N248" s="1257"/>
      <c r="O248" s="16"/>
      <c r="P248" s="1065"/>
      <c r="R248" s="1037"/>
      <c r="S248" s="1037"/>
      <c r="U248" s="512"/>
      <c r="V248" s="512"/>
      <c r="AA248" s="345" t="b">
        <f>AA239</f>
        <v>0</v>
      </c>
    </row>
    <row r="249" spans="2:27" ht="12.75" customHeight="1" thickBot="1" x14ac:dyDescent="0.25">
      <c r="B249" s="207"/>
      <c r="C249" s="1060"/>
      <c r="D249" s="699"/>
      <c r="E249" s="1752"/>
      <c r="F249" s="1753"/>
      <c r="G249" s="1753"/>
      <c r="H249" s="1753"/>
      <c r="I249" s="1753"/>
      <c r="J249" s="1753"/>
      <c r="K249" s="1753"/>
      <c r="L249" s="1753"/>
      <c r="M249" s="1754"/>
      <c r="N249" s="1257"/>
      <c r="O249" s="16"/>
      <c r="P249" s="1065"/>
      <c r="R249" s="1037"/>
      <c r="S249" s="1037"/>
      <c r="U249" s="512"/>
      <c r="V249" s="512"/>
      <c r="AA249" s="168" t="b">
        <f>AA239</f>
        <v>0</v>
      </c>
    </row>
    <row r="250" spans="2:27" ht="12.75" customHeight="1" thickBot="1" x14ac:dyDescent="0.25">
      <c r="B250" s="207"/>
      <c r="C250" s="1066"/>
      <c r="D250" s="1067"/>
      <c r="E250" s="1067"/>
      <c r="F250" s="1067"/>
      <c r="G250" s="1067"/>
      <c r="H250" s="1067"/>
      <c r="I250" s="1067"/>
      <c r="J250" s="1067"/>
      <c r="K250" s="1067"/>
      <c r="L250" s="1067"/>
      <c r="M250" s="1068"/>
      <c r="N250" s="1069"/>
      <c r="O250" s="16"/>
      <c r="P250" s="1037"/>
      <c r="R250" s="1037"/>
      <c r="S250" s="1037"/>
    </row>
    <row r="251" spans="2:27" ht="13.5" thickBot="1" x14ac:dyDescent="0.25">
      <c r="B251" s="20"/>
      <c r="C251" s="20"/>
      <c r="D251" s="20"/>
      <c r="E251" s="20"/>
      <c r="F251" s="20"/>
      <c r="G251" s="20"/>
      <c r="H251" s="20"/>
      <c r="I251" s="20"/>
      <c r="J251" s="20"/>
      <c r="K251" s="20"/>
      <c r="L251" s="20"/>
      <c r="M251" s="20"/>
      <c r="N251" s="20"/>
      <c r="O251" s="16"/>
      <c r="P251" s="346" t="str">
        <f>IF(OR(AND(CNTR_ExistProductSubEntries=FALSE,P13=1),AND(I13&lt;&gt;"",COUNTIF(P252:$P$1876,"PRINT")=0)),"PRINT","")</f>
        <v>PRINT</v>
      </c>
      <c r="Q251" s="422" t="s">
        <v>498</v>
      </c>
      <c r="R251" s="1037"/>
      <c r="S251" s="1037"/>
    </row>
    <row r="252" spans="2:27" ht="5.0999999999999996" customHeight="1" thickBot="1" x14ac:dyDescent="0.25">
      <c r="B252" s="20"/>
      <c r="C252" s="1070"/>
      <c r="D252" s="1070"/>
      <c r="E252" s="1070"/>
      <c r="F252" s="1070"/>
      <c r="G252" s="1070"/>
      <c r="H252" s="1070"/>
      <c r="I252" s="1070"/>
      <c r="J252" s="1070"/>
      <c r="K252" s="1070"/>
      <c r="L252" s="1070"/>
      <c r="M252" s="1070"/>
      <c r="N252" s="1070"/>
      <c r="O252" s="16"/>
      <c r="R252" s="1037"/>
      <c r="S252" s="1037"/>
    </row>
    <row r="253" spans="2:27" ht="15.75" thickBot="1" x14ac:dyDescent="0.25">
      <c r="B253" s="207"/>
      <c r="C253" s="1047">
        <v>2</v>
      </c>
      <c r="D253" s="1439" t="str">
        <f>EUconst_BMSubinst &amp; ":"</f>
        <v>Podinstalacja i wskaźnik emisyjności dla produktów:</v>
      </c>
      <c r="E253" s="1370"/>
      <c r="F253" s="1370"/>
      <c r="G253" s="1370"/>
      <c r="H253" s="1432"/>
      <c r="I253" s="1781" t="str">
        <f>IF(INDEX(CNTR_SubInstListIsProdBM,$C253),INDEX(CNTR_SubInstListNames,$C253),"")</f>
        <v/>
      </c>
      <c r="J253" s="1666"/>
      <c r="K253" s="1666"/>
      <c r="L253" s="1666"/>
      <c r="M253" s="1666"/>
      <c r="N253" s="1383"/>
      <c r="O253" s="16"/>
      <c r="P253" s="346">
        <f>C253</f>
        <v>2</v>
      </c>
      <c r="Q253" s="1048" t="s">
        <v>234</v>
      </c>
      <c r="R253" s="1049" t="str">
        <f>IF(I253="","",INDEX(CNTR_SubInstStartDate,MATCH($I253,CNTR_SubInstListNames,0)))</f>
        <v/>
      </c>
      <c r="S253" s="1050" t="b">
        <f>IF($I253="",FALSE,AND(I$1885, IF($R253&lt;DATE($L$1882,1,1),YEAR($R253)&lt;=I$1882,YEAR($R253-1)&lt;I$1882) ) )</f>
        <v>0</v>
      </c>
      <c r="T253" s="1050" t="b">
        <f>IF($I253="",FALSE,AND(J$1885, IF($R253&lt;DATE($L$1882,1,1),YEAR($R253)&lt;=J$1882,YEAR($R253-1)&lt;J$1882) ) )</f>
        <v>0</v>
      </c>
      <c r="U253" s="1050" t="b">
        <f>IF($I253="",FALSE,AND(K$1885, IF($R253&lt;DATE($L$1882,1,1),YEAR($R253)&lt;=K$1882,YEAR($R253-1)&lt;K$1882) ) )</f>
        <v>0</v>
      </c>
      <c r="V253" s="1050" t="b">
        <f>IF($I253="",FALSE,AND(L$1885, IF($R253&lt;DATE($L$1882,1,1),YEAR($R253)&lt;=L$1882,YEAR($R253-1)&lt;L$1882) ) )</f>
        <v>0</v>
      </c>
      <c r="W253" s="1050" t="b">
        <f>IF($I253="",FALSE,AND(M$1885, IF($R253&lt;DATE($L$1882,1,1),YEAR($R253)&lt;=M$1882,YEAR($R253-1)&lt;M$1882) ) )</f>
        <v>0</v>
      </c>
      <c r="Z253" s="736" t="s">
        <v>550</v>
      </c>
      <c r="AA253" s="738" t="b">
        <f>AND(CNTR_ExistSubInstEntries,I253="")</f>
        <v>1</v>
      </c>
    </row>
    <row r="254" spans="2:27" ht="5.0999999999999996" customHeight="1" x14ac:dyDescent="0.2">
      <c r="B254" s="207"/>
      <c r="C254" s="207"/>
      <c r="D254" s="207"/>
      <c r="E254" s="207"/>
      <c r="F254" s="207"/>
      <c r="G254" s="207"/>
      <c r="H254" s="207"/>
      <c r="I254" s="207"/>
      <c r="J254" s="207"/>
      <c r="K254" s="207"/>
      <c r="L254" s="207"/>
      <c r="M254" s="16"/>
      <c r="N254" s="16"/>
      <c r="O254" s="16"/>
      <c r="P254" s="1037"/>
      <c r="R254" s="1037"/>
      <c r="S254" s="1037"/>
    </row>
    <row r="255" spans="2:27" ht="12.75" customHeight="1" x14ac:dyDescent="0.2">
      <c r="B255" s="207"/>
      <c r="C255" s="207"/>
      <c r="D255" s="207"/>
      <c r="E255" s="1622" t="str">
        <f>CONCATENATE(EUconst_MsgSeeFirst," (F.I.1)")</f>
        <v>Szczegółowe instrukcje dotyczące wprowadzania danych w tym narzędziu znajdują się w pierwszej kopii tego narzędzia.  (F.I.1)</v>
      </c>
      <c r="F255" s="1622"/>
      <c r="G255" s="1622"/>
      <c r="H255" s="1622"/>
      <c r="I255" s="1622"/>
      <c r="J255" s="1622"/>
      <c r="K255" s="1622"/>
      <c r="L255" s="1622"/>
      <c r="M255" s="1622"/>
      <c r="N255" s="1622"/>
      <c r="O255" s="16"/>
      <c r="P255" s="1037"/>
      <c r="R255" s="1037"/>
      <c r="S255" s="1037"/>
    </row>
    <row r="256" spans="2:27" ht="5.0999999999999996" customHeight="1" x14ac:dyDescent="0.2">
      <c r="B256" s="207"/>
      <c r="C256" s="207"/>
      <c r="D256" s="207"/>
      <c r="E256" s="207"/>
      <c r="F256" s="207"/>
      <c r="G256" s="207"/>
      <c r="H256" s="207"/>
      <c r="I256" s="207"/>
      <c r="J256" s="207"/>
      <c r="K256" s="207"/>
      <c r="L256" s="207"/>
      <c r="M256" s="16"/>
      <c r="N256" s="16"/>
      <c r="O256" s="16"/>
      <c r="P256" s="1037"/>
      <c r="R256" s="1037"/>
      <c r="S256" s="1037"/>
    </row>
    <row r="257" spans="1:27" ht="13.5" thickBot="1" x14ac:dyDescent="0.25">
      <c r="B257" s="207"/>
      <c r="C257" s="207"/>
      <c r="D257" s="14" t="s">
        <v>173</v>
      </c>
      <c r="E257" s="1375" t="str">
        <f>Translations!$B$670</f>
        <v>Historyczne poziomy działalności</v>
      </c>
      <c r="F257" s="1370"/>
      <c r="G257" s="1370"/>
      <c r="H257" s="1370"/>
      <c r="I257" s="1370"/>
      <c r="J257" s="1370"/>
      <c r="K257" s="1370"/>
      <c r="L257" s="1370"/>
      <c r="M257" s="1370"/>
      <c r="N257" s="1370"/>
      <c r="O257" s="16"/>
      <c r="P257" s="1037"/>
      <c r="R257" s="1037"/>
      <c r="S257" s="1037"/>
    </row>
    <row r="258" spans="1:27" ht="13.5" customHeight="1" thickBot="1" x14ac:dyDescent="0.25">
      <c r="B258" s="20"/>
      <c r="C258" s="20"/>
      <c r="D258" s="14"/>
      <c r="E258" s="1430" t="str">
        <f>Translations!$B$676</f>
        <v>Roczne poziomy działalności:</v>
      </c>
      <c r="F258" s="1430"/>
      <c r="G258" s="1430"/>
      <c r="H258" s="34" t="str">
        <f>EUconst_Unit</f>
        <v>Jednostka</v>
      </c>
      <c r="I258" s="396">
        <f>I$1882</f>
        <v>2014</v>
      </c>
      <c r="J258" s="396">
        <f>J$1882</f>
        <v>2015</v>
      </c>
      <c r="K258" s="396">
        <f>K$1882</f>
        <v>2016</v>
      </c>
      <c r="L258" s="396">
        <f>L$1882</f>
        <v>2017</v>
      </c>
      <c r="M258" s="421">
        <f>M$1882</f>
        <v>2018</v>
      </c>
      <c r="N258" s="888" t="str">
        <f>IF(I253="","",IF(S263,YEAR(R253)+1,""))</f>
        <v/>
      </c>
      <c r="O258" s="16"/>
      <c r="P258" s="1037"/>
      <c r="Q258" s="424" t="s">
        <v>432</v>
      </c>
      <c r="R258" s="276"/>
      <c r="S258" s="276"/>
      <c r="T258" s="276"/>
      <c r="U258" s="276"/>
      <c r="V258" s="276"/>
      <c r="W258" s="277"/>
      <c r="Y258" s="788" t="b">
        <f>IF(CNTR_ExistSubInstEntries,IF(I253&lt;&gt;"",NOT(S263),TRUE),FALSE)</f>
        <v>1</v>
      </c>
      <c r="AA258" s="422" t="s">
        <v>272</v>
      </c>
    </row>
    <row r="259" spans="1:27" ht="13.5" thickBot="1" x14ac:dyDescent="0.25">
      <c r="B259" s="20"/>
      <c r="C259" s="20"/>
      <c r="D259" s="195" t="s">
        <v>2</v>
      </c>
      <c r="E259" s="1801" t="str">
        <f>I253</f>
        <v/>
      </c>
      <c r="F259" s="1801"/>
      <c r="G259" s="1801"/>
      <c r="H259" s="98" t="str">
        <f>IF(INDEX(CNTR_SubInstListIsProdBM,$C253),INDEX(CNTR_SubInstListHALUnit,$C253),EUconst_Tons)</f>
        <v>tony</v>
      </c>
      <c r="I259" s="591"/>
      <c r="J259" s="591"/>
      <c r="K259" s="591"/>
      <c r="L259" s="591"/>
      <c r="M259" s="886"/>
      <c r="N259" s="889"/>
      <c r="O259" s="16"/>
      <c r="P259" s="164" t="s">
        <v>237</v>
      </c>
      <c r="Q259" s="1238" t="s">
        <v>2190</v>
      </c>
      <c r="R259" s="187" t="s">
        <v>437</v>
      </c>
      <c r="S259" s="442">
        <f>I258</f>
        <v>2014</v>
      </c>
      <c r="T259" s="443">
        <f>J258</f>
        <v>2015</v>
      </c>
      <c r="U259" s="443">
        <f>K258</f>
        <v>2016</v>
      </c>
      <c r="V259" s="443">
        <f>L258</f>
        <v>2017</v>
      </c>
      <c r="W259" s="444">
        <f>M258</f>
        <v>2018</v>
      </c>
      <c r="Y259" s="963" t="b">
        <f>IF(CNTR_ExistSubInstEntries,IF(AND(I253&lt;&gt;"",N260=""),NOT(S263),TRUE),FALSE)</f>
        <v>1</v>
      </c>
      <c r="Z259" s="422"/>
      <c r="AA259" s="646" t="b">
        <f>IF(CNTR_ExistSubInstEntries,AND(I253&lt;&gt;"",Q263),FALSE)</f>
        <v>0</v>
      </c>
    </row>
    <row r="260" spans="1:27" ht="13.5" thickBot="1" x14ac:dyDescent="0.25">
      <c r="B260" s="20"/>
      <c r="C260" s="20"/>
      <c r="D260" s="195" t="s">
        <v>3</v>
      </c>
      <c r="E260" s="1801" t="str">
        <f>Translations!$B$677</f>
        <v>Z arkusza „H_SpecialBM”:</v>
      </c>
      <c r="F260" s="1801"/>
      <c r="G260" s="1801"/>
      <c r="H260" s="98" t="str">
        <f>H259</f>
        <v>tony</v>
      </c>
      <c r="I260" s="321" t="str">
        <f>IF($I253="","",IF($Q263,SUMIF(H_SpecialBM!$P$9:$P$384,$P260,H_SpecialBM!I$9:I$384),""))</f>
        <v/>
      </c>
      <c r="J260" s="321" t="str">
        <f>IF($I253="","",IF($Q263,SUMIF(H_SpecialBM!$P$9:$P$384,$P260,H_SpecialBM!J$9:J$384),""))</f>
        <v/>
      </c>
      <c r="K260" s="321" t="str">
        <f>IF($I253="","",IF($Q263,SUMIF(H_SpecialBM!$P$9:$P$384,$P260,H_SpecialBM!K$9:K$384),""))</f>
        <v/>
      </c>
      <c r="L260" s="321" t="str">
        <f>IF($I253="","",IF($Q263,SUMIF(H_SpecialBM!$P$9:$P$384,$P260,H_SpecialBM!L$9:L$384),""))</f>
        <v/>
      </c>
      <c r="M260" s="887" t="str">
        <f>IF($I253="","",IF($Q263,SUMIF(H_SpecialBM!$P$9:$P$384,$P260,H_SpecialBM!M$9:M$384),""))</f>
        <v/>
      </c>
      <c r="N260" s="890" t="str">
        <f>IF($I253="","",IF(AND($Q263,$S263),SUMIF(H_SpecialBM!$P$9:$P$384,$P260,H_SpecialBM!N$9:N$384),""))</f>
        <v/>
      </c>
      <c r="O260" s="16"/>
      <c r="P260" s="1051" t="str">
        <f>EUconst_CNTR_HALspecial&amp;I253</f>
        <v>HALspecial_</v>
      </c>
      <c r="Q260" s="179" t="str">
        <f>IF(COUNT($U260:$V260)&gt;0,SUM($U260:$V260),"")</f>
        <v/>
      </c>
      <c r="R260" s="439" t="str">
        <f>IF(COUNT(S260:W260)&gt;0,AVERAGE(S260:W260),"")</f>
        <v/>
      </c>
      <c r="S260" s="440" t="str">
        <f>IF(S253,IF(ISNUMBER(I260),I260,""),"")</f>
        <v/>
      </c>
      <c r="T260" s="441" t="str">
        <f>IF(T253,IF(ISNUMBER(J260),J260,""),"")</f>
        <v/>
      </c>
      <c r="U260" s="441" t="str">
        <f>IF(U253,IF(ISNUMBER(K260),K260,""),"")</f>
        <v/>
      </c>
      <c r="V260" s="441" t="str">
        <f>IF(V253,IF(ISNUMBER(L260),L260,""),"")</f>
        <v/>
      </c>
      <c r="W260" s="439" t="str">
        <f>IF(W253,IF(ISNUMBER(M260),M260,""),"")</f>
        <v/>
      </c>
      <c r="Y260" s="777" t="b">
        <f>OR(Y258,AA260)</f>
        <v>1</v>
      </c>
      <c r="AA260" s="723" t="b">
        <f>Q263=FALSE</f>
        <v>0</v>
      </c>
    </row>
    <row r="261" spans="1:27" ht="13.5" thickBot="1" x14ac:dyDescent="0.25">
      <c r="B261" s="20"/>
      <c r="C261" s="20"/>
      <c r="D261" s="195" t="s">
        <v>4</v>
      </c>
      <c r="E261" s="1801" t="str">
        <f>Translations!$B$678</f>
        <v>Wartości użyte do obliczenia:</v>
      </c>
      <c r="F261" s="1801"/>
      <c r="G261" s="1801"/>
      <c r="H261" s="98" t="str">
        <f>H260</f>
        <v>tony</v>
      </c>
      <c r="I261" s="321" t="str">
        <f>IF($I253="","",IF($Q263=TRUE,IF(ISNUMBER(I260),I260,0),IF(ISNUMBER(I259),I259,0)))</f>
        <v/>
      </c>
      <c r="J261" s="321" t="str">
        <f>IF($I253="","",IF($Q263=TRUE,IF(ISNUMBER(J260),J260,0),IF(ISNUMBER(J259),J259,0)))</f>
        <v/>
      </c>
      <c r="K261" s="321" t="str">
        <f>IF($I253="","",IF($Q263=TRUE,IF(ISNUMBER(K260),K260,0),IF(ISNUMBER(K259),K259,0)))</f>
        <v/>
      </c>
      <c r="L261" s="321" t="str">
        <f>IF($I253="","",IF($Q263=TRUE,IF(ISNUMBER(L260),L260,0),IF(ISNUMBER(L259),L259,0)))</f>
        <v/>
      </c>
      <c r="M261" s="887" t="str">
        <f>IF($I253="","",IF($Q263=TRUE,IF(ISNUMBER(M260),M260,0),IF(ISNUMBER(M259),M259,0)))</f>
        <v/>
      </c>
      <c r="N261" s="890" t="str">
        <f>IF($I253="","",IF(S263,IF($Q263=TRUE,IF(ISNUMBER(N260),N260,0),IF(ISNUMBER(N259),N259,0)),""))</f>
        <v/>
      </c>
      <c r="O261" s="16"/>
      <c r="P261" s="1051" t="str">
        <f>EUconst_CNTR_HAL&amp;I253</f>
        <v>HAL_</v>
      </c>
      <c r="Q261" s="168" t="str">
        <f>IF(COUNT($U261:$V261)&gt;0,SUM($U261:$V261),"")</f>
        <v/>
      </c>
      <c r="R261" s="120" t="str">
        <f>IF(COUNT(S261:W261)&gt;0,AVERAGE(S261:W261),"")</f>
        <v/>
      </c>
      <c r="S261" s="118" t="str">
        <f>IF(S253,IF(ISNUMBER(I261),I261,""),"")</f>
        <v/>
      </c>
      <c r="T261" s="119" t="str">
        <f>IF(T253,IF(ISNUMBER(J261),J261,""),"")</f>
        <v/>
      </c>
      <c r="U261" s="119" t="str">
        <f>IF(U253,IF(ISNUMBER(K261),K261,""),"")</f>
        <v/>
      </c>
      <c r="V261" s="119" t="str">
        <f>IF(V253,IF(ISNUMBER(L261),L261,""),"")</f>
        <v/>
      </c>
      <c r="W261" s="120" t="str">
        <f>IF(W253,IF(ISNUMBER(M261),M261,""),"")</f>
        <v/>
      </c>
      <c r="Y261" s="168" t="b">
        <f>Y258</f>
        <v>1</v>
      </c>
    </row>
    <row r="262" spans="1:27" ht="5.0999999999999996" customHeight="1" x14ac:dyDescent="0.2">
      <c r="B262" s="207"/>
      <c r="C262" s="207"/>
      <c r="D262" s="207"/>
      <c r="E262" s="207"/>
      <c r="F262" s="207"/>
      <c r="G262" s="207"/>
      <c r="H262" s="207"/>
      <c r="I262" s="207"/>
      <c r="J262" s="207"/>
      <c r="K262" s="207"/>
      <c r="L262" s="207"/>
      <c r="M262" s="16"/>
      <c r="N262" s="16"/>
      <c r="O262" s="16"/>
      <c r="P262" s="1037"/>
      <c r="R262" s="1037"/>
      <c r="S262" s="1037"/>
    </row>
    <row r="263" spans="1:27" x14ac:dyDescent="0.2">
      <c r="B263" s="207"/>
      <c r="C263" s="207"/>
      <c r="D263" s="14" t="s">
        <v>353</v>
      </c>
      <c r="E263" s="1375" t="str">
        <f>Translations!$B$679</f>
        <v>Szczególne wymogi w zakresie raportowania:</v>
      </c>
      <c r="F263" s="1375"/>
      <c r="G263" s="1637"/>
      <c r="H263" s="1796" t="str">
        <f>IF(I253="","",HYPERLINK(INDEX(EUconst_BMlistSpecialJumpTable,MATCH(I253,EUconst_BMlistNames,0)),INDEX(EUconst_BMlistSpecialReporting,MATCH(I253,EUconst_BMlistNames,0))))</f>
        <v/>
      </c>
      <c r="I263" s="1802"/>
      <c r="J263" s="1802"/>
      <c r="K263" s="1802"/>
      <c r="L263" s="1802"/>
      <c r="M263" s="1802"/>
      <c r="N263" s="1803"/>
      <c r="O263" s="16"/>
      <c r="P263" s="1048" t="s">
        <v>38</v>
      </c>
      <c r="Q263" s="116" t="str">
        <f>IF(I253="","",IF(AND(INDEX(EUconst_BMlistSpecialJumpTable,MATCH(I253,EUconst_BMlistNames,0))&lt;&gt;"",MATCH(I253,EUconst_BMlistNames,0)&lt;&gt;47),TRUE,FALSE))</f>
        <v/>
      </c>
      <c r="R263" s="1048" t="s">
        <v>598</v>
      </c>
      <c r="S263" s="116" t="b">
        <f>IF(I253="",FALSE,INDEX(CNTR_SubInstLess1Year,MATCH(I253,CNTR_SubInstListNames,0)))</f>
        <v>0</v>
      </c>
    </row>
    <row r="264" spans="1:27" ht="12.75" customHeight="1" x14ac:dyDescent="0.2">
      <c r="B264" s="207"/>
      <c r="C264" s="207"/>
      <c r="D264" s="207"/>
      <c r="E264" s="207"/>
      <c r="F264" s="207"/>
      <c r="G264" s="207"/>
      <c r="H264" s="207"/>
      <c r="I264" s="207"/>
      <c r="J264" s="207"/>
      <c r="K264" s="207"/>
      <c r="L264" s="207"/>
      <c r="M264" s="207"/>
      <c r="N264" s="207"/>
      <c r="O264" s="16"/>
      <c r="P264" s="1037"/>
      <c r="R264" s="1037"/>
      <c r="S264" s="1037"/>
    </row>
    <row r="265" spans="1:27" ht="15" customHeight="1" x14ac:dyDescent="0.2">
      <c r="B265" s="20"/>
      <c r="C265" s="208"/>
      <c r="D265" s="1439" t="str">
        <f>Translations!$B$681</f>
        <v>Dodatkowe współczynniki korygujące</v>
      </c>
      <c r="E265" s="1370"/>
      <c r="F265" s="1370"/>
      <c r="G265" s="1370"/>
      <c r="H265" s="1370"/>
      <c r="I265" s="1370"/>
      <c r="J265" s="1370"/>
      <c r="K265" s="1370"/>
      <c r="L265" s="1370"/>
      <c r="M265" s="1370"/>
      <c r="N265" s="1370"/>
      <c r="O265" s="16"/>
      <c r="R265" s="1037"/>
      <c r="S265" s="1037"/>
    </row>
    <row r="266" spans="1:27" ht="5.0999999999999996" customHeight="1" x14ac:dyDescent="0.2">
      <c r="B266" s="207"/>
      <c r="C266" s="207"/>
      <c r="D266" s="207"/>
      <c r="E266" s="207"/>
      <c r="F266" s="207"/>
      <c r="G266" s="207"/>
      <c r="H266" s="207"/>
      <c r="I266" s="207"/>
      <c r="J266" s="207"/>
      <c r="K266" s="207"/>
      <c r="L266" s="207"/>
      <c r="M266" s="207"/>
      <c r="N266" s="207"/>
      <c r="O266" s="16"/>
      <c r="P266" s="1037"/>
      <c r="R266" s="1037"/>
      <c r="S266" s="1037"/>
    </row>
    <row r="267" spans="1:27" ht="13.5" thickBot="1" x14ac:dyDescent="0.25">
      <c r="B267" s="20"/>
      <c r="C267" s="20"/>
      <c r="D267" s="14" t="s">
        <v>11</v>
      </c>
      <c r="E267" s="1375" t="str">
        <f>Translations!$B$682</f>
        <v>Zamienność paliw i energii elektrycznej:</v>
      </c>
      <c r="F267" s="1370"/>
      <c r="G267" s="1370"/>
      <c r="H267" s="1370"/>
      <c r="I267" s="1432"/>
      <c r="J267" s="1796" t="str">
        <f>IF(I253="","",IF(INDEX(EUconst_BMlistElExchangability,MATCH(I253,EUconst_BMlistNames,0))=TRUE,"",HYPERLINK(Q267,EUconst_MsgGoOn)))</f>
        <v/>
      </c>
      <c r="K267" s="1797"/>
      <c r="L267" s="1797"/>
      <c r="M267" s="1797"/>
      <c r="N267" s="1798"/>
      <c r="O267" s="16"/>
      <c r="P267" s="2" t="s">
        <v>199</v>
      </c>
      <c r="Q267" s="346" t="str">
        <f>"#"&amp;ADDRESS(ROW(D275),COLUMN(D275))</f>
        <v>#$D$275</v>
      </c>
      <c r="R267" s="1037"/>
      <c r="S267" s="1037"/>
    </row>
    <row r="268" spans="1:27" s="701" customFormat="1" ht="13.5" thickBot="1" x14ac:dyDescent="0.25">
      <c r="A268" s="422"/>
      <c r="B268" s="398"/>
      <c r="C268" s="398"/>
      <c r="D268" s="14"/>
      <c r="E268" s="1430" t="str">
        <f>Translations!$B$686</f>
        <v>Parametr</v>
      </c>
      <c r="F268" s="1377"/>
      <c r="G268" s="1377"/>
      <c r="H268" s="34" t="str">
        <f>EUconst_Unit</f>
        <v>Jednostka</v>
      </c>
      <c r="I268" s="396">
        <f>I$66</f>
        <v>2014</v>
      </c>
      <c r="J268" s="396">
        <f>J$66</f>
        <v>2015</v>
      </c>
      <c r="K268" s="396">
        <f>K$66</f>
        <v>2016</v>
      </c>
      <c r="L268" s="396">
        <f>L$66</f>
        <v>2017</v>
      </c>
      <c r="M268" s="421">
        <f>M$66</f>
        <v>2018</v>
      </c>
      <c r="N268" s="888" t="str">
        <f>IF(AA269=FALSE,N258,"")</f>
        <v/>
      </c>
      <c r="O268" s="16"/>
      <c r="P268" s="422"/>
      <c r="Q268" s="422"/>
      <c r="R268" s="1037"/>
      <c r="S268" s="1037"/>
      <c r="T268" s="1037"/>
      <c r="U268" s="1037"/>
      <c r="V268" s="1037"/>
      <c r="W268" s="1037"/>
      <c r="X268" s="1037"/>
      <c r="Y268" s="788" t="b">
        <f>OR(Y258,AA269)</f>
        <v>1</v>
      </c>
      <c r="Z268" s="422"/>
      <c r="AA268" s="1037" t="s">
        <v>381</v>
      </c>
    </row>
    <row r="269" spans="1:27" s="701" customFormat="1" ht="13.5" thickBot="1" x14ac:dyDescent="0.25">
      <c r="A269" s="422"/>
      <c r="B269" s="398"/>
      <c r="C269" s="398"/>
      <c r="D269" s="425" t="s">
        <v>2</v>
      </c>
      <c r="E269" s="1569" t="str">
        <f>Translations!$B$687</f>
        <v>Emisje bezpośrednie</v>
      </c>
      <c r="F269" s="1569"/>
      <c r="G269" s="1569"/>
      <c r="H269" s="581" t="str">
        <f>EUconst_tCO2pa</f>
        <v>t CO2 / rok</v>
      </c>
      <c r="I269" s="818"/>
      <c r="J269" s="818"/>
      <c r="K269" s="819"/>
      <c r="L269" s="818"/>
      <c r="M269" s="891"/>
      <c r="N269" s="903"/>
      <c r="O269" s="16"/>
      <c r="P269" s="422"/>
      <c r="Q269" s="422"/>
      <c r="R269" s="1037"/>
      <c r="S269" s="1037"/>
      <c r="T269" s="1037"/>
      <c r="U269" s="1037"/>
      <c r="V269" s="1037"/>
      <c r="W269" s="1037"/>
      <c r="X269" s="1037"/>
      <c r="Y269" s="715" t="b">
        <f>Y268</f>
        <v>1</v>
      </c>
      <c r="Z269" s="422"/>
      <c r="AA269" s="788" t="b">
        <f>IF(CNTR_ExistSubInstEntries,IF(I253&lt;&gt;"",IF(INDEX(EUconst_BMlistElExchangability,MATCH(I253,EUconst_BMlistNames,0)),FALSE,TRUE),TRUE),FALSE)</f>
        <v>1</v>
      </c>
    </row>
    <row r="270" spans="1:27" s="701" customFormat="1" ht="12.75" customHeight="1" x14ac:dyDescent="0.2">
      <c r="A270" s="422"/>
      <c r="B270" s="398"/>
      <c r="C270" s="398"/>
      <c r="D270" s="425" t="s">
        <v>3</v>
      </c>
      <c r="E270" s="1482" t="str">
        <f>Translations!$B$688</f>
        <v>Ciepło wprowadzone netto</v>
      </c>
      <c r="F270" s="1482"/>
      <c r="G270" s="1482"/>
      <c r="H270" s="584" t="str">
        <f>EUconst_TJpa</f>
        <v>TJ / rok</v>
      </c>
      <c r="I270" s="585" t="str">
        <f>IF($I253&lt;&gt;"",IF(INDEX(EUconst_BMlistElExchangability,MATCH($I253,EUconst_BMlistNames,0)),SUM(I354),""),"")</f>
        <v/>
      </c>
      <c r="J270" s="585" t="str">
        <f>IF($I253&lt;&gt;"",IF(INDEX(EUconst_BMlistElExchangability,MATCH($I253,EUconst_BMlistNames,0)),SUM(J354),""),"")</f>
        <v/>
      </c>
      <c r="K270" s="585" t="str">
        <f>IF($I253&lt;&gt;"",IF(INDEX(EUconst_BMlistElExchangability,MATCH($I253,EUconst_BMlistNames,0)),SUM(K354),""),"")</f>
        <v/>
      </c>
      <c r="L270" s="585" t="str">
        <f>IF($I253&lt;&gt;"",IF(INDEX(EUconst_BMlistElExchangability,MATCH($I253,EUconst_BMlistNames,0)),SUM(L354),""),"")</f>
        <v/>
      </c>
      <c r="M270" s="892" t="str">
        <f>IF($I253&lt;&gt;"",IF(INDEX(EUconst_BMlistElExchangability,MATCH($I253,EUconst_BMlistNames,0)),SUM(M354),""),"")</f>
        <v/>
      </c>
      <c r="N270" s="904"/>
      <c r="O270" s="16"/>
      <c r="P270" s="422"/>
      <c r="Q270" s="422"/>
      <c r="R270" s="1052"/>
      <c r="S270" s="814">
        <f>I268</f>
        <v>2014</v>
      </c>
      <c r="T270" s="814">
        <f>J268</f>
        <v>2015</v>
      </c>
      <c r="U270" s="814">
        <f>K268</f>
        <v>2016</v>
      </c>
      <c r="V270" s="814">
        <f>L268</f>
        <v>2017</v>
      </c>
      <c r="W270" s="815">
        <f>M268</f>
        <v>2018</v>
      </c>
      <c r="X270" s="422"/>
      <c r="Y270" s="715" t="b">
        <f>Y269</f>
        <v>1</v>
      </c>
      <c r="Z270" s="422"/>
      <c r="AA270" s="715" t="b">
        <f>AA269</f>
        <v>1</v>
      </c>
    </row>
    <row r="271" spans="1:27" s="701" customFormat="1" ht="12.75" customHeight="1" thickBot="1" x14ac:dyDescent="0.25">
      <c r="A271" s="422"/>
      <c r="B271" s="398"/>
      <c r="C271" s="398"/>
      <c r="D271" s="425" t="s">
        <v>4</v>
      </c>
      <c r="E271" s="1799" t="str">
        <f>Translations!$B$689</f>
        <v>Odpowiednie zużycie energii elektrycznej</v>
      </c>
      <c r="F271" s="1800"/>
      <c r="G271" s="1800"/>
      <c r="H271" s="611" t="str">
        <f>EUconst_MWhpa</f>
        <v>MWh / rok</v>
      </c>
      <c r="I271" s="612"/>
      <c r="J271" s="612"/>
      <c r="K271" s="612"/>
      <c r="L271" s="612"/>
      <c r="M271" s="893"/>
      <c r="N271" s="896"/>
      <c r="O271" s="16"/>
      <c r="P271" s="185" t="str">
        <f>EUconst_CNTR_HAL&amp;EUconst_CNTR_ELEXCH</f>
        <v>HAL_ELEXCH_</v>
      </c>
      <c r="Q271" s="185" t="str">
        <f>EUconst_CNTR_HAL&amp;EUconst_CNTR_ELEXCH &amp; I253</f>
        <v>HAL_ELEXCH_</v>
      </c>
      <c r="R271" s="1053" t="str">
        <f>EUconst_CNTR_AttributedEmissions &amp; I253</f>
        <v>AttrEmissions_</v>
      </c>
      <c r="S271" s="119" t="str">
        <f>IF(S253,SUM(I271)*EUconst_ElBM,"")</f>
        <v/>
      </c>
      <c r="T271" s="119" t="str">
        <f>IF(T253,SUM(J271)*EUconst_ElBM,"")</f>
        <v/>
      </c>
      <c r="U271" s="119" t="str">
        <f>IF(U253,SUM(K271)*EUconst_ElBM,"")</f>
        <v/>
      </c>
      <c r="V271" s="119" t="str">
        <f>IF(V253,SUM(L271)*EUconst_ElBM,"")</f>
        <v/>
      </c>
      <c r="W271" s="120" t="str">
        <f>IF(W253,SUM(M271)*EUconst_ElBM,"")</f>
        <v/>
      </c>
      <c r="X271" s="422" t="str">
        <f>N268</f>
        <v/>
      </c>
      <c r="Y271" s="715" t="b">
        <f>Y270</f>
        <v>1</v>
      </c>
      <c r="Z271" s="422"/>
      <c r="AA271" s="715" t="b">
        <f>AA270</f>
        <v>1</v>
      </c>
    </row>
    <row r="272" spans="1:27" s="701" customFormat="1" ht="13.5" thickBot="1" x14ac:dyDescent="0.25">
      <c r="A272" s="422"/>
      <c r="B272" s="398"/>
      <c r="C272" s="398"/>
      <c r="D272" s="425" t="s">
        <v>6</v>
      </c>
      <c r="E272" s="1569" t="str">
        <f>Translations!$B$690</f>
        <v>Całkowite emisje bezpośrednie</v>
      </c>
      <c r="F272" s="1569"/>
      <c r="G272" s="1569"/>
      <c r="H272" s="581" t="str">
        <f>EUconst_tCO2pa</f>
        <v>t CO2 / rok</v>
      </c>
      <c r="I272" s="582" t="str">
        <f>IF(ISNUMBER(I269),I269+SUM(I270)*EUconst_HeatBMvalue,"")</f>
        <v/>
      </c>
      <c r="J272" s="582" t="str">
        <f>IF(ISNUMBER(J269),J269+SUM(J270)*EUconst_HeatBMvalue,"")</f>
        <v/>
      </c>
      <c r="K272" s="583" t="str">
        <f>IF(ISNUMBER(K269),K269+SUM(K270)*EUconst_HeatBMvalue,"")</f>
        <v/>
      </c>
      <c r="L272" s="582" t="str">
        <f>IF(ISNUMBER(L269),L269+SUM(L270)*EUconst_HeatBMvalue,"")</f>
        <v/>
      </c>
      <c r="M272" s="894" t="str">
        <f>IF(ISNUMBER(M269),M269+SUM(M270)*EUconst_HeatBMvalue,"")</f>
        <v/>
      </c>
      <c r="N272" s="897" t="str">
        <f>IF(AND(S263,ISNUMBER(N269)),N269+SUM(N270)*EUconst_HeatBMvalue,"")</f>
        <v/>
      </c>
      <c r="O272" s="16"/>
      <c r="P272" s="422"/>
      <c r="Q272" s="422"/>
      <c r="R272" s="1048" t="s">
        <v>557</v>
      </c>
      <c r="S272" s="905" t="str">
        <f>IF(S253,IF(ISNUMBER(I272),I272,0),"")</f>
        <v/>
      </c>
      <c r="T272" s="906" t="str">
        <f>IF(T253,IF(ISNUMBER(J272),J272,0),"")</f>
        <v/>
      </c>
      <c r="U272" s="906" t="str">
        <f>IF(U253,IF(ISNUMBER(K272),K272,0),"")</f>
        <v/>
      </c>
      <c r="V272" s="906" t="str">
        <f>IF(V253,IF(ISNUMBER(L272),L272,0),"")</f>
        <v/>
      </c>
      <c r="W272" s="907" t="str">
        <f>IF(W253,IF(ISNUMBER(M272),M272,0),"")</f>
        <v/>
      </c>
      <c r="X272" s="911" t="str">
        <f>IF(S263,IF(ISNUMBER(N272),N272,0),"")</f>
        <v/>
      </c>
      <c r="Y272" s="715" t="b">
        <f>Y271</f>
        <v>1</v>
      </c>
      <c r="Z272" s="422"/>
      <c r="AA272" s="715" t="b">
        <f>AA271</f>
        <v>1</v>
      </c>
    </row>
    <row r="273" spans="1:27" s="701" customFormat="1" ht="13.5" thickBot="1" x14ac:dyDescent="0.25">
      <c r="A273" s="422"/>
      <c r="B273" s="398"/>
      <c r="C273" s="398"/>
      <c r="D273" s="425" t="s">
        <v>316</v>
      </c>
      <c r="E273" s="1493" t="str">
        <f>Translations!$B$691</f>
        <v>Emisje pośrednie</v>
      </c>
      <c r="F273" s="1493"/>
      <c r="G273" s="1493"/>
      <c r="H273" s="586" t="str">
        <f>EUconst_tCO2pa</f>
        <v>t CO2 / rok</v>
      </c>
      <c r="I273" s="587" t="str">
        <f t="shared" ref="I273:N273" si="4">IF(ISNUMBER(I271),I271*EUconst_ElBM,"")</f>
        <v/>
      </c>
      <c r="J273" s="587" t="str">
        <f t="shared" si="4"/>
        <v/>
      </c>
      <c r="K273" s="588" t="str">
        <f t="shared" si="4"/>
        <v/>
      </c>
      <c r="L273" s="587" t="str">
        <f t="shared" si="4"/>
        <v/>
      </c>
      <c r="M273" s="895" t="str">
        <f t="shared" si="4"/>
        <v/>
      </c>
      <c r="N273" s="898" t="str">
        <f t="shared" si="4"/>
        <v/>
      </c>
      <c r="O273" s="16"/>
      <c r="P273" s="912" t="str">
        <f>EUconst_CNTR_ELEXCH &amp; I253</f>
        <v>ELEXCH_</v>
      </c>
      <c r="Q273" s="913" t="str">
        <f>IF(SUM(S273:X273)&lt;&gt;0,SUM(S272:X272)/SUM(S273:X273),EUconst_NA)</f>
        <v>Nie dotyczy</v>
      </c>
      <c r="R273" s="1048" t="s">
        <v>326</v>
      </c>
      <c r="S273" s="908" t="str">
        <f>IF(S253,IF(COUNT(I272:I273)&gt;0,SUM(I272:I273),0),"")</f>
        <v/>
      </c>
      <c r="T273" s="909" t="str">
        <f>IF(T253,IF(COUNT(J272:J273)&gt;0,SUM(J272:J273),0),"")</f>
        <v/>
      </c>
      <c r="U273" s="909" t="str">
        <f>IF(U253,IF(COUNT(K272:K273)&gt;0,SUM(K272:K273),0),"")</f>
        <v/>
      </c>
      <c r="V273" s="909" t="str">
        <f>IF(V253,IF(COUNT(L272:L273)&gt;0,SUM(L272:L273),0),"")</f>
        <v/>
      </c>
      <c r="W273" s="910" t="str">
        <f>IF(W253,IF(COUNT(M272:M273)&gt;0,SUM(M272:M273),0),"")</f>
        <v/>
      </c>
      <c r="X273" s="716" t="str">
        <f>IF(S263,IF(COUNT(N272:N273)&gt;0,SUM(N272:N273),0),"")</f>
        <v/>
      </c>
      <c r="Y273" s="716" t="b">
        <f>Y272</f>
        <v>1</v>
      </c>
      <c r="Z273" s="422"/>
      <c r="AA273" s="716" t="b">
        <f>AA272</f>
        <v>1</v>
      </c>
    </row>
    <row r="274" spans="1:27" ht="5.0999999999999996" customHeight="1" x14ac:dyDescent="0.2">
      <c r="B274" s="207"/>
      <c r="C274" s="207"/>
      <c r="D274" s="207"/>
      <c r="E274" s="207"/>
      <c r="F274" s="207"/>
      <c r="G274" s="207"/>
      <c r="H274" s="207"/>
      <c r="I274" s="207"/>
      <c r="J274" s="207"/>
      <c r="K274" s="207"/>
      <c r="L274" s="207"/>
      <c r="M274" s="16"/>
      <c r="N274" s="16"/>
      <c r="O274" s="16"/>
      <c r="P274" s="1037"/>
      <c r="X274" s="422"/>
    </row>
    <row r="275" spans="1:27" x14ac:dyDescent="0.2">
      <c r="B275" s="207"/>
      <c r="C275" s="207"/>
      <c r="D275" s="14" t="s">
        <v>356</v>
      </c>
      <c r="E275" s="1375" t="str">
        <f>Translations!$B$692</f>
        <v>Ciepło wprowadzone z instalacji lub od podmiotów nieobjętych EU ETS:</v>
      </c>
      <c r="F275" s="1375"/>
      <c r="G275" s="1375"/>
      <c r="H275" s="1375"/>
      <c r="I275" s="1637"/>
      <c r="J275" s="1796" t="str">
        <f>IF(I253="","",HYPERLINK(Q275,EUconst_MsgGoOnIfNotRelevant))</f>
        <v/>
      </c>
      <c r="K275" s="1797"/>
      <c r="L275" s="1797"/>
      <c r="M275" s="1797"/>
      <c r="N275" s="1798"/>
      <c r="O275" s="16"/>
      <c r="P275" s="2" t="s">
        <v>199</v>
      </c>
      <c r="Q275" s="346" t="str">
        <f>"#"&amp;ADDRESS(ROW(D282),COLUMN(D282))</f>
        <v>#$D$282</v>
      </c>
      <c r="X275" s="422"/>
    </row>
    <row r="276" spans="1:27" ht="13.5" customHeight="1" thickBot="1" x14ac:dyDescent="0.25">
      <c r="B276" s="207"/>
      <c r="C276" s="207"/>
      <c r="D276" s="16"/>
      <c r="E276" s="1408"/>
      <c r="F276" s="1408"/>
      <c r="G276" s="1408"/>
      <c r="H276" s="1408"/>
      <c r="I276" s="1408"/>
      <c r="J276" s="1408"/>
      <c r="K276" s="1408"/>
      <c r="L276" s="1408"/>
      <c r="M276" s="1408"/>
      <c r="N276" s="1408"/>
      <c r="O276" s="16"/>
      <c r="P276" s="1037"/>
      <c r="R276" s="1037"/>
      <c r="S276" s="1037"/>
      <c r="Y276" s="422" t="s">
        <v>606</v>
      </c>
    </row>
    <row r="277" spans="1:27" ht="13.5" thickBot="1" x14ac:dyDescent="0.25">
      <c r="B277" s="20"/>
      <c r="C277" s="20"/>
      <c r="D277" s="14"/>
      <c r="E277" s="1430" t="str">
        <f>Translations!$B$686</f>
        <v>Parametr</v>
      </c>
      <c r="F277" s="1377"/>
      <c r="G277" s="1377"/>
      <c r="H277" s="34" t="str">
        <f>EUconst_Unit</f>
        <v>Jednostka</v>
      </c>
      <c r="I277" s="396">
        <f>I$66</f>
        <v>2014</v>
      </c>
      <c r="J277" s="396">
        <f>J$66</f>
        <v>2015</v>
      </c>
      <c r="K277" s="396">
        <f>K$66</f>
        <v>2016</v>
      </c>
      <c r="L277" s="396">
        <f>L$66</f>
        <v>2017</v>
      </c>
      <c r="M277" s="421">
        <f>M$66</f>
        <v>2018</v>
      </c>
      <c r="N277" s="888" t="str">
        <f>N268</f>
        <v/>
      </c>
      <c r="O277" s="16"/>
      <c r="Q277" s="45"/>
      <c r="R277" s="1037"/>
      <c r="S277" s="45">
        <f t="shared" ref="S277:X277" si="5">I277</f>
        <v>2014</v>
      </c>
      <c r="T277" s="45">
        <f t="shared" si="5"/>
        <v>2015</v>
      </c>
      <c r="U277" s="45">
        <f t="shared" si="5"/>
        <v>2016</v>
      </c>
      <c r="V277" s="45">
        <f t="shared" si="5"/>
        <v>2017</v>
      </c>
      <c r="W277" s="45">
        <f t="shared" si="5"/>
        <v>2018</v>
      </c>
      <c r="X277" s="422" t="str">
        <f t="shared" si="5"/>
        <v/>
      </c>
      <c r="Y277" s="749" t="b">
        <f>Y258</f>
        <v>1</v>
      </c>
      <c r="Z277" s="45"/>
      <c r="AA277" s="422" t="s">
        <v>272</v>
      </c>
    </row>
    <row r="278" spans="1:27" ht="25.5" customHeight="1" thickBot="1" x14ac:dyDescent="0.25">
      <c r="B278" s="20"/>
      <c r="C278" s="20"/>
      <c r="D278" s="195" t="s">
        <v>2</v>
      </c>
      <c r="E278" s="1612" t="str">
        <f>Translations!$B$697</f>
        <v>Mierzalne ciepło wprowadzone z instalacji lub od podmiotów nieobjętych EU ETS:</v>
      </c>
      <c r="F278" s="1612"/>
      <c r="G278" s="1612"/>
      <c r="H278" s="48" t="str">
        <f>EUconst_TJpa</f>
        <v>TJ / rok</v>
      </c>
      <c r="I278" s="313"/>
      <c r="J278" s="313"/>
      <c r="K278" s="313"/>
      <c r="L278" s="313"/>
      <c r="M278" s="899"/>
      <c r="N278" s="902"/>
      <c r="O278" s="16"/>
      <c r="P278" s="116" t="str">
        <f>EUconst_CNTR_HAL&amp;EUconst_CNTR_nonETSMeasHeat</f>
        <v>HAL_mierzalne ciepło nieobjęte systemem EU ETS</v>
      </c>
      <c r="R278" s="1037"/>
      <c r="S278" s="442" t="str">
        <f>IF(S253,IF(ISNUMBER(I278),I278,0),"")</f>
        <v/>
      </c>
      <c r="T278" s="443" t="str">
        <f>IF(T253,IF(ISNUMBER(J278),J278,0),"")</f>
        <v/>
      </c>
      <c r="U278" s="443" t="str">
        <f>IF(U253,IF(ISNUMBER(K278),K278,0),"")</f>
        <v/>
      </c>
      <c r="V278" s="443" t="str">
        <f>IF(V253,IF(ISNUMBER(L278),L278,0),"")</f>
        <v/>
      </c>
      <c r="W278" s="444" t="str">
        <f>IF(W253,IF(ISNUMBER(M278),M278,0),"")</f>
        <v/>
      </c>
      <c r="X278" s="151" t="str">
        <f>IF(S263,IF(ISNUMBER(N278),N278,0),"")</f>
        <v/>
      </c>
      <c r="Y278" s="716" t="b">
        <f>Y277</f>
        <v>1</v>
      </c>
      <c r="AA278" s="646" t="b">
        <f>AND(CNTR_ExistSubInstEntries,I253="")</f>
        <v>1</v>
      </c>
    </row>
    <row r="279" spans="1:27" ht="25.5" customHeight="1" thickBot="1" x14ac:dyDescent="0.25">
      <c r="B279" s="20"/>
      <c r="C279" s="20"/>
      <c r="D279" s="195" t="s">
        <v>3</v>
      </c>
      <c r="E279" s="1618" t="str">
        <f>Translations!$B$698</f>
        <v>Weryfikacja spójności z arkuszem „E_Energy flows”:</v>
      </c>
      <c r="F279" s="1618"/>
      <c r="G279" s="1618"/>
      <c r="H279" s="27" t="s">
        <v>409</v>
      </c>
      <c r="I279" s="304" t="str">
        <f>IF(AND(ISNUMBER(I278),ISNUMBER(E_EnergyFlows!I$102)), I278/E_EnergyFlows!I$102*100,"")</f>
        <v/>
      </c>
      <c r="J279" s="304" t="str">
        <f>IF(AND(ISNUMBER(J278),ISNUMBER(E_EnergyFlows!J$102)), J278/E_EnergyFlows!J$102*100,"")</f>
        <v/>
      </c>
      <c r="K279" s="304" t="str">
        <f>IF(AND(ISNUMBER(K278),ISNUMBER(E_EnergyFlows!K$102)), K278/E_EnergyFlows!K$102*100,"")</f>
        <v/>
      </c>
      <c r="L279" s="304" t="str">
        <f>IF(AND(ISNUMBER(L278),ISNUMBER(E_EnergyFlows!L$102)), L278/E_EnergyFlows!L$102*100,"")</f>
        <v/>
      </c>
      <c r="M279" s="900" t="str">
        <f>IF(AND(ISNUMBER(M278),ISNUMBER(E_EnergyFlows!M$102)), M278/E_EnergyFlows!M$102*100,"")</f>
        <v/>
      </c>
      <c r="N279" s="147"/>
      <c r="O279" s="16"/>
      <c r="P279" s="164" t="str">
        <f>EUconst_CNTR_HEAT &amp; I253</f>
        <v>HEAT_</v>
      </c>
      <c r="Q279" s="302" t="str">
        <f>IF(COUNT(S278:X278)&gt;0,AVERAGE(S278:X278)*EUconst_HeatBMvalue,EUconst_NA)</f>
        <v>Nie dotyczy</v>
      </c>
      <c r="R279" s="1037"/>
      <c r="S279" s="1037"/>
      <c r="AA279" s="608"/>
    </row>
    <row r="280" spans="1:27" ht="12.75" customHeight="1" x14ac:dyDescent="0.2">
      <c r="B280" s="20"/>
      <c r="C280" s="20"/>
      <c r="D280" s="195" t="s">
        <v>4</v>
      </c>
      <c r="E280" s="1493" t="str">
        <f>Translations!$B$699</f>
        <v>Weryfikacja spójności z lit. k) ppkt (i):</v>
      </c>
      <c r="F280" s="1615"/>
      <c r="G280" s="1615"/>
      <c r="H280" s="30" t="s">
        <v>409</v>
      </c>
      <c r="I280" s="303" t="str">
        <f>IF(AND(I354&gt;0,ISNUMBER(I278)), I278/I354*100,"")</f>
        <v/>
      </c>
      <c r="J280" s="303" t="str">
        <f>IF(AND(J354&gt;0,ISNUMBER(J278)), J278/J354*100,"")</f>
        <v/>
      </c>
      <c r="K280" s="303" t="str">
        <f>IF(AND(K354&gt;0,ISNUMBER(K278)), K278/K354*100,"")</f>
        <v/>
      </c>
      <c r="L280" s="303" t="str">
        <f>IF(AND(L354&gt;0,ISNUMBER(L278)), L278/L354*100,"")</f>
        <v/>
      </c>
      <c r="M280" s="901" t="str">
        <f>IF(AND(M354&gt;0,ISNUMBER(M278)), M278/M354*100,"")</f>
        <v/>
      </c>
      <c r="N280" s="147"/>
      <c r="O280" s="16"/>
      <c r="R280" s="1037"/>
      <c r="S280" s="1037"/>
      <c r="AA280" s="608"/>
    </row>
    <row r="281" spans="1:27" ht="12.75" customHeight="1" x14ac:dyDescent="0.2">
      <c r="B281" s="20"/>
      <c r="C281" s="20"/>
      <c r="D281" s="20"/>
      <c r="E281" s="20"/>
      <c r="F281" s="20"/>
      <c r="G281" s="20"/>
      <c r="H281" s="20"/>
      <c r="I281" s="107"/>
      <c r="J281" s="20"/>
      <c r="K281" s="20"/>
      <c r="L281" s="20"/>
      <c r="M281" s="20"/>
      <c r="N281" s="20"/>
      <c r="O281" s="16"/>
      <c r="P281" s="139"/>
      <c r="R281" s="1037"/>
      <c r="S281" s="1037"/>
      <c r="AA281" s="608"/>
    </row>
    <row r="282" spans="1:27" ht="15" x14ac:dyDescent="0.2">
      <c r="B282" s="20"/>
      <c r="C282" s="1054"/>
      <c r="D282" s="1439" t="str">
        <f>Translations!$B$700</f>
        <v>Szczegółowe dane dotyczące produkcji</v>
      </c>
      <c r="E282" s="1370"/>
      <c r="F282" s="1370"/>
      <c r="G282" s="1370"/>
      <c r="H282" s="1370"/>
      <c r="I282" s="1370"/>
      <c r="J282" s="1370"/>
      <c r="K282" s="1370"/>
      <c r="L282" s="1370"/>
      <c r="M282" s="1370"/>
      <c r="N282" s="1370"/>
      <c r="O282" s="16"/>
      <c r="R282" s="1037"/>
      <c r="S282" s="1037"/>
      <c r="AA282" s="608"/>
    </row>
    <row r="283" spans="1:27" ht="5.0999999999999996" customHeight="1" x14ac:dyDescent="0.2">
      <c r="B283" s="207"/>
      <c r="C283" s="207"/>
      <c r="D283" s="207"/>
      <c r="E283" s="207"/>
      <c r="F283" s="207"/>
      <c r="G283" s="207"/>
      <c r="H283" s="207"/>
      <c r="I283" s="207"/>
      <c r="J283" s="207"/>
      <c r="K283" s="207"/>
      <c r="L283" s="207"/>
      <c r="M283" s="207"/>
      <c r="N283" s="207"/>
      <c r="O283" s="16"/>
      <c r="P283" s="1037"/>
      <c r="Q283" s="1037"/>
      <c r="R283" s="1037"/>
      <c r="S283" s="1037"/>
      <c r="AA283" s="608"/>
    </row>
    <row r="284" spans="1:27" x14ac:dyDescent="0.2">
      <c r="B284" s="207"/>
      <c r="C284" s="14"/>
      <c r="D284" s="14" t="s">
        <v>12</v>
      </c>
      <c r="E284" s="1375" t="str">
        <f>Translations!$B$701</f>
        <v>Identyfikacja produktów wchodzących w zakres tej podinstalacji objętej wskaźnikiem emisyjności dla produktów</v>
      </c>
      <c r="F284" s="1370"/>
      <c r="G284" s="1370"/>
      <c r="H284" s="1370"/>
      <c r="I284" s="1370"/>
      <c r="J284" s="1370"/>
      <c r="K284" s="1370"/>
      <c r="L284" s="1370"/>
      <c r="M284" s="1370"/>
      <c r="N284" s="1370"/>
      <c r="O284" s="16"/>
      <c r="P284" s="1037"/>
      <c r="R284" s="1037"/>
      <c r="S284" s="1037"/>
      <c r="AA284" s="608"/>
    </row>
    <row r="285" spans="1:27" x14ac:dyDescent="0.2">
      <c r="B285" s="207"/>
      <c r="C285" s="16"/>
      <c r="D285" s="16"/>
      <c r="E285" s="1408" t="str">
        <f>Translations!$B$704</f>
        <v>Wykaz kodów PRODCOM 2010 jest dostępny pod adresem:</v>
      </c>
      <c r="F285" s="1370"/>
      <c r="G285" s="1370"/>
      <c r="H285" s="1370"/>
      <c r="I285" s="1370"/>
      <c r="J285" s="1370"/>
      <c r="K285" s="1370"/>
      <c r="L285" s="1370"/>
      <c r="M285" s="1370"/>
      <c r="N285" s="1370"/>
      <c r="O285" s="16"/>
      <c r="P285" s="1037"/>
      <c r="R285" s="1037"/>
      <c r="S285" s="1037"/>
      <c r="AA285" s="608"/>
    </row>
    <row r="286" spans="1:27" x14ac:dyDescent="0.2">
      <c r="B286" s="207"/>
      <c r="C286" s="16"/>
      <c r="D286" s="16"/>
      <c r="E286" s="1795" t="str">
        <f>Translations!$B$705</f>
        <v>http://ec.europa.eu/eurostat/ramon/nomenclatures/index.cfm?TargetUrl=LST_CLS_DLD&amp;StrNom=PRD_2010&amp;StrLanguageCode=EN&amp;StrLayoutCode=HIERARCHIChttp://ec.europa.eu/eurostat/ramon/nomenclatures/index.cfm?TargetUrl=LST_CLS_DLD&amp;StrNom=PRD_2010&amp;StrLanguageCode=EN&amp;StrLayoutCode=HIERARCHIC</v>
      </c>
      <c r="F286" s="1663"/>
      <c r="G286" s="1663"/>
      <c r="H286" s="1663"/>
      <c r="I286" s="1663"/>
      <c r="J286" s="1663"/>
      <c r="K286" s="1663"/>
      <c r="L286" s="1663"/>
      <c r="M286" s="1663"/>
      <c r="N286" s="1663"/>
      <c r="O286" s="16"/>
      <c r="P286" s="1037"/>
      <c r="R286" s="1037"/>
      <c r="S286" s="1037"/>
      <c r="AA286" s="608"/>
    </row>
    <row r="287" spans="1:27" ht="5.0999999999999996" customHeight="1" x14ac:dyDescent="0.2">
      <c r="B287" s="207"/>
      <c r="C287" s="207"/>
      <c r="D287" s="207"/>
      <c r="E287" s="207"/>
      <c r="F287" s="207"/>
      <c r="G287" s="207"/>
      <c r="H287" s="207"/>
      <c r="I287" s="207"/>
      <c r="J287" s="207"/>
      <c r="K287" s="207"/>
      <c r="L287" s="207"/>
      <c r="M287" s="207"/>
      <c r="N287" s="207"/>
      <c r="O287" s="16"/>
      <c r="P287" s="1037"/>
      <c r="Q287" s="1037"/>
      <c r="R287" s="1037"/>
      <c r="S287" s="1037"/>
      <c r="AA287" s="608"/>
    </row>
    <row r="288" spans="1:27" ht="12.75" customHeight="1" x14ac:dyDescent="0.2">
      <c r="B288" s="207"/>
      <c r="C288" s="14"/>
      <c r="D288" s="14" t="s">
        <v>13</v>
      </c>
      <c r="E288" s="1375" t="str">
        <f>Translations!$B$706</f>
        <v>Poszczególne poziomy wytwarzanych produktów wchodzących w zakres tej podinstalacji objętej wskaźnikiem emisyjności dla produktów</v>
      </c>
      <c r="F288" s="1370"/>
      <c r="G288" s="1370"/>
      <c r="H288" s="1370"/>
      <c r="I288" s="1370"/>
      <c r="J288" s="1370"/>
      <c r="K288" s="1370"/>
      <c r="L288" s="1370"/>
      <c r="M288" s="1370"/>
      <c r="N288" s="1370"/>
      <c r="O288" s="16"/>
      <c r="P288" s="1037"/>
      <c r="R288" s="1037"/>
      <c r="S288" s="1037"/>
      <c r="AA288" s="608"/>
    </row>
    <row r="289" spans="2:27" ht="5.0999999999999996" customHeight="1" x14ac:dyDescent="0.2">
      <c r="B289" s="207"/>
      <c r="C289" s="207"/>
      <c r="D289" s="16"/>
      <c r="E289" s="17"/>
      <c r="F289" s="17"/>
      <c r="G289" s="17"/>
      <c r="H289" s="17"/>
      <c r="I289" s="17"/>
      <c r="J289" s="21"/>
      <c r="K289" s="21"/>
      <c r="L289" s="21"/>
      <c r="M289" s="16"/>
      <c r="N289" s="16"/>
      <c r="O289" s="16"/>
      <c r="P289" s="1037"/>
      <c r="R289" s="1037"/>
      <c r="S289" s="1037"/>
      <c r="AA289" s="608"/>
    </row>
    <row r="290" spans="2:27" ht="25.5" customHeight="1" x14ac:dyDescent="0.2">
      <c r="B290" s="20"/>
      <c r="C290" s="20"/>
      <c r="D290" s="344"/>
      <c r="E290" s="399" t="s">
        <v>386</v>
      </c>
      <c r="F290" s="1789" t="str">
        <f>Translations!$B$707</f>
        <v>Nazwa produktu lub grupy produktów</v>
      </c>
      <c r="G290" s="1790"/>
      <c r="H290" s="1055" t="str">
        <f>EUconst_Unit</f>
        <v>Jednostka</v>
      </c>
      <c r="I290" s="396">
        <f>I$1882</f>
        <v>2014</v>
      </c>
      <c r="J290" s="396">
        <f>J$1882</f>
        <v>2015</v>
      </c>
      <c r="K290" s="396">
        <f>K$1882</f>
        <v>2016</v>
      </c>
      <c r="L290" s="396">
        <f>L$1882</f>
        <v>2017</v>
      </c>
      <c r="M290" s="396">
        <f>M$1882</f>
        <v>2018</v>
      </c>
      <c r="N290" s="16"/>
      <c r="O290" s="16"/>
      <c r="R290" s="1037"/>
      <c r="S290" s="1037"/>
      <c r="AA290" s="608"/>
    </row>
    <row r="291" spans="2:27" x14ac:dyDescent="0.2">
      <c r="B291" s="20"/>
      <c r="C291" s="20"/>
      <c r="D291" s="37">
        <v>1</v>
      </c>
      <c r="E291" s="1245"/>
      <c r="F291" s="1791"/>
      <c r="G291" s="1792"/>
      <c r="H291" s="804"/>
      <c r="I291" s="472"/>
      <c r="J291" s="472"/>
      <c r="K291" s="472"/>
      <c r="L291" s="472"/>
      <c r="M291" s="472"/>
      <c r="N291" s="16"/>
      <c r="O291" s="16"/>
      <c r="R291" s="1037"/>
      <c r="S291" s="1037"/>
      <c r="AA291" s="345" t="b">
        <f>AA278</f>
        <v>1</v>
      </c>
    </row>
    <row r="292" spans="2:27" x14ac:dyDescent="0.2">
      <c r="B292" s="20"/>
      <c r="C292" s="20"/>
      <c r="D292" s="38">
        <f>D291+1</f>
        <v>2</v>
      </c>
      <c r="E292" s="1246"/>
      <c r="F292" s="1793"/>
      <c r="G292" s="1794"/>
      <c r="H292" s="564"/>
      <c r="I292" s="548"/>
      <c r="J292" s="548"/>
      <c r="K292" s="548"/>
      <c r="L292" s="548"/>
      <c r="M292" s="548"/>
      <c r="N292" s="16"/>
      <c r="O292" s="16"/>
      <c r="R292" s="1037"/>
      <c r="S292" s="1037"/>
      <c r="AA292" s="345" t="b">
        <f>AA291</f>
        <v>1</v>
      </c>
    </row>
    <row r="293" spans="2:27" x14ac:dyDescent="0.2">
      <c r="B293" s="20"/>
      <c r="C293" s="20"/>
      <c r="D293" s="38">
        <f t="shared" ref="D293:D300" si="6">D292+1</f>
        <v>3</v>
      </c>
      <c r="E293" s="1246"/>
      <c r="F293" s="1784"/>
      <c r="G293" s="1785"/>
      <c r="H293" s="564"/>
      <c r="I293" s="548"/>
      <c r="J293" s="548"/>
      <c r="K293" s="548"/>
      <c r="L293" s="548"/>
      <c r="M293" s="548"/>
      <c r="N293" s="16"/>
      <c r="O293" s="16"/>
      <c r="R293" s="1037"/>
      <c r="S293" s="1037"/>
      <c r="AA293" s="345" t="b">
        <f t="shared" ref="AA293:AA301" si="7">AA292</f>
        <v>1</v>
      </c>
    </row>
    <row r="294" spans="2:27" x14ac:dyDescent="0.2">
      <c r="B294" s="20"/>
      <c r="C294" s="20"/>
      <c r="D294" s="38">
        <f t="shared" si="6"/>
        <v>4</v>
      </c>
      <c r="E294" s="1246"/>
      <c r="F294" s="1784"/>
      <c r="G294" s="1785"/>
      <c r="H294" s="564"/>
      <c r="I294" s="548"/>
      <c r="J294" s="548"/>
      <c r="K294" s="548"/>
      <c r="L294" s="548"/>
      <c r="M294" s="548"/>
      <c r="N294" s="16"/>
      <c r="O294" s="16"/>
      <c r="R294" s="1037"/>
      <c r="S294" s="1037"/>
      <c r="AA294" s="345" t="b">
        <f t="shared" si="7"/>
        <v>1</v>
      </c>
    </row>
    <row r="295" spans="2:27" x14ac:dyDescent="0.2">
      <c r="B295" s="20"/>
      <c r="C295" s="20"/>
      <c r="D295" s="38">
        <f t="shared" si="6"/>
        <v>5</v>
      </c>
      <c r="E295" s="1246"/>
      <c r="F295" s="1784"/>
      <c r="G295" s="1785"/>
      <c r="H295" s="564"/>
      <c r="I295" s="548"/>
      <c r="J295" s="548"/>
      <c r="K295" s="548"/>
      <c r="L295" s="548"/>
      <c r="M295" s="548"/>
      <c r="N295" s="16"/>
      <c r="O295" s="16"/>
      <c r="R295" s="1037"/>
      <c r="S295" s="1037"/>
      <c r="AA295" s="345" t="b">
        <f t="shared" si="7"/>
        <v>1</v>
      </c>
    </row>
    <row r="296" spans="2:27" x14ac:dyDescent="0.2">
      <c r="B296" s="20"/>
      <c r="C296" s="20"/>
      <c r="D296" s="38">
        <f t="shared" si="6"/>
        <v>6</v>
      </c>
      <c r="E296" s="1246"/>
      <c r="F296" s="1784"/>
      <c r="G296" s="1785"/>
      <c r="H296" s="564"/>
      <c r="I296" s="548"/>
      <c r="J296" s="548"/>
      <c r="K296" s="548"/>
      <c r="L296" s="548"/>
      <c r="M296" s="548"/>
      <c r="N296" s="16"/>
      <c r="O296" s="16"/>
      <c r="R296" s="1037"/>
      <c r="S296" s="1037"/>
      <c r="AA296" s="345" t="b">
        <f t="shared" si="7"/>
        <v>1</v>
      </c>
    </row>
    <row r="297" spans="2:27" x14ac:dyDescent="0.2">
      <c r="B297" s="20"/>
      <c r="C297" s="20"/>
      <c r="D297" s="38">
        <f t="shared" si="6"/>
        <v>7</v>
      </c>
      <c r="E297" s="1246"/>
      <c r="F297" s="1784"/>
      <c r="G297" s="1785"/>
      <c r="H297" s="564"/>
      <c r="I297" s="548"/>
      <c r="J297" s="548"/>
      <c r="K297" s="548"/>
      <c r="L297" s="548"/>
      <c r="M297" s="548"/>
      <c r="N297" s="16"/>
      <c r="O297" s="16"/>
      <c r="R297" s="1037"/>
      <c r="S297" s="1037"/>
      <c r="AA297" s="345" t="b">
        <f t="shared" si="7"/>
        <v>1</v>
      </c>
    </row>
    <row r="298" spans="2:27" x14ac:dyDescent="0.2">
      <c r="B298" s="20"/>
      <c r="C298" s="20"/>
      <c r="D298" s="38">
        <f t="shared" si="6"/>
        <v>8</v>
      </c>
      <c r="E298" s="1246"/>
      <c r="F298" s="1784"/>
      <c r="G298" s="1785"/>
      <c r="H298" s="564"/>
      <c r="I298" s="548"/>
      <c r="J298" s="548"/>
      <c r="K298" s="548"/>
      <c r="L298" s="548"/>
      <c r="M298" s="548"/>
      <c r="N298" s="16"/>
      <c r="O298" s="16"/>
      <c r="R298" s="1037"/>
      <c r="S298" s="1037"/>
      <c r="AA298" s="345" t="b">
        <f t="shared" si="7"/>
        <v>1</v>
      </c>
    </row>
    <row r="299" spans="2:27" x14ac:dyDescent="0.2">
      <c r="B299" s="20"/>
      <c r="C299" s="20"/>
      <c r="D299" s="38">
        <f t="shared" si="6"/>
        <v>9</v>
      </c>
      <c r="E299" s="1246"/>
      <c r="F299" s="1784"/>
      <c r="G299" s="1785"/>
      <c r="H299" s="564"/>
      <c r="I299" s="548"/>
      <c r="J299" s="548"/>
      <c r="K299" s="548"/>
      <c r="L299" s="548"/>
      <c r="M299" s="548"/>
      <c r="N299" s="16"/>
      <c r="O299" s="16"/>
      <c r="R299" s="1037"/>
      <c r="S299" s="1037"/>
      <c r="AA299" s="345" t="b">
        <f t="shared" si="7"/>
        <v>1</v>
      </c>
    </row>
    <row r="300" spans="2:27" x14ac:dyDescent="0.2">
      <c r="B300" s="20"/>
      <c r="C300" s="20"/>
      <c r="D300" s="41">
        <f t="shared" si="6"/>
        <v>10</v>
      </c>
      <c r="E300" s="1247"/>
      <c r="F300" s="1786"/>
      <c r="G300" s="1787"/>
      <c r="H300" s="565"/>
      <c r="I300" s="446"/>
      <c r="J300" s="446"/>
      <c r="K300" s="446"/>
      <c r="L300" s="446"/>
      <c r="M300" s="446"/>
      <c r="N300" s="16"/>
      <c r="O300" s="16"/>
      <c r="R300" s="1037"/>
      <c r="S300" s="1037"/>
      <c r="AA300" s="345" t="b">
        <f t="shared" si="7"/>
        <v>1</v>
      </c>
    </row>
    <row r="301" spans="2:27" ht="12.75" customHeight="1" thickBot="1" x14ac:dyDescent="0.25">
      <c r="B301" s="20"/>
      <c r="C301" s="20"/>
      <c r="D301" s="97"/>
      <c r="E301" s="1788" t="str">
        <f>Translations!$B$708</f>
        <v>Suma poziomów produkcji</v>
      </c>
      <c r="F301" s="1788"/>
      <c r="G301" s="1788"/>
      <c r="H301" s="737"/>
      <c r="I301" s="327" t="str">
        <f>IF(COUNT(I291:I300)&gt;0,SUM(I291:I300),"")</f>
        <v/>
      </c>
      <c r="J301" s="327" t="str">
        <f>IF(COUNT(J291:J300)&gt;0,SUM(J291:J300),"")</f>
        <v/>
      </c>
      <c r="K301" s="327" t="str">
        <f>IF(COUNT(K291:K300)&gt;0,SUM(K291:K300),"")</f>
        <v/>
      </c>
      <c r="L301" s="327" t="str">
        <f>IF(COUNT(L291:L300)&gt;0,SUM(L291:L300),"")</f>
        <v/>
      </c>
      <c r="M301" s="327" t="str">
        <f>IF(COUNT(M291:M300)&gt;0,SUM(M291:M300),"")</f>
        <v/>
      </c>
      <c r="N301" s="16"/>
      <c r="O301" s="16"/>
      <c r="R301" s="1037"/>
      <c r="S301" s="1037"/>
      <c r="AA301" s="168" t="b">
        <f t="shared" si="7"/>
        <v>1</v>
      </c>
    </row>
    <row r="302" spans="2:27" ht="12.75" customHeight="1" thickBot="1" x14ac:dyDescent="0.25">
      <c r="B302" s="207"/>
      <c r="C302" s="207"/>
      <c r="D302" s="207"/>
      <c r="E302" s="207"/>
      <c r="F302" s="207"/>
      <c r="G302" s="207"/>
      <c r="H302" s="207"/>
      <c r="I302" s="207"/>
      <c r="J302" s="207"/>
      <c r="K302" s="207"/>
      <c r="L302" s="207"/>
      <c r="M302" s="16"/>
      <c r="N302" s="16"/>
      <c r="O302" s="16"/>
      <c r="P302" s="1037"/>
      <c r="R302" s="1037"/>
      <c r="S302" s="1037"/>
    </row>
    <row r="303" spans="2:27" ht="5.0999999999999996" customHeight="1" x14ac:dyDescent="0.2">
      <c r="B303" s="207"/>
      <c r="C303" s="1056"/>
      <c r="D303" s="1057"/>
      <c r="E303" s="1057"/>
      <c r="F303" s="1057"/>
      <c r="G303" s="1057"/>
      <c r="H303" s="1057"/>
      <c r="I303" s="1057"/>
      <c r="J303" s="1057"/>
      <c r="K303" s="1057"/>
      <c r="L303" s="1057"/>
      <c r="M303" s="1058"/>
      <c r="N303" s="1059"/>
      <c r="O303" s="16"/>
      <c r="P303" s="1037"/>
      <c r="R303" s="1037"/>
      <c r="S303" s="1037"/>
    </row>
    <row r="304" spans="2:27" ht="12.75" customHeight="1" x14ac:dyDescent="0.2">
      <c r="B304" s="20"/>
      <c r="C304" s="1060"/>
      <c r="D304" s="1776" t="str">
        <f>Translations!$B$709</f>
        <v>Dane wymagane do określenia współczynnika poprawy wskaźników zgodnie z art. 10a ust. 2 dyrektywy w sprawie EU ETS</v>
      </c>
      <c r="E304" s="1776"/>
      <c r="F304" s="1776"/>
      <c r="G304" s="1776"/>
      <c r="H304" s="1776"/>
      <c r="I304" s="1776"/>
      <c r="J304" s="1776"/>
      <c r="K304" s="1776"/>
      <c r="L304" s="1776"/>
      <c r="M304" s="1776"/>
      <c r="N304" s="1777"/>
      <c r="O304" s="16"/>
      <c r="R304" s="1037"/>
      <c r="S304" s="1037"/>
    </row>
    <row r="305" spans="2:23" ht="5.0999999999999996" customHeight="1" x14ac:dyDescent="0.2">
      <c r="B305" s="20"/>
      <c r="C305" s="460"/>
      <c r="D305" s="449"/>
      <c r="E305" s="449"/>
      <c r="F305" s="449"/>
      <c r="G305" s="449"/>
      <c r="H305" s="449"/>
      <c r="I305" s="449"/>
      <c r="J305" s="449"/>
      <c r="K305" s="449"/>
      <c r="L305" s="449"/>
      <c r="M305" s="449"/>
      <c r="N305" s="461"/>
      <c r="O305" s="16"/>
      <c r="R305" s="1037"/>
      <c r="S305" s="1037"/>
    </row>
    <row r="306" spans="2:23" ht="15" customHeight="1" x14ac:dyDescent="0.2">
      <c r="B306" s="20"/>
      <c r="C306" s="460"/>
      <c r="D306" s="1778" t="str">
        <f>EUconst_BMSubinst &amp; ":"</f>
        <v>Podinstalacja i wskaźnik emisyjności dla produktów:</v>
      </c>
      <c r="E306" s="1779"/>
      <c r="F306" s="1779"/>
      <c r="G306" s="1779"/>
      <c r="H306" s="1780"/>
      <c r="I306" s="1781" t="str">
        <f>I253</f>
        <v/>
      </c>
      <c r="J306" s="1666"/>
      <c r="K306" s="1666"/>
      <c r="L306" s="1666"/>
      <c r="M306" s="1666"/>
      <c r="N306" s="1782"/>
      <c r="O306" s="16"/>
      <c r="R306" s="1037"/>
      <c r="S306" s="1037"/>
    </row>
    <row r="307" spans="2:23" ht="5.0999999999999996" customHeight="1" x14ac:dyDescent="0.2">
      <c r="B307" s="20"/>
      <c r="C307" s="460"/>
      <c r="D307" s="449"/>
      <c r="E307" s="449"/>
      <c r="F307" s="449"/>
      <c r="G307" s="449"/>
      <c r="H307" s="449"/>
      <c r="I307" s="449"/>
      <c r="J307" s="449"/>
      <c r="K307" s="449"/>
      <c r="L307" s="449"/>
      <c r="M307" s="449"/>
      <c r="N307" s="461"/>
      <c r="O307" s="16"/>
      <c r="R307" s="1037"/>
      <c r="S307" s="1037"/>
    </row>
    <row r="308" spans="2:23" ht="15" customHeight="1" x14ac:dyDescent="0.2">
      <c r="B308" s="207"/>
      <c r="C308" s="1060"/>
      <c r="D308" s="1061"/>
      <c r="E308" s="1783" t="str">
        <f>Translations!$B$714</f>
        <v>Po dokonaniu poniższych wpisów emisje, które można przypisać, są obliczane w części K.III.2 arkusza podsumowania.</v>
      </c>
      <c r="F308" s="1783"/>
      <c r="G308" s="1783"/>
      <c r="H308" s="1783"/>
      <c r="I308" s="1783"/>
      <c r="J308" s="1783"/>
      <c r="K308" s="1783"/>
      <c r="L308" s="1783"/>
      <c r="M308" s="1783"/>
      <c r="N308" s="702"/>
      <c r="O308" s="16"/>
      <c r="P308" s="1037"/>
    </row>
    <row r="309" spans="2:23" ht="5.0999999999999996" customHeight="1" x14ac:dyDescent="0.2">
      <c r="B309" s="20"/>
      <c r="C309" s="460"/>
      <c r="D309" s="449"/>
      <c r="E309" s="449"/>
      <c r="F309" s="449"/>
      <c r="G309" s="449"/>
      <c r="H309" s="449"/>
      <c r="I309" s="449"/>
      <c r="J309" s="449"/>
      <c r="K309" s="449"/>
      <c r="L309" s="449"/>
      <c r="M309" s="449"/>
      <c r="N309" s="461"/>
      <c r="O309" s="16"/>
      <c r="R309" s="1037"/>
      <c r="S309" s="1037"/>
    </row>
    <row r="310" spans="2:23" ht="12.75" customHeight="1" x14ac:dyDescent="0.2">
      <c r="B310" s="207"/>
      <c r="C310" s="1060"/>
      <c r="D310" s="462" t="s">
        <v>87</v>
      </c>
      <c r="E310" s="1731" t="str">
        <f>Translations!$B$715</f>
        <v>Emisje, które można bezpośrednio przypisać (DirEm* (plan monitorowania strumieni materiałów wsadowych)) do tej podinstalacji</v>
      </c>
      <c r="F310" s="1734"/>
      <c r="G310" s="1734"/>
      <c r="H310" s="1734"/>
      <c r="I310" s="1734"/>
      <c r="J310" s="1734"/>
      <c r="K310" s="1734"/>
      <c r="L310" s="1734"/>
      <c r="M310" s="1734"/>
      <c r="N310" s="1735"/>
      <c r="O310" s="16"/>
      <c r="P310" s="1037"/>
      <c r="R310" s="1037"/>
      <c r="S310" s="1037"/>
    </row>
    <row r="311" spans="2:23" ht="12.75" customHeight="1" thickBot="1" x14ac:dyDescent="0.25">
      <c r="B311" s="207"/>
      <c r="C311" s="1060"/>
      <c r="D311" s="1061"/>
      <c r="E311" s="1745"/>
      <c r="F311" s="1745"/>
      <c r="G311" s="1745"/>
      <c r="H311" s="1745"/>
      <c r="I311" s="1745"/>
      <c r="J311" s="1745"/>
      <c r="K311" s="1745"/>
      <c r="L311" s="1745"/>
      <c r="M311" s="1745"/>
      <c r="N311" s="1746"/>
      <c r="O311" s="16"/>
      <c r="P311" s="1037"/>
      <c r="R311" s="1037"/>
    </row>
    <row r="312" spans="2:23" ht="25.5" customHeight="1" x14ac:dyDescent="0.2">
      <c r="B312" s="207"/>
      <c r="C312" s="1060"/>
      <c r="D312" s="462"/>
      <c r="E312" s="1757" t="str">
        <f>Translations!$B$725</f>
        <v>Emisje, które można bezpośrednio przypisać (DirEm*)</v>
      </c>
      <c r="F312" s="1758"/>
      <c r="G312" s="1758"/>
      <c r="H312" s="450" t="str">
        <f>EUconst_Unit</f>
        <v>Jednostka</v>
      </c>
      <c r="I312" s="451">
        <f>I$1882</f>
        <v>2014</v>
      </c>
      <c r="J312" s="451">
        <f>J$1882</f>
        <v>2015</v>
      </c>
      <c r="K312" s="451">
        <f>K$1882</f>
        <v>2016</v>
      </c>
      <c r="L312" s="451">
        <f>L$1882</f>
        <v>2017</v>
      </c>
      <c r="M312" s="451">
        <f>M$1882</f>
        <v>2018</v>
      </c>
      <c r="N312" s="665"/>
      <c r="O312" s="16"/>
      <c r="P312" s="1037"/>
      <c r="R312" s="1052"/>
      <c r="S312" s="814">
        <f>I312</f>
        <v>2014</v>
      </c>
      <c r="T312" s="814">
        <f>J312</f>
        <v>2015</v>
      </c>
      <c r="U312" s="814">
        <f>K312</f>
        <v>2016</v>
      </c>
      <c r="V312" s="814">
        <f>L312</f>
        <v>2017</v>
      </c>
      <c r="W312" s="815">
        <f>M312</f>
        <v>2018</v>
      </c>
    </row>
    <row r="313" spans="2:23" ht="12.75" customHeight="1" thickBot="1" x14ac:dyDescent="0.25">
      <c r="B313" s="207"/>
      <c r="C313" s="1060"/>
      <c r="D313" s="1061"/>
      <c r="E313" s="1762" t="str">
        <f>I253</f>
        <v/>
      </c>
      <c r="F313" s="1762"/>
      <c r="G313" s="1762"/>
      <c r="H313" s="452" t="str">
        <f>EUconst_tCO2epa</f>
        <v>t CO2e/rok</v>
      </c>
      <c r="I313" s="313"/>
      <c r="J313" s="313"/>
      <c r="K313" s="313"/>
      <c r="L313" s="313"/>
      <c r="M313" s="313"/>
      <c r="N313" s="665"/>
      <c r="O313" s="16"/>
      <c r="P313" s="1062" t="str">
        <f>EUconst_CNTR_Emissions &amp; I253</f>
        <v>DirEmissions_</v>
      </c>
      <c r="R313" s="1053" t="str">
        <f>EUconst_CNTR_AttributedEmissions &amp; I253</f>
        <v>AttrEmissions_</v>
      </c>
      <c r="S313" s="119" t="str">
        <f>IF(S253,SUM(I313),"")</f>
        <v/>
      </c>
      <c r="T313" s="119" t="str">
        <f>IF(T253,SUM(J313),"")</f>
        <v/>
      </c>
      <c r="U313" s="119" t="str">
        <f>IF(U253,SUM(K313),"")</f>
        <v/>
      </c>
      <c r="V313" s="119" t="str">
        <f>IF(V253,SUM(L313),"")</f>
        <v/>
      </c>
      <c r="W313" s="120" t="str">
        <f>IF(W253,SUM(M313),"")</f>
        <v/>
      </c>
    </row>
    <row r="314" spans="2:23" ht="12.75" customHeight="1" x14ac:dyDescent="0.2">
      <c r="B314" s="207"/>
      <c r="C314" s="1060"/>
      <c r="D314" s="1061"/>
      <c r="E314" s="1061"/>
      <c r="F314" s="1061"/>
      <c r="G314" s="1061"/>
      <c r="H314" s="1061"/>
      <c r="I314" s="1061"/>
      <c r="J314" s="1061"/>
      <c r="K314" s="1061"/>
      <c r="L314" s="1061"/>
      <c r="M314" s="1063"/>
      <c r="N314" s="665"/>
      <c r="O314" s="16"/>
      <c r="P314" s="1037"/>
      <c r="R314" s="1037"/>
    </row>
    <row r="315" spans="2:23" ht="12.75" customHeight="1" x14ac:dyDescent="0.2">
      <c r="B315" s="207"/>
      <c r="C315" s="1060"/>
      <c r="D315" s="462" t="s">
        <v>88</v>
      </c>
      <c r="E315" s="1760" t="str">
        <f>Translations!$B$726</f>
        <v>Wsad paliwa do tej podinstalacji oraz odpowiedni współczynnik emisji</v>
      </c>
      <c r="F315" s="1760"/>
      <c r="G315" s="1760"/>
      <c r="H315" s="1760"/>
      <c r="I315" s="1760"/>
      <c r="J315" s="1760"/>
      <c r="K315" s="1760"/>
      <c r="L315" s="1760"/>
      <c r="M315" s="1760"/>
      <c r="N315" s="1761"/>
      <c r="O315" s="16"/>
      <c r="P315" s="1037"/>
      <c r="Q315" s="1037"/>
      <c r="R315" s="1037"/>
    </row>
    <row r="316" spans="2:23" ht="12.75" customHeight="1" x14ac:dyDescent="0.2">
      <c r="B316" s="207"/>
      <c r="C316" s="1060"/>
      <c r="D316" s="462"/>
      <c r="E316" s="1757"/>
      <c r="F316" s="1758"/>
      <c r="G316" s="1758"/>
      <c r="H316" s="450" t="str">
        <f>EUconst_Unit</f>
        <v>Jednostka</v>
      </c>
      <c r="I316" s="451">
        <f>I$1882</f>
        <v>2014</v>
      </c>
      <c r="J316" s="451">
        <f>J$1882</f>
        <v>2015</v>
      </c>
      <c r="K316" s="451">
        <f>K$1882</f>
        <v>2016</v>
      </c>
      <c r="L316" s="451">
        <f>L$1882</f>
        <v>2017</v>
      </c>
      <c r="M316" s="451">
        <f>M$1882</f>
        <v>2018</v>
      </c>
      <c r="N316" s="665"/>
      <c r="O316" s="16"/>
      <c r="P316" s="1037"/>
      <c r="R316" s="1037"/>
    </row>
    <row r="317" spans="2:23" ht="12.75" customHeight="1" x14ac:dyDescent="0.2">
      <c r="B317" s="207"/>
      <c r="C317" s="1060"/>
      <c r="D317" s="699" t="s">
        <v>2</v>
      </c>
      <c r="E317" s="1739" t="str">
        <f>Translations!$B$731</f>
        <v>Wsad paliwa</v>
      </c>
      <c r="F317" s="1740"/>
      <c r="G317" s="1740"/>
      <c r="H317" s="453" t="str">
        <f>EUconst_TJpa</f>
        <v>TJ / rok</v>
      </c>
      <c r="I317" s="313"/>
      <c r="J317" s="313"/>
      <c r="K317" s="313"/>
      <c r="L317" s="313"/>
      <c r="M317" s="313"/>
      <c r="N317" s="702"/>
      <c r="O317" s="16"/>
      <c r="P317" s="1062" t="str">
        <f>EUconst_CNTR_FuelInput &amp; I253</f>
        <v>FuelInput_</v>
      </c>
      <c r="R317" s="1037"/>
    </row>
    <row r="318" spans="2:23" ht="12.75" customHeight="1" x14ac:dyDescent="0.2">
      <c r="B318" s="207"/>
      <c r="C318" s="1060"/>
      <c r="D318" s="699" t="s">
        <v>3</v>
      </c>
      <c r="E318" s="1772" t="str">
        <f>Translations!$B$732</f>
        <v>Ważony współczynnik emisji</v>
      </c>
      <c r="F318" s="1773"/>
      <c r="G318" s="1773"/>
      <c r="H318" s="569" t="str">
        <f>EUconst_tCO2pTJ</f>
        <v>t CO2 / TJ</v>
      </c>
      <c r="I318" s="323"/>
      <c r="J318" s="323"/>
      <c r="K318" s="323"/>
      <c r="L318" s="323"/>
      <c r="M318" s="323"/>
      <c r="N318" s="665"/>
      <c r="O318" s="16"/>
      <c r="P318" s="1062" t="str">
        <f>EUconst_CNTR_FuelEF &amp; I253</f>
        <v>FuelEF_</v>
      </c>
      <c r="R318" s="1037"/>
    </row>
    <row r="319" spans="2:23" ht="12.75" customHeight="1" x14ac:dyDescent="0.2">
      <c r="B319" s="207"/>
      <c r="C319" s="1060"/>
      <c r="D319" s="1061"/>
      <c r="E319" s="1061"/>
      <c r="F319" s="1061"/>
      <c r="G319" s="1061"/>
      <c r="H319" s="1061"/>
      <c r="I319" s="1061"/>
      <c r="J319" s="1061"/>
      <c r="K319" s="1061"/>
      <c r="L319" s="1061"/>
      <c r="M319" s="1063"/>
      <c r="N319" s="665"/>
      <c r="O319" s="16"/>
      <c r="P319" s="1037"/>
      <c r="R319" s="1037"/>
    </row>
    <row r="320" spans="2:23" ht="12.75" customHeight="1" thickBot="1" x14ac:dyDescent="0.25">
      <c r="B320" s="207"/>
      <c r="C320" s="1060"/>
      <c r="D320" s="462" t="s">
        <v>89</v>
      </c>
      <c r="E320" s="1760" t="str">
        <f>Translations!$B$733</f>
        <v>Dalsze wewnętrzne strumienie materiałów wsadowych wprowadzane do tej podinstalacji lub z niej wyprowadzane</v>
      </c>
      <c r="F320" s="1760"/>
      <c r="G320" s="1760"/>
      <c r="H320" s="1760"/>
      <c r="I320" s="1760"/>
      <c r="J320" s="1760"/>
      <c r="K320" s="1760"/>
      <c r="L320" s="1760"/>
      <c r="M320" s="1760"/>
      <c r="N320" s="1761"/>
      <c r="O320" s="16"/>
      <c r="P320" s="1037"/>
      <c r="Q320" s="1037"/>
      <c r="R320" s="1037"/>
    </row>
    <row r="321" spans="2:27" ht="25.5" customHeight="1" thickBot="1" x14ac:dyDescent="0.25">
      <c r="B321" s="207"/>
      <c r="C321" s="1060"/>
      <c r="D321" s="699" t="s">
        <v>2</v>
      </c>
      <c r="E321" s="1774" t="str">
        <f>Translations!$B$739</f>
        <v>Czy tej podinstalacji dotyczy więcej wprowadzonych lub wyprowadzonych wewnętrznych strumieni materiałów wsadowych?</v>
      </c>
      <c r="F321" s="1774"/>
      <c r="G321" s="1774"/>
      <c r="H321" s="1774"/>
      <c r="I321" s="1774"/>
      <c r="J321" s="1774"/>
      <c r="K321" s="1775"/>
      <c r="L321" s="517"/>
      <c r="M321" s="1253"/>
      <c r="N321" s="1254"/>
      <c r="O321" s="16"/>
      <c r="P321" s="1037"/>
      <c r="R321" s="1037"/>
      <c r="W321" s="1048" t="s">
        <v>414</v>
      </c>
      <c r="X321" s="1046" t="b">
        <f>IF(AND(I253&lt;&gt;"",ISBLANK(L321)),EUconst_Error&amp;"BM"&amp;C253,FALSE)</f>
        <v>0</v>
      </c>
    </row>
    <row r="322" spans="2:27" ht="5.0999999999999996" customHeight="1" thickBot="1" x14ac:dyDescent="0.25">
      <c r="B322" s="207"/>
      <c r="C322" s="1060"/>
      <c r="D322" s="1061"/>
      <c r="E322" s="1733"/>
      <c r="F322" s="1734"/>
      <c r="G322" s="1734"/>
      <c r="H322" s="1734"/>
      <c r="I322" s="1734"/>
      <c r="J322" s="1734"/>
      <c r="K322" s="1734"/>
      <c r="L322" s="1734"/>
      <c r="M322" s="1734"/>
      <c r="N322" s="1735"/>
      <c r="O322" s="16"/>
      <c r="P322" s="1037"/>
      <c r="R322" s="1037"/>
      <c r="AA322" s="422" t="s">
        <v>272</v>
      </c>
    </row>
    <row r="323" spans="2:27" ht="12.75" customHeight="1" x14ac:dyDescent="0.2">
      <c r="B323" s="207"/>
      <c r="C323" s="1060"/>
      <c r="D323" s="699" t="s">
        <v>3</v>
      </c>
      <c r="E323" s="1760" t="str">
        <f>Translations!$B$741</f>
        <v>Nazwa dalszych strumieni materiałów wsadowych – 1:</v>
      </c>
      <c r="F323" s="1760"/>
      <c r="G323" s="1760"/>
      <c r="H323" s="1760"/>
      <c r="I323" s="1763"/>
      <c r="J323" s="1764"/>
      <c r="K323" s="1764"/>
      <c r="L323" s="1764"/>
      <c r="M323" s="1765"/>
      <c r="N323" s="664"/>
      <c r="O323" s="16"/>
      <c r="P323" s="1037"/>
      <c r="R323" s="1037"/>
      <c r="AA323" s="646" t="b">
        <f>IF(I253&lt;&gt;"",AND(L321&lt;&gt;"",L321=FALSE),FALSE)</f>
        <v>0</v>
      </c>
    </row>
    <row r="324" spans="2:27" ht="5.0999999999999996" customHeight="1" x14ac:dyDescent="0.2">
      <c r="B324" s="207"/>
      <c r="C324" s="1060"/>
      <c r="D324" s="1061"/>
      <c r="E324" s="1256"/>
      <c r="F324" s="1253"/>
      <c r="G324" s="1253"/>
      <c r="H324" s="1253"/>
      <c r="I324" s="1253"/>
      <c r="J324" s="1253"/>
      <c r="K324" s="1253"/>
      <c r="L324" s="1253"/>
      <c r="M324" s="1253"/>
      <c r="N324" s="1254"/>
      <c r="O324" s="16"/>
      <c r="P324" s="1037"/>
      <c r="R324" s="1037"/>
      <c r="AA324" s="608"/>
    </row>
    <row r="325" spans="2:27" ht="12.75" customHeight="1" x14ac:dyDescent="0.2">
      <c r="B325" s="207"/>
      <c r="C325" s="1060"/>
      <c r="D325" s="1061"/>
      <c r="E325" s="1757" t="str">
        <f>Translations!$B$742</f>
        <v>Dalsze strumienie materiałów wsadowych – 1:</v>
      </c>
      <c r="F325" s="1758"/>
      <c r="G325" s="1758"/>
      <c r="H325" s="450" t="str">
        <f>EUconst_Unit</f>
        <v>Jednostka</v>
      </c>
      <c r="I325" s="451">
        <f>I$1882</f>
        <v>2014</v>
      </c>
      <c r="J325" s="451">
        <f>J$1882</f>
        <v>2015</v>
      </c>
      <c r="K325" s="451">
        <f>K$1882</f>
        <v>2016</v>
      </c>
      <c r="L325" s="451">
        <f>L$1882</f>
        <v>2017</v>
      </c>
      <c r="M325" s="451">
        <f>M$1882</f>
        <v>2018</v>
      </c>
      <c r="N325" s="665"/>
      <c r="O325" s="16"/>
      <c r="P325" s="1037"/>
      <c r="R325" s="1037"/>
      <c r="AA325" s="608"/>
    </row>
    <row r="326" spans="2:27" ht="12.75" customHeight="1" x14ac:dyDescent="0.2">
      <c r="B326" s="207"/>
      <c r="C326" s="1060"/>
      <c r="D326" s="699" t="s">
        <v>4</v>
      </c>
      <c r="E326" s="1766" t="str">
        <f>Translations!$B$743</f>
        <v>Ilość wprowadzona lub wyprowadzona</v>
      </c>
      <c r="F326" s="1767"/>
      <c r="G326" s="1767"/>
      <c r="H326" s="454" t="str">
        <f>EUconst_tpa</f>
        <v>t / rok</v>
      </c>
      <c r="I326" s="331"/>
      <c r="J326" s="331"/>
      <c r="K326" s="331"/>
      <c r="L326" s="331"/>
      <c r="M326" s="331"/>
      <c r="N326" s="665"/>
      <c r="O326" s="16"/>
      <c r="P326" s="1037"/>
      <c r="R326" s="1037"/>
      <c r="AA326" s="345" t="b">
        <f>AA323</f>
        <v>0</v>
      </c>
    </row>
    <row r="327" spans="2:27" ht="12.75" customHeight="1" x14ac:dyDescent="0.2">
      <c r="B327" s="207"/>
      <c r="C327" s="1060"/>
      <c r="D327" s="699" t="s">
        <v>6</v>
      </c>
      <c r="E327" s="1771" t="str">
        <f>Translations!$B$744</f>
        <v>Wartość opałowa netto (NCV) (jeśli dotyczy)</v>
      </c>
      <c r="F327" s="1771"/>
      <c r="G327" s="1771"/>
      <c r="H327" s="541" t="str">
        <f>EUconst_GJpt</f>
        <v>GJ / t</v>
      </c>
      <c r="I327" s="330"/>
      <c r="J327" s="330"/>
      <c r="K327" s="330"/>
      <c r="L327" s="330"/>
      <c r="M327" s="330"/>
      <c r="N327" s="665"/>
      <c r="O327" s="16"/>
      <c r="P327" s="1037"/>
      <c r="R327" s="1037"/>
      <c r="AA327" s="345" t="b">
        <f>AA326</f>
        <v>0</v>
      </c>
    </row>
    <row r="328" spans="2:27" ht="12.75" customHeight="1" thickBot="1" x14ac:dyDescent="0.25">
      <c r="B328" s="207"/>
      <c r="C328" s="1060"/>
      <c r="D328" s="699" t="s">
        <v>316</v>
      </c>
      <c r="E328" s="1771" t="str">
        <f>Translations!$B$745</f>
        <v>Zawartość węgla (% masy)</v>
      </c>
      <c r="F328" s="1771"/>
      <c r="G328" s="1771"/>
      <c r="H328" s="542" t="s">
        <v>355</v>
      </c>
      <c r="I328" s="330"/>
      <c r="J328" s="330"/>
      <c r="K328" s="330"/>
      <c r="L328" s="330"/>
      <c r="M328" s="330"/>
      <c r="N328" s="665"/>
      <c r="O328" s="16"/>
      <c r="P328" s="1037"/>
      <c r="R328" s="1037"/>
      <c r="AA328" s="345" t="b">
        <f>AA327</f>
        <v>0</v>
      </c>
    </row>
    <row r="329" spans="2:27" ht="12.75" customHeight="1" x14ac:dyDescent="0.2">
      <c r="B329" s="207"/>
      <c r="C329" s="1060"/>
      <c r="D329" s="699" t="s">
        <v>317</v>
      </c>
      <c r="E329" s="1744" t="str">
        <f>Translations!$B$746</f>
        <v>Zawartość biomasy (jako frakcja węgla)</v>
      </c>
      <c r="F329" s="1744"/>
      <c r="G329" s="1744"/>
      <c r="H329" s="473" t="s">
        <v>355</v>
      </c>
      <c r="I329" s="329"/>
      <c r="J329" s="329"/>
      <c r="K329" s="329"/>
      <c r="L329" s="329"/>
      <c r="M329" s="329"/>
      <c r="N329" s="665"/>
      <c r="O329" s="16"/>
      <c r="P329" s="1037"/>
      <c r="R329" s="1052"/>
      <c r="S329" s="814">
        <f>I325</f>
        <v>2014</v>
      </c>
      <c r="T329" s="814">
        <f>J325</f>
        <v>2015</v>
      </c>
      <c r="U329" s="814">
        <f>K325</f>
        <v>2016</v>
      </c>
      <c r="V329" s="814">
        <f>L325</f>
        <v>2017</v>
      </c>
      <c r="W329" s="815">
        <f>M325</f>
        <v>2018</v>
      </c>
      <c r="AA329" s="345" t="b">
        <f>AA328</f>
        <v>0</v>
      </c>
    </row>
    <row r="330" spans="2:27" ht="12.75" customHeight="1" thickBot="1" x14ac:dyDescent="0.25">
      <c r="B330" s="207"/>
      <c r="C330" s="1060"/>
      <c r="D330" s="699" t="s">
        <v>318</v>
      </c>
      <c r="E330" s="1767" t="str">
        <f>Translations!$B$747</f>
        <v>Emisje (kopalne, obliczone)</v>
      </c>
      <c r="F330" s="1767"/>
      <c r="G330" s="1767"/>
      <c r="H330" s="543" t="str">
        <f>EUconst_tCO2pa</f>
        <v>t CO2 / rok</v>
      </c>
      <c r="I330" s="325" t="str">
        <f>IF(AND(COUNT(I326:I329)&gt;0,I333=""),3.664*I326*(I328/100)*(1-I329/100),"")</f>
        <v/>
      </c>
      <c r="J330" s="325" t="str">
        <f>IF(AND(COUNT(J326:J329)&gt;0,J333=""),3.664*J326*(J328/100)*(1-J329/100),"")</f>
        <v/>
      </c>
      <c r="K330" s="325" t="str">
        <f>IF(AND(COUNT(K326:K329)&gt;0,K333=""),3.664*K326*(K328/100)*(1-K329/100),"")</f>
        <v/>
      </c>
      <c r="L330" s="325" t="str">
        <f>IF(AND(COUNT(L326:L329)&gt;0,L333=""),3.664*L326*(L328/100)*(1-L329/100),"")</f>
        <v/>
      </c>
      <c r="M330" s="325" t="str">
        <f>IF(AND(COUNT(M326:M329)&gt;0,M333=""),3.664*M326*(M328/100)*(1-M329/100),"")</f>
        <v/>
      </c>
      <c r="N330" s="665"/>
      <c r="O330" s="16"/>
      <c r="P330" s="1062" t="str">
        <f>EUconst_CNTR_EmissionsIntSource1 &amp; I253</f>
        <v>EmInternalSource1_</v>
      </c>
      <c r="R330" s="1053" t="str">
        <f>EUconst_CNTR_AttributedEmissions &amp; I253</f>
        <v>AttrEmissions_</v>
      </c>
      <c r="S330" s="119" t="str">
        <f>IF(S253,SUM(I330),"")</f>
        <v/>
      </c>
      <c r="T330" s="119" t="str">
        <f>IF(T253,SUM(J330),"")</f>
        <v/>
      </c>
      <c r="U330" s="119" t="str">
        <f>IF(U253,SUM(K330),"")</f>
        <v/>
      </c>
      <c r="V330" s="119" t="str">
        <f>IF(V253,SUM(L330),"")</f>
        <v/>
      </c>
      <c r="W330" s="120" t="str">
        <f>IF(W253,SUM(M330),"")</f>
        <v/>
      </c>
      <c r="AA330" s="608"/>
    </row>
    <row r="331" spans="2:27" ht="25.5" customHeight="1" x14ac:dyDescent="0.2">
      <c r="B331" s="207"/>
      <c r="C331" s="1060"/>
      <c r="D331" s="699" t="s">
        <v>319</v>
      </c>
      <c r="E331" s="1769" t="str">
        <f>Translations!$B$748</f>
        <v>Nota uzupełniająca: Emisje pochodzące z biomasy</v>
      </c>
      <c r="F331" s="1769"/>
      <c r="G331" s="1769"/>
      <c r="H331" s="544" t="str">
        <f>EUconst_tCO2pa</f>
        <v>t CO2 / rok</v>
      </c>
      <c r="I331" s="324" t="str">
        <f>IF(ISNUMBER(I330),3.664*I326*(I328/100)*(I329/100),"")</f>
        <v/>
      </c>
      <c r="J331" s="324" t="str">
        <f>IF(ISNUMBER(J330),3.664*J326*(J328/100)*(J329/100),"")</f>
        <v/>
      </c>
      <c r="K331" s="324" t="str">
        <f>IF(ISNUMBER(K330),3.664*K326*(K328/100)*(K329/100),"")</f>
        <v/>
      </c>
      <c r="L331" s="324" t="str">
        <f>IF(ISNUMBER(L330),3.664*L326*(L328/100)*(L329/100),"")</f>
        <v/>
      </c>
      <c r="M331" s="324" t="str">
        <f>IF(ISNUMBER(M330),3.664*M326*(M328/100)*(M329/100),"")</f>
        <v/>
      </c>
      <c r="N331" s="665"/>
      <c r="O331" s="16"/>
      <c r="P331" s="1037"/>
      <c r="R331" s="1037"/>
      <c r="AA331" s="608"/>
    </row>
    <row r="332" spans="2:27" ht="12.75" customHeight="1" x14ac:dyDescent="0.2">
      <c r="B332" s="207"/>
      <c r="C332" s="1060"/>
      <c r="D332" s="699" t="s">
        <v>320</v>
      </c>
      <c r="E332" s="1744" t="str">
        <f>Translations!$B$749</f>
        <v>Zawartość energii (obliczona)</v>
      </c>
      <c r="F332" s="1744"/>
      <c r="G332" s="1744"/>
      <c r="H332" s="545" t="str">
        <f>EUconst_TJpa</f>
        <v>TJ / rok</v>
      </c>
      <c r="I332" s="327" t="str">
        <f>IF(COUNT(I326:I327)=2,I326*I327/1000,"")</f>
        <v/>
      </c>
      <c r="J332" s="327" t="str">
        <f>IF(COUNT(J326:J327)=2,J326*J327/1000,"")</f>
        <v/>
      </c>
      <c r="K332" s="327" t="str">
        <f>IF(COUNT(K326:K327)=2,K326*K327/1000,"")</f>
        <v/>
      </c>
      <c r="L332" s="327" t="str">
        <f>IF(COUNT(L326:L327)=2,L326*L327/1000,"")</f>
        <v/>
      </c>
      <c r="M332" s="327" t="str">
        <f>IF(COUNT(M326:M327)=2,M326*M327/1000,"")</f>
        <v/>
      </c>
      <c r="N332" s="665"/>
      <c r="O332" s="16"/>
      <c r="P332" s="1037"/>
      <c r="R332" s="1037"/>
      <c r="AA332" s="608"/>
    </row>
    <row r="333" spans="2:27" ht="12.75" customHeight="1" x14ac:dyDescent="0.2">
      <c r="B333" s="207"/>
      <c r="C333" s="1060"/>
      <c r="D333" s="699" t="s">
        <v>16</v>
      </c>
      <c r="E333" s="1770" t="str">
        <f>Translations!$B$750</f>
        <v>Komunikaty o błędach (emisje)</v>
      </c>
      <c r="F333" s="1770"/>
      <c r="G333" s="1770"/>
      <c r="H333" s="546"/>
      <c r="I333" s="666" t="str">
        <f>IF(COUNT(I326,I328:I329)&gt;0,IF(COUNTIF(I327:I329,"&lt;0")&gt;0,EUconst_Negative,IF(COUNT(I326,I328:I329)&lt;3,EUconst_Incomplete,"")),"")</f>
        <v/>
      </c>
      <c r="J333" s="666" t="str">
        <f>IF(COUNT(J326,J328:J329)&gt;0,IF(COUNTIF(J327:J329,"&lt;0")&gt;0,EUconst_Negative,IF(COUNT(J326,J328:J329)&lt;3,EUconst_Incomplete,"")),"")</f>
        <v/>
      </c>
      <c r="K333" s="666" t="str">
        <f>IF(COUNT(K326,K328:K329)&gt;0,IF(COUNTIF(K327:K329,"&lt;0")&gt;0,EUconst_Negative,IF(COUNT(K326,K328:K329)&lt;3,EUconst_Incomplete,"")),"")</f>
        <v/>
      </c>
      <c r="L333" s="666" t="str">
        <f>IF(COUNT(L326,L328:L329)&gt;0,IF(COUNTIF(L327:L329,"&lt;0")&gt;0,EUconst_Negative,IF(COUNT(L326,L328:L329)&lt;3,EUconst_Incomplete,"")),"")</f>
        <v/>
      </c>
      <c r="M333" s="666" t="str">
        <f>IF(COUNT(M326,M328:M329)&gt;0,IF(COUNTIF(M327:M329,"&lt;0")&gt;0,EUconst_Negative,IF(COUNT(M326,M328:M329)&lt;3,EUconst_Incomplete,"")),"")</f>
        <v/>
      </c>
      <c r="N333" s="665"/>
      <c r="O333" s="16"/>
      <c r="P333" s="1037"/>
      <c r="R333" s="1037"/>
      <c r="AA333" s="608"/>
    </row>
    <row r="334" spans="2:27" ht="12.75" customHeight="1" x14ac:dyDescent="0.2">
      <c r="B334" s="207"/>
      <c r="C334" s="1060"/>
      <c r="D334" s="699"/>
      <c r="E334" s="1061"/>
      <c r="F334" s="1061"/>
      <c r="G334" s="1061"/>
      <c r="H334" s="1061"/>
      <c r="I334" s="1061"/>
      <c r="J334" s="1061"/>
      <c r="K334" s="1061"/>
      <c r="L334" s="1061"/>
      <c r="M334" s="1063"/>
      <c r="N334" s="665"/>
      <c r="O334" s="16"/>
      <c r="P334" s="1037"/>
      <c r="R334" s="1037"/>
      <c r="AA334" s="608"/>
    </row>
    <row r="335" spans="2:27" ht="12.75" customHeight="1" x14ac:dyDescent="0.2">
      <c r="B335" s="207"/>
      <c r="C335" s="1060"/>
      <c r="D335" s="699" t="s">
        <v>17</v>
      </c>
      <c r="E335" s="1760" t="str">
        <f>Translations!$B$751</f>
        <v>Nazwa dalszych strumieni materiałów wsadowych – 2:</v>
      </c>
      <c r="F335" s="1760"/>
      <c r="G335" s="1760"/>
      <c r="H335" s="1760"/>
      <c r="I335" s="1763"/>
      <c r="J335" s="1764"/>
      <c r="K335" s="1764"/>
      <c r="L335" s="1764"/>
      <c r="M335" s="1765"/>
      <c r="N335" s="1254"/>
      <c r="O335" s="16"/>
      <c r="P335" s="1037"/>
      <c r="R335" s="1037"/>
      <c r="AA335" s="345" t="b">
        <f>AA323</f>
        <v>0</v>
      </c>
    </row>
    <row r="336" spans="2:27" ht="5.0999999999999996" customHeight="1" x14ac:dyDescent="0.2">
      <c r="B336" s="207"/>
      <c r="C336" s="1060"/>
      <c r="D336" s="1061"/>
      <c r="E336" s="1256"/>
      <c r="F336" s="1253"/>
      <c r="G336" s="1253"/>
      <c r="H336" s="1253"/>
      <c r="I336" s="1253"/>
      <c r="J336" s="1253"/>
      <c r="K336" s="1253"/>
      <c r="L336" s="1253"/>
      <c r="M336" s="1253"/>
      <c r="N336" s="1254"/>
      <c r="O336" s="16"/>
      <c r="P336" s="1037"/>
      <c r="R336" s="1037"/>
      <c r="AA336" s="608"/>
    </row>
    <row r="337" spans="2:27" ht="12.75" customHeight="1" x14ac:dyDescent="0.2">
      <c r="B337" s="207"/>
      <c r="C337" s="1060"/>
      <c r="D337" s="699"/>
      <c r="E337" s="1757" t="str">
        <f>Translations!$B$752</f>
        <v>Dalsze strumienie materiałów wsadowych – 2:</v>
      </c>
      <c r="F337" s="1758"/>
      <c r="G337" s="1758"/>
      <c r="H337" s="450" t="str">
        <f>EUconst_Unit</f>
        <v>Jednostka</v>
      </c>
      <c r="I337" s="451">
        <f>I$1882</f>
        <v>2014</v>
      </c>
      <c r="J337" s="451">
        <f>J$1882</f>
        <v>2015</v>
      </c>
      <c r="K337" s="451">
        <f>K$1882</f>
        <v>2016</v>
      </c>
      <c r="L337" s="451">
        <f>L$1882</f>
        <v>2017</v>
      </c>
      <c r="M337" s="451">
        <f>M$1882</f>
        <v>2018</v>
      </c>
      <c r="N337" s="665"/>
      <c r="O337" s="16"/>
      <c r="P337" s="1037"/>
      <c r="R337" s="1037"/>
      <c r="AA337" s="608"/>
    </row>
    <row r="338" spans="2:27" ht="12.75" customHeight="1" x14ac:dyDescent="0.2">
      <c r="B338" s="207"/>
      <c r="C338" s="1060"/>
      <c r="D338" s="699" t="s">
        <v>18</v>
      </c>
      <c r="E338" s="1766" t="str">
        <f>Translations!$B$743</f>
        <v>Ilość wprowadzona lub wyprowadzona</v>
      </c>
      <c r="F338" s="1767"/>
      <c r="G338" s="1767"/>
      <c r="H338" s="454" t="str">
        <f>EUconst_tpa</f>
        <v>t / rok</v>
      </c>
      <c r="I338" s="331"/>
      <c r="J338" s="331"/>
      <c r="K338" s="331"/>
      <c r="L338" s="331"/>
      <c r="M338" s="331"/>
      <c r="N338" s="665"/>
      <c r="O338" s="16"/>
      <c r="P338" s="1037"/>
      <c r="R338" s="1037"/>
      <c r="AA338" s="345" t="b">
        <f>AA335</f>
        <v>0</v>
      </c>
    </row>
    <row r="339" spans="2:27" ht="12.75" customHeight="1" x14ac:dyDescent="0.2">
      <c r="B339" s="207"/>
      <c r="C339" s="1060"/>
      <c r="D339" s="699" t="s">
        <v>454</v>
      </c>
      <c r="E339" s="1771" t="str">
        <f>Translations!$B$744</f>
        <v>Wartość opałowa netto (NCV) (jeśli dotyczy)</v>
      </c>
      <c r="F339" s="1771"/>
      <c r="G339" s="1771"/>
      <c r="H339" s="541" t="str">
        <f>EUconst_GJpt</f>
        <v>GJ / t</v>
      </c>
      <c r="I339" s="330"/>
      <c r="J339" s="330"/>
      <c r="K339" s="330"/>
      <c r="L339" s="330"/>
      <c r="M339" s="330"/>
      <c r="N339" s="665"/>
      <c r="O339" s="16"/>
      <c r="P339" s="1037"/>
      <c r="R339" s="1037"/>
      <c r="AA339" s="345" t="b">
        <f>AA338</f>
        <v>0</v>
      </c>
    </row>
    <row r="340" spans="2:27" ht="12.75" customHeight="1" thickBot="1" x14ac:dyDescent="0.25">
      <c r="B340" s="207"/>
      <c r="C340" s="1060"/>
      <c r="D340" s="699" t="s">
        <v>455</v>
      </c>
      <c r="E340" s="1771" t="str">
        <f>Translations!$B$745</f>
        <v>Zawartość węgla (% masy)</v>
      </c>
      <c r="F340" s="1771"/>
      <c r="G340" s="1771"/>
      <c r="H340" s="542" t="s">
        <v>355</v>
      </c>
      <c r="I340" s="330"/>
      <c r="J340" s="330"/>
      <c r="K340" s="330"/>
      <c r="L340" s="330"/>
      <c r="M340" s="330"/>
      <c r="N340" s="665"/>
      <c r="O340" s="16"/>
      <c r="P340" s="1037"/>
      <c r="R340" s="1037"/>
      <c r="AA340" s="345" t="b">
        <f>AA339</f>
        <v>0</v>
      </c>
    </row>
    <row r="341" spans="2:27" ht="12.75" customHeight="1" thickBot="1" x14ac:dyDescent="0.25">
      <c r="B341" s="207"/>
      <c r="C341" s="1060"/>
      <c r="D341" s="699" t="s">
        <v>456</v>
      </c>
      <c r="E341" s="1744" t="str">
        <f>Translations!$B$746</f>
        <v>Zawartość biomasy (jako frakcja węgla)</v>
      </c>
      <c r="F341" s="1744"/>
      <c r="G341" s="1744"/>
      <c r="H341" s="473" t="s">
        <v>355</v>
      </c>
      <c r="I341" s="329"/>
      <c r="J341" s="329"/>
      <c r="K341" s="329"/>
      <c r="L341" s="329"/>
      <c r="M341" s="329"/>
      <c r="N341" s="665"/>
      <c r="O341" s="16"/>
      <c r="P341" s="1037"/>
      <c r="R341" s="1052"/>
      <c r="S341" s="814">
        <f>I337</f>
        <v>2014</v>
      </c>
      <c r="T341" s="814">
        <f>J337</f>
        <v>2015</v>
      </c>
      <c r="U341" s="814">
        <f>K337</f>
        <v>2016</v>
      </c>
      <c r="V341" s="814">
        <f>L337</f>
        <v>2017</v>
      </c>
      <c r="W341" s="815">
        <f>M337</f>
        <v>2018</v>
      </c>
      <c r="AA341" s="168" t="b">
        <f>AA340</f>
        <v>0</v>
      </c>
    </row>
    <row r="342" spans="2:27" ht="12.75" customHeight="1" thickBot="1" x14ac:dyDescent="0.25">
      <c r="B342" s="207"/>
      <c r="C342" s="1060"/>
      <c r="D342" s="699" t="s">
        <v>457</v>
      </c>
      <c r="E342" s="1767" t="str">
        <f>Translations!$B$747</f>
        <v>Emisje (kopalne, obliczone)</v>
      </c>
      <c r="F342" s="1767"/>
      <c r="G342" s="1767"/>
      <c r="H342" s="543" t="str">
        <f>EUconst_tCO2pa</f>
        <v>t CO2 / rok</v>
      </c>
      <c r="I342" s="325" t="str">
        <f>IF(AND(COUNT(I338:I341)&gt;0,I345=""),3.664*I338*(I340/100)*(1-I341/100),"")</f>
        <v/>
      </c>
      <c r="J342" s="325" t="str">
        <f>IF(AND(COUNT(J338:J341)&gt;0,J345=""),3.664*J338*(J340/100)*(1-J341/100),"")</f>
        <v/>
      </c>
      <c r="K342" s="325" t="str">
        <f>IF(AND(COUNT(K338:K341)&gt;0,K345=""),3.664*K338*(K340/100)*(1-K341/100),"")</f>
        <v/>
      </c>
      <c r="L342" s="325" t="str">
        <f>IF(AND(COUNT(L338:L341)&gt;0,L345=""),3.664*L338*(L340/100)*(1-L341/100),"")</f>
        <v/>
      </c>
      <c r="M342" s="325" t="str">
        <f>IF(AND(COUNT(M338:M341)&gt;0,M345=""),3.664*M338*(M340/100)*(1-M341/100),"")</f>
        <v/>
      </c>
      <c r="N342" s="665"/>
      <c r="O342" s="16"/>
      <c r="P342" s="1062" t="str">
        <f>EUconst_CNTR_EmissionsIntSource2 &amp; I253</f>
        <v>EmInternalSource2_</v>
      </c>
      <c r="R342" s="1053" t="str">
        <f>EUconst_CNTR_AttributedEmissions &amp; I253</f>
        <v>AttrEmissions_</v>
      </c>
      <c r="S342" s="119" t="str">
        <f>IF(S253,SUM(I342),"")</f>
        <v/>
      </c>
      <c r="T342" s="119" t="str">
        <f>IF(T253,SUM(J342),"")</f>
        <v/>
      </c>
      <c r="U342" s="119" t="str">
        <f>IF(U253,SUM(K342),"")</f>
        <v/>
      </c>
      <c r="V342" s="119" t="str">
        <f>IF(V253,SUM(L342),"")</f>
        <v/>
      </c>
      <c r="W342" s="120" t="str">
        <f>IF(W253,SUM(M342),"")</f>
        <v/>
      </c>
    </row>
    <row r="343" spans="2:27" ht="25.5" customHeight="1" x14ac:dyDescent="0.2">
      <c r="B343" s="207"/>
      <c r="C343" s="1060"/>
      <c r="D343" s="699" t="s">
        <v>458</v>
      </c>
      <c r="E343" s="1769" t="str">
        <f>Translations!$B$748</f>
        <v>Nota uzupełniająca: Emisje pochodzące z biomasy</v>
      </c>
      <c r="F343" s="1769"/>
      <c r="G343" s="1769"/>
      <c r="H343" s="544" t="str">
        <f>EUconst_tCO2pa</f>
        <v>t CO2 / rok</v>
      </c>
      <c r="I343" s="324" t="str">
        <f>IF(ISNUMBER(I342),3.664*I338*(I340/100)*(I341/100),"")</f>
        <v/>
      </c>
      <c r="J343" s="324" t="str">
        <f>IF(ISNUMBER(J342),3.664*J338*(J340/100)*(J341/100),"")</f>
        <v/>
      </c>
      <c r="K343" s="324" t="str">
        <f>IF(ISNUMBER(K342),3.664*K338*(K340/100)*(K341/100),"")</f>
        <v/>
      </c>
      <c r="L343" s="324" t="str">
        <f>IF(ISNUMBER(L342),3.664*L338*(L340/100)*(L341/100),"")</f>
        <v/>
      </c>
      <c r="M343" s="324" t="str">
        <f>IF(ISNUMBER(M342),3.664*M338*(M340/100)*(M341/100),"")</f>
        <v/>
      </c>
      <c r="N343" s="665"/>
      <c r="O343" s="16"/>
      <c r="P343" s="1037"/>
      <c r="R343" s="1037"/>
    </row>
    <row r="344" spans="2:27" ht="12.75" customHeight="1" x14ac:dyDescent="0.2">
      <c r="B344" s="207"/>
      <c r="C344" s="1060"/>
      <c r="D344" s="699" t="s">
        <v>459</v>
      </c>
      <c r="E344" s="1744" t="str">
        <f>Translations!$B$749</f>
        <v>Zawartość energii (obliczona)</v>
      </c>
      <c r="F344" s="1744"/>
      <c r="G344" s="1744"/>
      <c r="H344" s="545" t="str">
        <f>EUconst_TJpa</f>
        <v>TJ / rok</v>
      </c>
      <c r="I344" s="327" t="str">
        <f>IF(COUNT(I338:I339)=2,I338*I339/1000,"")</f>
        <v/>
      </c>
      <c r="J344" s="327" t="str">
        <f>IF(COUNT(J338:J339)=2,J338*J339/1000,"")</f>
        <v/>
      </c>
      <c r="K344" s="327" t="str">
        <f>IF(COUNT(K338:K339)=2,K338*K339/1000,"")</f>
        <v/>
      </c>
      <c r="L344" s="327" t="str">
        <f>IF(COUNT(L338:L339)=2,L338*L339/1000,"")</f>
        <v/>
      </c>
      <c r="M344" s="327" t="str">
        <f>IF(COUNT(M338:M339)=2,M338*M339/1000,"")</f>
        <v/>
      </c>
      <c r="N344" s="665"/>
      <c r="O344" s="16"/>
      <c r="P344" s="1037"/>
      <c r="R344" s="1037"/>
    </row>
    <row r="345" spans="2:27" ht="12.75" customHeight="1" x14ac:dyDescent="0.2">
      <c r="B345" s="207"/>
      <c r="C345" s="1060"/>
      <c r="D345" s="699" t="s">
        <v>455</v>
      </c>
      <c r="E345" s="1770" t="str">
        <f>Translations!$B$750</f>
        <v>Komunikaty o błędach (emisje)</v>
      </c>
      <c r="F345" s="1770"/>
      <c r="G345" s="1770"/>
      <c r="H345" s="546"/>
      <c r="I345" s="666" t="str">
        <f>IF(COUNT(I338,I340:I341)&gt;0,IF(COUNTIF(I339:I341,"&lt;0")&gt;0,EUconst_Negative,IF(COUNT(I338,I340:I341)&lt;3,EUconst_Incomplete,"")),"")</f>
        <v/>
      </c>
      <c r="J345" s="666" t="str">
        <f>IF(COUNT(J338,J340:J341)&gt;0,IF(COUNTIF(J339:J341,"&lt;0")&gt;0,EUconst_Negative,IF(COUNT(J338,J340:J341)&lt;3,EUconst_Incomplete,"")),"")</f>
        <v/>
      </c>
      <c r="K345" s="666" t="str">
        <f>IF(COUNT(K338,K340:K341)&gt;0,IF(COUNTIF(K339:K341,"&lt;0")&gt;0,EUconst_Negative,IF(COUNT(K338,K340:K341)&lt;3,EUconst_Incomplete,"")),"")</f>
        <v/>
      </c>
      <c r="L345" s="666" t="str">
        <f>IF(COUNT(L338,L340:L341)&gt;0,IF(COUNTIF(L339:L341,"&lt;0")&gt;0,EUconst_Negative,IF(COUNT(L338,L340:L341)&lt;3,EUconst_Incomplete,"")),"")</f>
        <v/>
      </c>
      <c r="M345" s="666" t="str">
        <f>IF(COUNT(M338,M340:M341)&gt;0,IF(COUNTIF(M339:M341,"&lt;0")&gt;0,EUconst_Negative,IF(COUNT(M338,M340:M341)&lt;3,EUconst_Incomplete,"")),"")</f>
        <v/>
      </c>
      <c r="N345" s="665"/>
      <c r="O345" s="16"/>
      <c r="P345" s="1037"/>
      <c r="R345" s="1037"/>
    </row>
    <row r="346" spans="2:27" ht="12.75" customHeight="1" x14ac:dyDescent="0.2">
      <c r="B346" s="207"/>
      <c r="C346" s="1060"/>
      <c r="D346" s="1061"/>
      <c r="E346" s="1061"/>
      <c r="F346" s="1061"/>
      <c r="G346" s="1061"/>
      <c r="H346" s="1061"/>
      <c r="I346" s="1061"/>
      <c r="J346" s="1061"/>
      <c r="K346" s="1061"/>
      <c r="L346" s="1061"/>
      <c r="M346" s="1063"/>
      <c r="N346" s="665"/>
      <c r="O346" s="16"/>
      <c r="P346" s="1037"/>
      <c r="R346" s="1037"/>
    </row>
    <row r="347" spans="2:27" ht="12.75" customHeight="1" thickBot="1" x14ac:dyDescent="0.25">
      <c r="B347" s="207"/>
      <c r="C347" s="1060"/>
      <c r="D347" s="462" t="s">
        <v>218</v>
      </c>
      <c r="E347" s="1731" t="str">
        <f>Translations!$B$753</f>
        <v>Ilość gazów cieplarnianych wprowadzonych lub wyprowadzonych w charakterze materiałów wsadowych</v>
      </c>
      <c r="F347" s="1734"/>
      <c r="G347" s="1734"/>
      <c r="H347" s="1734"/>
      <c r="I347" s="1734"/>
      <c r="J347" s="1734"/>
      <c r="K347" s="1734"/>
      <c r="L347" s="1734"/>
      <c r="M347" s="1734"/>
      <c r="N347" s="1735"/>
      <c r="O347" s="16"/>
      <c r="P347" s="1037"/>
      <c r="R347" s="1037"/>
    </row>
    <row r="348" spans="2:27" ht="12.75" customHeight="1" x14ac:dyDescent="0.2">
      <c r="B348" s="207"/>
      <c r="C348" s="1060"/>
      <c r="D348" s="462"/>
      <c r="E348" s="1757"/>
      <c r="F348" s="1758"/>
      <c r="G348" s="1758"/>
      <c r="H348" s="450" t="str">
        <f>EUconst_Unit</f>
        <v>Jednostka</v>
      </c>
      <c r="I348" s="451">
        <f>I$1882</f>
        <v>2014</v>
      </c>
      <c r="J348" s="451">
        <f>J$1882</f>
        <v>2015</v>
      </c>
      <c r="K348" s="451">
        <f>K$1882</f>
        <v>2016</v>
      </c>
      <c r="L348" s="451">
        <f>L$1882</f>
        <v>2017</v>
      </c>
      <c r="M348" s="451">
        <f>M$1882</f>
        <v>2018</v>
      </c>
      <c r="N348" s="665"/>
      <c r="O348" s="16"/>
      <c r="P348" s="1037"/>
      <c r="R348" s="1052"/>
      <c r="S348" s="814">
        <f>I348</f>
        <v>2014</v>
      </c>
      <c r="T348" s="814">
        <f>J348</f>
        <v>2015</v>
      </c>
      <c r="U348" s="814">
        <f>K348</f>
        <v>2016</v>
      </c>
      <c r="V348" s="814">
        <f>L348</f>
        <v>2017</v>
      </c>
      <c r="W348" s="815">
        <f>M348</f>
        <v>2018</v>
      </c>
    </row>
    <row r="349" spans="2:27" ht="25.5" customHeight="1" thickBot="1" x14ac:dyDescent="0.25">
      <c r="B349" s="207"/>
      <c r="C349" s="1060"/>
      <c r="D349" s="699"/>
      <c r="E349" s="1739" t="str">
        <f>Translations!$B$756</f>
        <v>Wprowadzone lub wyprowadzone gazy cieplarniane</v>
      </c>
      <c r="F349" s="1740"/>
      <c r="G349" s="1740"/>
      <c r="H349" s="453" t="str">
        <f>EUconst_tCO2epa</f>
        <v>t CO2e/rok</v>
      </c>
      <c r="I349" s="471"/>
      <c r="J349" s="471"/>
      <c r="K349" s="471"/>
      <c r="L349" s="471"/>
      <c r="M349" s="471"/>
      <c r="N349" s="1257"/>
      <c r="O349" s="16"/>
      <c r="P349" s="1062" t="str">
        <f>EUconst_CNTR_CO2Feedstock &amp; I253</f>
        <v>EmCO2Feedstock_</v>
      </c>
      <c r="R349" s="1053" t="str">
        <f>EUconst_CNTR_AttributedEmissions &amp; I253</f>
        <v>AttrEmissions_</v>
      </c>
      <c r="S349" s="119" t="str">
        <f>IF(S253,SUM(I349),"")</f>
        <v/>
      </c>
      <c r="T349" s="119" t="str">
        <f>IF(T253,SUM(J349),"")</f>
        <v/>
      </c>
      <c r="U349" s="119" t="str">
        <f>IF(U253,SUM(K349),"")</f>
        <v/>
      </c>
      <c r="V349" s="119" t="str">
        <f>IF(V253,SUM(L349),"")</f>
        <v/>
      </c>
      <c r="W349" s="120" t="str">
        <f>IF(W253,SUM(M349),"")</f>
        <v/>
      </c>
    </row>
    <row r="350" spans="2:27" ht="12.75" customHeight="1" x14ac:dyDescent="0.2">
      <c r="B350" s="207"/>
      <c r="C350" s="1060"/>
      <c r="D350" s="1061"/>
      <c r="E350" s="1061"/>
      <c r="F350" s="1061"/>
      <c r="G350" s="1061"/>
      <c r="H350" s="1061"/>
      <c r="I350" s="1061"/>
      <c r="J350" s="1061"/>
      <c r="K350" s="1061"/>
      <c r="L350" s="1061"/>
      <c r="M350" s="1063"/>
      <c r="N350" s="665"/>
      <c r="O350" s="16"/>
      <c r="P350" s="1037"/>
      <c r="R350" s="1037"/>
    </row>
    <row r="351" spans="2:27" ht="12.75" customHeight="1" x14ac:dyDescent="0.2">
      <c r="B351" s="207"/>
      <c r="C351" s="1060"/>
      <c r="D351" s="462" t="s">
        <v>219</v>
      </c>
      <c r="E351" s="1731" t="str">
        <f>Translations!$B$757</f>
        <v>Mierzalne ciepło wprowadzone do tej podinstalacji i z niej wyprowadzone</v>
      </c>
      <c r="F351" s="1734"/>
      <c r="G351" s="1734"/>
      <c r="H351" s="1734"/>
      <c r="I351" s="1734"/>
      <c r="J351" s="1734"/>
      <c r="K351" s="1734"/>
      <c r="L351" s="1734"/>
      <c r="M351" s="1734"/>
      <c r="N351" s="1735"/>
      <c r="O351" s="16"/>
      <c r="P351" s="1037"/>
      <c r="R351" s="1037"/>
    </row>
    <row r="352" spans="2:27" ht="12.75" customHeight="1" thickBot="1" x14ac:dyDescent="0.25">
      <c r="B352" s="207"/>
      <c r="C352" s="1060"/>
      <c r="D352" s="1061"/>
      <c r="E352" s="1674" t="str">
        <f>Translations!$B$762</f>
        <v>W celu przypisania emisji z kogeneracji (CHP) do wytwarzania ciepła należy zastosować „narzędzie dotyczące CHP” w części D.III. niniejszego formularza.</v>
      </c>
      <c r="F352" s="1674"/>
      <c r="G352" s="1674"/>
      <c r="H352" s="1674"/>
      <c r="I352" s="1674"/>
      <c r="J352" s="1674"/>
      <c r="K352" s="1674"/>
      <c r="L352" s="1674"/>
      <c r="M352" s="1674"/>
      <c r="N352" s="1257"/>
      <c r="O352" s="16"/>
      <c r="P352" s="1037"/>
    </row>
    <row r="353" spans="2:27" ht="12.75" customHeight="1" x14ac:dyDescent="0.2">
      <c r="B353" s="207"/>
      <c r="C353" s="1060"/>
      <c r="D353" s="1061"/>
      <c r="E353" s="1757" t="str">
        <f>Translations!$B$763</f>
        <v>Całkowite ciepło wprowadzone</v>
      </c>
      <c r="F353" s="1758"/>
      <c r="G353" s="1758"/>
      <c r="H353" s="450" t="str">
        <f>EUconst_Unit</f>
        <v>Jednostka</v>
      </c>
      <c r="I353" s="451">
        <f>I$1882</f>
        <v>2014</v>
      </c>
      <c r="J353" s="451">
        <f>J$1882</f>
        <v>2015</v>
      </c>
      <c r="K353" s="451">
        <f>K$1882</f>
        <v>2016</v>
      </c>
      <c r="L353" s="451">
        <f>L$1882</f>
        <v>2017</v>
      </c>
      <c r="M353" s="451">
        <f>M$1882</f>
        <v>2018</v>
      </c>
      <c r="N353" s="1257"/>
      <c r="O353" s="16"/>
      <c r="P353" s="1037"/>
      <c r="R353" s="1052"/>
      <c r="S353" s="814">
        <f>I353</f>
        <v>2014</v>
      </c>
      <c r="T353" s="814">
        <f>J353</f>
        <v>2015</v>
      </c>
      <c r="U353" s="814">
        <f>K353</f>
        <v>2016</v>
      </c>
      <c r="V353" s="814">
        <f>L353</f>
        <v>2017</v>
      </c>
      <c r="W353" s="815">
        <f>M353</f>
        <v>2018</v>
      </c>
    </row>
    <row r="354" spans="2:27" ht="12.75" customHeight="1" x14ac:dyDescent="0.2">
      <c r="B354" s="207"/>
      <c r="C354" s="1060"/>
      <c r="D354" s="699" t="s">
        <v>2</v>
      </c>
      <c r="E354" s="1739" t="str">
        <f>Translations!$B$764</f>
        <v>Ciepło wprowadzone netto</v>
      </c>
      <c r="F354" s="1740"/>
      <c r="G354" s="1740"/>
      <c r="H354" s="453" t="str">
        <f>EUconst_TJpa</f>
        <v>TJ / rok</v>
      </c>
      <c r="I354" s="471"/>
      <c r="J354" s="471"/>
      <c r="K354" s="471"/>
      <c r="L354" s="471"/>
      <c r="M354" s="471"/>
      <c r="N354" s="702"/>
      <c r="O354" s="16"/>
      <c r="P354" s="1062" t="str">
        <f>EUconst_CNTR_HeatImport &amp; I253</f>
        <v>HeatIm_</v>
      </c>
      <c r="R354" s="1064" t="str">
        <f>EUconst_ERR_AttrEmBMapplied &amp; I253</f>
        <v>ERR_AttrEmBM_ </v>
      </c>
      <c r="S354" s="116">
        <f>IF(AND(I354&lt;&gt;0,I355="",EUconst_StatusOfDataCollection=FALSE),1,0)</f>
        <v>0</v>
      </c>
      <c r="T354" s="116">
        <f>IF(AND(J354&lt;&gt;0,J355="",EUconst_StatusOfDataCollection=FALSE),1,0)</f>
        <v>0</v>
      </c>
      <c r="U354" s="116">
        <f>IF(AND(K354&lt;&gt;0,K355="",EUconst_StatusOfDataCollection=FALSE),1,0)</f>
        <v>0</v>
      </c>
      <c r="V354" s="116">
        <f>IF(AND(L354&lt;&gt;0,L355="",EUconst_StatusOfDataCollection=FALSE),1,0)</f>
        <v>0</v>
      </c>
      <c r="W354" s="117">
        <f>IF(AND(M354&lt;&gt;0,M355="",EUconst_StatusOfDataCollection=FALSE),1,0)</f>
        <v>0</v>
      </c>
      <c r="X354" s="45"/>
    </row>
    <row r="355" spans="2:27" ht="25.5" customHeight="1" thickBot="1" x14ac:dyDescent="0.25">
      <c r="B355" s="207"/>
      <c r="C355" s="1060"/>
      <c r="D355" s="699" t="s">
        <v>3</v>
      </c>
      <c r="E355" s="1739" t="str">
        <f>Translations!$B$765</f>
        <v>Właściwy współczynnik emisji (ciepło wprowadzone)</v>
      </c>
      <c r="F355" s="1740"/>
      <c r="G355" s="1740"/>
      <c r="H355" s="453" t="str">
        <f>EUconst_tCO2pTJ</f>
        <v>t CO2 / TJ</v>
      </c>
      <c r="I355" s="764"/>
      <c r="J355" s="764"/>
      <c r="K355" s="764"/>
      <c r="L355" s="764"/>
      <c r="M355" s="764"/>
      <c r="N355" s="665"/>
      <c r="O355" s="16"/>
      <c r="P355" s="1062" t="str">
        <f>EUconst_CNTR_HeatImportEF &amp; I253</f>
        <v>HeatImEF_</v>
      </c>
      <c r="R355" s="1053" t="str">
        <f>EUconst_CNTR_AttributedEmissions &amp; I253</f>
        <v>AttrEmissions_</v>
      </c>
      <c r="S355" s="119" t="str">
        <f>IF(S253,SUM(I354)*IF(ISNUMBER(I355),I355,EUconst_HeatBMvalue),"")</f>
        <v/>
      </c>
      <c r="T355" s="119" t="str">
        <f>IF(T253,SUM(J354)*IF(ISNUMBER(J355),J355,EUconst_HeatBMvalue),"")</f>
        <v/>
      </c>
      <c r="U355" s="119" t="str">
        <f>IF(U253,SUM(K354)*IF(ISNUMBER(K355),K355,EUconst_HeatBMvalue),"")</f>
        <v/>
      </c>
      <c r="V355" s="119" t="str">
        <f>IF(V253,SUM(L354)*IF(ISNUMBER(L355),L355,EUconst_HeatBMvalue),"")</f>
        <v/>
      </c>
      <c r="W355" s="120" t="str">
        <f>IF(W253,SUM(M354)*IF(ISNUMBER(M355),M355,EUconst_HeatBMvalue),"")</f>
        <v/>
      </c>
    </row>
    <row r="356" spans="2:27" ht="5.0999999999999996" customHeight="1" x14ac:dyDescent="0.2">
      <c r="B356" s="207"/>
      <c r="C356" s="1060"/>
      <c r="D356" s="1061"/>
      <c r="E356" s="1061"/>
      <c r="F356" s="1061"/>
      <c r="G356" s="1061"/>
      <c r="H356" s="1061"/>
      <c r="I356" s="1061"/>
      <c r="J356" s="1061"/>
      <c r="K356" s="1061"/>
      <c r="L356" s="1061"/>
      <c r="M356" s="1063"/>
      <c r="N356" s="665"/>
      <c r="O356" s="16"/>
      <c r="P356" s="1037"/>
      <c r="R356" s="1037"/>
      <c r="S356" s="1037"/>
    </row>
    <row r="357" spans="2:27" ht="12.75" customHeight="1" x14ac:dyDescent="0.2">
      <c r="B357" s="207"/>
      <c r="C357" s="1060"/>
      <c r="D357" s="1061"/>
      <c r="E357" s="1757" t="str">
        <f>Translations!$B$766</f>
        <v>Szczególne wprowadzenie ciepła</v>
      </c>
      <c r="F357" s="1757"/>
      <c r="G357" s="1757"/>
      <c r="H357" s="450" t="str">
        <f>EUconst_Unit</f>
        <v>Jednostka</v>
      </c>
      <c r="I357" s="451">
        <f>I$1882</f>
        <v>2014</v>
      </c>
      <c r="J357" s="451">
        <f>J$1882</f>
        <v>2015</v>
      </c>
      <c r="K357" s="451">
        <f>K$1882</f>
        <v>2016</v>
      </c>
      <c r="L357" s="451">
        <f>L$1882</f>
        <v>2017</v>
      </c>
      <c r="M357" s="451">
        <f>M$1882</f>
        <v>2018</v>
      </c>
      <c r="N357" s="1257"/>
      <c r="O357" s="16"/>
      <c r="P357" s="1037"/>
      <c r="R357" s="1037"/>
      <c r="S357" s="1037"/>
    </row>
    <row r="358" spans="2:27" ht="25.5" customHeight="1" x14ac:dyDescent="0.2">
      <c r="B358" s="207"/>
      <c r="C358" s="1060"/>
      <c r="D358" s="699" t="s">
        <v>4</v>
      </c>
      <c r="E358" s="1739" t="str">
        <f>Translations!$B$820</f>
        <v>Ciepło wprowadzone netto z masy celulozowej</v>
      </c>
      <c r="F358" s="1740"/>
      <c r="G358" s="1740"/>
      <c r="H358" s="453" t="str">
        <f>EUconst_TJpa</f>
        <v>TJ / rok</v>
      </c>
      <c r="I358" s="540"/>
      <c r="J358" s="540"/>
      <c r="K358" s="540"/>
      <c r="L358" s="540"/>
      <c r="M358" s="540"/>
      <c r="N358" s="702"/>
      <c r="O358" s="16"/>
      <c r="P358" s="1062" t="str">
        <f>EUconst_CNTR_HeatImportPulp &amp; I253</f>
        <v>HeatImPulp_</v>
      </c>
      <c r="R358" s="1037"/>
      <c r="S358" s="1037"/>
    </row>
    <row r="359" spans="2:27" ht="25.5" customHeight="1" x14ac:dyDescent="0.2">
      <c r="B359" s="207"/>
      <c r="C359" s="1060"/>
      <c r="D359" s="699" t="s">
        <v>6</v>
      </c>
      <c r="E359" s="1739" t="str">
        <f>Translations!$B$768</f>
        <v>Ciepło wprowadzone netto z podinstalacji wytwarzającej kwas azotowy</v>
      </c>
      <c r="F359" s="1740"/>
      <c r="G359" s="1740"/>
      <c r="H359" s="453" t="str">
        <f>EUconst_TJpa</f>
        <v>TJ / rok</v>
      </c>
      <c r="I359" s="471"/>
      <c r="J359" s="471"/>
      <c r="K359" s="471"/>
      <c r="L359" s="471"/>
      <c r="M359" s="471"/>
      <c r="N359" s="702"/>
      <c r="O359" s="16"/>
      <c r="P359" s="1062" t="str">
        <f>EUconst_CNTR_HeatImportNitric &amp; I253</f>
        <v>HeatImNitric_</v>
      </c>
      <c r="R359" s="1037"/>
      <c r="S359" s="1037"/>
    </row>
    <row r="360" spans="2:27" ht="5.0999999999999996" customHeight="1" thickBot="1" x14ac:dyDescent="0.25">
      <c r="B360" s="207"/>
      <c r="C360" s="1060"/>
      <c r="D360" s="1061"/>
      <c r="E360" s="1061"/>
      <c r="F360" s="1061"/>
      <c r="G360" s="1061"/>
      <c r="H360" s="1061"/>
      <c r="I360" s="1061"/>
      <c r="J360" s="1061"/>
      <c r="K360" s="1061"/>
      <c r="L360" s="1061"/>
      <c r="M360" s="1063"/>
      <c r="N360" s="665"/>
      <c r="O360" s="16"/>
      <c r="P360" s="1037"/>
      <c r="R360" s="1037"/>
      <c r="S360" s="1037"/>
    </row>
    <row r="361" spans="2:27" ht="12.75" customHeight="1" x14ac:dyDescent="0.2">
      <c r="B361" s="207"/>
      <c r="C361" s="1060"/>
      <c r="D361" s="1061"/>
      <c r="E361" s="1757" t="str">
        <f>Translations!$B$769</f>
        <v>Całkowite ciepło wyprowadzone</v>
      </c>
      <c r="F361" s="1757"/>
      <c r="G361" s="1757"/>
      <c r="H361" s="450" t="str">
        <f>EUconst_Unit</f>
        <v>Jednostka</v>
      </c>
      <c r="I361" s="451">
        <f>I$1882</f>
        <v>2014</v>
      </c>
      <c r="J361" s="451">
        <f>J$1882</f>
        <v>2015</v>
      </c>
      <c r="K361" s="451">
        <f>K$1882</f>
        <v>2016</v>
      </c>
      <c r="L361" s="451">
        <f>L$1882</f>
        <v>2017</v>
      </c>
      <c r="M361" s="451">
        <f>M$1882</f>
        <v>2018</v>
      </c>
      <c r="N361" s="1257"/>
      <c r="O361" s="16"/>
      <c r="P361" s="1037"/>
      <c r="R361" s="1052"/>
      <c r="S361" s="814">
        <f>I361</f>
        <v>2014</v>
      </c>
      <c r="T361" s="814">
        <f>J361</f>
        <v>2015</v>
      </c>
      <c r="U361" s="814">
        <f>K361</f>
        <v>2016</v>
      </c>
      <c r="V361" s="814">
        <f>L361</f>
        <v>2017</v>
      </c>
      <c r="W361" s="815">
        <f>M361</f>
        <v>2018</v>
      </c>
    </row>
    <row r="362" spans="2:27" ht="12.75" customHeight="1" x14ac:dyDescent="0.2">
      <c r="B362" s="207"/>
      <c r="C362" s="1060"/>
      <c r="D362" s="699" t="s">
        <v>316</v>
      </c>
      <c r="E362" s="1739" t="str">
        <f>Translations!$B$770</f>
        <v>Ciepło wyprowadzone netto</v>
      </c>
      <c r="F362" s="1740"/>
      <c r="G362" s="1740"/>
      <c r="H362" s="453" t="str">
        <f>EUconst_TJpa</f>
        <v>TJ / rok</v>
      </c>
      <c r="I362" s="471"/>
      <c r="J362" s="471"/>
      <c r="K362" s="471"/>
      <c r="L362" s="471"/>
      <c r="M362" s="471"/>
      <c r="N362" s="702"/>
      <c r="O362" s="16"/>
      <c r="P362" s="1062" t="str">
        <f>EUconst_CNTR_HeatExport &amp; I253</f>
        <v>HeatEx_</v>
      </c>
      <c r="R362" s="1064" t="str">
        <f>EUconst_ERR_AttrEmBMapplied &amp; I253</f>
        <v>ERR_AttrEmBM_ </v>
      </c>
      <c r="S362" s="116">
        <f>IF(AND(I362&lt;&gt;0,I363="",EUconst_StatusOfDataCollection=FALSE),1,0)</f>
        <v>0</v>
      </c>
      <c r="T362" s="116">
        <f>IF(AND(J362&lt;&gt;0,J363="",EUconst_StatusOfDataCollection=FALSE),1,0)</f>
        <v>0</v>
      </c>
      <c r="U362" s="116">
        <f>IF(AND(K362&lt;&gt;0,K363="",EUconst_StatusOfDataCollection=FALSE),1,0)</f>
        <v>0</v>
      </c>
      <c r="V362" s="116">
        <f>IF(AND(L362&lt;&gt;0,L363="",EUconst_StatusOfDataCollection=FALSE),1,0)</f>
        <v>0</v>
      </c>
      <c r="W362" s="117">
        <f>IF(AND(M362&lt;&gt;0,M363="",EUconst_StatusOfDataCollection=FALSE),1,0)</f>
        <v>0</v>
      </c>
    </row>
    <row r="363" spans="2:27" ht="25.5" customHeight="1" thickBot="1" x14ac:dyDescent="0.25">
      <c r="B363" s="207"/>
      <c r="C363" s="1060"/>
      <c r="D363" s="699" t="s">
        <v>317</v>
      </c>
      <c r="E363" s="1739" t="str">
        <f>Translations!$B$771</f>
        <v>Właściwy współczynnik emisji (ciepło wyprowadzone)</v>
      </c>
      <c r="F363" s="1740"/>
      <c r="G363" s="1740"/>
      <c r="H363" s="453" t="str">
        <f>EUconst_tCO2pTJ</f>
        <v>t CO2 / TJ</v>
      </c>
      <c r="I363" s="764"/>
      <c r="J363" s="764"/>
      <c r="K363" s="764"/>
      <c r="L363" s="764"/>
      <c r="M363" s="764"/>
      <c r="N363" s="665"/>
      <c r="O363" s="16"/>
      <c r="P363" s="1062" t="str">
        <f>EUconst_CNTR_HeatExportEF &amp; I253</f>
        <v>HeatExEF_</v>
      </c>
      <c r="R363" s="1053" t="str">
        <f>EUconst_CNTR_AttributedEmissions &amp; I253</f>
        <v>AttrEmissions_</v>
      </c>
      <c r="S363" s="119" t="str">
        <f>IF(S253,-SUM(I362)*IF(INDEX(EUconst_BMlistNumberOfBM,MATCH($I253,EUconst_BMlistNames,0))=39,0,IF(ISNUMBER(I363),I363,EUconst_HeatBMvalue)),"")</f>
        <v/>
      </c>
      <c r="T363" s="119" t="str">
        <f>IF(T253,-SUM(J362)*IF(INDEX(EUconst_BMlistNumberOfBM,MATCH($I253,EUconst_BMlistNames,0))=39,0,IF(ISNUMBER(J363),J363,EUconst_HeatBMvalue)),"")</f>
        <v/>
      </c>
      <c r="U363" s="119" t="str">
        <f>IF(U253,-SUM(K362)*IF(INDEX(EUconst_BMlistNumberOfBM,MATCH($I253,EUconst_BMlistNames,0))=39,0,IF(ISNUMBER(K363),K363,EUconst_HeatBMvalue)),"")</f>
        <v/>
      </c>
      <c r="V363" s="119" t="str">
        <f>IF(V253,-SUM(L362)*IF(INDEX(EUconst_BMlistNumberOfBM,MATCH($I253,EUconst_BMlistNames,0))=39,0,IF(ISNUMBER(L363),L363,EUconst_HeatBMvalue)),"")</f>
        <v/>
      </c>
      <c r="W363" s="120" t="str">
        <f>IF(W253,-SUM(M362)*IF(INDEX(EUconst_BMlistNumberOfBM,MATCH($I253,EUconst_BMlistNames,0))=39,0,IF(ISNUMBER(M363),M363,EUconst_HeatBMvalue)),"")</f>
        <v/>
      </c>
    </row>
    <row r="364" spans="2:27" ht="12.75" customHeight="1" x14ac:dyDescent="0.2">
      <c r="B364" s="207"/>
      <c r="C364" s="1060"/>
      <c r="D364" s="1061"/>
      <c r="E364" s="1061"/>
      <c r="F364" s="1061"/>
      <c r="G364" s="1061"/>
      <c r="H364" s="1061"/>
      <c r="I364" s="1061"/>
      <c r="J364" s="1061"/>
      <c r="K364" s="1061"/>
      <c r="L364" s="1061"/>
      <c r="M364" s="1063"/>
      <c r="N364" s="665"/>
      <c r="O364" s="16"/>
      <c r="P364" s="1037"/>
      <c r="R364" s="1037"/>
      <c r="S364" s="1037"/>
    </row>
    <row r="365" spans="2:27" ht="12.75" customHeight="1" x14ac:dyDescent="0.2">
      <c r="B365" s="207"/>
      <c r="C365" s="1060"/>
      <c r="D365" s="462" t="s">
        <v>220</v>
      </c>
      <c r="E365" s="1731" t="str">
        <f>Translations!$B$772</f>
        <v>Bilans gazów odlotowych dla tej podinstalacji</v>
      </c>
      <c r="F365" s="1734"/>
      <c r="G365" s="1734"/>
      <c r="H365" s="1734"/>
      <c r="I365" s="1734"/>
      <c r="J365" s="1734"/>
      <c r="K365" s="1734"/>
      <c r="L365" s="1734"/>
      <c r="M365" s="1734"/>
      <c r="N365" s="1735"/>
      <c r="O365" s="16"/>
      <c r="P365" s="1037"/>
      <c r="R365" s="1037"/>
      <c r="S365" s="1037"/>
    </row>
    <row r="366" spans="2:27" ht="5.0999999999999996" customHeight="1" thickBot="1" x14ac:dyDescent="0.25">
      <c r="B366" s="207"/>
      <c r="C366" s="1060"/>
      <c r="D366" s="1061"/>
      <c r="E366" s="1733"/>
      <c r="F366" s="1733"/>
      <c r="G366" s="1733"/>
      <c r="H366" s="1733"/>
      <c r="I366" s="1733"/>
      <c r="J366" s="1733"/>
      <c r="K366" s="1733"/>
      <c r="L366" s="1733"/>
      <c r="M366" s="1733"/>
      <c r="N366" s="1768"/>
      <c r="O366" s="16"/>
      <c r="P366" s="1037"/>
      <c r="R366" s="1037"/>
      <c r="S366" s="1037"/>
    </row>
    <row r="367" spans="2:27" ht="12.75" customHeight="1" thickBot="1" x14ac:dyDescent="0.25">
      <c r="B367" s="207"/>
      <c r="C367" s="1060"/>
      <c r="D367" s="699" t="s">
        <v>2</v>
      </c>
      <c r="E367" s="1741" t="str">
        <f>Translations!$B$773</f>
        <v>Czy gazy odlotowe dotyczą tej podinstalacji?</v>
      </c>
      <c r="F367" s="1741"/>
      <c r="G367" s="1741"/>
      <c r="H367" s="1741"/>
      <c r="I367" s="1741"/>
      <c r="J367" s="1741"/>
      <c r="K367" s="1742"/>
      <c r="L367" s="517"/>
      <c r="M367" s="1253"/>
      <c r="N367" s="1254"/>
      <c r="O367" s="16"/>
      <c r="P367" s="1037"/>
      <c r="R367" s="1037"/>
      <c r="W367" s="1048" t="s">
        <v>414</v>
      </c>
      <c r="X367" s="1046" t="b">
        <f>IF(AND(I253&lt;&gt;"",ISBLANK(L367)),EUconst_Error&amp;"BM"&amp;C253,FALSE)</f>
        <v>0</v>
      </c>
    </row>
    <row r="368" spans="2:27" ht="5.0999999999999996" customHeight="1" thickBot="1" x14ac:dyDescent="0.25">
      <c r="B368" s="207"/>
      <c r="C368" s="1060"/>
      <c r="D368" s="1061"/>
      <c r="E368" s="1733"/>
      <c r="F368" s="1734"/>
      <c r="G368" s="1734"/>
      <c r="H368" s="1734"/>
      <c r="I368" s="1734"/>
      <c r="J368" s="1734"/>
      <c r="K368" s="1734"/>
      <c r="L368" s="1734"/>
      <c r="M368" s="1734"/>
      <c r="N368" s="1735"/>
      <c r="O368" s="16"/>
      <c r="P368" s="1037"/>
      <c r="R368" s="1037"/>
      <c r="AA368" s="422" t="s">
        <v>272</v>
      </c>
    </row>
    <row r="369" spans="2:27" ht="12.75" customHeight="1" x14ac:dyDescent="0.2">
      <c r="B369" s="207"/>
      <c r="C369" s="1060"/>
      <c r="D369" s="699" t="s">
        <v>3</v>
      </c>
      <c r="E369" s="1760" t="str">
        <f>Translations!$B$775</f>
        <v>Rodzaje wytworzonych gazów odlotowych:</v>
      </c>
      <c r="F369" s="1760"/>
      <c r="G369" s="1760"/>
      <c r="H369" s="1760"/>
      <c r="I369" s="1763"/>
      <c r="J369" s="1764"/>
      <c r="K369" s="1764"/>
      <c r="L369" s="1764"/>
      <c r="M369" s="1765"/>
      <c r="N369" s="1254"/>
      <c r="O369" s="16"/>
      <c r="P369" s="1037"/>
      <c r="R369" s="1037"/>
      <c r="AA369" s="646" t="b">
        <f>IF(I253&lt;&gt;"",AND(L367&lt;&gt;"",L367=FALSE),FALSE)</f>
        <v>0</v>
      </c>
    </row>
    <row r="370" spans="2:27" ht="5.0999999999999996" customHeight="1" x14ac:dyDescent="0.2">
      <c r="B370" s="207"/>
      <c r="C370" s="1060"/>
      <c r="D370" s="1061"/>
      <c r="E370" s="1733"/>
      <c r="F370" s="1734"/>
      <c r="G370" s="1734"/>
      <c r="H370" s="1734"/>
      <c r="I370" s="1734"/>
      <c r="J370" s="1734"/>
      <c r="K370" s="1734"/>
      <c r="L370" s="1734"/>
      <c r="M370" s="1734"/>
      <c r="N370" s="1735"/>
      <c r="O370" s="16"/>
      <c r="P370" s="1037"/>
      <c r="R370" s="1037"/>
      <c r="S370" s="1037"/>
      <c r="AA370" s="608"/>
    </row>
    <row r="371" spans="2:27" ht="12.75" customHeight="1" x14ac:dyDescent="0.2">
      <c r="B371" s="207"/>
      <c r="C371" s="1060"/>
      <c r="D371" s="1061"/>
      <c r="E371" s="1757"/>
      <c r="F371" s="1758"/>
      <c r="G371" s="1758"/>
      <c r="H371" s="450" t="str">
        <f>EUconst_Unit</f>
        <v>Jednostka</v>
      </c>
      <c r="I371" s="451">
        <f>I$1882</f>
        <v>2014</v>
      </c>
      <c r="J371" s="451">
        <f>J$1882</f>
        <v>2015</v>
      </c>
      <c r="K371" s="451">
        <f>K$1882</f>
        <v>2016</v>
      </c>
      <c r="L371" s="451">
        <f>L$1882</f>
        <v>2017</v>
      </c>
      <c r="M371" s="451">
        <f>M$1882</f>
        <v>2018</v>
      </c>
      <c r="N371" s="1257"/>
      <c r="O371" s="16"/>
      <c r="P371" s="1037"/>
      <c r="R371" s="1037"/>
      <c r="S371" s="1037"/>
      <c r="AA371" s="608"/>
    </row>
    <row r="372" spans="2:27" ht="12.75" customHeight="1" x14ac:dyDescent="0.2">
      <c r="B372" s="207"/>
      <c r="C372" s="1060"/>
      <c r="D372" s="699" t="s">
        <v>4</v>
      </c>
      <c r="E372" s="1766" t="str">
        <f>Translations!$B$777</f>
        <v>Ilości wytworzone</v>
      </c>
      <c r="F372" s="1767"/>
      <c r="G372" s="1767"/>
      <c r="H372" s="231"/>
      <c r="I372" s="472"/>
      <c r="J372" s="472"/>
      <c r="K372" s="472"/>
      <c r="L372" s="472"/>
      <c r="M372" s="472"/>
      <c r="N372" s="1257"/>
      <c r="O372" s="16"/>
      <c r="P372" s="1037"/>
      <c r="R372" s="1037"/>
      <c r="S372" s="1037"/>
      <c r="AA372" s="345" t="b">
        <f>AA369</f>
        <v>0</v>
      </c>
    </row>
    <row r="373" spans="2:27" ht="12.75" customHeight="1" x14ac:dyDescent="0.2">
      <c r="B373" s="207"/>
      <c r="C373" s="1060"/>
      <c r="D373" s="699" t="s">
        <v>6</v>
      </c>
      <c r="E373" s="1743" t="str">
        <f>Translations!$B$470</f>
        <v>Wartość opałowa</v>
      </c>
      <c r="F373" s="1744"/>
      <c r="G373" s="1744"/>
      <c r="H373" s="56" t="str">
        <f>IF(ISBLANK(H372),EUconst_GJperUnit,INDEX(EUconst_GJperTorKNm3,MATCH(H372,EUconst_TonnesOrkNm3pa,0)))</f>
        <v>GJ / Jednostka</v>
      </c>
      <c r="I373" s="446"/>
      <c r="J373" s="446"/>
      <c r="K373" s="446"/>
      <c r="L373" s="446"/>
      <c r="M373" s="446"/>
      <c r="N373" s="1257"/>
      <c r="O373" s="16"/>
      <c r="R373" s="1037"/>
      <c r="S373" s="1037"/>
      <c r="T373" s="1037"/>
      <c r="U373" s="1037"/>
      <c r="V373" s="1037"/>
      <c r="W373" s="1037"/>
      <c r="AA373" s="345" t="b">
        <f>AA372</f>
        <v>0</v>
      </c>
    </row>
    <row r="374" spans="2:27" ht="12.75" customHeight="1" x14ac:dyDescent="0.2">
      <c r="B374" s="207"/>
      <c r="C374" s="1060"/>
      <c r="D374" s="699" t="s">
        <v>316</v>
      </c>
      <c r="E374" s="1739" t="str">
        <f>Translations!$B$778</f>
        <v>Gazy odlotowe wytworzone</v>
      </c>
      <c r="F374" s="1740"/>
      <c r="G374" s="1740"/>
      <c r="H374" s="453" t="str">
        <f>EUconst_TJpa</f>
        <v>TJ / rok</v>
      </c>
      <c r="I374" s="513" t="str">
        <f>IF(COUNT(I372:I373)=2,I372*I373/1000,"")</f>
        <v/>
      </c>
      <c r="J374" s="513" t="str">
        <f>IF(COUNT(J372:J373)=2,J372*J373/1000,"")</f>
        <v/>
      </c>
      <c r="K374" s="513" t="str">
        <f>IF(COUNT(K372:K373)=2,K372*K373/1000,"")</f>
        <v/>
      </c>
      <c r="L374" s="513" t="str">
        <f>IF(COUNT(L372:L373)=2,L372*L373/1000,"")</f>
        <v/>
      </c>
      <c r="M374" s="513" t="str">
        <f>IF(COUNT(M372:M373)=2,M372*M373/1000,"")</f>
        <v/>
      </c>
      <c r="N374" s="1257"/>
      <c r="O374" s="16"/>
      <c r="P374" s="1062" t="str">
        <f>EUconst_CNTR_WGProduced &amp; I253</f>
        <v>WasteGasProd_</v>
      </c>
      <c r="R374" s="1037"/>
      <c r="S374" s="1037"/>
      <c r="T374" s="1037"/>
      <c r="U374" s="1037"/>
      <c r="V374" s="1037"/>
      <c r="W374" s="1037"/>
      <c r="AA374" s="608"/>
    </row>
    <row r="375" spans="2:27" ht="25.5" customHeight="1" x14ac:dyDescent="0.2">
      <c r="B375" s="207"/>
      <c r="C375" s="1060"/>
      <c r="D375" s="699" t="s">
        <v>317</v>
      </c>
      <c r="E375" s="1739" t="str">
        <f>Translations!$B$779</f>
        <v>Właściwy współczynnik emisji (gazy odlotowe wytworzone)</v>
      </c>
      <c r="F375" s="1740"/>
      <c r="G375" s="1740"/>
      <c r="H375" s="453" t="str">
        <f>EUconst_tCO2pTJ</f>
        <v>t CO2 / TJ</v>
      </c>
      <c r="I375" s="471"/>
      <c r="J375" s="471"/>
      <c r="K375" s="471"/>
      <c r="L375" s="471"/>
      <c r="M375" s="471"/>
      <c r="N375" s="665"/>
      <c r="O375" s="16"/>
      <c r="P375" s="1062" t="str">
        <f>EUconst_CNTR_WGProducedEF &amp; I253</f>
        <v>WasteGasProdEF_</v>
      </c>
      <c r="R375" s="1037"/>
      <c r="S375" s="1037"/>
      <c r="T375" s="1037"/>
      <c r="U375" s="1037"/>
      <c r="V375" s="1037"/>
      <c r="W375" s="1037"/>
      <c r="AA375" s="345" t="b">
        <f>AA373</f>
        <v>0</v>
      </c>
    </row>
    <row r="376" spans="2:27" ht="12.75" customHeight="1" x14ac:dyDescent="0.2">
      <c r="B376" s="207"/>
      <c r="C376" s="1060"/>
      <c r="D376" s="1061"/>
      <c r="E376" s="1061"/>
      <c r="F376" s="1061"/>
      <c r="G376" s="1061"/>
      <c r="H376" s="1061"/>
      <c r="I376" s="1061"/>
      <c r="J376" s="1061"/>
      <c r="K376" s="1061"/>
      <c r="L376" s="1061"/>
      <c r="M376" s="1063"/>
      <c r="N376" s="665"/>
      <c r="O376" s="16"/>
      <c r="P376" s="1037"/>
      <c r="R376" s="1037"/>
      <c r="S376" s="1037"/>
      <c r="T376" s="1037"/>
      <c r="U376" s="1037"/>
      <c r="V376" s="1037"/>
      <c r="W376" s="1037"/>
      <c r="AA376" s="608"/>
    </row>
    <row r="377" spans="2:27" ht="12.75" customHeight="1" x14ac:dyDescent="0.2">
      <c r="B377" s="207"/>
      <c r="C377" s="1060"/>
      <c r="D377" s="699" t="s">
        <v>318</v>
      </c>
      <c r="E377" s="1760" t="str">
        <f>Translations!$B$780</f>
        <v>Rodzaje zużytych gazów odlotowych:</v>
      </c>
      <c r="F377" s="1760"/>
      <c r="G377" s="1760"/>
      <c r="H377" s="1760"/>
      <c r="I377" s="1763"/>
      <c r="J377" s="1764"/>
      <c r="K377" s="1764"/>
      <c r="L377" s="1764"/>
      <c r="M377" s="1765"/>
      <c r="N377" s="1254"/>
      <c r="O377" s="16"/>
      <c r="P377" s="1037"/>
      <c r="R377" s="1037"/>
      <c r="S377" s="1037"/>
      <c r="T377" s="1037"/>
      <c r="U377" s="1037"/>
      <c r="V377" s="1037"/>
      <c r="W377" s="1037"/>
      <c r="AA377" s="345" t="b">
        <f>AA375</f>
        <v>0</v>
      </c>
    </row>
    <row r="378" spans="2:27" ht="5.0999999999999996" customHeight="1" x14ac:dyDescent="0.2">
      <c r="B378" s="207"/>
      <c r="C378" s="1060"/>
      <c r="D378" s="699"/>
      <c r="E378" s="1733"/>
      <c r="F378" s="1734"/>
      <c r="G378" s="1734"/>
      <c r="H378" s="1734"/>
      <c r="I378" s="1734"/>
      <c r="J378" s="1734"/>
      <c r="K378" s="1734"/>
      <c r="L378" s="1734"/>
      <c r="M378" s="1734"/>
      <c r="N378" s="1735"/>
      <c r="O378" s="16"/>
      <c r="P378" s="1037"/>
      <c r="R378" s="1037"/>
      <c r="S378" s="1037"/>
      <c r="T378" s="1037"/>
      <c r="U378" s="1037"/>
      <c r="V378" s="1037"/>
      <c r="W378" s="1037"/>
      <c r="AA378" s="608"/>
    </row>
    <row r="379" spans="2:27" ht="12.75" customHeight="1" x14ac:dyDescent="0.2">
      <c r="B379" s="207"/>
      <c r="C379" s="1060"/>
      <c r="D379" s="1061"/>
      <c r="E379" s="1757"/>
      <c r="F379" s="1758"/>
      <c r="G379" s="1758"/>
      <c r="H379" s="450" t="str">
        <f>EUconst_Unit</f>
        <v>Jednostka</v>
      </c>
      <c r="I379" s="451">
        <f>I$1882</f>
        <v>2014</v>
      </c>
      <c r="J379" s="451">
        <f>J$1882</f>
        <v>2015</v>
      </c>
      <c r="K379" s="451">
        <f>K$1882</f>
        <v>2016</v>
      </c>
      <c r="L379" s="451">
        <f>L$1882</f>
        <v>2017</v>
      </c>
      <c r="M379" s="451">
        <f>M$1882</f>
        <v>2018</v>
      </c>
      <c r="N379" s="1257"/>
      <c r="O379" s="16"/>
      <c r="P379" s="1037"/>
      <c r="R379" s="1037"/>
      <c r="S379" s="1037"/>
      <c r="T379" s="1037"/>
      <c r="U379" s="1037"/>
      <c r="V379" s="1037"/>
      <c r="W379" s="1037"/>
      <c r="AA379" s="608"/>
    </row>
    <row r="380" spans="2:27" ht="12.75" customHeight="1" x14ac:dyDescent="0.2">
      <c r="B380" s="207"/>
      <c r="C380" s="1060"/>
      <c r="D380" s="699" t="s">
        <v>319</v>
      </c>
      <c r="E380" s="1766" t="str">
        <f>Translations!$B$782</f>
        <v>Ilości zużyte</v>
      </c>
      <c r="F380" s="1767"/>
      <c r="G380" s="1767"/>
      <c r="H380" s="231" t="s">
        <v>258</v>
      </c>
      <c r="I380" s="472"/>
      <c r="J380" s="472"/>
      <c r="K380" s="472"/>
      <c r="L380" s="472"/>
      <c r="M380" s="472"/>
      <c r="N380" s="1257"/>
      <c r="O380" s="16"/>
      <c r="P380" s="1037"/>
      <c r="R380" s="1037"/>
      <c r="S380" s="1037"/>
      <c r="T380" s="1037"/>
      <c r="U380" s="1037"/>
      <c r="V380" s="1037"/>
      <c r="W380" s="1037"/>
      <c r="AA380" s="345" t="b">
        <f>AA377</f>
        <v>0</v>
      </c>
    </row>
    <row r="381" spans="2:27" ht="12.75" customHeight="1" x14ac:dyDescent="0.2">
      <c r="B381" s="207"/>
      <c r="C381" s="1060"/>
      <c r="D381" s="699" t="s">
        <v>320</v>
      </c>
      <c r="E381" s="1743" t="str">
        <f>Translations!$B$470</f>
        <v>Wartość opałowa</v>
      </c>
      <c r="F381" s="1744"/>
      <c r="G381" s="1744"/>
      <c r="H381" s="56" t="e">
        <f>IF(ISBLANK(H380),EUconst_GJperUnit,INDEX(EUconst_GJperTorKNm3,MATCH(H380,EUconst_TonnesOrkNm3pa,0)))</f>
        <v>#N/A</v>
      </c>
      <c r="I381" s="446"/>
      <c r="J381" s="446"/>
      <c r="K381" s="446"/>
      <c r="L381" s="446"/>
      <c r="M381" s="446"/>
      <c r="N381" s="1257"/>
      <c r="O381" s="16"/>
      <c r="R381" s="1037"/>
      <c r="S381" s="1037"/>
      <c r="T381" s="1037"/>
      <c r="U381" s="1037"/>
      <c r="V381" s="1037"/>
      <c r="W381" s="1037"/>
      <c r="AA381" s="345" t="b">
        <f>AA380</f>
        <v>0</v>
      </c>
    </row>
    <row r="382" spans="2:27" ht="12.75" customHeight="1" x14ac:dyDescent="0.2">
      <c r="B382" s="207"/>
      <c r="C382" s="1060"/>
      <c r="D382" s="699" t="s">
        <v>16</v>
      </c>
      <c r="E382" s="1739" t="str">
        <f>Translations!$B$783</f>
        <v>Gazy odlotowe zużyte</v>
      </c>
      <c r="F382" s="1740"/>
      <c r="G382" s="1740"/>
      <c r="H382" s="453" t="str">
        <f>EUconst_TJpa</f>
        <v>TJ / rok</v>
      </c>
      <c r="I382" s="513" t="str">
        <f>IF(COUNT(I380:I381)=2,I380*I381/1000,"")</f>
        <v/>
      </c>
      <c r="J382" s="513" t="str">
        <f>IF(COUNT(J380:J381)=2,J380*J381/1000,"")</f>
        <v/>
      </c>
      <c r="K382" s="513" t="str">
        <f>IF(COUNT(K380:K381)=2,K380*K381/1000,"")</f>
        <v/>
      </c>
      <c r="L382" s="513" t="str">
        <f>IF(COUNT(L380:L381)=2,L380*L381/1000,"")</f>
        <v/>
      </c>
      <c r="M382" s="513" t="str">
        <f>IF(COUNT(M380:M381)=2,M380*M381/1000,"")</f>
        <v/>
      </c>
      <c r="N382" s="1257"/>
      <c r="O382" s="16"/>
      <c r="P382" s="1062" t="str">
        <f>EUconst_CNTR_WGConsumed &amp; I253</f>
        <v>WasteGasCons_</v>
      </c>
      <c r="R382" s="1037"/>
      <c r="S382" s="1037"/>
      <c r="T382" s="1037"/>
      <c r="U382" s="1037"/>
      <c r="V382" s="1037"/>
      <c r="W382" s="1037"/>
      <c r="AA382" s="608"/>
    </row>
    <row r="383" spans="2:27" ht="12.75" customHeight="1" x14ac:dyDescent="0.2">
      <c r="B383" s="207"/>
      <c r="C383" s="1060"/>
      <c r="D383" s="699" t="s">
        <v>17</v>
      </c>
      <c r="E383" s="1739" t="str">
        <f>Translations!$B$784</f>
        <v>Właściwy współczynnik emisji (gazy odlotowe zużyte)</v>
      </c>
      <c r="F383" s="1740"/>
      <c r="G383" s="1740"/>
      <c r="H383" s="453" t="str">
        <f>EUconst_tCO2pTJ</f>
        <v>t CO2 / TJ</v>
      </c>
      <c r="I383" s="471"/>
      <c r="J383" s="471"/>
      <c r="K383" s="471"/>
      <c r="L383" s="471"/>
      <c r="M383" s="471"/>
      <c r="N383" s="665"/>
      <c r="O383" s="16"/>
      <c r="P383" s="1062" t="str">
        <f>EUconst_CNTR_WGConsumedEF &amp; I253</f>
        <v>WasteGasConsEF_</v>
      </c>
      <c r="R383" s="1037"/>
      <c r="S383" s="1037"/>
      <c r="T383" s="1037"/>
      <c r="U383" s="1037"/>
      <c r="V383" s="1037"/>
      <c r="W383" s="1037"/>
      <c r="AA383" s="345" t="b">
        <f>AA381</f>
        <v>0</v>
      </c>
    </row>
    <row r="384" spans="2:27" ht="12.75" customHeight="1" x14ac:dyDescent="0.2">
      <c r="B384" s="207"/>
      <c r="C384" s="1060"/>
      <c r="D384" s="1061"/>
      <c r="E384" s="1061"/>
      <c r="F384" s="1061"/>
      <c r="G384" s="1061"/>
      <c r="H384" s="1061"/>
      <c r="I384" s="1061"/>
      <c r="J384" s="1061"/>
      <c r="K384" s="1061"/>
      <c r="L384" s="1061"/>
      <c r="M384" s="1063"/>
      <c r="N384" s="665"/>
      <c r="O384" s="16"/>
      <c r="P384" s="1037"/>
      <c r="R384" s="1037"/>
      <c r="S384" s="1037"/>
      <c r="AA384" s="608"/>
    </row>
    <row r="385" spans="1:27" ht="12.75" customHeight="1" x14ac:dyDescent="0.2">
      <c r="B385" s="207"/>
      <c r="C385" s="1060"/>
      <c r="D385" s="699" t="s">
        <v>18</v>
      </c>
      <c r="E385" s="1760" t="str">
        <f>Translations!$B$785</f>
        <v>Rodzaje gazów odlotowych spalonych na pochodniach:</v>
      </c>
      <c r="F385" s="1760"/>
      <c r="G385" s="1760"/>
      <c r="H385" s="1760"/>
      <c r="I385" s="1763"/>
      <c r="J385" s="1764"/>
      <c r="K385" s="1764"/>
      <c r="L385" s="1764"/>
      <c r="M385" s="1765"/>
      <c r="N385" s="1254"/>
      <c r="O385" s="16"/>
      <c r="P385" s="1037"/>
      <c r="R385" s="1037"/>
      <c r="AA385" s="345" t="b">
        <f>AA375</f>
        <v>0</v>
      </c>
    </row>
    <row r="386" spans="1:27" ht="5.0999999999999996" customHeight="1" x14ac:dyDescent="0.2">
      <c r="B386" s="207"/>
      <c r="C386" s="1060"/>
      <c r="D386" s="699"/>
      <c r="E386" s="1733"/>
      <c r="F386" s="1734"/>
      <c r="G386" s="1734"/>
      <c r="H386" s="1734"/>
      <c r="I386" s="1734"/>
      <c r="J386" s="1734"/>
      <c r="K386" s="1734"/>
      <c r="L386" s="1734"/>
      <c r="M386" s="1734"/>
      <c r="N386" s="1735"/>
      <c r="O386" s="16"/>
      <c r="P386" s="1037"/>
      <c r="S386" s="1037"/>
      <c r="AA386" s="608"/>
    </row>
    <row r="387" spans="1:27" ht="12.75" customHeight="1" x14ac:dyDescent="0.2">
      <c r="B387" s="207"/>
      <c r="C387" s="1060"/>
      <c r="D387" s="1061"/>
      <c r="E387" s="1757"/>
      <c r="F387" s="1758"/>
      <c r="G387" s="1758"/>
      <c r="H387" s="450" t="str">
        <f>EUconst_Unit</f>
        <v>Jednostka</v>
      </c>
      <c r="I387" s="451">
        <f>I$1882</f>
        <v>2014</v>
      </c>
      <c r="J387" s="451">
        <f>J$1882</f>
        <v>2015</v>
      </c>
      <c r="K387" s="451">
        <f>K$1882</f>
        <v>2016</v>
      </c>
      <c r="L387" s="451">
        <f>L$1882</f>
        <v>2017</v>
      </c>
      <c r="M387" s="451">
        <f>M$1882</f>
        <v>2018</v>
      </c>
      <c r="N387" s="1257"/>
      <c r="O387" s="16"/>
      <c r="P387" s="1037"/>
      <c r="AA387" s="608"/>
    </row>
    <row r="388" spans="1:27" ht="12.75" customHeight="1" thickBot="1" x14ac:dyDescent="0.25">
      <c r="B388" s="207"/>
      <c r="C388" s="1060"/>
      <c r="D388" s="699" t="s">
        <v>454</v>
      </c>
      <c r="E388" s="1766" t="str">
        <f>Translations!$B$789</f>
        <v>Ilości spalone na pochodniach</v>
      </c>
      <c r="F388" s="1767"/>
      <c r="G388" s="1767"/>
      <c r="H388" s="231"/>
      <c r="I388" s="472"/>
      <c r="J388" s="472"/>
      <c r="K388" s="472"/>
      <c r="L388" s="472"/>
      <c r="M388" s="472"/>
      <c r="N388" s="1257"/>
      <c r="O388" s="16"/>
      <c r="P388" s="1037"/>
      <c r="R388" s="1037" t="s">
        <v>546</v>
      </c>
      <c r="AA388" s="345" t="b">
        <f>AA385</f>
        <v>0</v>
      </c>
    </row>
    <row r="389" spans="1:27" ht="12.75" customHeight="1" thickBot="1" x14ac:dyDescent="0.25">
      <c r="B389" s="207"/>
      <c r="C389" s="1060"/>
      <c r="D389" s="699" t="s">
        <v>455</v>
      </c>
      <c r="E389" s="1743" t="str">
        <f>Translations!$B$470</f>
        <v>Wartość opałowa</v>
      </c>
      <c r="F389" s="1744"/>
      <c r="G389" s="1744"/>
      <c r="H389" s="56" t="str">
        <f>IF(ISBLANK(H388),EUconst_GJperUnit,INDEX(EUconst_GJperTorKNm3,MATCH(H388,EUconst_TonnesOrkNm3pa,0)))</f>
        <v>GJ / Jednostka</v>
      </c>
      <c r="I389" s="446"/>
      <c r="J389" s="446"/>
      <c r="K389" s="446"/>
      <c r="L389" s="446"/>
      <c r="M389" s="446"/>
      <c r="N389" s="1257"/>
      <c r="O389" s="16"/>
      <c r="R389" s="712" t="s">
        <v>437</v>
      </c>
      <c r="S389" s="709">
        <f>I387</f>
        <v>2014</v>
      </c>
      <c r="T389" s="710">
        <f>J387</f>
        <v>2015</v>
      </c>
      <c r="U389" s="710">
        <f>K387</f>
        <v>2016</v>
      </c>
      <c r="V389" s="710">
        <f>L387</f>
        <v>2017</v>
      </c>
      <c r="W389" s="711">
        <f>M387</f>
        <v>2018</v>
      </c>
      <c r="AA389" s="345" t="b">
        <f>AA388</f>
        <v>0</v>
      </c>
    </row>
    <row r="390" spans="1:27" ht="12.75" customHeight="1" thickBot="1" x14ac:dyDescent="0.25">
      <c r="B390" s="207"/>
      <c r="C390" s="1060"/>
      <c r="D390" s="699" t="s">
        <v>456</v>
      </c>
      <c r="E390" s="1739" t="str">
        <f>Translations!$B$790</f>
        <v>Gazy odlotowe spalone na pochodniach</v>
      </c>
      <c r="F390" s="1740"/>
      <c r="G390" s="1740"/>
      <c r="H390" s="453" t="str">
        <f>EUconst_TJpa</f>
        <v>TJ / rok</v>
      </c>
      <c r="I390" s="513" t="str">
        <f>IF(COUNT(I388:I389)=2,I388*I389/1000,"")</f>
        <v/>
      </c>
      <c r="J390" s="513" t="str">
        <f>IF(COUNT(J388:J389)=2,J388*J389/1000,"")</f>
        <v/>
      </c>
      <c r="K390" s="513" t="str">
        <f>IF(COUNT(K388:K389)=2,K388*K389/1000,"")</f>
        <v/>
      </c>
      <c r="L390" s="513" t="str">
        <f>IF(COUNT(L388:L389)=2,L388*L389/1000,"")</f>
        <v/>
      </c>
      <c r="M390" s="513" t="str">
        <f>IF(COUNT(M388:M389)=2,M388*M389/1000,"")</f>
        <v/>
      </c>
      <c r="N390" s="1257"/>
      <c r="O390" s="16"/>
      <c r="P390" s="1062" t="str">
        <f>EUconst_CNTR_WGFlared &amp; I253</f>
        <v>WasteGasFlare_</v>
      </c>
      <c r="R390" s="347" t="str">
        <f>IF(COUNT(S390:W390)&gt;0,AVERAGE(S390:W390),"")</f>
        <v/>
      </c>
      <c r="S390" s="442" t="str">
        <f>IF(S253,IF(ISNUMBER(I390),I390,0),"")</f>
        <v/>
      </c>
      <c r="T390" s="443" t="str">
        <f>IF(T253,IF(ISNUMBER(J390),J390,0),"")</f>
        <v/>
      </c>
      <c r="U390" s="443" t="str">
        <f>IF(U253,IF(ISNUMBER(K390),K390,0),"")</f>
        <v/>
      </c>
      <c r="V390" s="443" t="str">
        <f>IF(V253,IF(ISNUMBER(L390),L390,0),"")</f>
        <v/>
      </c>
      <c r="W390" s="444" t="str">
        <f>IF(W253,IF(ISNUMBER(M390),M390,0),"")</f>
        <v/>
      </c>
      <c r="AA390" s="608"/>
    </row>
    <row r="391" spans="1:27" ht="25.5" customHeight="1" thickBot="1" x14ac:dyDescent="0.25">
      <c r="B391" s="207"/>
      <c r="C391" s="1060"/>
      <c r="D391" s="699" t="s">
        <v>457</v>
      </c>
      <c r="E391" s="1739" t="str">
        <f>Translations!$B$791</f>
        <v>Właściwy współczynnik emisji (gazy odlotowe spalone na pochodniach)</v>
      </c>
      <c r="F391" s="1740"/>
      <c r="G391" s="1740"/>
      <c r="H391" s="453" t="str">
        <f>EUconst_tCO2pTJ</f>
        <v>t CO2 / TJ</v>
      </c>
      <c r="I391" s="471"/>
      <c r="J391" s="471"/>
      <c r="K391" s="471"/>
      <c r="L391" s="471"/>
      <c r="M391" s="471"/>
      <c r="N391" s="665"/>
      <c r="O391" s="16"/>
      <c r="P391" s="1062" t="str">
        <f>EUconst_CNTR_WGFlaredEF &amp; I253</f>
        <v>WasteGasFlareEF_</v>
      </c>
      <c r="R391" s="854" t="str">
        <f>IF(COUNT(S391:W391)&gt;0,AVERAGE(S391:W391),"")</f>
        <v/>
      </c>
      <c r="S391" s="442" t="str">
        <f>IF(S253,SUM(I390)*SUM(I391),"")</f>
        <v/>
      </c>
      <c r="T391" s="443" t="str">
        <f>IF(T253,SUM(J390)*SUM(J391),"")</f>
        <v/>
      </c>
      <c r="U391" s="443" t="str">
        <f>IF(U253,SUM(K390)*SUM(K391),"")</f>
        <v/>
      </c>
      <c r="V391" s="443" t="str">
        <f>IF(V253,SUM(L390)*SUM(L391),"")</f>
        <v/>
      </c>
      <c r="W391" s="444" t="str">
        <f>IF(W253,SUM(M390)*SUM(M391),"")</f>
        <v/>
      </c>
      <c r="AA391" s="345" t="b">
        <f>AA389</f>
        <v>0</v>
      </c>
    </row>
    <row r="392" spans="1:27" ht="12.75" customHeight="1" x14ac:dyDescent="0.2">
      <c r="B392" s="207"/>
      <c r="C392" s="1060"/>
      <c r="D392" s="1061"/>
      <c r="E392" s="1061"/>
      <c r="F392" s="1061"/>
      <c r="G392" s="1061"/>
      <c r="H392" s="1061"/>
      <c r="I392" s="1061"/>
      <c r="J392" s="1061"/>
      <c r="K392" s="1061"/>
      <c r="L392" s="1061"/>
      <c r="M392" s="1063"/>
      <c r="N392" s="665"/>
      <c r="O392" s="16"/>
      <c r="P392" s="1037"/>
      <c r="R392" s="1037"/>
      <c r="S392" s="1037"/>
      <c r="AA392" s="608"/>
    </row>
    <row r="393" spans="1:27" ht="12.75" customHeight="1" x14ac:dyDescent="0.2">
      <c r="B393" s="207"/>
      <c r="C393" s="1060"/>
      <c r="D393" s="699" t="s">
        <v>458</v>
      </c>
      <c r="E393" s="1760" t="str">
        <f>Translations!$B$792</f>
        <v>Rodzaje gazów odlotowych wprowadzonych:</v>
      </c>
      <c r="F393" s="1760"/>
      <c r="G393" s="1760"/>
      <c r="H393" s="1760"/>
      <c r="I393" s="1763"/>
      <c r="J393" s="1764"/>
      <c r="K393" s="1764"/>
      <c r="L393" s="1764"/>
      <c r="M393" s="1765"/>
      <c r="N393" s="665"/>
      <c r="O393" s="16"/>
      <c r="P393" s="1037"/>
      <c r="R393" s="1037"/>
      <c r="AA393" s="345" t="b">
        <f>AA373</f>
        <v>0</v>
      </c>
    </row>
    <row r="394" spans="1:27" ht="5.0999999999999996" customHeight="1" x14ac:dyDescent="0.2">
      <c r="B394" s="207"/>
      <c r="C394" s="1060"/>
      <c r="D394" s="699"/>
      <c r="E394" s="1730"/>
      <c r="F394" s="1731"/>
      <c r="G394" s="1731"/>
      <c r="H394" s="1731"/>
      <c r="I394" s="1731"/>
      <c r="J394" s="1731"/>
      <c r="K394" s="1731"/>
      <c r="L394" s="1731"/>
      <c r="M394" s="1731"/>
      <c r="N394" s="1732"/>
      <c r="O394" s="16"/>
      <c r="P394" s="1037"/>
      <c r="R394" s="1037"/>
      <c r="S394" s="1037"/>
      <c r="AA394" s="608"/>
    </row>
    <row r="395" spans="1:27" ht="12.75" customHeight="1" x14ac:dyDescent="0.2">
      <c r="B395" s="207"/>
      <c r="C395" s="1060"/>
      <c r="D395" s="1061"/>
      <c r="E395" s="1757"/>
      <c r="F395" s="1758"/>
      <c r="G395" s="1758"/>
      <c r="H395" s="450" t="str">
        <f>EUconst_Unit</f>
        <v>Jednostka</v>
      </c>
      <c r="I395" s="451">
        <f>I$1882</f>
        <v>2014</v>
      </c>
      <c r="J395" s="451">
        <f>J$1882</f>
        <v>2015</v>
      </c>
      <c r="K395" s="451">
        <f>K$1882</f>
        <v>2016</v>
      </c>
      <c r="L395" s="451">
        <f>L$1882</f>
        <v>2017</v>
      </c>
      <c r="M395" s="451">
        <f>M$1882</f>
        <v>2018</v>
      </c>
      <c r="N395" s="1257"/>
      <c r="O395" s="16"/>
      <c r="P395" s="1037"/>
      <c r="R395" s="1037"/>
      <c r="S395" s="1037"/>
      <c r="AA395" s="608"/>
    </row>
    <row r="396" spans="1:27" ht="12.75" customHeight="1" thickBot="1" x14ac:dyDescent="0.25">
      <c r="B396" s="207"/>
      <c r="C396" s="1060"/>
      <c r="D396" s="699" t="s">
        <v>459</v>
      </c>
      <c r="E396" s="1766" t="str">
        <f>Translations!$B$795</f>
        <v>Ilości wprowadzone</v>
      </c>
      <c r="F396" s="1767"/>
      <c r="G396" s="1767"/>
      <c r="H396" s="231"/>
      <c r="I396" s="472"/>
      <c r="J396" s="472"/>
      <c r="K396" s="472"/>
      <c r="L396" s="472"/>
      <c r="M396" s="472"/>
      <c r="N396" s="1257"/>
      <c r="O396" s="16"/>
      <c r="P396" s="1037"/>
      <c r="R396" s="1037"/>
      <c r="S396" s="1037"/>
      <c r="AA396" s="345" t="b">
        <f>AA393</f>
        <v>0</v>
      </c>
    </row>
    <row r="397" spans="1:27" ht="12.75" customHeight="1" x14ac:dyDescent="0.2">
      <c r="B397" s="207"/>
      <c r="C397" s="1060"/>
      <c r="D397" s="699" t="s">
        <v>460</v>
      </c>
      <c r="E397" s="1743" t="str">
        <f>Translations!$B$470</f>
        <v>Wartość opałowa</v>
      </c>
      <c r="F397" s="1744"/>
      <c r="G397" s="1744"/>
      <c r="H397" s="56" t="str">
        <f>IF(ISBLANK(H396),EUconst_GJperUnit,INDEX(EUconst_GJperTorKNm3,MATCH(H396,EUconst_TonnesOrkNm3pa,0)))</f>
        <v>GJ / Jednostka</v>
      </c>
      <c r="I397" s="446"/>
      <c r="J397" s="446"/>
      <c r="K397" s="446"/>
      <c r="L397" s="446"/>
      <c r="M397" s="446"/>
      <c r="N397" s="1257"/>
      <c r="O397" s="16"/>
      <c r="P397" s="1065"/>
      <c r="R397" s="1052"/>
      <c r="S397" s="814">
        <f>I395</f>
        <v>2014</v>
      </c>
      <c r="T397" s="814">
        <f>J395</f>
        <v>2015</v>
      </c>
      <c r="U397" s="814">
        <f>K395</f>
        <v>2016</v>
      </c>
      <c r="V397" s="814">
        <f>L395</f>
        <v>2017</v>
      </c>
      <c r="W397" s="815">
        <f>M395</f>
        <v>2018</v>
      </c>
      <c r="AA397" s="345" t="b">
        <f>AA396</f>
        <v>0</v>
      </c>
    </row>
    <row r="398" spans="1:27" ht="12.75" customHeight="1" x14ac:dyDescent="0.2">
      <c r="B398" s="207"/>
      <c r="C398" s="1060"/>
      <c r="D398" s="699" t="s">
        <v>461</v>
      </c>
      <c r="E398" s="1739" t="str">
        <f>Translations!$B$796</f>
        <v>Gazy odlotowe wprowadzone</v>
      </c>
      <c r="F398" s="1740"/>
      <c r="G398" s="1740"/>
      <c r="H398" s="453" t="str">
        <f>EUconst_TJpa</f>
        <v>TJ / rok</v>
      </c>
      <c r="I398" s="433" t="str">
        <f>IF(COUNT(I396:I397)=2,I396*I397/1000,"")</f>
        <v/>
      </c>
      <c r="J398" s="433" t="str">
        <f>IF(COUNT(J396:J397)=2,J396*J397/1000,"")</f>
        <v/>
      </c>
      <c r="K398" s="433" t="str">
        <f>IF(COUNT(K396:K397)=2,K396*K397/1000,"")</f>
        <v/>
      </c>
      <c r="L398" s="433" t="str">
        <f>IF(COUNT(L396:L397)=2,L396*L397/1000,"")</f>
        <v/>
      </c>
      <c r="M398" s="433" t="str">
        <f>IF(COUNT(M396:M397)=2,M396*M397/1000,"")</f>
        <v/>
      </c>
      <c r="N398" s="1257"/>
      <c r="O398" s="16"/>
      <c r="P398" s="1062" t="str">
        <f>EUconst_CNTR_WGImport &amp; I253</f>
        <v>WasteGasIm_</v>
      </c>
      <c r="R398" s="1064" t="str">
        <f>EUconst_ERR_AttrEmBMapplied &amp; I253</f>
        <v>ERR_AttrEmBM_ </v>
      </c>
      <c r="S398" s="116">
        <f>IF(AND(I398&lt;&gt;"",EUconst_StatusOfDataCollection=FALSE),1,0)</f>
        <v>0</v>
      </c>
      <c r="T398" s="116">
        <f>IF(AND(J398&lt;&gt;"",EUconst_StatusOfDataCollection=FALSE),1,0)</f>
        <v>0</v>
      </c>
      <c r="U398" s="116">
        <f>IF(AND(K398&lt;&gt;"",EUconst_StatusOfDataCollection=FALSE),1,0)</f>
        <v>0</v>
      </c>
      <c r="V398" s="116">
        <f>IF(AND(L398&lt;&gt;"",EUconst_StatusOfDataCollection=FALSE),1,0)</f>
        <v>0</v>
      </c>
      <c r="W398" s="117">
        <f>IF(AND(M398&lt;&gt;"",EUconst_StatusOfDataCollection=FALSE),1,0)</f>
        <v>0</v>
      </c>
      <c r="AA398" s="608"/>
    </row>
    <row r="399" spans="1:27" s="701" customFormat="1" ht="25.5" customHeight="1" thickBot="1" x14ac:dyDescent="0.25">
      <c r="A399" s="422"/>
      <c r="B399" s="207"/>
      <c r="C399" s="1060"/>
      <c r="D399" s="699" t="s">
        <v>462</v>
      </c>
      <c r="E399" s="1739" t="str">
        <f>Translations!$B$797</f>
        <v>Właściwy współczynnik emisji (gazy odlotowe wprowadzone)</v>
      </c>
      <c r="F399" s="1739"/>
      <c r="G399" s="1739"/>
      <c r="H399" s="452" t="str">
        <f>EUconst_tCO2pTJ</f>
        <v>t CO2 / TJ</v>
      </c>
      <c r="I399" s="765"/>
      <c r="J399" s="765"/>
      <c r="K399" s="765"/>
      <c r="L399" s="765"/>
      <c r="M399" s="765"/>
      <c r="N399" s="665"/>
      <c r="O399" s="16"/>
      <c r="P399" s="1062" t="str">
        <f>EUconst_CNTR_WGImportEF &amp; I253</f>
        <v>WasteGasImEF_</v>
      </c>
      <c r="Q399" s="422"/>
      <c r="R399" s="1053" t="str">
        <f>EUconst_CNTR_AttributedEmissions &amp; I253</f>
        <v>AttrEmissions_</v>
      </c>
      <c r="S399" s="119" t="str">
        <f>IF(S253,SUM(I398)*EUconst_FuelBMvalue,"")</f>
        <v/>
      </c>
      <c r="T399" s="119" t="str">
        <f>IF(T253,SUM(J398)*EUconst_FuelBMvalue,"")</f>
        <v/>
      </c>
      <c r="U399" s="119" t="str">
        <f>IF(U253,SUM(K398)*EUconst_FuelBMvalue,"")</f>
        <v/>
      </c>
      <c r="V399" s="119" t="str">
        <f>IF(V253,SUM(L398)*EUconst_FuelBMvalue,"")</f>
        <v/>
      </c>
      <c r="W399" s="120" t="str">
        <f>IF(W253,SUM(M398)*EUconst_FuelBMvalue,"")</f>
        <v/>
      </c>
      <c r="X399" s="422"/>
      <c r="Y399" s="422"/>
      <c r="Z399" s="422"/>
      <c r="AA399" s="345" t="b">
        <f>AA397</f>
        <v>0</v>
      </c>
    </row>
    <row r="400" spans="1:27" ht="12.75" customHeight="1" x14ac:dyDescent="0.2">
      <c r="B400" s="207"/>
      <c r="C400" s="1060"/>
      <c r="D400" s="1061"/>
      <c r="E400" s="1061"/>
      <c r="F400" s="1061"/>
      <c r="G400" s="1061"/>
      <c r="H400" s="1061"/>
      <c r="I400" s="1061"/>
      <c r="J400" s="1061"/>
      <c r="K400" s="1061"/>
      <c r="L400" s="1061"/>
      <c r="M400" s="1063"/>
      <c r="N400" s="665"/>
      <c r="O400" s="16"/>
      <c r="P400" s="1037"/>
      <c r="R400" s="1037"/>
      <c r="S400" s="1037"/>
      <c r="AA400" s="608"/>
    </row>
    <row r="401" spans="1:27" ht="12.75" customHeight="1" x14ac:dyDescent="0.2">
      <c r="B401" s="207"/>
      <c r="C401" s="1060"/>
      <c r="D401" s="699" t="s">
        <v>463</v>
      </c>
      <c r="E401" s="1760" t="str">
        <f>Translations!$B$798</f>
        <v>Rodzaje wyprowadzonych gazów odlotowych:</v>
      </c>
      <c r="F401" s="1760"/>
      <c r="G401" s="1760"/>
      <c r="H401" s="1760"/>
      <c r="I401" s="1763"/>
      <c r="J401" s="1764"/>
      <c r="K401" s="1764"/>
      <c r="L401" s="1764"/>
      <c r="M401" s="1765"/>
      <c r="N401" s="1254"/>
      <c r="O401" s="16"/>
      <c r="P401" s="1037"/>
      <c r="R401" s="1037"/>
      <c r="AA401" s="345" t="b">
        <f>AA396</f>
        <v>0</v>
      </c>
    </row>
    <row r="402" spans="1:27" ht="5.0999999999999996" customHeight="1" x14ac:dyDescent="0.2">
      <c r="B402" s="207"/>
      <c r="C402" s="1060"/>
      <c r="D402" s="699"/>
      <c r="E402" s="1733"/>
      <c r="F402" s="1734"/>
      <c r="G402" s="1734"/>
      <c r="H402" s="1734"/>
      <c r="I402" s="1734"/>
      <c r="J402" s="1734"/>
      <c r="K402" s="1734"/>
      <c r="L402" s="1734"/>
      <c r="M402" s="1734"/>
      <c r="N402" s="1735"/>
      <c r="O402" s="16"/>
      <c r="P402" s="1037"/>
      <c r="R402" s="1037"/>
      <c r="S402" s="1037"/>
      <c r="AA402" s="608"/>
    </row>
    <row r="403" spans="1:27" ht="12.75" customHeight="1" x14ac:dyDescent="0.2">
      <c r="B403" s="207"/>
      <c r="C403" s="1060"/>
      <c r="D403" s="1061"/>
      <c r="E403" s="1757"/>
      <c r="F403" s="1758"/>
      <c r="G403" s="1758"/>
      <c r="H403" s="450" t="str">
        <f>EUconst_Unit</f>
        <v>Jednostka</v>
      </c>
      <c r="I403" s="451">
        <f>I$1882</f>
        <v>2014</v>
      </c>
      <c r="J403" s="451">
        <f>J$1882</f>
        <v>2015</v>
      </c>
      <c r="K403" s="451">
        <f>K$1882</f>
        <v>2016</v>
      </c>
      <c r="L403" s="451">
        <f>L$1882</f>
        <v>2017</v>
      </c>
      <c r="M403" s="451">
        <f>M$1882</f>
        <v>2018</v>
      </c>
      <c r="N403" s="1257"/>
      <c r="O403" s="16"/>
      <c r="P403" s="1037"/>
      <c r="R403" s="1037"/>
      <c r="S403" s="1037"/>
      <c r="AA403" s="608"/>
    </row>
    <row r="404" spans="1:27" ht="12.75" customHeight="1" x14ac:dyDescent="0.2">
      <c r="B404" s="207"/>
      <c r="C404" s="1060"/>
      <c r="D404" s="699" t="s">
        <v>464</v>
      </c>
      <c r="E404" s="1766" t="str">
        <f>Translations!$B$800</f>
        <v>Ilości wyprowadzone</v>
      </c>
      <c r="F404" s="1767"/>
      <c r="G404" s="1767"/>
      <c r="H404" s="231"/>
      <c r="I404" s="472"/>
      <c r="J404" s="472"/>
      <c r="K404" s="472"/>
      <c r="L404" s="472"/>
      <c r="M404" s="472"/>
      <c r="N404" s="1257"/>
      <c r="O404" s="16"/>
      <c r="P404" s="1037"/>
      <c r="R404" s="1037"/>
      <c r="S404" s="1037"/>
      <c r="AA404" s="345" t="b">
        <f>AA401</f>
        <v>0</v>
      </c>
    </row>
    <row r="405" spans="1:27" ht="12.75" customHeight="1" thickBot="1" x14ac:dyDescent="0.25">
      <c r="B405" s="207"/>
      <c r="C405" s="1060"/>
      <c r="D405" s="699" t="s">
        <v>643</v>
      </c>
      <c r="E405" s="1743" t="str">
        <f>Translations!$B$470</f>
        <v>Wartość opałowa</v>
      </c>
      <c r="F405" s="1744"/>
      <c r="G405" s="1744"/>
      <c r="H405" s="56" t="str">
        <f>IF(ISBLANK(H404),EUconst_GJperUnit,INDEX(EUconst_GJperTorKNm3,MATCH(H404,EUconst_TonnesOrkNm3pa,0)))</f>
        <v>GJ / Jednostka</v>
      </c>
      <c r="I405" s="446"/>
      <c r="J405" s="446"/>
      <c r="K405" s="446"/>
      <c r="L405" s="446"/>
      <c r="M405" s="446"/>
      <c r="N405" s="1257"/>
      <c r="O405" s="16"/>
      <c r="P405" s="1065"/>
      <c r="R405" s="1037"/>
      <c r="S405" s="1037"/>
      <c r="AA405" s="345" t="b">
        <f>AA404</f>
        <v>0</v>
      </c>
    </row>
    <row r="406" spans="1:27" ht="12.75" customHeight="1" x14ac:dyDescent="0.2">
      <c r="B406" s="207"/>
      <c r="C406" s="1060"/>
      <c r="D406" s="699" t="s">
        <v>644</v>
      </c>
      <c r="E406" s="1739" t="str">
        <f>Translations!$B$801</f>
        <v>Gazy odlotowe wyprowadzone</v>
      </c>
      <c r="F406" s="1740"/>
      <c r="G406" s="1740"/>
      <c r="H406" s="453" t="str">
        <f>EUconst_TJpa</f>
        <v>TJ / rok</v>
      </c>
      <c r="I406" s="433" t="str">
        <f>IF(COUNT(I404:I405)=2,I404*I405/1000,"")</f>
        <v/>
      </c>
      <c r="J406" s="433" t="str">
        <f>IF(COUNT(J404:J405)=2,J404*J405/1000,"")</f>
        <v/>
      </c>
      <c r="K406" s="433" t="str">
        <f>IF(COUNT(K404:K405)=2,K404*K405/1000,"")</f>
        <v/>
      </c>
      <c r="L406" s="433" t="str">
        <f>IF(COUNT(L404:L405)=2,L404*L405/1000,"")</f>
        <v/>
      </c>
      <c r="M406" s="433" t="str">
        <f>IF(COUNT(M404:M405)=2,M404*M405/1000,"")</f>
        <v/>
      </c>
      <c r="N406" s="702"/>
      <c r="O406" s="16"/>
      <c r="P406" s="1062" t="str">
        <f>EUconst_CNTR_WGExport &amp; I253</f>
        <v>WasteGasEx_</v>
      </c>
      <c r="R406" s="1052"/>
      <c r="S406" s="814">
        <f>I403</f>
        <v>2014</v>
      </c>
      <c r="T406" s="814">
        <f>J403</f>
        <v>2015</v>
      </c>
      <c r="U406" s="814">
        <f>K403</f>
        <v>2016</v>
      </c>
      <c r="V406" s="814">
        <f>L403</f>
        <v>2017</v>
      </c>
      <c r="W406" s="815">
        <f>M403</f>
        <v>2018</v>
      </c>
      <c r="AA406" s="608"/>
    </row>
    <row r="407" spans="1:27" s="701" customFormat="1" ht="25.5" customHeight="1" thickBot="1" x14ac:dyDescent="0.25">
      <c r="A407" s="422"/>
      <c r="B407" s="207"/>
      <c r="C407" s="1060"/>
      <c r="D407" s="699" t="s">
        <v>645</v>
      </c>
      <c r="E407" s="1739" t="str">
        <f>Translations!$B$802</f>
        <v>Właściwy współczynnik emisji (gazy odlotowe wyprowadzone)</v>
      </c>
      <c r="F407" s="1739"/>
      <c r="G407" s="1739"/>
      <c r="H407" s="452" t="str">
        <f>EUconst_tCO2pTJ</f>
        <v>t CO2 / TJ</v>
      </c>
      <c r="I407" s="765"/>
      <c r="J407" s="765"/>
      <c r="K407" s="765"/>
      <c r="L407" s="765"/>
      <c r="M407" s="765"/>
      <c r="N407" s="665"/>
      <c r="O407" s="16"/>
      <c r="P407" s="1062" t="str">
        <f>EUconst_CNTR_WGExportEF &amp; I253</f>
        <v>WasteGasExEF_</v>
      </c>
      <c r="Q407" s="422"/>
      <c r="R407" s="1053" t="str">
        <f>EUconst_CNTR_AttributedEmissions &amp; I253</f>
        <v>AttrEmissions_</v>
      </c>
      <c r="S407" s="119" t="str">
        <f>IF(S253,-SUM(I406)*EUconst_NGEFvalue*EUconst_WasteGasCorrFactor,"")</f>
        <v/>
      </c>
      <c r="T407" s="119" t="str">
        <f>IF(T253,-SUM(J406)*EUconst_NGEFvalue*EUconst_WasteGasCorrFactor,"")</f>
        <v/>
      </c>
      <c r="U407" s="119" t="str">
        <f>IF(U253,-SUM(K406)*EUconst_NGEFvalue*EUconst_WasteGasCorrFactor,"")</f>
        <v/>
      </c>
      <c r="V407" s="119" t="str">
        <f>IF(V253,-SUM(L406)*EUconst_NGEFvalue*EUconst_WasteGasCorrFactor,"")</f>
        <v/>
      </c>
      <c r="W407" s="120" t="str">
        <f>IF(W253,-SUM(M406)*EUconst_NGEFvalue*EUconst_WasteGasCorrFactor,"")</f>
        <v/>
      </c>
      <c r="X407" s="422"/>
      <c r="Y407" s="422"/>
      <c r="Z407" s="422"/>
      <c r="AA407" s="168" t="b">
        <f>AA405</f>
        <v>0</v>
      </c>
    </row>
    <row r="408" spans="1:27" ht="12.75" customHeight="1" x14ac:dyDescent="0.2">
      <c r="B408" s="207"/>
      <c r="C408" s="1060"/>
      <c r="D408" s="1061"/>
      <c r="E408" s="1061"/>
      <c r="F408" s="1061"/>
      <c r="G408" s="1061"/>
      <c r="H408" s="1061"/>
      <c r="I408" s="1061"/>
      <c r="J408" s="1061"/>
      <c r="K408" s="1061"/>
      <c r="L408" s="1061"/>
      <c r="M408" s="1063"/>
      <c r="N408" s="665"/>
      <c r="O408" s="16"/>
      <c r="P408" s="1037"/>
      <c r="R408" s="1037"/>
    </row>
    <row r="409" spans="1:27" ht="12.75" customHeight="1" thickBot="1" x14ac:dyDescent="0.25">
      <c r="B409" s="207"/>
      <c r="C409" s="1060"/>
      <c r="D409" s="462" t="s">
        <v>221</v>
      </c>
      <c r="E409" s="1731" t="str">
        <f>Translations!$B$420</f>
        <v>Wytwarzanie energii elektrycznej</v>
      </c>
      <c r="F409" s="1734"/>
      <c r="G409" s="1734"/>
      <c r="H409" s="1734"/>
      <c r="I409" s="1734"/>
      <c r="J409" s="1734"/>
      <c r="K409" s="1734"/>
      <c r="L409" s="1734"/>
      <c r="M409" s="1734"/>
      <c r="N409" s="1735"/>
      <c r="O409" s="16"/>
      <c r="P409" s="1037"/>
      <c r="R409" s="1037"/>
    </row>
    <row r="410" spans="1:27" ht="12.75" customHeight="1" x14ac:dyDescent="0.2">
      <c r="B410" s="207"/>
      <c r="C410" s="1060"/>
      <c r="D410" s="462"/>
      <c r="E410" s="1757"/>
      <c r="F410" s="1758"/>
      <c r="G410" s="1758"/>
      <c r="H410" s="450" t="str">
        <f>EUconst_Unit</f>
        <v>Jednostka</v>
      </c>
      <c r="I410" s="451">
        <f>I$1882</f>
        <v>2014</v>
      </c>
      <c r="J410" s="451">
        <f>J$1882</f>
        <v>2015</v>
      </c>
      <c r="K410" s="451">
        <f>K$1882</f>
        <v>2016</v>
      </c>
      <c r="L410" s="451">
        <f>L$1882</f>
        <v>2017</v>
      </c>
      <c r="M410" s="451">
        <f>M$1882</f>
        <v>2018</v>
      </c>
      <c r="N410" s="665"/>
      <c r="O410" s="16"/>
      <c r="P410" s="1037"/>
      <c r="R410" s="1052"/>
      <c r="S410" s="814">
        <f>I410</f>
        <v>2014</v>
      </c>
      <c r="T410" s="814">
        <f>J410</f>
        <v>2015</v>
      </c>
      <c r="U410" s="814">
        <f>K410</f>
        <v>2016</v>
      </c>
      <c r="V410" s="814">
        <f>L410</f>
        <v>2017</v>
      </c>
      <c r="W410" s="815">
        <f>M410</f>
        <v>2018</v>
      </c>
    </row>
    <row r="411" spans="1:27" ht="12.75" customHeight="1" thickBot="1" x14ac:dyDescent="0.25">
      <c r="B411" s="207"/>
      <c r="C411" s="1060"/>
      <c r="D411" s="699"/>
      <c r="E411" s="1739" t="str">
        <f>Translations!$B$805</f>
        <v>Energia elektryczna wytworzona</v>
      </c>
      <c r="F411" s="1740"/>
      <c r="G411" s="1740"/>
      <c r="H411" s="453" t="str">
        <f>EUconst_MWhpa</f>
        <v>MWh / rok</v>
      </c>
      <c r="I411" s="471"/>
      <c r="J411" s="471"/>
      <c r="K411" s="471"/>
      <c r="L411" s="471"/>
      <c r="M411" s="471"/>
      <c r="N411" s="1257"/>
      <c r="O411" s="16"/>
      <c r="P411" s="1062" t="str">
        <f>EUconst_CNTR_ElectricityExported &amp; I253</f>
        <v>ElecEx_</v>
      </c>
      <c r="R411" s="1053" t="str">
        <f>EUconst_CNTR_AttributedEmissions &amp; I253</f>
        <v>AttrEmissions_</v>
      </c>
      <c r="S411" s="119" t="str">
        <f>IF(S253,-SUM(I411)*EUconst_ElBM,"")</f>
        <v/>
      </c>
      <c r="T411" s="119" t="str">
        <f>IF(T253,-SUM(J411)*EUconst_ElBM,"")</f>
        <v/>
      </c>
      <c r="U411" s="119" t="str">
        <f>IF(U253,-SUM(K411)*EUconst_ElBM,"")</f>
        <v/>
      </c>
      <c r="V411" s="119" t="str">
        <f>IF(V253,-SUM(L411)*EUconst_ElBM,"")</f>
        <v/>
      </c>
      <c r="W411" s="120" t="str">
        <f>IF(W253,-SUM(M411)*EUconst_ElBM,"")</f>
        <v/>
      </c>
    </row>
    <row r="412" spans="1:27" ht="12.75" customHeight="1" x14ac:dyDescent="0.2">
      <c r="B412" s="207"/>
      <c r="C412" s="1060"/>
      <c r="D412" s="1061"/>
      <c r="E412" s="1061"/>
      <c r="F412" s="1061"/>
      <c r="G412" s="1061"/>
      <c r="H412" s="1061"/>
      <c r="I412" s="1061"/>
      <c r="J412" s="1061"/>
      <c r="K412" s="1061"/>
      <c r="L412" s="1061"/>
      <c r="M412" s="1063"/>
      <c r="N412" s="665"/>
      <c r="O412" s="16"/>
      <c r="P412" s="1037"/>
      <c r="R412" s="1037"/>
      <c r="S412" s="1037"/>
    </row>
    <row r="413" spans="1:27" ht="12.75" customHeight="1" thickBot="1" x14ac:dyDescent="0.25">
      <c r="B413" s="207"/>
      <c r="C413" s="1060"/>
      <c r="D413" s="462" t="s">
        <v>79</v>
      </c>
      <c r="E413" s="1760" t="str">
        <f>Translations!$B$806</f>
        <v>Całkowita ilość wyprodukowanej masy celulozowej</v>
      </c>
      <c r="F413" s="1760"/>
      <c r="G413" s="1760"/>
      <c r="H413" s="1760"/>
      <c r="I413" s="1760"/>
      <c r="J413" s="1760"/>
      <c r="K413" s="1760"/>
      <c r="L413" s="1760"/>
      <c r="M413" s="1760"/>
      <c r="N413" s="1761"/>
      <c r="O413" s="16"/>
      <c r="S413" s="1037"/>
    </row>
    <row r="414" spans="1:27" ht="12.75" customHeight="1" thickBot="1" x14ac:dyDescent="0.25">
      <c r="B414" s="207"/>
      <c r="C414" s="1060"/>
      <c r="D414" s="699"/>
      <c r="E414" s="1762" t="str">
        <f>IF(I253="","",IF(INDEX(EUconst_BMlistPulp,MATCH(I253,EUconst_BMlistNames,0)),I253,""))</f>
        <v/>
      </c>
      <c r="F414" s="1762"/>
      <c r="G414" s="1762"/>
      <c r="H414" s="453" t="str">
        <f>EUconst_Tons</f>
        <v>tony</v>
      </c>
      <c r="I414" s="471"/>
      <c r="J414" s="471"/>
      <c r="K414" s="471"/>
      <c r="L414" s="471"/>
      <c r="M414" s="471"/>
      <c r="N414" s="1257"/>
      <c r="O414" s="16"/>
      <c r="P414" s="1062" t="str">
        <f>EUconst_CNTR_HALPulpTotal &amp; I253</f>
        <v>HALPulpTotal_</v>
      </c>
      <c r="R414" s="1037"/>
      <c r="AA414" s="738" t="b">
        <f>IF(I253&lt;&gt;"",IF(INDEX(EUconst_BMlistPulp,MATCH(I253,EUconst_BMlistNames,0))=TRUE,FALSE,TRUE),FALSE)</f>
        <v>0</v>
      </c>
    </row>
    <row r="415" spans="1:27" ht="12.75" customHeight="1" x14ac:dyDescent="0.2">
      <c r="B415" s="207"/>
      <c r="C415" s="1060"/>
      <c r="D415" s="699"/>
      <c r="E415" s="699"/>
      <c r="F415" s="699"/>
      <c r="G415" s="699"/>
      <c r="H415" s="699"/>
      <c r="I415" s="699"/>
      <c r="J415" s="699"/>
      <c r="K415" s="699"/>
      <c r="L415" s="699"/>
      <c r="M415" s="699"/>
      <c r="N415" s="1257"/>
      <c r="O415" s="16"/>
      <c r="P415" s="1065"/>
      <c r="R415" s="1037"/>
      <c r="S415" s="1037"/>
    </row>
    <row r="416" spans="1:27" ht="12.75" customHeight="1" thickBot="1" x14ac:dyDescent="0.25">
      <c r="B416" s="207"/>
      <c r="C416" s="1060"/>
      <c r="D416" s="462" t="s">
        <v>333</v>
      </c>
      <c r="E416" s="1731" t="str">
        <f>Translations!$B$810</f>
        <v>Wprowadzanie lub wyprowadzanie produktów pośrednich objętych wskaźnikami emisyjności dla produktów</v>
      </c>
      <c r="F416" s="1734"/>
      <c r="G416" s="1734"/>
      <c r="H416" s="1734"/>
      <c r="I416" s="1734"/>
      <c r="J416" s="1734"/>
      <c r="K416" s="1734"/>
      <c r="L416" s="1734"/>
      <c r="M416" s="1734"/>
      <c r="N416" s="1735"/>
      <c r="O416" s="16"/>
      <c r="P416" s="1037"/>
      <c r="R416" s="1037"/>
      <c r="S416" s="1037"/>
    </row>
    <row r="417" spans="2:27" ht="25.5" customHeight="1" thickBot="1" x14ac:dyDescent="0.25">
      <c r="B417" s="20"/>
      <c r="C417" s="1060"/>
      <c r="D417" s="699" t="s">
        <v>2</v>
      </c>
      <c r="E417" s="1755" t="str">
        <f>Translations!$B$813</f>
        <v>Czy ma miejsce jakiekolwiek wprowadzanie lub wyprowadzanie produktów pośrednich objętych wskaźnikami emisyjności dla produktów?</v>
      </c>
      <c r="F417" s="1755"/>
      <c r="G417" s="1755"/>
      <c r="H417" s="1755"/>
      <c r="I417" s="1755"/>
      <c r="J417" s="1755"/>
      <c r="K417" s="1756"/>
      <c r="L417" s="517"/>
      <c r="M417" s="449"/>
      <c r="N417" s="702"/>
      <c r="O417" s="16"/>
      <c r="W417" s="1048" t="s">
        <v>414</v>
      </c>
      <c r="X417" s="1046" t="b">
        <f>IF(AND(I253&lt;&gt;"",ISBLANK(L417)),EUconst_Error&amp;"BM"&amp;C253,FALSE)</f>
        <v>0</v>
      </c>
    </row>
    <row r="418" spans="2:27" ht="5.0999999999999996" customHeight="1" x14ac:dyDescent="0.2">
      <c r="B418" s="207"/>
      <c r="C418" s="1060"/>
      <c r="D418" s="699"/>
      <c r="E418" s="699"/>
      <c r="F418" s="699"/>
      <c r="G418" s="699"/>
      <c r="H418" s="699"/>
      <c r="I418" s="699"/>
      <c r="J418" s="699"/>
      <c r="K418" s="699"/>
      <c r="L418" s="699"/>
      <c r="M418" s="699"/>
      <c r="N418" s="1257"/>
      <c r="O418" s="16"/>
      <c r="P418" s="1065"/>
      <c r="R418" s="1037"/>
      <c r="S418" s="1037"/>
    </row>
    <row r="419" spans="2:27" ht="12.75" customHeight="1" thickBot="1" x14ac:dyDescent="0.25">
      <c r="B419" s="207"/>
      <c r="C419" s="1060"/>
      <c r="D419" s="514"/>
      <c r="E419" s="1757" t="str">
        <f>Translations!$B$814</f>
        <v>Ilości wprowadzone:</v>
      </c>
      <c r="F419" s="1758"/>
      <c r="G419" s="1758"/>
      <c r="H419" s="515" t="str">
        <f>EUconst_Unit</f>
        <v>Jednostka</v>
      </c>
      <c r="I419" s="451">
        <f>I$1882</f>
        <v>2014</v>
      </c>
      <c r="J419" s="451">
        <f>J$1882</f>
        <v>2015</v>
      </c>
      <c r="K419" s="451">
        <f>K$1882</f>
        <v>2016</v>
      </c>
      <c r="L419" s="451">
        <f>L$1882</f>
        <v>2017</v>
      </c>
      <c r="M419" s="451">
        <f>M$1882</f>
        <v>2018</v>
      </c>
      <c r="N419" s="1257"/>
      <c r="O419" s="16"/>
      <c r="P419" s="1065"/>
      <c r="R419" s="1037"/>
      <c r="S419" s="1037"/>
      <c r="AA419" s="422" t="s">
        <v>272</v>
      </c>
    </row>
    <row r="420" spans="2:27" ht="12.75" customHeight="1" x14ac:dyDescent="0.2">
      <c r="B420" s="207"/>
      <c r="C420" s="1060"/>
      <c r="D420" s="516" t="s">
        <v>3</v>
      </c>
      <c r="E420" s="1759"/>
      <c r="F420" s="1759"/>
      <c r="G420" s="1759"/>
      <c r="H420" s="64" t="str">
        <f>IF(E420&lt;&gt;"",INDEX(EUconst_BMlistUnits,MATCH(E420,EUconst_BMlistNames,0)),EUconst_Tons)</f>
        <v>tony</v>
      </c>
      <c r="I420" s="318"/>
      <c r="J420" s="318"/>
      <c r="K420" s="318"/>
      <c r="L420" s="318"/>
      <c r="M420" s="318"/>
      <c r="N420" s="1257"/>
      <c r="O420" s="16"/>
      <c r="P420" s="1062" t="str">
        <f>EUconst_CNTR_IntermediateImport &amp; R420 &amp; "_" &amp; I253</f>
        <v>IntImp_1_</v>
      </c>
      <c r="R420" s="1062">
        <v>1</v>
      </c>
      <c r="S420" s="1037"/>
      <c r="AA420" s="646" t="b">
        <f>AND(NOT(ISBLANK(L417)),L417=FALSE)</f>
        <v>0</v>
      </c>
    </row>
    <row r="421" spans="2:27" ht="12.75" customHeight="1" x14ac:dyDescent="0.2">
      <c r="B421" s="207"/>
      <c r="C421" s="1060"/>
      <c r="D421" s="516" t="s">
        <v>4</v>
      </c>
      <c r="E421" s="1747"/>
      <c r="F421" s="1747"/>
      <c r="G421" s="1747"/>
      <c r="H421" s="56" t="str">
        <f>IF(E421&lt;&gt;"",INDEX(EUconst_BMlistUnits,MATCH(E421,EUconst_BMlistNames,0)),EUconst_Tons)</f>
        <v>tony</v>
      </c>
      <c r="I421" s="317"/>
      <c r="J421" s="317"/>
      <c r="K421" s="317"/>
      <c r="L421" s="317"/>
      <c r="M421" s="317"/>
      <c r="N421" s="1257"/>
      <c r="O421" s="16"/>
      <c r="P421" s="1062" t="str">
        <f>EUconst_CNTR_IntermediateImport &amp; R421 &amp; "_" &amp; I253</f>
        <v>IntImp_2_</v>
      </c>
      <c r="R421" s="1062">
        <v>2</v>
      </c>
      <c r="S421" s="1037"/>
      <c r="AA421" s="345" t="b">
        <f>AA420</f>
        <v>0</v>
      </c>
    </row>
    <row r="422" spans="2:27" ht="5.0999999999999996" customHeight="1" x14ac:dyDescent="0.2">
      <c r="B422" s="207"/>
      <c r="C422" s="1060"/>
      <c r="D422" s="699"/>
      <c r="E422" s="699"/>
      <c r="F422" s="699"/>
      <c r="G422" s="699"/>
      <c r="H422" s="699"/>
      <c r="I422" s="699"/>
      <c r="J422" s="699"/>
      <c r="K422" s="699"/>
      <c r="L422" s="699"/>
      <c r="M422" s="699"/>
      <c r="N422" s="1257"/>
      <c r="O422" s="16"/>
      <c r="P422" s="1065"/>
      <c r="R422" s="1037"/>
      <c r="S422" s="1037"/>
      <c r="AA422" s="608"/>
    </row>
    <row r="423" spans="2:27" ht="12.75" customHeight="1" x14ac:dyDescent="0.2">
      <c r="B423" s="207"/>
      <c r="C423" s="1060"/>
      <c r="D423" s="514"/>
      <c r="E423" s="1757" t="str">
        <f>Translations!$B$815</f>
        <v>Ilości wyprowadzone:</v>
      </c>
      <c r="F423" s="1758"/>
      <c r="G423" s="1758"/>
      <c r="H423" s="515" t="str">
        <f>EUconst_Unit</f>
        <v>Jednostka</v>
      </c>
      <c r="I423" s="451">
        <f>I$1882</f>
        <v>2014</v>
      </c>
      <c r="J423" s="451">
        <f>J$1882</f>
        <v>2015</v>
      </c>
      <c r="K423" s="451">
        <f>K$1882</f>
        <v>2016</v>
      </c>
      <c r="L423" s="451">
        <f>L$1882</f>
        <v>2017</v>
      </c>
      <c r="M423" s="451">
        <f>M$1882</f>
        <v>2018</v>
      </c>
      <c r="N423" s="1257"/>
      <c r="O423" s="16"/>
      <c r="P423" s="1065"/>
      <c r="R423" s="1037"/>
      <c r="S423" s="1037"/>
      <c r="AA423" s="608"/>
    </row>
    <row r="424" spans="2:27" ht="12.75" customHeight="1" x14ac:dyDescent="0.2">
      <c r="B424" s="207"/>
      <c r="C424" s="1060"/>
      <c r="D424" s="516" t="s">
        <v>6</v>
      </c>
      <c r="E424" s="1759"/>
      <c r="F424" s="1759"/>
      <c r="G424" s="1759"/>
      <c r="H424" s="64" t="str">
        <f>IF(E424&lt;&gt;"",INDEX(EUconst_BMlistUnits,MATCH(E424,EUconst_BMlistNames,0)),EUconst_Tons)</f>
        <v>tony</v>
      </c>
      <c r="I424" s="318"/>
      <c r="J424" s="318"/>
      <c r="K424" s="318"/>
      <c r="L424" s="318"/>
      <c r="M424" s="318"/>
      <c r="N424" s="1257"/>
      <c r="O424" s="16"/>
      <c r="P424" s="1062" t="str">
        <f>EUconst_CNTR_IntermediateExport &amp; R420 &amp; "_" &amp; I253</f>
        <v>IntExp_1_</v>
      </c>
      <c r="R424" s="1062">
        <v>1</v>
      </c>
      <c r="S424" s="1037"/>
      <c r="U424" s="512"/>
      <c r="V424" s="512"/>
      <c r="AA424" s="345" t="b">
        <f>AA420</f>
        <v>0</v>
      </c>
    </row>
    <row r="425" spans="2:27" ht="12.75" customHeight="1" x14ac:dyDescent="0.2">
      <c r="B425" s="207"/>
      <c r="C425" s="1060"/>
      <c r="D425" s="516" t="s">
        <v>316</v>
      </c>
      <c r="E425" s="1747"/>
      <c r="F425" s="1747"/>
      <c r="G425" s="1747"/>
      <c r="H425" s="56" t="str">
        <f>IF(E425&lt;&gt;"",INDEX(EUconst_BMlistUnits,MATCH(E425,EUconst_BMlistNames,0)),EUconst_Tons)</f>
        <v>tony</v>
      </c>
      <c r="I425" s="317"/>
      <c r="J425" s="317"/>
      <c r="K425" s="317"/>
      <c r="L425" s="317"/>
      <c r="M425" s="317"/>
      <c r="N425" s="1257"/>
      <c r="O425" s="16"/>
      <c r="P425" s="1062" t="str">
        <f>EUconst_CNTR_IntermediateExport &amp; R425 &amp; "_" &amp; I253</f>
        <v>IntExp_2_</v>
      </c>
      <c r="R425" s="1062">
        <v>2</v>
      </c>
      <c r="S425" s="1037"/>
      <c r="U425" s="512"/>
      <c r="V425" s="512"/>
      <c r="AA425" s="345" t="b">
        <f>AA420</f>
        <v>0</v>
      </c>
    </row>
    <row r="426" spans="2:27" ht="5.0999999999999996" customHeight="1" x14ac:dyDescent="0.2">
      <c r="B426" s="207"/>
      <c r="C426" s="1060"/>
      <c r="D426" s="699"/>
      <c r="E426" s="699"/>
      <c r="F426" s="699"/>
      <c r="G426" s="699"/>
      <c r="H426" s="699"/>
      <c r="I426" s="699"/>
      <c r="J426" s="699"/>
      <c r="K426" s="699"/>
      <c r="L426" s="699"/>
      <c r="M426" s="699"/>
      <c r="N426" s="1257"/>
      <c r="O426" s="16"/>
      <c r="P426" s="1065"/>
      <c r="R426" s="1037"/>
      <c r="S426" s="1037"/>
      <c r="U426" s="512"/>
      <c r="V426" s="512"/>
      <c r="AA426" s="608"/>
    </row>
    <row r="427" spans="2:27" ht="12.75" customHeight="1" x14ac:dyDescent="0.2">
      <c r="B427" s="207"/>
      <c r="C427" s="1060"/>
      <c r="D427" s="516" t="s">
        <v>317</v>
      </c>
      <c r="E427" s="1748" t="str">
        <f>Translations!$B$816</f>
        <v>Opis produktów pośrednich wprowadzonych lub wyprowadzonych</v>
      </c>
      <c r="F427" s="1748"/>
      <c r="G427" s="1748"/>
      <c r="H427" s="1748"/>
      <c r="I427" s="1748"/>
      <c r="J427" s="1748"/>
      <c r="K427" s="1748"/>
      <c r="L427" s="1748"/>
      <c r="M427" s="1748"/>
      <c r="N427" s="1257"/>
      <c r="O427" s="16"/>
      <c r="P427" s="1065"/>
      <c r="R427" s="1037"/>
      <c r="S427" s="1037"/>
      <c r="U427" s="512"/>
      <c r="V427" s="512"/>
      <c r="AA427" s="608"/>
    </row>
    <row r="428" spans="2:27" ht="12.75" customHeight="1" x14ac:dyDescent="0.2">
      <c r="B428" s="207"/>
      <c r="C428" s="1060"/>
      <c r="D428" s="699"/>
      <c r="E428" s="1749"/>
      <c r="F428" s="1750"/>
      <c r="G428" s="1750"/>
      <c r="H428" s="1750"/>
      <c r="I428" s="1750"/>
      <c r="J428" s="1750"/>
      <c r="K428" s="1750"/>
      <c r="L428" s="1750"/>
      <c r="M428" s="1751"/>
      <c r="N428" s="1257"/>
      <c r="O428" s="16"/>
      <c r="P428" s="1065"/>
      <c r="R428" s="1037"/>
      <c r="S428" s="1037"/>
      <c r="U428" s="512"/>
      <c r="V428" s="512"/>
      <c r="AA428" s="345" t="b">
        <f>AA420</f>
        <v>0</v>
      </c>
    </row>
    <row r="429" spans="2:27" ht="12.75" customHeight="1" thickBot="1" x14ac:dyDescent="0.25">
      <c r="B429" s="207"/>
      <c r="C429" s="1060"/>
      <c r="D429" s="699"/>
      <c r="E429" s="1752"/>
      <c r="F429" s="1753"/>
      <c r="G429" s="1753"/>
      <c r="H429" s="1753"/>
      <c r="I429" s="1753"/>
      <c r="J429" s="1753"/>
      <c r="K429" s="1753"/>
      <c r="L429" s="1753"/>
      <c r="M429" s="1754"/>
      <c r="N429" s="1257"/>
      <c r="O429" s="16"/>
      <c r="P429" s="1065"/>
      <c r="R429" s="1037"/>
      <c r="S429" s="1037"/>
      <c r="U429" s="512"/>
      <c r="V429" s="512"/>
      <c r="AA429" s="168" t="b">
        <f>AA420</f>
        <v>0</v>
      </c>
    </row>
    <row r="430" spans="2:27" ht="12.75" customHeight="1" thickBot="1" x14ac:dyDescent="0.25">
      <c r="B430" s="207"/>
      <c r="C430" s="1066"/>
      <c r="D430" s="1067"/>
      <c r="E430" s="1067"/>
      <c r="F430" s="1067"/>
      <c r="G430" s="1067"/>
      <c r="H430" s="1067"/>
      <c r="I430" s="1067"/>
      <c r="J430" s="1067"/>
      <c r="K430" s="1067"/>
      <c r="L430" s="1067"/>
      <c r="M430" s="1068"/>
      <c r="N430" s="1069"/>
      <c r="O430" s="16"/>
      <c r="P430" s="1037"/>
      <c r="R430" s="1037"/>
      <c r="S430" s="1037"/>
    </row>
    <row r="431" spans="2:27" ht="13.5" thickBot="1" x14ac:dyDescent="0.25">
      <c r="B431" s="20"/>
      <c r="C431" s="20"/>
      <c r="D431" s="20"/>
      <c r="E431" s="20"/>
      <c r="F431" s="20"/>
      <c r="G431" s="20"/>
      <c r="H431" s="20"/>
      <c r="I431" s="20"/>
      <c r="J431" s="20"/>
      <c r="K431" s="20"/>
      <c r="L431" s="20"/>
      <c r="M431" s="20"/>
      <c r="N431" s="20"/>
      <c r="O431" s="16"/>
      <c r="P431" s="346" t="str">
        <f>IF(OR(AND(CNTR_ExistProductSubEntries=FALSE,P253=1),AND(I253&lt;&gt;"",COUNTIF(P432:$P$1876,"PRINT")=0)),"PRINT","")</f>
        <v/>
      </c>
      <c r="Q431" s="422" t="s">
        <v>498</v>
      </c>
      <c r="R431" s="1037"/>
      <c r="S431" s="1037"/>
    </row>
    <row r="432" spans="2:27" ht="5.0999999999999996" customHeight="1" thickBot="1" x14ac:dyDescent="0.25">
      <c r="B432" s="20"/>
      <c r="C432" s="1070"/>
      <c r="D432" s="1070"/>
      <c r="E432" s="1070"/>
      <c r="F432" s="1070"/>
      <c r="G432" s="1070"/>
      <c r="H432" s="1070"/>
      <c r="I432" s="1070"/>
      <c r="J432" s="1070"/>
      <c r="K432" s="1070"/>
      <c r="L432" s="1070"/>
      <c r="M432" s="1070"/>
      <c r="N432" s="1070"/>
      <c r="O432" s="16"/>
      <c r="R432" s="1037"/>
      <c r="S432" s="1037"/>
    </row>
    <row r="433" spans="1:27" ht="15.75" thickBot="1" x14ac:dyDescent="0.25">
      <c r="B433" s="207"/>
      <c r="C433" s="1047">
        <f>C253+1</f>
        <v>3</v>
      </c>
      <c r="D433" s="1439" t="str">
        <f>EUconst_BMSubinst &amp; ":"</f>
        <v>Podinstalacja i wskaźnik emisyjności dla produktów:</v>
      </c>
      <c r="E433" s="1370"/>
      <c r="F433" s="1370"/>
      <c r="G433" s="1370"/>
      <c r="H433" s="1432"/>
      <c r="I433" s="1781" t="str">
        <f>IF(INDEX(CNTR_SubInstListIsProdBM,$C433),INDEX(CNTR_SubInstListNames,$C433),"")</f>
        <v/>
      </c>
      <c r="J433" s="1666"/>
      <c r="K433" s="1666"/>
      <c r="L433" s="1666"/>
      <c r="M433" s="1666"/>
      <c r="N433" s="1383"/>
      <c r="O433" s="16"/>
      <c r="P433" s="346">
        <f>C433</f>
        <v>3</v>
      </c>
      <c r="Q433" s="1048" t="s">
        <v>234</v>
      </c>
      <c r="R433" s="1049" t="str">
        <f>IF(I433="","",INDEX(CNTR_SubInstStartDate,MATCH($I433,CNTR_SubInstListNames,0)))</f>
        <v/>
      </c>
      <c r="S433" s="1050" t="b">
        <f>IF($I433="",FALSE,AND(I$1885, IF($R433&lt;DATE($L$1882,1,1),YEAR($R433)&lt;=I$1882,YEAR($R433-1)&lt;I$1882) ) )</f>
        <v>0</v>
      </c>
      <c r="T433" s="1050" t="b">
        <f>IF($I433="",FALSE,AND(J$1885, IF($R433&lt;DATE($L$1882,1,1),YEAR($R433)&lt;=J$1882,YEAR($R433-1)&lt;J$1882) ) )</f>
        <v>0</v>
      </c>
      <c r="U433" s="1050" t="b">
        <f>IF($I433="",FALSE,AND(K$1885, IF($R433&lt;DATE($L$1882,1,1),YEAR($R433)&lt;=K$1882,YEAR($R433-1)&lt;K$1882) ) )</f>
        <v>0</v>
      </c>
      <c r="V433" s="1050" t="b">
        <f>IF($I433="",FALSE,AND(L$1885, IF($R433&lt;DATE($L$1882,1,1),YEAR($R433)&lt;=L$1882,YEAR($R433-1)&lt;L$1882) ) )</f>
        <v>0</v>
      </c>
      <c r="W433" s="1050" t="b">
        <f>IF($I433="",FALSE,AND(M$1885, IF($R433&lt;DATE($L$1882,1,1),YEAR($R433)&lt;=M$1882,YEAR($R433-1)&lt;M$1882) ) )</f>
        <v>0</v>
      </c>
      <c r="Z433" s="736" t="s">
        <v>550</v>
      </c>
      <c r="AA433" s="738" t="b">
        <f>AND(CNTR_ExistSubInstEntries,I433="")</f>
        <v>1</v>
      </c>
    </row>
    <row r="434" spans="1:27" ht="5.0999999999999996" customHeight="1" x14ac:dyDescent="0.2">
      <c r="B434" s="207"/>
      <c r="C434" s="207"/>
      <c r="D434" s="207"/>
      <c r="E434" s="207"/>
      <c r="F434" s="207"/>
      <c r="G434" s="207"/>
      <c r="H434" s="207"/>
      <c r="I434" s="207"/>
      <c r="J434" s="207"/>
      <c r="K434" s="207"/>
      <c r="L434" s="207"/>
      <c r="M434" s="16"/>
      <c r="N434" s="16"/>
      <c r="O434" s="16"/>
      <c r="P434" s="1037"/>
      <c r="R434" s="1037"/>
      <c r="S434" s="1037"/>
    </row>
    <row r="435" spans="1:27" ht="12.75" customHeight="1" x14ac:dyDescent="0.2">
      <c r="B435" s="207"/>
      <c r="C435" s="207"/>
      <c r="D435" s="207"/>
      <c r="E435" s="1622" t="str">
        <f>CONCATENATE(EUconst_MsgSeeFirst," (F.I.1)")</f>
        <v>Szczegółowe instrukcje dotyczące wprowadzania danych w tym narzędziu znajdują się w pierwszej kopii tego narzędzia.  (F.I.1)</v>
      </c>
      <c r="F435" s="1622"/>
      <c r="G435" s="1622"/>
      <c r="H435" s="1622"/>
      <c r="I435" s="1622"/>
      <c r="J435" s="1622"/>
      <c r="K435" s="1622"/>
      <c r="L435" s="1622"/>
      <c r="M435" s="1622"/>
      <c r="N435" s="1622"/>
      <c r="O435" s="16"/>
      <c r="P435" s="1037"/>
      <c r="R435" s="1037"/>
      <c r="S435" s="1037"/>
    </row>
    <row r="436" spans="1:27" ht="5.0999999999999996" customHeight="1" x14ac:dyDescent="0.2">
      <c r="B436" s="207"/>
      <c r="C436" s="207"/>
      <c r="D436" s="207"/>
      <c r="E436" s="207"/>
      <c r="F436" s="207"/>
      <c r="G436" s="207"/>
      <c r="H436" s="207"/>
      <c r="I436" s="207"/>
      <c r="J436" s="207"/>
      <c r="K436" s="207"/>
      <c r="L436" s="207"/>
      <c r="M436" s="16"/>
      <c r="N436" s="16"/>
      <c r="O436" s="16"/>
      <c r="P436" s="1037"/>
      <c r="R436" s="1037"/>
      <c r="S436" s="1037"/>
    </row>
    <row r="437" spans="1:27" ht="13.5" thickBot="1" x14ac:dyDescent="0.25">
      <c r="B437" s="207"/>
      <c r="C437" s="207"/>
      <c r="D437" s="14" t="s">
        <v>173</v>
      </c>
      <c r="E437" s="1375" t="str">
        <f>Translations!$B$670</f>
        <v>Historyczne poziomy działalności</v>
      </c>
      <c r="F437" s="1370"/>
      <c r="G437" s="1370"/>
      <c r="H437" s="1370"/>
      <c r="I437" s="1370"/>
      <c r="J437" s="1370"/>
      <c r="K437" s="1370"/>
      <c r="L437" s="1370"/>
      <c r="M437" s="1370"/>
      <c r="N437" s="1370"/>
      <c r="O437" s="16"/>
      <c r="P437" s="1037"/>
      <c r="R437" s="1037"/>
      <c r="S437" s="1037"/>
    </row>
    <row r="438" spans="1:27" ht="13.5" customHeight="1" thickBot="1" x14ac:dyDescent="0.25">
      <c r="B438" s="20"/>
      <c r="C438" s="20"/>
      <c r="D438" s="14"/>
      <c r="E438" s="1430" t="str">
        <f>Translations!$B$676</f>
        <v>Roczne poziomy działalności:</v>
      </c>
      <c r="F438" s="1430"/>
      <c r="G438" s="1430"/>
      <c r="H438" s="34" t="str">
        <f>EUconst_Unit</f>
        <v>Jednostka</v>
      </c>
      <c r="I438" s="396">
        <f>I$1882</f>
        <v>2014</v>
      </c>
      <c r="J438" s="396">
        <f>J$1882</f>
        <v>2015</v>
      </c>
      <c r="K438" s="396">
        <f>K$1882</f>
        <v>2016</v>
      </c>
      <c r="L438" s="396">
        <f>L$1882</f>
        <v>2017</v>
      </c>
      <c r="M438" s="421">
        <f>M$1882</f>
        <v>2018</v>
      </c>
      <c r="N438" s="888" t="str">
        <f>IF(I433="","",IF(S443,YEAR(R433)+1,""))</f>
        <v/>
      </c>
      <c r="O438" s="16"/>
      <c r="P438" s="1037"/>
      <c r="Q438" s="424" t="s">
        <v>432</v>
      </c>
      <c r="R438" s="276"/>
      <c r="S438" s="276"/>
      <c r="T438" s="276"/>
      <c r="U438" s="276"/>
      <c r="V438" s="276"/>
      <c r="W438" s="277"/>
      <c r="Y438" s="788" t="b">
        <f>IF(CNTR_ExistSubInstEntries,IF(I433&lt;&gt;"",NOT(S443),TRUE),FALSE)</f>
        <v>1</v>
      </c>
      <c r="AA438" s="422" t="s">
        <v>272</v>
      </c>
    </row>
    <row r="439" spans="1:27" ht="13.5" thickBot="1" x14ac:dyDescent="0.25">
      <c r="B439" s="20"/>
      <c r="C439" s="20"/>
      <c r="D439" s="195" t="s">
        <v>2</v>
      </c>
      <c r="E439" s="1801" t="str">
        <f>I433</f>
        <v/>
      </c>
      <c r="F439" s="1801"/>
      <c r="G439" s="1801"/>
      <c r="H439" s="98" t="str">
        <f>IF(INDEX(CNTR_SubInstListIsProdBM,$C433),INDEX(CNTR_SubInstListHALUnit,$C433),EUconst_Tons)</f>
        <v>tony</v>
      </c>
      <c r="I439" s="591"/>
      <c r="J439" s="591"/>
      <c r="K439" s="591"/>
      <c r="L439" s="591"/>
      <c r="M439" s="886"/>
      <c r="N439" s="889"/>
      <c r="O439" s="16"/>
      <c r="P439" s="164" t="s">
        <v>237</v>
      </c>
      <c r="Q439" s="1238" t="s">
        <v>2190</v>
      </c>
      <c r="R439" s="187" t="s">
        <v>437</v>
      </c>
      <c r="S439" s="442">
        <f>I438</f>
        <v>2014</v>
      </c>
      <c r="T439" s="443">
        <f>J438</f>
        <v>2015</v>
      </c>
      <c r="U439" s="443">
        <f>K438</f>
        <v>2016</v>
      </c>
      <c r="V439" s="443">
        <f>L438</f>
        <v>2017</v>
      </c>
      <c r="W439" s="444">
        <f>M438</f>
        <v>2018</v>
      </c>
      <c r="Y439" s="963" t="b">
        <f>IF(CNTR_ExistSubInstEntries,IF(AND(I433&lt;&gt;"",N440=""),NOT(S443),TRUE),FALSE)</f>
        <v>1</v>
      </c>
      <c r="Z439" s="422"/>
      <c r="AA439" s="646" t="b">
        <f>IF(CNTR_ExistSubInstEntries,AND(I433&lt;&gt;"",Q443),FALSE)</f>
        <v>0</v>
      </c>
    </row>
    <row r="440" spans="1:27" ht="13.5" thickBot="1" x14ac:dyDescent="0.25">
      <c r="B440" s="20"/>
      <c r="C440" s="20"/>
      <c r="D440" s="195" t="s">
        <v>3</v>
      </c>
      <c r="E440" s="1801" t="str">
        <f>Translations!$B$677</f>
        <v>Z arkusza „H_SpecialBM”:</v>
      </c>
      <c r="F440" s="1801"/>
      <c r="G440" s="1801"/>
      <c r="H440" s="98" t="str">
        <f>H439</f>
        <v>tony</v>
      </c>
      <c r="I440" s="321" t="str">
        <f>IF($I433="","",IF($Q443,SUMIF(H_SpecialBM!$P$9:$P$384,$P440,H_SpecialBM!I$9:I$384),""))</f>
        <v/>
      </c>
      <c r="J440" s="321" t="str">
        <f>IF($I433="","",IF($Q443,SUMIF(H_SpecialBM!$P$9:$P$384,$P440,H_SpecialBM!J$9:J$384),""))</f>
        <v/>
      </c>
      <c r="K440" s="321" t="str">
        <f>IF($I433="","",IF($Q443,SUMIF(H_SpecialBM!$P$9:$P$384,$P440,H_SpecialBM!K$9:K$384),""))</f>
        <v/>
      </c>
      <c r="L440" s="321" t="str">
        <f>IF($I433="","",IF($Q443,SUMIF(H_SpecialBM!$P$9:$P$384,$P440,H_SpecialBM!L$9:L$384),""))</f>
        <v/>
      </c>
      <c r="M440" s="887" t="str">
        <f>IF($I433="","",IF($Q443,SUMIF(H_SpecialBM!$P$9:$P$384,$P440,H_SpecialBM!M$9:M$384),""))</f>
        <v/>
      </c>
      <c r="N440" s="890" t="str">
        <f>IF($I433="","",IF(AND($Q443,$S443),SUMIF(H_SpecialBM!$P$9:$P$384,$P440,H_SpecialBM!N$9:N$384),""))</f>
        <v/>
      </c>
      <c r="O440" s="16"/>
      <c r="P440" s="1051" t="str">
        <f>EUconst_CNTR_HALspecial&amp;I433</f>
        <v>HALspecial_</v>
      </c>
      <c r="Q440" s="179" t="str">
        <f>IF(COUNT($U440:$V440)&gt;0,SUM($U440:$V440),"")</f>
        <v/>
      </c>
      <c r="R440" s="439" t="str">
        <f>IF(COUNT(S440:W440)&gt;0,AVERAGE(S440:W440),"")</f>
        <v/>
      </c>
      <c r="S440" s="440" t="str">
        <f>IF(S433,IF(ISNUMBER(I440),I440,""),"")</f>
        <v/>
      </c>
      <c r="T440" s="441" t="str">
        <f>IF(T433,IF(ISNUMBER(J440),J440,""),"")</f>
        <v/>
      </c>
      <c r="U440" s="441" t="str">
        <f>IF(U433,IF(ISNUMBER(K440),K440,""),"")</f>
        <v/>
      </c>
      <c r="V440" s="441" t="str">
        <f>IF(V433,IF(ISNUMBER(L440),L440,""),"")</f>
        <v/>
      </c>
      <c r="W440" s="439" t="str">
        <f>IF(W433,IF(ISNUMBER(M440),M440,""),"")</f>
        <v/>
      </c>
      <c r="Y440" s="777" t="b">
        <f>OR(Y438,AA440)</f>
        <v>1</v>
      </c>
      <c r="AA440" s="723" t="b">
        <f>Q443=FALSE</f>
        <v>0</v>
      </c>
    </row>
    <row r="441" spans="1:27" ht="13.5" thickBot="1" x14ac:dyDescent="0.25">
      <c r="B441" s="20"/>
      <c r="C441" s="20"/>
      <c r="D441" s="195" t="s">
        <v>4</v>
      </c>
      <c r="E441" s="1801" t="str">
        <f>Translations!$B$678</f>
        <v>Wartości użyte do obliczenia:</v>
      </c>
      <c r="F441" s="1801"/>
      <c r="G441" s="1801"/>
      <c r="H441" s="98" t="str">
        <f>H440</f>
        <v>tony</v>
      </c>
      <c r="I441" s="321" t="str">
        <f>IF($I433="","",IF($Q443=TRUE,IF(ISNUMBER(I440),I440,0),IF(ISNUMBER(I439),I439,0)))</f>
        <v/>
      </c>
      <c r="J441" s="321" t="str">
        <f>IF($I433="","",IF($Q443=TRUE,IF(ISNUMBER(J440),J440,0),IF(ISNUMBER(J439),J439,0)))</f>
        <v/>
      </c>
      <c r="K441" s="321" t="str">
        <f>IF($I433="","",IF($Q443=TRUE,IF(ISNUMBER(K440),K440,0),IF(ISNUMBER(K439),K439,0)))</f>
        <v/>
      </c>
      <c r="L441" s="321" t="str">
        <f>IF($I433="","",IF($Q443=TRUE,IF(ISNUMBER(L440),L440,0),IF(ISNUMBER(L439),L439,0)))</f>
        <v/>
      </c>
      <c r="M441" s="887" t="str">
        <f>IF($I433="","",IF($Q443=TRUE,IF(ISNUMBER(M440),M440,0),IF(ISNUMBER(M439),M439,0)))</f>
        <v/>
      </c>
      <c r="N441" s="890" t="str">
        <f>IF($I433="","",IF(S443,IF($Q443=TRUE,IF(ISNUMBER(N440),N440,0),IF(ISNUMBER(N439),N439,0)),""))</f>
        <v/>
      </c>
      <c r="O441" s="16"/>
      <c r="P441" s="1051" t="str">
        <f>EUconst_CNTR_HAL&amp;I433</f>
        <v>HAL_</v>
      </c>
      <c r="Q441" s="168" t="str">
        <f>IF(COUNT($U441:$V441)&gt;0,SUM($U441:$V441),"")</f>
        <v/>
      </c>
      <c r="R441" s="120" t="str">
        <f>IF(COUNT(S441:W441)&gt;0,AVERAGE(S441:W441),"")</f>
        <v/>
      </c>
      <c r="S441" s="118" t="str">
        <f>IF(S433,IF(ISNUMBER(I441),I441,""),"")</f>
        <v/>
      </c>
      <c r="T441" s="119" t="str">
        <f>IF(T433,IF(ISNUMBER(J441),J441,""),"")</f>
        <v/>
      </c>
      <c r="U441" s="119" t="str">
        <f>IF(U433,IF(ISNUMBER(K441),K441,""),"")</f>
        <v/>
      </c>
      <c r="V441" s="119" t="str">
        <f>IF(V433,IF(ISNUMBER(L441),L441,""),"")</f>
        <v/>
      </c>
      <c r="W441" s="120" t="str">
        <f>IF(W433,IF(ISNUMBER(M441),M441,""),"")</f>
        <v/>
      </c>
      <c r="Y441" s="168" t="b">
        <f>Y438</f>
        <v>1</v>
      </c>
    </row>
    <row r="442" spans="1:27" ht="5.0999999999999996" customHeight="1" x14ac:dyDescent="0.2">
      <c r="B442" s="207"/>
      <c r="C442" s="207"/>
      <c r="D442" s="207"/>
      <c r="E442" s="207"/>
      <c r="F442" s="207"/>
      <c r="G442" s="207"/>
      <c r="H442" s="207"/>
      <c r="I442" s="207"/>
      <c r="J442" s="207"/>
      <c r="K442" s="207"/>
      <c r="L442" s="207"/>
      <c r="M442" s="16"/>
      <c r="N442" s="16"/>
      <c r="O442" s="16"/>
      <c r="P442" s="1037"/>
      <c r="R442" s="1037"/>
      <c r="S442" s="1037"/>
    </row>
    <row r="443" spans="1:27" x14ac:dyDescent="0.2">
      <c r="B443" s="207"/>
      <c r="C443" s="207"/>
      <c r="D443" s="14" t="s">
        <v>353</v>
      </c>
      <c r="E443" s="1375" t="str">
        <f>Translations!$B$679</f>
        <v>Szczególne wymogi w zakresie raportowania:</v>
      </c>
      <c r="F443" s="1375"/>
      <c r="G443" s="1637"/>
      <c r="H443" s="1796" t="str">
        <f>IF(I433="","",HYPERLINK(INDEX(EUconst_BMlistSpecialJumpTable,MATCH(I433,EUconst_BMlistNames,0)),INDEX(EUconst_BMlistSpecialReporting,MATCH(I433,EUconst_BMlistNames,0))))</f>
        <v/>
      </c>
      <c r="I443" s="1802"/>
      <c r="J443" s="1802"/>
      <c r="K443" s="1802"/>
      <c r="L443" s="1802"/>
      <c r="M443" s="1802"/>
      <c r="N443" s="1803"/>
      <c r="O443" s="16"/>
      <c r="P443" s="1048" t="s">
        <v>38</v>
      </c>
      <c r="Q443" s="116" t="str">
        <f>IF(I433="","",IF(AND(INDEX(EUconst_BMlistSpecialJumpTable,MATCH(I433,EUconst_BMlistNames,0))&lt;&gt;"",MATCH(I433,EUconst_BMlistNames,0)&lt;&gt;47),TRUE,FALSE))</f>
        <v/>
      </c>
      <c r="R443" s="1048" t="s">
        <v>598</v>
      </c>
      <c r="S443" s="116" t="b">
        <f>IF(I433="",FALSE,INDEX(CNTR_SubInstLess1Year,MATCH(I433,CNTR_SubInstListNames,0)))</f>
        <v>0</v>
      </c>
    </row>
    <row r="444" spans="1:27" ht="12.75" customHeight="1" x14ac:dyDescent="0.2">
      <c r="B444" s="207"/>
      <c r="C444" s="207"/>
      <c r="D444" s="207"/>
      <c r="E444" s="207"/>
      <c r="F444" s="207"/>
      <c r="G444" s="207"/>
      <c r="H444" s="207"/>
      <c r="I444" s="207"/>
      <c r="J444" s="207"/>
      <c r="K444" s="207"/>
      <c r="L444" s="207"/>
      <c r="M444" s="207"/>
      <c r="N444" s="207"/>
      <c r="O444" s="16"/>
      <c r="P444" s="1037"/>
      <c r="R444" s="1037"/>
      <c r="S444" s="1037"/>
    </row>
    <row r="445" spans="1:27" ht="15" customHeight="1" x14ac:dyDescent="0.2">
      <c r="B445" s="20"/>
      <c r="C445" s="208"/>
      <c r="D445" s="1439" t="str">
        <f>Translations!$B$681</f>
        <v>Dodatkowe współczynniki korygujące</v>
      </c>
      <c r="E445" s="1370"/>
      <c r="F445" s="1370"/>
      <c r="G445" s="1370"/>
      <c r="H445" s="1370"/>
      <c r="I445" s="1370"/>
      <c r="J445" s="1370"/>
      <c r="K445" s="1370"/>
      <c r="L445" s="1370"/>
      <c r="M445" s="1370"/>
      <c r="N445" s="1370"/>
      <c r="O445" s="16"/>
      <c r="R445" s="1037"/>
      <c r="S445" s="1037"/>
    </row>
    <row r="446" spans="1:27" ht="5.0999999999999996" customHeight="1" x14ac:dyDescent="0.2">
      <c r="B446" s="207"/>
      <c r="C446" s="207"/>
      <c r="D446" s="207"/>
      <c r="E446" s="207"/>
      <c r="F446" s="207"/>
      <c r="G446" s="207"/>
      <c r="H446" s="207"/>
      <c r="I446" s="207"/>
      <c r="J446" s="207"/>
      <c r="K446" s="207"/>
      <c r="L446" s="207"/>
      <c r="M446" s="207"/>
      <c r="N446" s="207"/>
      <c r="O446" s="16"/>
      <c r="P446" s="1037"/>
      <c r="R446" s="1037"/>
      <c r="S446" s="1037"/>
    </row>
    <row r="447" spans="1:27" ht="13.5" thickBot="1" x14ac:dyDescent="0.25">
      <c r="B447" s="20"/>
      <c r="C447" s="20"/>
      <c r="D447" s="14" t="s">
        <v>11</v>
      </c>
      <c r="E447" s="1375" t="str">
        <f>Translations!$B$682</f>
        <v>Zamienność paliw i energii elektrycznej:</v>
      </c>
      <c r="F447" s="1370"/>
      <c r="G447" s="1370"/>
      <c r="H447" s="1370"/>
      <c r="I447" s="1432"/>
      <c r="J447" s="1796" t="str">
        <f>IF(I433="","",IF(INDEX(EUconst_BMlistElExchangability,MATCH(I433,EUconst_BMlistNames,0))=TRUE,"",HYPERLINK(Q447,EUconst_MsgGoOn)))</f>
        <v/>
      </c>
      <c r="K447" s="1797"/>
      <c r="L447" s="1797"/>
      <c r="M447" s="1797"/>
      <c r="N447" s="1798"/>
      <c r="O447" s="16"/>
      <c r="P447" s="2" t="s">
        <v>199</v>
      </c>
      <c r="Q447" s="346" t="str">
        <f>"#"&amp;ADDRESS(ROW(D455),COLUMN(D455))</f>
        <v>#$D$455</v>
      </c>
      <c r="R447" s="1037"/>
      <c r="S447" s="1037"/>
    </row>
    <row r="448" spans="1:27" s="701" customFormat="1" ht="13.5" thickBot="1" x14ac:dyDescent="0.25">
      <c r="A448" s="422"/>
      <c r="B448" s="398"/>
      <c r="C448" s="398"/>
      <c r="D448" s="14"/>
      <c r="E448" s="1430" t="str">
        <f>Translations!$B$686</f>
        <v>Parametr</v>
      </c>
      <c r="F448" s="1377"/>
      <c r="G448" s="1377"/>
      <c r="H448" s="34" t="str">
        <f>EUconst_Unit</f>
        <v>Jednostka</v>
      </c>
      <c r="I448" s="396">
        <f>I$66</f>
        <v>2014</v>
      </c>
      <c r="J448" s="396">
        <f>J$66</f>
        <v>2015</v>
      </c>
      <c r="K448" s="396">
        <f>K$66</f>
        <v>2016</v>
      </c>
      <c r="L448" s="396">
        <f>L$66</f>
        <v>2017</v>
      </c>
      <c r="M448" s="421">
        <f>M$66</f>
        <v>2018</v>
      </c>
      <c r="N448" s="888" t="str">
        <f>IF(AA449=FALSE,N438,"")</f>
        <v/>
      </c>
      <c r="O448" s="16"/>
      <c r="P448" s="422"/>
      <c r="Q448" s="422"/>
      <c r="R448" s="1037"/>
      <c r="S448" s="1037"/>
      <c r="T448" s="1037"/>
      <c r="U448" s="1037"/>
      <c r="V448" s="1037"/>
      <c r="W448" s="1037"/>
      <c r="X448" s="1037"/>
      <c r="Y448" s="788" t="b">
        <f>OR(Y438,AA449)</f>
        <v>1</v>
      </c>
      <c r="Z448" s="422"/>
      <c r="AA448" s="1037" t="s">
        <v>381</v>
      </c>
    </row>
    <row r="449" spans="1:27" s="701" customFormat="1" ht="13.5" thickBot="1" x14ac:dyDescent="0.25">
      <c r="A449" s="422"/>
      <c r="B449" s="398"/>
      <c r="C449" s="398"/>
      <c r="D449" s="425" t="s">
        <v>2</v>
      </c>
      <c r="E449" s="1569" t="str">
        <f>Translations!$B$687</f>
        <v>Emisje bezpośrednie</v>
      </c>
      <c r="F449" s="1569"/>
      <c r="G449" s="1569"/>
      <c r="H449" s="581" t="str">
        <f>EUconst_tCO2pa</f>
        <v>t CO2 / rok</v>
      </c>
      <c r="I449" s="818"/>
      <c r="J449" s="818"/>
      <c r="K449" s="819"/>
      <c r="L449" s="818"/>
      <c r="M449" s="891"/>
      <c r="N449" s="903"/>
      <c r="O449" s="16"/>
      <c r="P449" s="422"/>
      <c r="Q449" s="422"/>
      <c r="R449" s="1037"/>
      <c r="S449" s="1037"/>
      <c r="T449" s="1037"/>
      <c r="U449" s="1037"/>
      <c r="V449" s="1037"/>
      <c r="W449" s="1037"/>
      <c r="X449" s="1037"/>
      <c r="Y449" s="715" t="b">
        <f>Y448</f>
        <v>1</v>
      </c>
      <c r="Z449" s="422"/>
      <c r="AA449" s="788" t="b">
        <f>IF(CNTR_ExistSubInstEntries,IF(I433&lt;&gt;"",IF(INDEX(EUconst_BMlistElExchangability,MATCH(I433,EUconst_BMlistNames,0)),FALSE,TRUE),TRUE),FALSE)</f>
        <v>1</v>
      </c>
    </row>
    <row r="450" spans="1:27" s="701" customFormat="1" x14ac:dyDescent="0.2">
      <c r="A450" s="422"/>
      <c r="B450" s="398"/>
      <c r="C450" s="398"/>
      <c r="D450" s="425" t="s">
        <v>3</v>
      </c>
      <c r="E450" s="1482" t="str">
        <f>Translations!$B$688</f>
        <v>Ciepło wprowadzone netto</v>
      </c>
      <c r="F450" s="1482"/>
      <c r="G450" s="1482"/>
      <c r="H450" s="584" t="str">
        <f>EUconst_TJpa</f>
        <v>TJ / rok</v>
      </c>
      <c r="I450" s="585" t="str">
        <f>IF($I433&lt;&gt;"",IF(INDEX(EUconst_BMlistElExchangability,MATCH($I433,EUconst_BMlistNames,0)),SUM(I534),""),"")</f>
        <v/>
      </c>
      <c r="J450" s="585" t="str">
        <f>IF($I433&lt;&gt;"",IF(INDEX(EUconst_BMlistElExchangability,MATCH($I433,EUconst_BMlistNames,0)),SUM(J534),""),"")</f>
        <v/>
      </c>
      <c r="K450" s="585" t="str">
        <f>IF($I433&lt;&gt;"",IF(INDEX(EUconst_BMlistElExchangability,MATCH($I433,EUconst_BMlistNames,0)),SUM(K534),""),"")</f>
        <v/>
      </c>
      <c r="L450" s="585" t="str">
        <f>IF($I433&lt;&gt;"",IF(INDEX(EUconst_BMlistElExchangability,MATCH($I433,EUconst_BMlistNames,0)),SUM(L534),""),"")</f>
        <v/>
      </c>
      <c r="M450" s="892" t="str">
        <f>IF($I433&lt;&gt;"",IF(INDEX(EUconst_BMlistElExchangability,MATCH($I433,EUconst_BMlistNames,0)),SUM(M534),""),"")</f>
        <v/>
      </c>
      <c r="N450" s="904"/>
      <c r="O450" s="16"/>
      <c r="P450" s="422"/>
      <c r="Q450" s="422"/>
      <c r="R450" s="1052"/>
      <c r="S450" s="814">
        <f>I448</f>
        <v>2014</v>
      </c>
      <c r="T450" s="814">
        <f>J448</f>
        <v>2015</v>
      </c>
      <c r="U450" s="814">
        <f>K448</f>
        <v>2016</v>
      </c>
      <c r="V450" s="814">
        <f>L448</f>
        <v>2017</v>
      </c>
      <c r="W450" s="815">
        <f>M448</f>
        <v>2018</v>
      </c>
      <c r="X450" s="422"/>
      <c r="Y450" s="715" t="b">
        <f>Y449</f>
        <v>1</v>
      </c>
      <c r="Z450" s="422"/>
      <c r="AA450" s="715" t="b">
        <f>AA449</f>
        <v>1</v>
      </c>
    </row>
    <row r="451" spans="1:27" s="701" customFormat="1" ht="12.75" customHeight="1" thickBot="1" x14ac:dyDescent="0.25">
      <c r="A451" s="422"/>
      <c r="B451" s="398"/>
      <c r="C451" s="398"/>
      <c r="D451" s="425" t="s">
        <v>4</v>
      </c>
      <c r="E451" s="1799" t="str">
        <f>Translations!$B$689</f>
        <v>Odpowiednie zużycie energii elektrycznej</v>
      </c>
      <c r="F451" s="1800"/>
      <c r="G451" s="1800"/>
      <c r="H451" s="611" t="str">
        <f>EUconst_MWhpa</f>
        <v>MWh / rok</v>
      </c>
      <c r="I451" s="612"/>
      <c r="J451" s="612"/>
      <c r="K451" s="612"/>
      <c r="L451" s="612"/>
      <c r="M451" s="893"/>
      <c r="N451" s="896"/>
      <c r="O451" s="16"/>
      <c r="P451" s="185" t="str">
        <f>EUconst_CNTR_HAL&amp;EUconst_CNTR_ELEXCH</f>
        <v>HAL_ELEXCH_</v>
      </c>
      <c r="Q451" s="185" t="str">
        <f>EUconst_CNTR_HAL&amp;EUconst_CNTR_ELEXCH &amp; I433</f>
        <v>HAL_ELEXCH_</v>
      </c>
      <c r="R451" s="1053" t="str">
        <f>EUconst_CNTR_AttributedEmissions &amp; I433</f>
        <v>AttrEmissions_</v>
      </c>
      <c r="S451" s="119" t="str">
        <f>IF(S433,SUM(I451)*EUconst_ElBM,"")</f>
        <v/>
      </c>
      <c r="T451" s="119" t="str">
        <f>IF(T433,SUM(J451)*EUconst_ElBM,"")</f>
        <v/>
      </c>
      <c r="U451" s="119" t="str">
        <f>IF(U433,SUM(K451)*EUconst_ElBM,"")</f>
        <v/>
      </c>
      <c r="V451" s="119" t="str">
        <f>IF(V433,SUM(L451)*EUconst_ElBM,"")</f>
        <v/>
      </c>
      <c r="W451" s="120" t="str">
        <f>IF(W433,SUM(M451)*EUconst_ElBM,"")</f>
        <v/>
      </c>
      <c r="X451" s="422" t="str">
        <f>N448</f>
        <v/>
      </c>
      <c r="Y451" s="715" t="b">
        <f>Y450</f>
        <v>1</v>
      </c>
      <c r="Z451" s="422"/>
      <c r="AA451" s="715" t="b">
        <f>AA450</f>
        <v>1</v>
      </c>
    </row>
    <row r="452" spans="1:27" s="701" customFormat="1" ht="12.75" customHeight="1" thickBot="1" x14ac:dyDescent="0.25">
      <c r="A452" s="422"/>
      <c r="B452" s="398"/>
      <c r="C452" s="398"/>
      <c r="D452" s="425" t="s">
        <v>6</v>
      </c>
      <c r="E452" s="1569" t="str">
        <f>Translations!$B$690</f>
        <v>Całkowite emisje bezpośrednie</v>
      </c>
      <c r="F452" s="1569"/>
      <c r="G452" s="1569"/>
      <c r="H452" s="581" t="str">
        <f>EUconst_tCO2pa</f>
        <v>t CO2 / rok</v>
      </c>
      <c r="I452" s="582" t="str">
        <f>IF(ISNUMBER(I449),I449+SUM(I450)*EUconst_HeatBMvalue,"")</f>
        <v/>
      </c>
      <c r="J452" s="582" t="str">
        <f>IF(ISNUMBER(J449),J449+SUM(J450)*EUconst_HeatBMvalue,"")</f>
        <v/>
      </c>
      <c r="K452" s="583" t="str">
        <f>IF(ISNUMBER(K449),K449+SUM(K450)*EUconst_HeatBMvalue,"")</f>
        <v/>
      </c>
      <c r="L452" s="582" t="str">
        <f>IF(ISNUMBER(L449),L449+SUM(L450)*EUconst_HeatBMvalue,"")</f>
        <v/>
      </c>
      <c r="M452" s="894" t="str">
        <f>IF(ISNUMBER(M449),M449+SUM(M450)*EUconst_HeatBMvalue,"")</f>
        <v/>
      </c>
      <c r="N452" s="897" t="str">
        <f>IF(AND(S443,ISNUMBER(N449)),N449+SUM(N450)*EUconst_HeatBMvalue,"")</f>
        <v/>
      </c>
      <c r="O452" s="16"/>
      <c r="P452" s="422"/>
      <c r="Q452" s="422"/>
      <c r="R452" s="1048" t="s">
        <v>557</v>
      </c>
      <c r="S452" s="905" t="str">
        <f>IF(S433,IF(ISNUMBER(I452),I452,0),"")</f>
        <v/>
      </c>
      <c r="T452" s="906" t="str">
        <f>IF(T433,IF(ISNUMBER(J452),J452,0),"")</f>
        <v/>
      </c>
      <c r="U452" s="906" t="str">
        <f>IF(U433,IF(ISNUMBER(K452),K452,0),"")</f>
        <v/>
      </c>
      <c r="V452" s="906" t="str">
        <f>IF(V433,IF(ISNUMBER(L452),L452,0),"")</f>
        <v/>
      </c>
      <c r="W452" s="907" t="str">
        <f>IF(W433,IF(ISNUMBER(M452),M452,0),"")</f>
        <v/>
      </c>
      <c r="X452" s="911" t="str">
        <f>IF(S443,IF(ISNUMBER(N452),N452,0),"")</f>
        <v/>
      </c>
      <c r="Y452" s="715" t="b">
        <f>Y451</f>
        <v>1</v>
      </c>
      <c r="Z452" s="422"/>
      <c r="AA452" s="715" t="b">
        <f>AA451</f>
        <v>1</v>
      </c>
    </row>
    <row r="453" spans="1:27" s="701" customFormat="1" ht="13.5" thickBot="1" x14ac:dyDescent="0.25">
      <c r="A453" s="422"/>
      <c r="B453" s="398"/>
      <c r="C453" s="398"/>
      <c r="D453" s="425" t="s">
        <v>316</v>
      </c>
      <c r="E453" s="1493" t="str">
        <f>Translations!$B$691</f>
        <v>Emisje pośrednie</v>
      </c>
      <c r="F453" s="1493"/>
      <c r="G453" s="1493"/>
      <c r="H453" s="586" t="str">
        <f>EUconst_tCO2pa</f>
        <v>t CO2 / rok</v>
      </c>
      <c r="I453" s="587" t="str">
        <f t="shared" ref="I453:N453" si="8">IF(ISNUMBER(I451),I451*EUconst_ElBM,"")</f>
        <v/>
      </c>
      <c r="J453" s="587" t="str">
        <f t="shared" si="8"/>
        <v/>
      </c>
      <c r="K453" s="588" t="str">
        <f t="shared" si="8"/>
        <v/>
      </c>
      <c r="L453" s="587" t="str">
        <f t="shared" si="8"/>
        <v/>
      </c>
      <c r="M453" s="895" t="str">
        <f t="shared" si="8"/>
        <v/>
      </c>
      <c r="N453" s="898" t="str">
        <f t="shared" si="8"/>
        <v/>
      </c>
      <c r="O453" s="16"/>
      <c r="P453" s="912" t="str">
        <f>EUconst_CNTR_ELEXCH &amp; I433</f>
        <v>ELEXCH_</v>
      </c>
      <c r="Q453" s="913" t="str">
        <f>IF(SUM(S453:X453)&lt;&gt;0,SUM(S452:X452)/SUM(S453:X453),EUconst_NA)</f>
        <v>Nie dotyczy</v>
      </c>
      <c r="R453" s="1048" t="s">
        <v>326</v>
      </c>
      <c r="S453" s="908" t="str">
        <f>IF(S433,IF(COUNT(I452:I453)&gt;0,SUM(I452:I453),0),"")</f>
        <v/>
      </c>
      <c r="T453" s="909" t="str">
        <f>IF(T433,IF(COUNT(J452:J453)&gt;0,SUM(J452:J453),0),"")</f>
        <v/>
      </c>
      <c r="U453" s="909" t="str">
        <f>IF(U433,IF(COUNT(K452:K453)&gt;0,SUM(K452:K453),0),"")</f>
        <v/>
      </c>
      <c r="V453" s="909" t="str">
        <f>IF(V433,IF(COUNT(L452:L453)&gt;0,SUM(L452:L453),0),"")</f>
        <v/>
      </c>
      <c r="W453" s="910" t="str">
        <f>IF(W433,IF(COUNT(M452:M453)&gt;0,SUM(M452:M453),0),"")</f>
        <v/>
      </c>
      <c r="X453" s="716" t="str">
        <f>IF(S443,IF(COUNT(N452:N453)&gt;0,SUM(N452:N453),0),"")</f>
        <v/>
      </c>
      <c r="Y453" s="716" t="b">
        <f>Y452</f>
        <v>1</v>
      </c>
      <c r="Z453" s="422"/>
      <c r="AA453" s="716" t="b">
        <f>AA452</f>
        <v>1</v>
      </c>
    </row>
    <row r="454" spans="1:27" ht="5.0999999999999996" customHeight="1" x14ac:dyDescent="0.2">
      <c r="B454" s="207"/>
      <c r="C454" s="207"/>
      <c r="D454" s="207"/>
      <c r="E454" s="207"/>
      <c r="F454" s="207"/>
      <c r="G454" s="207"/>
      <c r="H454" s="207"/>
      <c r="I454" s="207"/>
      <c r="J454" s="207"/>
      <c r="K454" s="207"/>
      <c r="L454" s="207"/>
      <c r="M454" s="16"/>
      <c r="N454" s="16"/>
      <c r="O454" s="16"/>
      <c r="P454" s="1037"/>
      <c r="X454" s="422"/>
    </row>
    <row r="455" spans="1:27" x14ac:dyDescent="0.2">
      <c r="B455" s="207"/>
      <c r="C455" s="207"/>
      <c r="D455" s="14" t="s">
        <v>356</v>
      </c>
      <c r="E455" s="1375" t="str">
        <f>Translations!$B$692</f>
        <v>Ciepło wprowadzone z instalacji lub od podmiotów nieobjętych EU ETS:</v>
      </c>
      <c r="F455" s="1375"/>
      <c r="G455" s="1375"/>
      <c r="H455" s="1375"/>
      <c r="I455" s="1637"/>
      <c r="J455" s="1796" t="str">
        <f>IF(I433="","",HYPERLINK(Q455,EUconst_MsgGoOnIfNotRelevant))</f>
        <v/>
      </c>
      <c r="K455" s="1797"/>
      <c r="L455" s="1797"/>
      <c r="M455" s="1797"/>
      <c r="N455" s="1798"/>
      <c r="O455" s="16"/>
      <c r="P455" s="2" t="s">
        <v>199</v>
      </c>
      <c r="Q455" s="346" t="str">
        <f>"#"&amp;ADDRESS(ROW(D462),COLUMN(D462))</f>
        <v>#$D$462</v>
      </c>
      <c r="X455" s="422"/>
    </row>
    <row r="456" spans="1:27" ht="13.5" customHeight="1" thickBot="1" x14ac:dyDescent="0.25">
      <c r="B456" s="207"/>
      <c r="C456" s="207"/>
      <c r="D456" s="16"/>
      <c r="E456" s="1408"/>
      <c r="F456" s="1408"/>
      <c r="G456" s="1408"/>
      <c r="H456" s="1408"/>
      <c r="I456" s="1408"/>
      <c r="J456" s="1408"/>
      <c r="K456" s="1408"/>
      <c r="L456" s="1408"/>
      <c r="M456" s="1408"/>
      <c r="N456" s="1408"/>
      <c r="O456" s="16"/>
      <c r="P456" s="1037"/>
      <c r="R456" s="1037"/>
      <c r="S456" s="1037"/>
      <c r="Y456" s="422" t="s">
        <v>606</v>
      </c>
    </row>
    <row r="457" spans="1:27" ht="13.5" thickBot="1" x14ac:dyDescent="0.25">
      <c r="B457" s="20"/>
      <c r="C457" s="20"/>
      <c r="D457" s="14"/>
      <c r="E457" s="1430" t="str">
        <f>Translations!$B$686</f>
        <v>Parametr</v>
      </c>
      <c r="F457" s="1377"/>
      <c r="G457" s="1377"/>
      <c r="H457" s="34" t="str">
        <f>EUconst_Unit</f>
        <v>Jednostka</v>
      </c>
      <c r="I457" s="396">
        <f>I$66</f>
        <v>2014</v>
      </c>
      <c r="J457" s="396">
        <f>J$66</f>
        <v>2015</v>
      </c>
      <c r="K457" s="396">
        <f>K$66</f>
        <v>2016</v>
      </c>
      <c r="L457" s="396">
        <f>L$66</f>
        <v>2017</v>
      </c>
      <c r="M457" s="421">
        <f>M$66</f>
        <v>2018</v>
      </c>
      <c r="N457" s="888" t="str">
        <f>N448</f>
        <v/>
      </c>
      <c r="O457" s="16"/>
      <c r="Q457" s="45"/>
      <c r="R457" s="1037"/>
      <c r="S457" s="45">
        <f t="shared" ref="S457:X457" si="9">I457</f>
        <v>2014</v>
      </c>
      <c r="T457" s="45">
        <f t="shared" si="9"/>
        <v>2015</v>
      </c>
      <c r="U457" s="45">
        <f t="shared" si="9"/>
        <v>2016</v>
      </c>
      <c r="V457" s="45">
        <f t="shared" si="9"/>
        <v>2017</v>
      </c>
      <c r="W457" s="45">
        <f t="shared" si="9"/>
        <v>2018</v>
      </c>
      <c r="X457" s="422" t="str">
        <f t="shared" si="9"/>
        <v/>
      </c>
      <c r="Y457" s="749" t="b">
        <f>Y438</f>
        <v>1</v>
      </c>
      <c r="Z457" s="45"/>
      <c r="AA457" s="422" t="s">
        <v>272</v>
      </c>
    </row>
    <row r="458" spans="1:27" ht="25.5" customHeight="1" thickBot="1" x14ac:dyDescent="0.25">
      <c r="B458" s="20"/>
      <c r="C458" s="20"/>
      <c r="D458" s="195" t="s">
        <v>2</v>
      </c>
      <c r="E458" s="1612" t="str">
        <f>Translations!$B$697</f>
        <v>Mierzalne ciepło wprowadzone z instalacji lub od podmiotów nieobjętych EU ETS:</v>
      </c>
      <c r="F458" s="1612"/>
      <c r="G458" s="1612"/>
      <c r="H458" s="48" t="str">
        <f>EUconst_TJpa</f>
        <v>TJ / rok</v>
      </c>
      <c r="I458" s="313"/>
      <c r="J458" s="313"/>
      <c r="K458" s="313"/>
      <c r="L458" s="313"/>
      <c r="M458" s="899"/>
      <c r="N458" s="902"/>
      <c r="O458" s="16"/>
      <c r="P458" s="116" t="str">
        <f>EUconst_CNTR_HAL&amp;EUconst_CNTR_nonETSMeasHeat</f>
        <v>HAL_mierzalne ciepło nieobjęte systemem EU ETS</v>
      </c>
      <c r="R458" s="1037"/>
      <c r="S458" s="442" t="str">
        <f>IF(S433,IF(ISNUMBER(I458),I458,0),"")</f>
        <v/>
      </c>
      <c r="T458" s="443" t="str">
        <f>IF(T433,IF(ISNUMBER(J458),J458,0),"")</f>
        <v/>
      </c>
      <c r="U458" s="443" t="str">
        <f>IF(U433,IF(ISNUMBER(K458),K458,0),"")</f>
        <v/>
      </c>
      <c r="V458" s="443" t="str">
        <f>IF(V433,IF(ISNUMBER(L458),L458,0),"")</f>
        <v/>
      </c>
      <c r="W458" s="444" t="str">
        <f>IF(W433,IF(ISNUMBER(M458),M458,0),"")</f>
        <v/>
      </c>
      <c r="X458" s="151" t="str">
        <f>IF(S443,IF(ISNUMBER(N458),N458,0),"")</f>
        <v/>
      </c>
      <c r="Y458" s="716" t="b">
        <f>Y457</f>
        <v>1</v>
      </c>
      <c r="AA458" s="646" t="b">
        <f>AND(CNTR_ExistSubInstEntries,I433="")</f>
        <v>1</v>
      </c>
    </row>
    <row r="459" spans="1:27" ht="25.5" customHeight="1" thickBot="1" x14ac:dyDescent="0.25">
      <c r="B459" s="20"/>
      <c r="C459" s="20"/>
      <c r="D459" s="195" t="s">
        <v>3</v>
      </c>
      <c r="E459" s="1618" t="str">
        <f>Translations!$B$698</f>
        <v>Weryfikacja spójności z arkuszem „E_Energy flows”:</v>
      </c>
      <c r="F459" s="1618"/>
      <c r="G459" s="1618"/>
      <c r="H459" s="27" t="s">
        <v>409</v>
      </c>
      <c r="I459" s="304" t="str">
        <f>IF(AND(ISNUMBER(I458),ISNUMBER(E_EnergyFlows!I$102)), I458/E_EnergyFlows!I$102*100,"")</f>
        <v/>
      </c>
      <c r="J459" s="304" t="str">
        <f>IF(AND(ISNUMBER(J458),ISNUMBER(E_EnergyFlows!J$102)), J458/E_EnergyFlows!J$102*100,"")</f>
        <v/>
      </c>
      <c r="K459" s="304" t="str">
        <f>IF(AND(ISNUMBER(K458),ISNUMBER(E_EnergyFlows!K$102)), K458/E_EnergyFlows!K$102*100,"")</f>
        <v/>
      </c>
      <c r="L459" s="304" t="str">
        <f>IF(AND(ISNUMBER(L458),ISNUMBER(E_EnergyFlows!L$102)), L458/E_EnergyFlows!L$102*100,"")</f>
        <v/>
      </c>
      <c r="M459" s="900" t="str">
        <f>IF(AND(ISNUMBER(M458),ISNUMBER(E_EnergyFlows!M$102)), M458/E_EnergyFlows!M$102*100,"")</f>
        <v/>
      </c>
      <c r="N459" s="147"/>
      <c r="O459" s="16"/>
      <c r="P459" s="164" t="str">
        <f>EUconst_CNTR_HEAT &amp; I433</f>
        <v>HEAT_</v>
      </c>
      <c r="Q459" s="302" t="str">
        <f>IF(COUNT(S458:X458)&gt;0,AVERAGE(S458:X458)*EUconst_HeatBMvalue,EUconst_NA)</f>
        <v>Nie dotyczy</v>
      </c>
      <c r="R459" s="1037"/>
      <c r="S459" s="1037"/>
      <c r="AA459" s="608"/>
    </row>
    <row r="460" spans="1:27" ht="12.75" customHeight="1" x14ac:dyDescent="0.2">
      <c r="B460" s="20"/>
      <c r="C460" s="20"/>
      <c r="D460" s="195" t="s">
        <v>4</v>
      </c>
      <c r="E460" s="1493" t="str">
        <f>Translations!$B$699</f>
        <v>Weryfikacja spójności z lit. k) ppkt (i):</v>
      </c>
      <c r="F460" s="1615"/>
      <c r="G460" s="1615"/>
      <c r="H460" s="30" t="s">
        <v>409</v>
      </c>
      <c r="I460" s="303" t="str">
        <f>IF(AND(I534&gt;0,ISNUMBER(I458)), I458/I534*100,"")</f>
        <v/>
      </c>
      <c r="J460" s="303" t="str">
        <f>IF(AND(J534&gt;0,ISNUMBER(J458)), J458/J534*100,"")</f>
        <v/>
      </c>
      <c r="K460" s="303" t="str">
        <f>IF(AND(K534&gt;0,ISNUMBER(K458)), K458/K534*100,"")</f>
        <v/>
      </c>
      <c r="L460" s="303" t="str">
        <f>IF(AND(L534&gt;0,ISNUMBER(L458)), L458/L534*100,"")</f>
        <v/>
      </c>
      <c r="M460" s="901" t="str">
        <f>IF(AND(M534&gt;0,ISNUMBER(M458)), M458/M534*100,"")</f>
        <v/>
      </c>
      <c r="N460" s="147"/>
      <c r="O460" s="16"/>
      <c r="R460" s="1037"/>
      <c r="S460" s="1037"/>
      <c r="AA460" s="608"/>
    </row>
    <row r="461" spans="1:27" ht="12.75" customHeight="1" x14ac:dyDescent="0.2">
      <c r="B461" s="20"/>
      <c r="C461" s="20"/>
      <c r="D461" s="20"/>
      <c r="E461" s="20"/>
      <c r="F461" s="20"/>
      <c r="G461" s="20"/>
      <c r="H461" s="20"/>
      <c r="I461" s="107"/>
      <c r="J461" s="20"/>
      <c r="K461" s="20"/>
      <c r="L461" s="20"/>
      <c r="M461" s="20"/>
      <c r="N461" s="20"/>
      <c r="O461" s="16"/>
      <c r="P461" s="139"/>
      <c r="R461" s="1037"/>
      <c r="S461" s="1037"/>
      <c r="AA461" s="608"/>
    </row>
    <row r="462" spans="1:27" ht="15" x14ac:dyDescent="0.2">
      <c r="B462" s="20"/>
      <c r="C462" s="1054"/>
      <c r="D462" s="1439" t="str">
        <f>Translations!$B$700</f>
        <v>Szczegółowe dane dotyczące produkcji</v>
      </c>
      <c r="E462" s="1370"/>
      <c r="F462" s="1370"/>
      <c r="G462" s="1370"/>
      <c r="H462" s="1370"/>
      <c r="I462" s="1370"/>
      <c r="J462" s="1370"/>
      <c r="K462" s="1370"/>
      <c r="L462" s="1370"/>
      <c r="M462" s="1370"/>
      <c r="N462" s="1370"/>
      <c r="O462" s="16"/>
      <c r="R462" s="1037"/>
      <c r="S462" s="1037"/>
      <c r="AA462" s="608"/>
    </row>
    <row r="463" spans="1:27" ht="5.0999999999999996" customHeight="1" x14ac:dyDescent="0.2">
      <c r="B463" s="207"/>
      <c r="C463" s="207"/>
      <c r="D463" s="207"/>
      <c r="E463" s="207"/>
      <c r="F463" s="207"/>
      <c r="G463" s="207"/>
      <c r="H463" s="207"/>
      <c r="I463" s="207"/>
      <c r="J463" s="207"/>
      <c r="K463" s="207"/>
      <c r="L463" s="207"/>
      <c r="M463" s="207"/>
      <c r="N463" s="207"/>
      <c r="O463" s="16"/>
      <c r="P463" s="1037"/>
      <c r="Q463" s="1037"/>
      <c r="R463" s="1037"/>
      <c r="S463" s="1037"/>
      <c r="AA463" s="608"/>
    </row>
    <row r="464" spans="1:27" x14ac:dyDescent="0.2">
      <c r="B464" s="207"/>
      <c r="C464" s="14"/>
      <c r="D464" s="14" t="s">
        <v>12</v>
      </c>
      <c r="E464" s="1375" t="str">
        <f>Translations!$B$701</f>
        <v>Identyfikacja produktów wchodzących w zakres tej podinstalacji objętej wskaźnikiem emisyjności dla produktów</v>
      </c>
      <c r="F464" s="1370"/>
      <c r="G464" s="1370"/>
      <c r="H464" s="1370"/>
      <c r="I464" s="1370"/>
      <c r="J464" s="1370"/>
      <c r="K464" s="1370"/>
      <c r="L464" s="1370"/>
      <c r="M464" s="1370"/>
      <c r="N464" s="1370"/>
      <c r="O464" s="16"/>
      <c r="P464" s="1037"/>
      <c r="R464" s="1037"/>
      <c r="S464" s="1037"/>
      <c r="AA464" s="608"/>
    </row>
    <row r="465" spans="2:27" x14ac:dyDescent="0.2">
      <c r="B465" s="207"/>
      <c r="C465" s="16"/>
      <c r="D465" s="16"/>
      <c r="E465" s="1408" t="str">
        <f>Translations!$B$704</f>
        <v>Wykaz kodów PRODCOM 2010 jest dostępny pod adresem:</v>
      </c>
      <c r="F465" s="1370"/>
      <c r="G465" s="1370"/>
      <c r="H465" s="1370"/>
      <c r="I465" s="1370"/>
      <c r="J465" s="1370"/>
      <c r="K465" s="1370"/>
      <c r="L465" s="1370"/>
      <c r="M465" s="1370"/>
      <c r="N465" s="1370"/>
      <c r="O465" s="16"/>
      <c r="P465" s="1037"/>
      <c r="R465" s="1037"/>
      <c r="S465" s="1037"/>
      <c r="AA465" s="608"/>
    </row>
    <row r="466" spans="2:27" x14ac:dyDescent="0.2">
      <c r="B466" s="207"/>
      <c r="C466" s="16"/>
      <c r="D466" s="16"/>
      <c r="E466" s="1795" t="str">
        <f>Translations!$B$705</f>
        <v>http://ec.europa.eu/eurostat/ramon/nomenclatures/index.cfm?TargetUrl=LST_CLS_DLD&amp;StrNom=PRD_2010&amp;StrLanguageCode=EN&amp;StrLayoutCode=HIERARCHIChttp://ec.europa.eu/eurostat/ramon/nomenclatures/index.cfm?TargetUrl=LST_CLS_DLD&amp;StrNom=PRD_2010&amp;StrLanguageCode=EN&amp;StrLayoutCode=HIERARCHIC</v>
      </c>
      <c r="F466" s="1663"/>
      <c r="G466" s="1663"/>
      <c r="H466" s="1663"/>
      <c r="I466" s="1663"/>
      <c r="J466" s="1663"/>
      <c r="K466" s="1663"/>
      <c r="L466" s="1663"/>
      <c r="M466" s="1663"/>
      <c r="N466" s="1663"/>
      <c r="O466" s="16"/>
      <c r="P466" s="1037"/>
      <c r="R466" s="1037"/>
      <c r="S466" s="1037"/>
      <c r="AA466" s="608"/>
    </row>
    <row r="467" spans="2:27" ht="5.0999999999999996" customHeight="1" x14ac:dyDescent="0.2">
      <c r="B467" s="207"/>
      <c r="C467" s="207"/>
      <c r="D467" s="207"/>
      <c r="E467" s="207"/>
      <c r="F467" s="207"/>
      <c r="G467" s="207"/>
      <c r="H467" s="207"/>
      <c r="I467" s="207"/>
      <c r="J467" s="207"/>
      <c r="K467" s="207"/>
      <c r="L467" s="207"/>
      <c r="M467" s="207"/>
      <c r="N467" s="207"/>
      <c r="O467" s="16"/>
      <c r="P467" s="1037"/>
      <c r="Q467" s="1037"/>
      <c r="R467" s="1037"/>
      <c r="S467" s="1037"/>
      <c r="AA467" s="608"/>
    </row>
    <row r="468" spans="2:27" ht="12.75" customHeight="1" x14ac:dyDescent="0.2">
      <c r="B468" s="207"/>
      <c r="C468" s="14"/>
      <c r="D468" s="14" t="s">
        <v>13</v>
      </c>
      <c r="E468" s="1375" t="str">
        <f>Translations!$B$706</f>
        <v>Poszczególne poziomy wytwarzanych produktów wchodzących w zakres tej podinstalacji objętej wskaźnikiem emisyjności dla produktów</v>
      </c>
      <c r="F468" s="1370"/>
      <c r="G468" s="1370"/>
      <c r="H468" s="1370"/>
      <c r="I468" s="1370"/>
      <c r="J468" s="1370"/>
      <c r="K468" s="1370"/>
      <c r="L468" s="1370"/>
      <c r="M468" s="1370"/>
      <c r="N468" s="1370"/>
      <c r="O468" s="16"/>
      <c r="P468" s="1037"/>
      <c r="R468" s="1037"/>
      <c r="S468" s="1037"/>
      <c r="AA468" s="608"/>
    </row>
    <row r="469" spans="2:27" ht="5.0999999999999996" customHeight="1" x14ac:dyDescent="0.2">
      <c r="B469" s="207"/>
      <c r="C469" s="207"/>
      <c r="D469" s="16"/>
      <c r="E469" s="17"/>
      <c r="F469" s="17"/>
      <c r="G469" s="17"/>
      <c r="H469" s="17"/>
      <c r="I469" s="17"/>
      <c r="J469" s="21"/>
      <c r="K469" s="21"/>
      <c r="L469" s="21"/>
      <c r="M469" s="16"/>
      <c r="N469" s="16"/>
      <c r="O469" s="16"/>
      <c r="P469" s="1037"/>
      <c r="R469" s="1037"/>
      <c r="S469" s="1037"/>
      <c r="AA469" s="608"/>
    </row>
    <row r="470" spans="2:27" ht="25.5" customHeight="1" x14ac:dyDescent="0.2">
      <c r="B470" s="20"/>
      <c r="C470" s="20"/>
      <c r="D470" s="344"/>
      <c r="E470" s="399" t="s">
        <v>386</v>
      </c>
      <c r="F470" s="1789" t="str">
        <f>Translations!$B$707</f>
        <v>Nazwa produktu lub grupy produktów</v>
      </c>
      <c r="G470" s="1790"/>
      <c r="H470" s="1055" t="str">
        <f>EUconst_Unit</f>
        <v>Jednostka</v>
      </c>
      <c r="I470" s="396">
        <f>I$1882</f>
        <v>2014</v>
      </c>
      <c r="J470" s="396">
        <f>J$1882</f>
        <v>2015</v>
      </c>
      <c r="K470" s="396">
        <f>K$1882</f>
        <v>2016</v>
      </c>
      <c r="L470" s="396">
        <f>L$1882</f>
        <v>2017</v>
      </c>
      <c r="M470" s="396">
        <f>M$1882</f>
        <v>2018</v>
      </c>
      <c r="N470" s="16"/>
      <c r="O470" s="16"/>
      <c r="R470" s="1037"/>
      <c r="S470" s="1037"/>
      <c r="AA470" s="608"/>
    </row>
    <row r="471" spans="2:27" x14ac:dyDescent="0.2">
      <c r="B471" s="20"/>
      <c r="C471" s="20"/>
      <c r="D471" s="37">
        <v>1</v>
      </c>
      <c r="E471" s="1245"/>
      <c r="F471" s="1791"/>
      <c r="G471" s="1792"/>
      <c r="H471" s="804"/>
      <c r="I471" s="472"/>
      <c r="J471" s="472"/>
      <c r="K471" s="472"/>
      <c r="L471" s="472"/>
      <c r="M471" s="472"/>
      <c r="N471" s="16"/>
      <c r="O471" s="16"/>
      <c r="R471" s="1037"/>
      <c r="S471" s="1037"/>
      <c r="AA471" s="345" t="b">
        <f>AA458</f>
        <v>1</v>
      </c>
    </row>
    <row r="472" spans="2:27" x14ac:dyDescent="0.2">
      <c r="B472" s="20"/>
      <c r="C472" s="20"/>
      <c r="D472" s="38">
        <f>D471+1</f>
        <v>2</v>
      </c>
      <c r="E472" s="1246"/>
      <c r="F472" s="1793"/>
      <c r="G472" s="1794"/>
      <c r="H472" s="564"/>
      <c r="I472" s="548"/>
      <c r="J472" s="548"/>
      <c r="K472" s="548"/>
      <c r="L472" s="548"/>
      <c r="M472" s="548"/>
      <c r="N472" s="16"/>
      <c r="O472" s="16"/>
      <c r="R472" s="1037"/>
      <c r="S472" s="1037"/>
      <c r="AA472" s="345" t="b">
        <f>AA471</f>
        <v>1</v>
      </c>
    </row>
    <row r="473" spans="2:27" x14ac:dyDescent="0.2">
      <c r="B473" s="20"/>
      <c r="C473" s="20"/>
      <c r="D473" s="38">
        <f t="shared" ref="D473:D480" si="10">D472+1</f>
        <v>3</v>
      </c>
      <c r="E473" s="1246"/>
      <c r="F473" s="1784"/>
      <c r="G473" s="1785"/>
      <c r="H473" s="564"/>
      <c r="I473" s="548"/>
      <c r="J473" s="548"/>
      <c r="K473" s="548"/>
      <c r="L473" s="548"/>
      <c r="M473" s="548"/>
      <c r="N473" s="16"/>
      <c r="O473" s="16"/>
      <c r="R473" s="1037"/>
      <c r="S473" s="1037"/>
      <c r="AA473" s="345" t="b">
        <f t="shared" ref="AA473:AA481" si="11">AA472</f>
        <v>1</v>
      </c>
    </row>
    <row r="474" spans="2:27" x14ac:dyDescent="0.2">
      <c r="B474" s="20"/>
      <c r="C474" s="20"/>
      <c r="D474" s="38">
        <f t="shared" si="10"/>
        <v>4</v>
      </c>
      <c r="E474" s="1246"/>
      <c r="F474" s="1784"/>
      <c r="G474" s="1785"/>
      <c r="H474" s="564"/>
      <c r="I474" s="548"/>
      <c r="J474" s="548"/>
      <c r="K474" s="548"/>
      <c r="L474" s="548"/>
      <c r="M474" s="548"/>
      <c r="N474" s="16"/>
      <c r="O474" s="16"/>
      <c r="R474" s="1037"/>
      <c r="S474" s="1037"/>
      <c r="AA474" s="345" t="b">
        <f t="shared" si="11"/>
        <v>1</v>
      </c>
    </row>
    <row r="475" spans="2:27" x14ac:dyDescent="0.2">
      <c r="B475" s="20"/>
      <c r="C475" s="20"/>
      <c r="D475" s="38">
        <f t="shared" si="10"/>
        <v>5</v>
      </c>
      <c r="E475" s="1246"/>
      <c r="F475" s="1784"/>
      <c r="G475" s="1785"/>
      <c r="H475" s="564"/>
      <c r="I475" s="548"/>
      <c r="J475" s="548"/>
      <c r="K475" s="548"/>
      <c r="L475" s="548"/>
      <c r="M475" s="548"/>
      <c r="N475" s="16"/>
      <c r="O475" s="16"/>
      <c r="R475" s="1037"/>
      <c r="S475" s="1037"/>
      <c r="AA475" s="345" t="b">
        <f t="shared" si="11"/>
        <v>1</v>
      </c>
    </row>
    <row r="476" spans="2:27" x14ac:dyDescent="0.2">
      <c r="B476" s="20"/>
      <c r="C476" s="20"/>
      <c r="D476" s="38">
        <f t="shared" si="10"/>
        <v>6</v>
      </c>
      <c r="E476" s="1246"/>
      <c r="F476" s="1784"/>
      <c r="G476" s="1785"/>
      <c r="H476" s="564"/>
      <c r="I476" s="548"/>
      <c r="J476" s="548"/>
      <c r="K476" s="548"/>
      <c r="L476" s="548"/>
      <c r="M476" s="548"/>
      <c r="N476" s="16"/>
      <c r="O476" s="16"/>
      <c r="R476" s="1037"/>
      <c r="S476" s="1037"/>
      <c r="AA476" s="345" t="b">
        <f t="shared" si="11"/>
        <v>1</v>
      </c>
    </row>
    <row r="477" spans="2:27" x14ac:dyDescent="0.2">
      <c r="B477" s="20"/>
      <c r="C477" s="20"/>
      <c r="D477" s="38">
        <f t="shared" si="10"/>
        <v>7</v>
      </c>
      <c r="E477" s="1246"/>
      <c r="F477" s="1784"/>
      <c r="G477" s="1785"/>
      <c r="H477" s="564"/>
      <c r="I477" s="548"/>
      <c r="J477" s="548"/>
      <c r="K477" s="548"/>
      <c r="L477" s="548"/>
      <c r="M477" s="548"/>
      <c r="N477" s="16"/>
      <c r="O477" s="16"/>
      <c r="R477" s="1037"/>
      <c r="S477" s="1037"/>
      <c r="AA477" s="345" t="b">
        <f t="shared" si="11"/>
        <v>1</v>
      </c>
    </row>
    <row r="478" spans="2:27" x14ac:dyDescent="0.2">
      <c r="B478" s="20"/>
      <c r="C478" s="20"/>
      <c r="D478" s="38">
        <f t="shared" si="10"/>
        <v>8</v>
      </c>
      <c r="E478" s="1246"/>
      <c r="F478" s="1784"/>
      <c r="G478" s="1785"/>
      <c r="H478" s="564"/>
      <c r="I478" s="548"/>
      <c r="J478" s="548"/>
      <c r="K478" s="548"/>
      <c r="L478" s="548"/>
      <c r="M478" s="548"/>
      <c r="N478" s="16"/>
      <c r="O478" s="16"/>
      <c r="R478" s="1037"/>
      <c r="S478" s="1037"/>
      <c r="AA478" s="345" t="b">
        <f t="shared" si="11"/>
        <v>1</v>
      </c>
    </row>
    <row r="479" spans="2:27" x14ac:dyDescent="0.2">
      <c r="B479" s="20"/>
      <c r="C479" s="20"/>
      <c r="D479" s="38">
        <f t="shared" si="10"/>
        <v>9</v>
      </c>
      <c r="E479" s="1246"/>
      <c r="F479" s="1784"/>
      <c r="G479" s="1785"/>
      <c r="H479" s="564"/>
      <c r="I479" s="548"/>
      <c r="J479" s="548"/>
      <c r="K479" s="548"/>
      <c r="L479" s="548"/>
      <c r="M479" s="548"/>
      <c r="N479" s="16"/>
      <c r="O479" s="16"/>
      <c r="R479" s="1037"/>
      <c r="S479" s="1037"/>
      <c r="AA479" s="345" t="b">
        <f t="shared" si="11"/>
        <v>1</v>
      </c>
    </row>
    <row r="480" spans="2:27" x14ac:dyDescent="0.2">
      <c r="B480" s="20"/>
      <c r="C480" s="20"/>
      <c r="D480" s="41">
        <f t="shared" si="10"/>
        <v>10</v>
      </c>
      <c r="E480" s="1247"/>
      <c r="F480" s="1786"/>
      <c r="G480" s="1787"/>
      <c r="H480" s="565"/>
      <c r="I480" s="446"/>
      <c r="J480" s="446"/>
      <c r="K480" s="446"/>
      <c r="L480" s="446"/>
      <c r="M480" s="446"/>
      <c r="N480" s="16"/>
      <c r="O480" s="16"/>
      <c r="R480" s="1037"/>
      <c r="S480" s="1037"/>
      <c r="AA480" s="345" t="b">
        <f t="shared" si="11"/>
        <v>1</v>
      </c>
    </row>
    <row r="481" spans="2:27" ht="12.75" customHeight="1" thickBot="1" x14ac:dyDescent="0.25">
      <c r="B481" s="20"/>
      <c r="C481" s="20"/>
      <c r="D481" s="97"/>
      <c r="E481" s="1788" t="str">
        <f>Translations!$B$708</f>
        <v>Suma poziomów produkcji</v>
      </c>
      <c r="F481" s="1788"/>
      <c r="G481" s="1788"/>
      <c r="H481" s="737"/>
      <c r="I481" s="327" t="str">
        <f>IF(COUNT(I471:I480)&gt;0,SUM(I471:I480),"")</f>
        <v/>
      </c>
      <c r="J481" s="327" t="str">
        <f>IF(COUNT(J471:J480)&gt;0,SUM(J471:J480),"")</f>
        <v/>
      </c>
      <c r="K481" s="327" t="str">
        <f>IF(COUNT(K471:K480)&gt;0,SUM(K471:K480),"")</f>
        <v/>
      </c>
      <c r="L481" s="327" t="str">
        <f>IF(COUNT(L471:L480)&gt;0,SUM(L471:L480),"")</f>
        <v/>
      </c>
      <c r="M481" s="327" t="str">
        <f>IF(COUNT(M471:M480)&gt;0,SUM(M471:M480),"")</f>
        <v/>
      </c>
      <c r="N481" s="16"/>
      <c r="O481" s="16"/>
      <c r="R481" s="1037"/>
      <c r="S481" s="1037"/>
      <c r="AA481" s="168" t="b">
        <f t="shared" si="11"/>
        <v>1</v>
      </c>
    </row>
    <row r="482" spans="2:27" ht="12.75" customHeight="1" thickBot="1" x14ac:dyDescent="0.25">
      <c r="B482" s="207"/>
      <c r="C482" s="207"/>
      <c r="D482" s="207"/>
      <c r="E482" s="207"/>
      <c r="F482" s="207"/>
      <c r="G482" s="207"/>
      <c r="H482" s="207"/>
      <c r="I482" s="207"/>
      <c r="J482" s="207"/>
      <c r="K482" s="207"/>
      <c r="L482" s="207"/>
      <c r="M482" s="16"/>
      <c r="N482" s="16"/>
      <c r="O482" s="16"/>
      <c r="P482" s="1037"/>
      <c r="R482" s="1037"/>
      <c r="S482" s="1037"/>
    </row>
    <row r="483" spans="2:27" ht="5.0999999999999996" customHeight="1" x14ac:dyDescent="0.2">
      <c r="B483" s="207"/>
      <c r="C483" s="1056"/>
      <c r="D483" s="1057"/>
      <c r="E483" s="1057"/>
      <c r="F483" s="1057"/>
      <c r="G483" s="1057"/>
      <c r="H483" s="1057"/>
      <c r="I483" s="1057"/>
      <c r="J483" s="1057"/>
      <c r="K483" s="1057"/>
      <c r="L483" s="1057"/>
      <c r="M483" s="1058"/>
      <c r="N483" s="1059"/>
      <c r="O483" s="16"/>
      <c r="P483" s="1037"/>
      <c r="R483" s="1037"/>
      <c r="S483" s="1037"/>
    </row>
    <row r="484" spans="2:27" ht="15" customHeight="1" x14ac:dyDescent="0.2">
      <c r="B484" s="20"/>
      <c r="C484" s="1060"/>
      <c r="D484" s="1776" t="str">
        <f>Translations!$B$709</f>
        <v>Dane wymagane do określenia współczynnika poprawy wskaźników zgodnie z art. 10a ust. 2 dyrektywy w sprawie EU ETS</v>
      </c>
      <c r="E484" s="1734"/>
      <c r="F484" s="1734"/>
      <c r="G484" s="1734"/>
      <c r="H484" s="1734"/>
      <c r="I484" s="1734"/>
      <c r="J484" s="1734"/>
      <c r="K484" s="1734"/>
      <c r="L484" s="1734"/>
      <c r="M484" s="1734"/>
      <c r="N484" s="1735"/>
      <c r="O484" s="16"/>
      <c r="R484" s="1037"/>
      <c r="S484" s="1037"/>
    </row>
    <row r="485" spans="2:27" ht="5.0999999999999996" customHeight="1" x14ac:dyDescent="0.2">
      <c r="B485" s="20"/>
      <c r="C485" s="460"/>
      <c r="D485" s="449"/>
      <c r="E485" s="449"/>
      <c r="F485" s="449"/>
      <c r="G485" s="449"/>
      <c r="H485" s="449"/>
      <c r="I485" s="449"/>
      <c r="J485" s="449"/>
      <c r="K485" s="449"/>
      <c r="L485" s="449"/>
      <c r="M485" s="449"/>
      <c r="N485" s="461"/>
      <c r="O485" s="16"/>
      <c r="R485" s="1037"/>
      <c r="S485" s="1037"/>
    </row>
    <row r="486" spans="2:27" ht="15" customHeight="1" x14ac:dyDescent="0.2">
      <c r="B486" s="20"/>
      <c r="C486" s="460"/>
      <c r="D486" s="1778" t="str">
        <f>EUconst_BMSubinst &amp; ":"</f>
        <v>Podinstalacja i wskaźnik emisyjności dla produktów:</v>
      </c>
      <c r="E486" s="1779"/>
      <c r="F486" s="1779"/>
      <c r="G486" s="1779"/>
      <c r="H486" s="1780"/>
      <c r="I486" s="1781" t="str">
        <f>I433</f>
        <v/>
      </c>
      <c r="J486" s="1666"/>
      <c r="K486" s="1666"/>
      <c r="L486" s="1666"/>
      <c r="M486" s="1666"/>
      <c r="N486" s="1782"/>
      <c r="O486" s="16"/>
      <c r="R486" s="1037"/>
      <c r="S486" s="1037"/>
    </row>
    <row r="487" spans="2:27" ht="5.0999999999999996" customHeight="1" x14ac:dyDescent="0.2">
      <c r="B487" s="20"/>
      <c r="C487" s="460"/>
      <c r="D487" s="449"/>
      <c r="E487" s="449"/>
      <c r="F487" s="449"/>
      <c r="G487" s="449"/>
      <c r="H487" s="449"/>
      <c r="I487" s="449"/>
      <c r="J487" s="449"/>
      <c r="K487" s="449"/>
      <c r="L487" s="449"/>
      <c r="M487" s="449"/>
      <c r="N487" s="461"/>
      <c r="O487" s="16"/>
      <c r="R487" s="1037"/>
      <c r="S487" s="1037"/>
    </row>
    <row r="488" spans="2:27" ht="15" customHeight="1" x14ac:dyDescent="0.2">
      <c r="B488" s="207"/>
      <c r="C488" s="1060"/>
      <c r="D488" s="1061"/>
      <c r="E488" s="1783" t="str">
        <f>Translations!$B$714</f>
        <v>Po dokonaniu poniższych wpisów emisje, które można przypisać, są obliczane w części K.III.2 arkusza podsumowania.</v>
      </c>
      <c r="F488" s="1783"/>
      <c r="G488" s="1783"/>
      <c r="H488" s="1783"/>
      <c r="I488" s="1783"/>
      <c r="J488" s="1783"/>
      <c r="K488" s="1783"/>
      <c r="L488" s="1783"/>
      <c r="M488" s="1783"/>
      <c r="N488" s="702"/>
      <c r="O488" s="16"/>
      <c r="P488" s="1037"/>
    </row>
    <row r="489" spans="2:27" ht="5.0999999999999996" customHeight="1" x14ac:dyDescent="0.2">
      <c r="B489" s="20"/>
      <c r="C489" s="460"/>
      <c r="D489" s="449"/>
      <c r="E489" s="449"/>
      <c r="F489" s="449"/>
      <c r="G489" s="449"/>
      <c r="H489" s="449"/>
      <c r="I489" s="449"/>
      <c r="J489" s="449"/>
      <c r="K489" s="449"/>
      <c r="L489" s="449"/>
      <c r="M489" s="449"/>
      <c r="N489" s="461"/>
      <c r="O489" s="16"/>
      <c r="R489" s="1037"/>
      <c r="S489" s="1037"/>
    </row>
    <row r="490" spans="2:27" ht="12.75" customHeight="1" x14ac:dyDescent="0.2">
      <c r="B490" s="207"/>
      <c r="C490" s="1060"/>
      <c r="D490" s="462" t="s">
        <v>87</v>
      </c>
      <c r="E490" s="1731" t="str">
        <f>Translations!$B$715</f>
        <v>Emisje, które można bezpośrednio przypisać (DirEm* (plan monitorowania strumieni materiałów wsadowych)) do tej podinstalacji</v>
      </c>
      <c r="F490" s="1734"/>
      <c r="G490" s="1734"/>
      <c r="H490" s="1734"/>
      <c r="I490" s="1734"/>
      <c r="J490" s="1734"/>
      <c r="K490" s="1734"/>
      <c r="L490" s="1734"/>
      <c r="M490" s="1734"/>
      <c r="N490" s="1735"/>
      <c r="O490" s="16"/>
      <c r="P490" s="1037"/>
      <c r="R490" s="1037"/>
      <c r="S490" s="1037"/>
    </row>
    <row r="491" spans="2:27" ht="12.75" customHeight="1" thickBot="1" x14ac:dyDescent="0.25">
      <c r="B491" s="207"/>
      <c r="C491" s="1060"/>
      <c r="D491" s="1061"/>
      <c r="E491" s="1745"/>
      <c r="F491" s="1745"/>
      <c r="G491" s="1745"/>
      <c r="H491" s="1745"/>
      <c r="I491" s="1745"/>
      <c r="J491" s="1745"/>
      <c r="K491" s="1745"/>
      <c r="L491" s="1745"/>
      <c r="M491" s="1745"/>
      <c r="N491" s="1746"/>
      <c r="O491" s="16"/>
      <c r="P491" s="1037"/>
      <c r="R491" s="1037"/>
    </row>
    <row r="492" spans="2:27" ht="25.5" customHeight="1" x14ac:dyDescent="0.2">
      <c r="B492" s="207"/>
      <c r="C492" s="1060"/>
      <c r="D492" s="462"/>
      <c r="E492" s="1757" t="str">
        <f>Translations!$B$725</f>
        <v>Emisje, które można bezpośrednio przypisać (DirEm*)</v>
      </c>
      <c r="F492" s="1758"/>
      <c r="G492" s="1758"/>
      <c r="H492" s="450" t="str">
        <f>EUconst_Unit</f>
        <v>Jednostka</v>
      </c>
      <c r="I492" s="451">
        <f>I$1882</f>
        <v>2014</v>
      </c>
      <c r="J492" s="451">
        <f>J$1882</f>
        <v>2015</v>
      </c>
      <c r="K492" s="451">
        <f>K$1882</f>
        <v>2016</v>
      </c>
      <c r="L492" s="451">
        <f>L$1882</f>
        <v>2017</v>
      </c>
      <c r="M492" s="451">
        <f>M$1882</f>
        <v>2018</v>
      </c>
      <c r="N492" s="665"/>
      <c r="O492" s="16"/>
      <c r="P492" s="1037"/>
      <c r="R492" s="1052"/>
      <c r="S492" s="814">
        <f>I492</f>
        <v>2014</v>
      </c>
      <c r="T492" s="814">
        <f>J492</f>
        <v>2015</v>
      </c>
      <c r="U492" s="814">
        <f>K492</f>
        <v>2016</v>
      </c>
      <c r="V492" s="814">
        <f>L492</f>
        <v>2017</v>
      </c>
      <c r="W492" s="815">
        <f>M492</f>
        <v>2018</v>
      </c>
    </row>
    <row r="493" spans="2:27" ht="12.75" customHeight="1" thickBot="1" x14ac:dyDescent="0.25">
      <c r="B493" s="207"/>
      <c r="C493" s="1060"/>
      <c r="D493" s="1061"/>
      <c r="E493" s="1762" t="str">
        <f>I433</f>
        <v/>
      </c>
      <c r="F493" s="1762"/>
      <c r="G493" s="1762"/>
      <c r="H493" s="452" t="str">
        <f>EUconst_tCO2epa</f>
        <v>t CO2e/rok</v>
      </c>
      <c r="I493" s="313"/>
      <c r="J493" s="313"/>
      <c r="K493" s="313"/>
      <c r="L493" s="313"/>
      <c r="M493" s="313"/>
      <c r="N493" s="665"/>
      <c r="O493" s="16"/>
      <c r="P493" s="1062" t="str">
        <f>EUconst_CNTR_Emissions &amp; I433</f>
        <v>DirEmissions_</v>
      </c>
      <c r="R493" s="1053" t="str">
        <f>EUconst_CNTR_AttributedEmissions &amp; I433</f>
        <v>AttrEmissions_</v>
      </c>
      <c r="S493" s="119" t="str">
        <f>IF(S433,SUM(I493),"")</f>
        <v/>
      </c>
      <c r="T493" s="119" t="str">
        <f>IF(T433,SUM(J493),"")</f>
        <v/>
      </c>
      <c r="U493" s="119" t="str">
        <f>IF(U433,SUM(K493),"")</f>
        <v/>
      </c>
      <c r="V493" s="119" t="str">
        <f>IF(V433,SUM(L493),"")</f>
        <v/>
      </c>
      <c r="W493" s="120" t="str">
        <f>IF(W433,SUM(M493),"")</f>
        <v/>
      </c>
    </row>
    <row r="494" spans="2:27" ht="12.75" customHeight="1" x14ac:dyDescent="0.2">
      <c r="B494" s="207"/>
      <c r="C494" s="1060"/>
      <c r="D494" s="1061"/>
      <c r="E494" s="1061"/>
      <c r="F494" s="1061"/>
      <c r="G494" s="1061"/>
      <c r="H494" s="1061"/>
      <c r="I494" s="1061"/>
      <c r="J494" s="1061"/>
      <c r="K494" s="1061"/>
      <c r="L494" s="1061"/>
      <c r="M494" s="1063"/>
      <c r="N494" s="665"/>
      <c r="O494" s="16"/>
      <c r="P494" s="1037"/>
      <c r="R494" s="1037"/>
    </row>
    <row r="495" spans="2:27" ht="12.75" customHeight="1" x14ac:dyDescent="0.2">
      <c r="B495" s="207"/>
      <c r="C495" s="1060"/>
      <c r="D495" s="462" t="s">
        <v>88</v>
      </c>
      <c r="E495" s="1760" t="str">
        <f>Translations!$B$726</f>
        <v>Wsad paliwa do tej podinstalacji oraz odpowiedni współczynnik emisji</v>
      </c>
      <c r="F495" s="1760"/>
      <c r="G495" s="1760"/>
      <c r="H495" s="1760"/>
      <c r="I495" s="1760"/>
      <c r="J495" s="1760"/>
      <c r="K495" s="1760"/>
      <c r="L495" s="1760"/>
      <c r="M495" s="1760"/>
      <c r="N495" s="1761"/>
      <c r="O495" s="16"/>
      <c r="P495" s="1037"/>
      <c r="Q495" s="1037"/>
      <c r="R495" s="1037"/>
    </row>
    <row r="496" spans="2:27" ht="12.75" customHeight="1" x14ac:dyDescent="0.2">
      <c r="B496" s="207"/>
      <c r="C496" s="1060"/>
      <c r="D496" s="462"/>
      <c r="E496" s="1757"/>
      <c r="F496" s="1758"/>
      <c r="G496" s="1758"/>
      <c r="H496" s="450" t="str">
        <f>EUconst_Unit</f>
        <v>Jednostka</v>
      </c>
      <c r="I496" s="451">
        <f>I$1882</f>
        <v>2014</v>
      </c>
      <c r="J496" s="451">
        <f>J$1882</f>
        <v>2015</v>
      </c>
      <c r="K496" s="451">
        <f>K$1882</f>
        <v>2016</v>
      </c>
      <c r="L496" s="451">
        <f>L$1882</f>
        <v>2017</v>
      </c>
      <c r="M496" s="451">
        <f>M$1882</f>
        <v>2018</v>
      </c>
      <c r="N496" s="665"/>
      <c r="O496" s="16"/>
      <c r="P496" s="1037"/>
      <c r="R496" s="1037"/>
    </row>
    <row r="497" spans="2:27" ht="12.75" customHeight="1" x14ac:dyDescent="0.2">
      <c r="B497" s="207"/>
      <c r="C497" s="1060"/>
      <c r="D497" s="699" t="s">
        <v>2</v>
      </c>
      <c r="E497" s="1739" t="str">
        <f>Translations!$B$731</f>
        <v>Wsad paliwa</v>
      </c>
      <c r="F497" s="1740"/>
      <c r="G497" s="1740"/>
      <c r="H497" s="453" t="str">
        <f>EUconst_TJpa</f>
        <v>TJ / rok</v>
      </c>
      <c r="I497" s="313"/>
      <c r="J497" s="313"/>
      <c r="K497" s="313"/>
      <c r="L497" s="313"/>
      <c r="M497" s="313"/>
      <c r="N497" s="702"/>
      <c r="O497" s="16"/>
      <c r="P497" s="1062" t="str">
        <f>EUconst_CNTR_FuelInput &amp; I433</f>
        <v>FuelInput_</v>
      </c>
      <c r="R497" s="1037"/>
    </row>
    <row r="498" spans="2:27" ht="12.75" customHeight="1" x14ac:dyDescent="0.2">
      <c r="B498" s="207"/>
      <c r="C498" s="1060"/>
      <c r="D498" s="699" t="s">
        <v>3</v>
      </c>
      <c r="E498" s="1772" t="str">
        <f>Translations!$B$732</f>
        <v>Ważony współczynnik emisji</v>
      </c>
      <c r="F498" s="1773"/>
      <c r="G498" s="1773"/>
      <c r="H498" s="569" t="str">
        <f>EUconst_tCO2pTJ</f>
        <v>t CO2 / TJ</v>
      </c>
      <c r="I498" s="323"/>
      <c r="J498" s="323"/>
      <c r="K498" s="323"/>
      <c r="L498" s="323"/>
      <c r="M498" s="323"/>
      <c r="N498" s="665"/>
      <c r="O498" s="16"/>
      <c r="P498" s="1062" t="str">
        <f>EUconst_CNTR_FuelEF &amp; I433</f>
        <v>FuelEF_</v>
      </c>
      <c r="R498" s="1037"/>
    </row>
    <row r="499" spans="2:27" ht="12.75" customHeight="1" x14ac:dyDescent="0.2">
      <c r="B499" s="207"/>
      <c r="C499" s="1060"/>
      <c r="D499" s="1061"/>
      <c r="E499" s="1061"/>
      <c r="F499" s="1061"/>
      <c r="G499" s="1061"/>
      <c r="H499" s="1061"/>
      <c r="I499" s="1061"/>
      <c r="J499" s="1061"/>
      <c r="K499" s="1061"/>
      <c r="L499" s="1061"/>
      <c r="M499" s="1063"/>
      <c r="N499" s="665"/>
      <c r="O499" s="16"/>
      <c r="P499" s="1037"/>
      <c r="R499" s="1037"/>
    </row>
    <row r="500" spans="2:27" ht="12.75" customHeight="1" thickBot="1" x14ac:dyDescent="0.25">
      <c r="B500" s="207"/>
      <c r="C500" s="1060"/>
      <c r="D500" s="462" t="s">
        <v>89</v>
      </c>
      <c r="E500" s="1760" t="str">
        <f>Translations!$B$733</f>
        <v>Dalsze wewnętrzne strumienie materiałów wsadowych wprowadzane do tej podinstalacji lub z niej wyprowadzane</v>
      </c>
      <c r="F500" s="1760"/>
      <c r="G500" s="1760"/>
      <c r="H500" s="1760"/>
      <c r="I500" s="1760"/>
      <c r="J500" s="1760"/>
      <c r="K500" s="1760"/>
      <c r="L500" s="1760"/>
      <c r="M500" s="1760"/>
      <c r="N500" s="1761"/>
      <c r="O500" s="16"/>
      <c r="P500" s="1037"/>
      <c r="Q500" s="1037"/>
      <c r="R500" s="1037"/>
    </row>
    <row r="501" spans="2:27" ht="25.5" customHeight="1" thickBot="1" x14ac:dyDescent="0.25">
      <c r="B501" s="207"/>
      <c r="C501" s="1060"/>
      <c r="D501" s="699" t="s">
        <v>2</v>
      </c>
      <c r="E501" s="1774" t="str">
        <f>Translations!$B$739</f>
        <v>Czy tej podinstalacji dotyczy więcej wprowadzonych lub wyprowadzonych wewnętrznych strumieni materiałów wsadowych?</v>
      </c>
      <c r="F501" s="1774"/>
      <c r="G501" s="1774"/>
      <c r="H501" s="1774"/>
      <c r="I501" s="1774"/>
      <c r="J501" s="1774"/>
      <c r="K501" s="1775"/>
      <c r="L501" s="517"/>
      <c r="M501" s="1253"/>
      <c r="N501" s="1254"/>
      <c r="O501" s="16"/>
      <c r="P501" s="1037"/>
      <c r="R501" s="1037"/>
      <c r="W501" s="1048" t="s">
        <v>414</v>
      </c>
      <c r="X501" s="1046" t="b">
        <f>IF(AND(I433&lt;&gt;"",ISBLANK(L501)),EUconst_Error&amp;"BM"&amp;C433,FALSE)</f>
        <v>0</v>
      </c>
    </row>
    <row r="502" spans="2:27" ht="5.0999999999999996" customHeight="1" thickBot="1" x14ac:dyDescent="0.25">
      <c r="B502" s="207"/>
      <c r="C502" s="1060"/>
      <c r="D502" s="1061"/>
      <c r="E502" s="1733"/>
      <c r="F502" s="1734"/>
      <c r="G502" s="1734"/>
      <c r="H502" s="1734"/>
      <c r="I502" s="1734"/>
      <c r="J502" s="1734"/>
      <c r="K502" s="1734"/>
      <c r="L502" s="1734"/>
      <c r="M502" s="1734"/>
      <c r="N502" s="1735"/>
      <c r="O502" s="16"/>
      <c r="P502" s="1037"/>
      <c r="R502" s="1037"/>
      <c r="AA502" s="422" t="s">
        <v>272</v>
      </c>
    </row>
    <row r="503" spans="2:27" ht="12.75" customHeight="1" x14ac:dyDescent="0.2">
      <c r="B503" s="207"/>
      <c r="C503" s="1060"/>
      <c r="D503" s="699" t="s">
        <v>3</v>
      </c>
      <c r="E503" s="1760" t="str">
        <f>Translations!$B$741</f>
        <v>Nazwa dalszych strumieni materiałów wsadowych – 1:</v>
      </c>
      <c r="F503" s="1760"/>
      <c r="G503" s="1760"/>
      <c r="H503" s="1760"/>
      <c r="I503" s="1763"/>
      <c r="J503" s="1764"/>
      <c r="K503" s="1764"/>
      <c r="L503" s="1764"/>
      <c r="M503" s="1765"/>
      <c r="N503" s="664"/>
      <c r="O503" s="16"/>
      <c r="P503" s="1037"/>
      <c r="R503" s="1037"/>
      <c r="AA503" s="646" t="b">
        <f>IF(I433&lt;&gt;"",AND(L501&lt;&gt;"",L501=FALSE),FALSE)</f>
        <v>0</v>
      </c>
    </row>
    <row r="504" spans="2:27" ht="5.0999999999999996" customHeight="1" x14ac:dyDescent="0.2">
      <c r="B504" s="207"/>
      <c r="C504" s="1060"/>
      <c r="D504" s="1061"/>
      <c r="E504" s="1256"/>
      <c r="F504" s="1253"/>
      <c r="G504" s="1253"/>
      <c r="H504" s="1253"/>
      <c r="I504" s="1253"/>
      <c r="J504" s="1253"/>
      <c r="K504" s="1253"/>
      <c r="L504" s="1253"/>
      <c r="M504" s="1253"/>
      <c r="N504" s="1254"/>
      <c r="O504" s="16"/>
      <c r="P504" s="1037"/>
      <c r="R504" s="1037"/>
      <c r="AA504" s="608"/>
    </row>
    <row r="505" spans="2:27" ht="12.75" customHeight="1" x14ac:dyDescent="0.2">
      <c r="B505" s="207"/>
      <c r="C505" s="1060"/>
      <c r="D505" s="1061"/>
      <c r="E505" s="1757" t="str">
        <f>Translations!$B$742</f>
        <v>Dalsze strumienie materiałów wsadowych – 1:</v>
      </c>
      <c r="F505" s="1758"/>
      <c r="G505" s="1758"/>
      <c r="H505" s="450" t="str">
        <f>EUconst_Unit</f>
        <v>Jednostka</v>
      </c>
      <c r="I505" s="451">
        <f>I$1882</f>
        <v>2014</v>
      </c>
      <c r="J505" s="451">
        <f>J$1882</f>
        <v>2015</v>
      </c>
      <c r="K505" s="451">
        <f>K$1882</f>
        <v>2016</v>
      </c>
      <c r="L505" s="451">
        <f>L$1882</f>
        <v>2017</v>
      </c>
      <c r="M505" s="451">
        <f>M$1882</f>
        <v>2018</v>
      </c>
      <c r="N505" s="665"/>
      <c r="O505" s="16"/>
      <c r="P505" s="1037"/>
      <c r="R505" s="1037"/>
      <c r="AA505" s="608"/>
    </row>
    <row r="506" spans="2:27" ht="12.75" customHeight="1" x14ac:dyDescent="0.2">
      <c r="B506" s="207"/>
      <c r="C506" s="1060"/>
      <c r="D506" s="699" t="s">
        <v>4</v>
      </c>
      <c r="E506" s="1766" t="str">
        <f>Translations!$B$743</f>
        <v>Ilość wprowadzona lub wyprowadzona</v>
      </c>
      <c r="F506" s="1767"/>
      <c r="G506" s="1767"/>
      <c r="H506" s="454" t="str">
        <f>EUconst_tpa</f>
        <v>t / rok</v>
      </c>
      <c r="I506" s="331"/>
      <c r="J506" s="331"/>
      <c r="K506" s="331"/>
      <c r="L506" s="331"/>
      <c r="M506" s="331"/>
      <c r="N506" s="665"/>
      <c r="O506" s="16"/>
      <c r="P506" s="1037"/>
      <c r="R506" s="1037"/>
      <c r="AA506" s="345" t="b">
        <f>AA503</f>
        <v>0</v>
      </c>
    </row>
    <row r="507" spans="2:27" ht="12.75" customHeight="1" x14ac:dyDescent="0.2">
      <c r="B507" s="207"/>
      <c r="C507" s="1060"/>
      <c r="D507" s="699" t="s">
        <v>6</v>
      </c>
      <c r="E507" s="1771" t="str">
        <f>Translations!$B$744</f>
        <v>Wartość opałowa netto (NCV) (jeśli dotyczy)</v>
      </c>
      <c r="F507" s="1771"/>
      <c r="G507" s="1771"/>
      <c r="H507" s="541" t="str">
        <f>EUconst_GJpt</f>
        <v>GJ / t</v>
      </c>
      <c r="I507" s="330"/>
      <c r="J507" s="330"/>
      <c r="K507" s="330"/>
      <c r="L507" s="330"/>
      <c r="M507" s="330"/>
      <c r="N507" s="665"/>
      <c r="O507" s="16"/>
      <c r="P507" s="1037"/>
      <c r="R507" s="1037"/>
      <c r="AA507" s="345" t="b">
        <f>AA506</f>
        <v>0</v>
      </c>
    </row>
    <row r="508" spans="2:27" ht="12.75" customHeight="1" thickBot="1" x14ac:dyDescent="0.25">
      <c r="B508" s="207"/>
      <c r="C508" s="1060"/>
      <c r="D508" s="699" t="s">
        <v>316</v>
      </c>
      <c r="E508" s="1771" t="str">
        <f>Translations!$B$745</f>
        <v>Zawartość węgla (% masy)</v>
      </c>
      <c r="F508" s="1771"/>
      <c r="G508" s="1771"/>
      <c r="H508" s="542" t="s">
        <v>355</v>
      </c>
      <c r="I508" s="330"/>
      <c r="J508" s="330"/>
      <c r="K508" s="330"/>
      <c r="L508" s="330"/>
      <c r="M508" s="330"/>
      <c r="N508" s="665"/>
      <c r="O508" s="16"/>
      <c r="P508" s="1037"/>
      <c r="R508" s="1037"/>
      <c r="AA508" s="345" t="b">
        <f>AA507</f>
        <v>0</v>
      </c>
    </row>
    <row r="509" spans="2:27" ht="12.75" customHeight="1" x14ac:dyDescent="0.2">
      <c r="B509" s="207"/>
      <c r="C509" s="1060"/>
      <c r="D509" s="699" t="s">
        <v>317</v>
      </c>
      <c r="E509" s="1744" t="str">
        <f>Translations!$B$746</f>
        <v>Zawartość biomasy (jako frakcja węgla)</v>
      </c>
      <c r="F509" s="1744"/>
      <c r="G509" s="1744"/>
      <c r="H509" s="473" t="s">
        <v>355</v>
      </c>
      <c r="I509" s="329"/>
      <c r="J509" s="329"/>
      <c r="K509" s="329"/>
      <c r="L509" s="329"/>
      <c r="M509" s="329"/>
      <c r="N509" s="665"/>
      <c r="O509" s="16"/>
      <c r="P509" s="1037"/>
      <c r="R509" s="1052"/>
      <c r="S509" s="814">
        <f>I505</f>
        <v>2014</v>
      </c>
      <c r="T509" s="814">
        <f>J505</f>
        <v>2015</v>
      </c>
      <c r="U509" s="814">
        <f>K505</f>
        <v>2016</v>
      </c>
      <c r="V509" s="814">
        <f>L505</f>
        <v>2017</v>
      </c>
      <c r="W509" s="815">
        <f>M505</f>
        <v>2018</v>
      </c>
      <c r="AA509" s="345" t="b">
        <f>AA508</f>
        <v>0</v>
      </c>
    </row>
    <row r="510" spans="2:27" ht="12.75" customHeight="1" thickBot="1" x14ac:dyDescent="0.25">
      <c r="B510" s="207"/>
      <c r="C510" s="1060"/>
      <c r="D510" s="699" t="s">
        <v>318</v>
      </c>
      <c r="E510" s="1767" t="str">
        <f>Translations!$B$747</f>
        <v>Emisje (kopalne, obliczone)</v>
      </c>
      <c r="F510" s="1767"/>
      <c r="G510" s="1767"/>
      <c r="H510" s="543" t="str">
        <f>EUconst_tCO2pa</f>
        <v>t CO2 / rok</v>
      </c>
      <c r="I510" s="325" t="str">
        <f>IF(AND(COUNT(I506:I509)&gt;0,I513=""),3.664*I506*(I508/100)*(1-I509/100),"")</f>
        <v/>
      </c>
      <c r="J510" s="325" t="str">
        <f>IF(AND(COUNT(J506:J509)&gt;0,J513=""),3.664*J506*(J508/100)*(1-J509/100),"")</f>
        <v/>
      </c>
      <c r="K510" s="325" t="str">
        <f>IF(AND(COUNT(K506:K509)&gt;0,K513=""),3.664*K506*(K508/100)*(1-K509/100),"")</f>
        <v/>
      </c>
      <c r="L510" s="325" t="str">
        <f>IF(AND(COUNT(L506:L509)&gt;0,L513=""),3.664*L506*(L508/100)*(1-L509/100),"")</f>
        <v/>
      </c>
      <c r="M510" s="325" t="str">
        <f>IF(AND(COUNT(M506:M509)&gt;0,M513=""),3.664*M506*(M508/100)*(1-M509/100),"")</f>
        <v/>
      </c>
      <c r="N510" s="665"/>
      <c r="O510" s="16"/>
      <c r="P510" s="1062" t="str">
        <f>EUconst_CNTR_EmissionsIntSource1 &amp; I433</f>
        <v>EmInternalSource1_</v>
      </c>
      <c r="R510" s="1053" t="str">
        <f>EUconst_CNTR_AttributedEmissions &amp; I433</f>
        <v>AttrEmissions_</v>
      </c>
      <c r="S510" s="119" t="str">
        <f>IF(S433,SUM(I510),"")</f>
        <v/>
      </c>
      <c r="T510" s="119" t="str">
        <f>IF(T433,SUM(J510),"")</f>
        <v/>
      </c>
      <c r="U510" s="119" t="str">
        <f>IF(U433,SUM(K510),"")</f>
        <v/>
      </c>
      <c r="V510" s="119" t="str">
        <f>IF(V433,SUM(L510),"")</f>
        <v/>
      </c>
      <c r="W510" s="120" t="str">
        <f>IF(W433,SUM(M510),"")</f>
        <v/>
      </c>
      <c r="AA510" s="608"/>
    </row>
    <row r="511" spans="2:27" ht="25.5" customHeight="1" x14ac:dyDescent="0.2">
      <c r="B511" s="207"/>
      <c r="C511" s="1060"/>
      <c r="D511" s="699" t="s">
        <v>319</v>
      </c>
      <c r="E511" s="1769" t="str">
        <f>Translations!$B$748</f>
        <v>Nota uzupełniająca: Emisje pochodzące z biomasy</v>
      </c>
      <c r="F511" s="1769"/>
      <c r="G511" s="1769"/>
      <c r="H511" s="544" t="str">
        <f>EUconst_tCO2pa</f>
        <v>t CO2 / rok</v>
      </c>
      <c r="I511" s="324" t="str">
        <f>IF(ISNUMBER(I510),3.664*I506*(I508/100)*(I509/100),"")</f>
        <v/>
      </c>
      <c r="J511" s="324" t="str">
        <f>IF(ISNUMBER(J510),3.664*J506*(J508/100)*(J509/100),"")</f>
        <v/>
      </c>
      <c r="K511" s="324" t="str">
        <f>IF(ISNUMBER(K510),3.664*K506*(K508/100)*(K509/100),"")</f>
        <v/>
      </c>
      <c r="L511" s="324" t="str">
        <f>IF(ISNUMBER(L510),3.664*L506*(L508/100)*(L509/100),"")</f>
        <v/>
      </c>
      <c r="M511" s="324" t="str">
        <f>IF(ISNUMBER(M510),3.664*M506*(M508/100)*(M509/100),"")</f>
        <v/>
      </c>
      <c r="N511" s="665"/>
      <c r="O511" s="16"/>
      <c r="P511" s="1037"/>
      <c r="R511" s="1037"/>
      <c r="AA511" s="608"/>
    </row>
    <row r="512" spans="2:27" ht="12.75" customHeight="1" x14ac:dyDescent="0.2">
      <c r="B512" s="207"/>
      <c r="C512" s="1060"/>
      <c r="D512" s="699" t="s">
        <v>320</v>
      </c>
      <c r="E512" s="1744" t="str">
        <f>Translations!$B$749</f>
        <v>Zawartość energii (obliczona)</v>
      </c>
      <c r="F512" s="1744"/>
      <c r="G512" s="1744"/>
      <c r="H512" s="545" t="str">
        <f>EUconst_TJpa</f>
        <v>TJ / rok</v>
      </c>
      <c r="I512" s="327" t="str">
        <f>IF(COUNT(I506:I507)=2,I506*I507/1000,"")</f>
        <v/>
      </c>
      <c r="J512" s="327" t="str">
        <f>IF(COUNT(J506:J507)=2,J506*J507/1000,"")</f>
        <v/>
      </c>
      <c r="K512" s="327" t="str">
        <f>IF(COUNT(K506:K507)=2,K506*K507/1000,"")</f>
        <v/>
      </c>
      <c r="L512" s="327" t="str">
        <f>IF(COUNT(L506:L507)=2,L506*L507/1000,"")</f>
        <v/>
      </c>
      <c r="M512" s="327" t="str">
        <f>IF(COUNT(M506:M507)=2,M506*M507/1000,"")</f>
        <v/>
      </c>
      <c r="N512" s="665"/>
      <c r="O512" s="16"/>
      <c r="P512" s="1037"/>
      <c r="R512" s="1037"/>
      <c r="AA512" s="608"/>
    </row>
    <row r="513" spans="2:27" ht="12.75" customHeight="1" x14ac:dyDescent="0.2">
      <c r="B513" s="207"/>
      <c r="C513" s="1060"/>
      <c r="D513" s="699" t="s">
        <v>16</v>
      </c>
      <c r="E513" s="1770" t="str">
        <f>Translations!$B$750</f>
        <v>Komunikaty o błędach (emisje)</v>
      </c>
      <c r="F513" s="1770"/>
      <c r="G513" s="1770"/>
      <c r="H513" s="546"/>
      <c r="I513" s="666" t="str">
        <f>IF(COUNT(I506,I508:I509)&gt;0,IF(COUNTIF(I507:I509,"&lt;0")&gt;0,EUconst_Negative,IF(COUNT(I506,I508:I509)&lt;3,EUconst_Incomplete,"")),"")</f>
        <v/>
      </c>
      <c r="J513" s="666" t="str">
        <f>IF(COUNT(J506,J508:J509)&gt;0,IF(COUNTIF(J507:J509,"&lt;0")&gt;0,EUconst_Negative,IF(COUNT(J506,J508:J509)&lt;3,EUconst_Incomplete,"")),"")</f>
        <v/>
      </c>
      <c r="K513" s="666" t="str">
        <f>IF(COUNT(K506,K508:K509)&gt;0,IF(COUNTIF(K507:K509,"&lt;0")&gt;0,EUconst_Negative,IF(COUNT(K506,K508:K509)&lt;3,EUconst_Incomplete,"")),"")</f>
        <v/>
      </c>
      <c r="L513" s="666" t="str">
        <f>IF(COUNT(L506,L508:L509)&gt;0,IF(COUNTIF(L507:L509,"&lt;0")&gt;0,EUconst_Negative,IF(COUNT(L506,L508:L509)&lt;3,EUconst_Incomplete,"")),"")</f>
        <v/>
      </c>
      <c r="M513" s="666" t="str">
        <f>IF(COUNT(M506,M508:M509)&gt;0,IF(COUNTIF(M507:M509,"&lt;0")&gt;0,EUconst_Negative,IF(COUNT(M506,M508:M509)&lt;3,EUconst_Incomplete,"")),"")</f>
        <v/>
      </c>
      <c r="N513" s="665"/>
      <c r="O513" s="16"/>
      <c r="P513" s="1037"/>
      <c r="R513" s="1037"/>
      <c r="AA513" s="608"/>
    </row>
    <row r="514" spans="2:27" ht="12.75" customHeight="1" x14ac:dyDescent="0.2">
      <c r="B514" s="207"/>
      <c r="C514" s="1060"/>
      <c r="D514" s="699"/>
      <c r="E514" s="1061"/>
      <c r="F514" s="1061"/>
      <c r="G514" s="1061"/>
      <c r="H514" s="1061"/>
      <c r="I514" s="1061"/>
      <c r="J514" s="1061"/>
      <c r="K514" s="1061"/>
      <c r="L514" s="1061"/>
      <c r="M514" s="1063"/>
      <c r="N514" s="665"/>
      <c r="O514" s="16"/>
      <c r="P514" s="1037"/>
      <c r="R514" s="1037"/>
      <c r="AA514" s="608"/>
    </row>
    <row r="515" spans="2:27" ht="12.75" customHeight="1" x14ac:dyDescent="0.2">
      <c r="B515" s="207"/>
      <c r="C515" s="1060"/>
      <c r="D515" s="699" t="s">
        <v>17</v>
      </c>
      <c r="E515" s="1760" t="str">
        <f>Translations!$B$751</f>
        <v>Nazwa dalszych strumieni materiałów wsadowych – 2:</v>
      </c>
      <c r="F515" s="1760"/>
      <c r="G515" s="1760"/>
      <c r="H515" s="1760"/>
      <c r="I515" s="1763"/>
      <c r="J515" s="1764"/>
      <c r="K515" s="1764"/>
      <c r="L515" s="1764"/>
      <c r="M515" s="1765"/>
      <c r="N515" s="1254"/>
      <c r="O515" s="16"/>
      <c r="P515" s="1037"/>
      <c r="R515" s="1037"/>
      <c r="AA515" s="345" t="b">
        <f>AA503</f>
        <v>0</v>
      </c>
    </row>
    <row r="516" spans="2:27" ht="5.0999999999999996" customHeight="1" x14ac:dyDescent="0.2">
      <c r="B516" s="207"/>
      <c r="C516" s="1060"/>
      <c r="D516" s="1061"/>
      <c r="E516" s="1256"/>
      <c r="F516" s="1253"/>
      <c r="G516" s="1253"/>
      <c r="H516" s="1253"/>
      <c r="I516" s="1253"/>
      <c r="J516" s="1253"/>
      <c r="K516" s="1253"/>
      <c r="L516" s="1253"/>
      <c r="M516" s="1253"/>
      <c r="N516" s="1254"/>
      <c r="O516" s="16"/>
      <c r="P516" s="1037"/>
      <c r="R516" s="1037"/>
      <c r="AA516" s="608"/>
    </row>
    <row r="517" spans="2:27" ht="12.75" customHeight="1" x14ac:dyDescent="0.2">
      <c r="B517" s="207"/>
      <c r="C517" s="1060"/>
      <c r="D517" s="699"/>
      <c r="E517" s="1757" t="str">
        <f>Translations!$B$752</f>
        <v>Dalsze strumienie materiałów wsadowych – 2:</v>
      </c>
      <c r="F517" s="1758"/>
      <c r="G517" s="1758"/>
      <c r="H517" s="450" t="str">
        <f>EUconst_Unit</f>
        <v>Jednostka</v>
      </c>
      <c r="I517" s="451">
        <f>I$1882</f>
        <v>2014</v>
      </c>
      <c r="J517" s="451">
        <f>J$1882</f>
        <v>2015</v>
      </c>
      <c r="K517" s="451">
        <f>K$1882</f>
        <v>2016</v>
      </c>
      <c r="L517" s="451">
        <f>L$1882</f>
        <v>2017</v>
      </c>
      <c r="M517" s="451">
        <f>M$1882</f>
        <v>2018</v>
      </c>
      <c r="N517" s="665"/>
      <c r="O517" s="16"/>
      <c r="P517" s="1037"/>
      <c r="R517" s="1037"/>
      <c r="AA517" s="608"/>
    </row>
    <row r="518" spans="2:27" ht="12.75" customHeight="1" x14ac:dyDescent="0.2">
      <c r="B518" s="207"/>
      <c r="C518" s="1060"/>
      <c r="D518" s="699" t="s">
        <v>18</v>
      </c>
      <c r="E518" s="1766" t="str">
        <f>Translations!$B$743</f>
        <v>Ilość wprowadzona lub wyprowadzona</v>
      </c>
      <c r="F518" s="1767"/>
      <c r="G518" s="1767"/>
      <c r="H518" s="454" t="str">
        <f>EUconst_tpa</f>
        <v>t / rok</v>
      </c>
      <c r="I518" s="331"/>
      <c r="J518" s="331"/>
      <c r="K518" s="331"/>
      <c r="L518" s="331"/>
      <c r="M518" s="331"/>
      <c r="N518" s="665"/>
      <c r="O518" s="16"/>
      <c r="P518" s="1037"/>
      <c r="R518" s="1037"/>
      <c r="AA518" s="345" t="b">
        <f>AA515</f>
        <v>0</v>
      </c>
    </row>
    <row r="519" spans="2:27" ht="12.75" customHeight="1" x14ac:dyDescent="0.2">
      <c r="B519" s="207"/>
      <c r="C519" s="1060"/>
      <c r="D519" s="699" t="s">
        <v>454</v>
      </c>
      <c r="E519" s="1771" t="str">
        <f>Translations!$B$744</f>
        <v>Wartość opałowa netto (NCV) (jeśli dotyczy)</v>
      </c>
      <c r="F519" s="1771"/>
      <c r="G519" s="1771"/>
      <c r="H519" s="541" t="str">
        <f>EUconst_GJpt</f>
        <v>GJ / t</v>
      </c>
      <c r="I519" s="330"/>
      <c r="J519" s="330"/>
      <c r="K519" s="330"/>
      <c r="L519" s="330"/>
      <c r="M519" s="330"/>
      <c r="N519" s="665"/>
      <c r="O519" s="16"/>
      <c r="P519" s="1037"/>
      <c r="R519" s="1037"/>
      <c r="AA519" s="345" t="b">
        <f>AA518</f>
        <v>0</v>
      </c>
    </row>
    <row r="520" spans="2:27" ht="12.75" customHeight="1" thickBot="1" x14ac:dyDescent="0.25">
      <c r="B520" s="207"/>
      <c r="C520" s="1060"/>
      <c r="D520" s="699" t="s">
        <v>455</v>
      </c>
      <c r="E520" s="1771" t="str">
        <f>Translations!$B$745</f>
        <v>Zawartość węgla (% masy)</v>
      </c>
      <c r="F520" s="1771"/>
      <c r="G520" s="1771"/>
      <c r="H520" s="542" t="s">
        <v>355</v>
      </c>
      <c r="I520" s="330"/>
      <c r="J520" s="330"/>
      <c r="K520" s="330"/>
      <c r="L520" s="330"/>
      <c r="M520" s="330"/>
      <c r="N520" s="665"/>
      <c r="O520" s="16"/>
      <c r="P520" s="1037"/>
      <c r="R520" s="1037"/>
      <c r="AA520" s="345" t="b">
        <f>AA519</f>
        <v>0</v>
      </c>
    </row>
    <row r="521" spans="2:27" ht="12.75" customHeight="1" thickBot="1" x14ac:dyDescent="0.25">
      <c r="B521" s="207"/>
      <c r="C521" s="1060"/>
      <c r="D521" s="699" t="s">
        <v>456</v>
      </c>
      <c r="E521" s="1744" t="str">
        <f>Translations!$B$746</f>
        <v>Zawartość biomasy (jako frakcja węgla)</v>
      </c>
      <c r="F521" s="1744"/>
      <c r="G521" s="1744"/>
      <c r="H521" s="473" t="s">
        <v>355</v>
      </c>
      <c r="I521" s="329"/>
      <c r="J521" s="329"/>
      <c r="K521" s="329"/>
      <c r="L521" s="329"/>
      <c r="M521" s="329"/>
      <c r="N521" s="665"/>
      <c r="O521" s="16"/>
      <c r="P521" s="1037"/>
      <c r="R521" s="1052"/>
      <c r="S521" s="814">
        <f>I517</f>
        <v>2014</v>
      </c>
      <c r="T521" s="814">
        <f>J517</f>
        <v>2015</v>
      </c>
      <c r="U521" s="814">
        <f>K517</f>
        <v>2016</v>
      </c>
      <c r="V521" s="814">
        <f>L517</f>
        <v>2017</v>
      </c>
      <c r="W521" s="815">
        <f>M517</f>
        <v>2018</v>
      </c>
      <c r="AA521" s="168" t="b">
        <f>AA520</f>
        <v>0</v>
      </c>
    </row>
    <row r="522" spans="2:27" ht="12.75" customHeight="1" thickBot="1" x14ac:dyDescent="0.25">
      <c r="B522" s="207"/>
      <c r="C522" s="1060"/>
      <c r="D522" s="699" t="s">
        <v>457</v>
      </c>
      <c r="E522" s="1767" t="str">
        <f>Translations!$B$747</f>
        <v>Emisje (kopalne, obliczone)</v>
      </c>
      <c r="F522" s="1767"/>
      <c r="G522" s="1767"/>
      <c r="H522" s="543" t="str">
        <f>EUconst_tCO2pa</f>
        <v>t CO2 / rok</v>
      </c>
      <c r="I522" s="325" t="str">
        <f>IF(AND(COUNT(I518:I521)&gt;0,I525=""),3.664*I518*(I520/100)*(1-I521/100),"")</f>
        <v/>
      </c>
      <c r="J522" s="325" t="str">
        <f>IF(AND(COUNT(J518:J521)&gt;0,J525=""),3.664*J518*(J520/100)*(1-J521/100),"")</f>
        <v/>
      </c>
      <c r="K522" s="325" t="str">
        <f>IF(AND(COUNT(K518:K521)&gt;0,K525=""),3.664*K518*(K520/100)*(1-K521/100),"")</f>
        <v/>
      </c>
      <c r="L522" s="325" t="str">
        <f>IF(AND(COUNT(L518:L521)&gt;0,L525=""),3.664*L518*(L520/100)*(1-L521/100),"")</f>
        <v/>
      </c>
      <c r="M522" s="325" t="str">
        <f>IF(AND(COUNT(M518:M521)&gt;0,M525=""),3.664*M518*(M520/100)*(1-M521/100),"")</f>
        <v/>
      </c>
      <c r="N522" s="665"/>
      <c r="O522" s="16"/>
      <c r="P522" s="1062" t="str">
        <f>EUconst_CNTR_EmissionsIntSource2 &amp; I433</f>
        <v>EmInternalSource2_</v>
      </c>
      <c r="R522" s="1053" t="str">
        <f>EUconst_CNTR_AttributedEmissions &amp; I433</f>
        <v>AttrEmissions_</v>
      </c>
      <c r="S522" s="119" t="str">
        <f>IF(S433,SUM(I522),"")</f>
        <v/>
      </c>
      <c r="T522" s="119" t="str">
        <f>IF(T433,SUM(J522),"")</f>
        <v/>
      </c>
      <c r="U522" s="119" t="str">
        <f>IF(U433,SUM(K522),"")</f>
        <v/>
      </c>
      <c r="V522" s="119" t="str">
        <f>IF(V433,SUM(L522),"")</f>
        <v/>
      </c>
      <c r="W522" s="120" t="str">
        <f>IF(W433,SUM(M522),"")</f>
        <v/>
      </c>
    </row>
    <row r="523" spans="2:27" ht="25.5" customHeight="1" x14ac:dyDescent="0.2">
      <c r="B523" s="207"/>
      <c r="C523" s="1060"/>
      <c r="D523" s="699" t="s">
        <v>458</v>
      </c>
      <c r="E523" s="1769" t="str">
        <f>Translations!$B$748</f>
        <v>Nota uzupełniająca: Emisje pochodzące z biomasy</v>
      </c>
      <c r="F523" s="1769"/>
      <c r="G523" s="1769"/>
      <c r="H523" s="544" t="str">
        <f>EUconst_tCO2pa</f>
        <v>t CO2 / rok</v>
      </c>
      <c r="I523" s="324" t="str">
        <f>IF(ISNUMBER(I522),3.664*I518*(I520/100)*(I521/100),"")</f>
        <v/>
      </c>
      <c r="J523" s="324" t="str">
        <f>IF(ISNUMBER(J522),3.664*J518*(J520/100)*(J521/100),"")</f>
        <v/>
      </c>
      <c r="K523" s="324" t="str">
        <f>IF(ISNUMBER(K522),3.664*K518*(K520/100)*(K521/100),"")</f>
        <v/>
      </c>
      <c r="L523" s="324" t="str">
        <f>IF(ISNUMBER(L522),3.664*L518*(L520/100)*(L521/100),"")</f>
        <v/>
      </c>
      <c r="M523" s="324" t="str">
        <f>IF(ISNUMBER(M522),3.664*M518*(M520/100)*(M521/100),"")</f>
        <v/>
      </c>
      <c r="N523" s="665"/>
      <c r="O523" s="16"/>
      <c r="P523" s="1037"/>
      <c r="R523" s="1037"/>
    </row>
    <row r="524" spans="2:27" ht="12.75" customHeight="1" x14ac:dyDescent="0.2">
      <c r="B524" s="207"/>
      <c r="C524" s="1060"/>
      <c r="D524" s="699" t="s">
        <v>459</v>
      </c>
      <c r="E524" s="1744" t="str">
        <f>Translations!$B$749</f>
        <v>Zawartość energii (obliczona)</v>
      </c>
      <c r="F524" s="1744"/>
      <c r="G524" s="1744"/>
      <c r="H524" s="545" t="str">
        <f>EUconst_TJpa</f>
        <v>TJ / rok</v>
      </c>
      <c r="I524" s="327" t="str">
        <f>IF(COUNT(I518:I519)=2,I518*I519/1000,"")</f>
        <v/>
      </c>
      <c r="J524" s="327" t="str">
        <f>IF(COUNT(J518:J519)=2,J518*J519/1000,"")</f>
        <v/>
      </c>
      <c r="K524" s="327" t="str">
        <f>IF(COUNT(K518:K519)=2,K518*K519/1000,"")</f>
        <v/>
      </c>
      <c r="L524" s="327" t="str">
        <f>IF(COUNT(L518:L519)=2,L518*L519/1000,"")</f>
        <v/>
      </c>
      <c r="M524" s="327" t="str">
        <f>IF(COUNT(M518:M519)=2,M518*M519/1000,"")</f>
        <v/>
      </c>
      <c r="N524" s="665"/>
      <c r="O524" s="16"/>
      <c r="P524" s="1037"/>
      <c r="R524" s="1037"/>
    </row>
    <row r="525" spans="2:27" ht="12.75" customHeight="1" x14ac:dyDescent="0.2">
      <c r="B525" s="207"/>
      <c r="C525" s="1060"/>
      <c r="D525" s="699" t="s">
        <v>455</v>
      </c>
      <c r="E525" s="1770" t="str">
        <f>Translations!$B$750</f>
        <v>Komunikaty o błędach (emisje)</v>
      </c>
      <c r="F525" s="1770"/>
      <c r="G525" s="1770"/>
      <c r="H525" s="546"/>
      <c r="I525" s="666" t="str">
        <f>IF(COUNT(I518,I520:I521)&gt;0,IF(COUNTIF(I519:I521,"&lt;0")&gt;0,EUconst_Negative,IF(COUNT(I518,I520:I521)&lt;3,EUconst_Incomplete,"")),"")</f>
        <v/>
      </c>
      <c r="J525" s="666" t="str">
        <f>IF(COUNT(J518,J520:J521)&gt;0,IF(COUNTIF(J519:J521,"&lt;0")&gt;0,EUconst_Negative,IF(COUNT(J518,J520:J521)&lt;3,EUconst_Incomplete,"")),"")</f>
        <v/>
      </c>
      <c r="K525" s="666" t="str">
        <f>IF(COUNT(K518,K520:K521)&gt;0,IF(COUNTIF(K519:K521,"&lt;0")&gt;0,EUconst_Negative,IF(COUNT(K518,K520:K521)&lt;3,EUconst_Incomplete,"")),"")</f>
        <v/>
      </c>
      <c r="L525" s="666" t="str">
        <f>IF(COUNT(L518,L520:L521)&gt;0,IF(COUNTIF(L519:L521,"&lt;0")&gt;0,EUconst_Negative,IF(COUNT(L518,L520:L521)&lt;3,EUconst_Incomplete,"")),"")</f>
        <v/>
      </c>
      <c r="M525" s="666" t="str">
        <f>IF(COUNT(M518,M520:M521)&gt;0,IF(COUNTIF(M519:M521,"&lt;0")&gt;0,EUconst_Negative,IF(COUNT(M518,M520:M521)&lt;3,EUconst_Incomplete,"")),"")</f>
        <v/>
      </c>
      <c r="N525" s="665"/>
      <c r="O525" s="16"/>
      <c r="P525" s="1037"/>
      <c r="R525" s="1037"/>
    </row>
    <row r="526" spans="2:27" ht="12.75" customHeight="1" x14ac:dyDescent="0.2">
      <c r="B526" s="207"/>
      <c r="C526" s="1060"/>
      <c r="D526" s="1061"/>
      <c r="E526" s="1061"/>
      <c r="F526" s="1061"/>
      <c r="G526" s="1061"/>
      <c r="H526" s="1061"/>
      <c r="I526" s="1061"/>
      <c r="J526" s="1061"/>
      <c r="K526" s="1061"/>
      <c r="L526" s="1061"/>
      <c r="M526" s="1063"/>
      <c r="N526" s="665"/>
      <c r="O526" s="16"/>
      <c r="P526" s="1037"/>
      <c r="R526" s="1037"/>
    </row>
    <row r="527" spans="2:27" ht="12.75" customHeight="1" thickBot="1" x14ac:dyDescent="0.25">
      <c r="B527" s="207"/>
      <c r="C527" s="1060"/>
      <c r="D527" s="462" t="s">
        <v>218</v>
      </c>
      <c r="E527" s="1731" t="str">
        <f>Translations!$B$753</f>
        <v>Ilość gazów cieplarnianych wprowadzonych lub wyprowadzonych w charakterze materiałów wsadowych</v>
      </c>
      <c r="F527" s="1734"/>
      <c r="G527" s="1734"/>
      <c r="H527" s="1734"/>
      <c r="I527" s="1734"/>
      <c r="J527" s="1734"/>
      <c r="K527" s="1734"/>
      <c r="L527" s="1734"/>
      <c r="M527" s="1734"/>
      <c r="N527" s="1735"/>
      <c r="O527" s="16"/>
      <c r="P527" s="1037"/>
      <c r="R527" s="1037"/>
    </row>
    <row r="528" spans="2:27" ht="12.75" customHeight="1" x14ac:dyDescent="0.2">
      <c r="B528" s="207"/>
      <c r="C528" s="1060"/>
      <c r="D528" s="462"/>
      <c r="E528" s="1757"/>
      <c r="F528" s="1758"/>
      <c r="G528" s="1758"/>
      <c r="H528" s="450" t="str">
        <f>EUconst_Unit</f>
        <v>Jednostka</v>
      </c>
      <c r="I528" s="451">
        <f>I$1882</f>
        <v>2014</v>
      </c>
      <c r="J528" s="451">
        <f>J$1882</f>
        <v>2015</v>
      </c>
      <c r="K528" s="451">
        <f>K$1882</f>
        <v>2016</v>
      </c>
      <c r="L528" s="451">
        <f>L$1882</f>
        <v>2017</v>
      </c>
      <c r="M528" s="451">
        <f>M$1882</f>
        <v>2018</v>
      </c>
      <c r="N528" s="665"/>
      <c r="O528" s="16"/>
      <c r="P528" s="1037"/>
      <c r="R528" s="1052"/>
      <c r="S528" s="814">
        <f>I528</f>
        <v>2014</v>
      </c>
      <c r="T528" s="814">
        <f>J528</f>
        <v>2015</v>
      </c>
      <c r="U528" s="814">
        <f>K528</f>
        <v>2016</v>
      </c>
      <c r="V528" s="814">
        <f>L528</f>
        <v>2017</v>
      </c>
      <c r="W528" s="815">
        <f>M528</f>
        <v>2018</v>
      </c>
    </row>
    <row r="529" spans="2:24" ht="12.75" customHeight="1" thickBot="1" x14ac:dyDescent="0.25">
      <c r="B529" s="207"/>
      <c r="C529" s="1060"/>
      <c r="D529" s="699"/>
      <c r="E529" s="1739" t="str">
        <f>Translations!$B$756</f>
        <v>Wprowadzone lub wyprowadzone gazy cieplarniane</v>
      </c>
      <c r="F529" s="1740"/>
      <c r="G529" s="1740"/>
      <c r="H529" s="453" t="str">
        <f>EUconst_tCO2epa</f>
        <v>t CO2e/rok</v>
      </c>
      <c r="I529" s="471"/>
      <c r="J529" s="471"/>
      <c r="K529" s="471"/>
      <c r="L529" s="471"/>
      <c r="M529" s="471"/>
      <c r="N529" s="1257"/>
      <c r="O529" s="16"/>
      <c r="P529" s="1062" t="str">
        <f>EUconst_CNTR_CO2Feedstock &amp; I433</f>
        <v>EmCO2Feedstock_</v>
      </c>
      <c r="R529" s="1053" t="str">
        <f>EUconst_CNTR_AttributedEmissions &amp; I433</f>
        <v>AttrEmissions_</v>
      </c>
      <c r="S529" s="119" t="str">
        <f>IF(S433,SUM(I529),"")</f>
        <v/>
      </c>
      <c r="T529" s="119" t="str">
        <f>IF(T433,SUM(J529),"")</f>
        <v/>
      </c>
      <c r="U529" s="119" t="str">
        <f>IF(U433,SUM(K529),"")</f>
        <v/>
      </c>
      <c r="V529" s="119" t="str">
        <f>IF(V433,SUM(L529),"")</f>
        <v/>
      </c>
      <c r="W529" s="120" t="str">
        <f>IF(W433,SUM(M529),"")</f>
        <v/>
      </c>
    </row>
    <row r="530" spans="2:24" ht="12.75" customHeight="1" x14ac:dyDescent="0.2">
      <c r="B530" s="207"/>
      <c r="C530" s="1060"/>
      <c r="D530" s="1061"/>
      <c r="E530" s="1061"/>
      <c r="F530" s="1061"/>
      <c r="G530" s="1061"/>
      <c r="H530" s="1061"/>
      <c r="I530" s="1061"/>
      <c r="J530" s="1061"/>
      <c r="K530" s="1061"/>
      <c r="L530" s="1061"/>
      <c r="M530" s="1063"/>
      <c r="N530" s="665"/>
      <c r="O530" s="16"/>
      <c r="P530" s="1037"/>
      <c r="R530" s="1037"/>
    </row>
    <row r="531" spans="2:24" ht="12.75" customHeight="1" x14ac:dyDescent="0.2">
      <c r="B531" s="207"/>
      <c r="C531" s="1060"/>
      <c r="D531" s="462" t="s">
        <v>219</v>
      </c>
      <c r="E531" s="1731" t="str">
        <f>Translations!$B$757</f>
        <v>Mierzalne ciepło wprowadzone do tej podinstalacji i z niej wyprowadzone</v>
      </c>
      <c r="F531" s="1734"/>
      <c r="G531" s="1734"/>
      <c r="H531" s="1734"/>
      <c r="I531" s="1734"/>
      <c r="J531" s="1734"/>
      <c r="K531" s="1734"/>
      <c r="L531" s="1734"/>
      <c r="M531" s="1734"/>
      <c r="N531" s="1735"/>
      <c r="O531" s="16"/>
      <c r="P531" s="1037"/>
      <c r="R531" s="1037"/>
    </row>
    <row r="532" spans="2:24" ht="12.75" customHeight="1" thickBot="1" x14ac:dyDescent="0.25">
      <c r="B532" s="207"/>
      <c r="C532" s="1060"/>
      <c r="D532" s="1061"/>
      <c r="E532" s="1674" t="str">
        <f>Translations!$B$762</f>
        <v>W celu przypisania emisji z kogeneracji (CHP) do wytwarzania ciepła należy zastosować „narzędzie dotyczące CHP” w części D.III. niniejszego formularza.</v>
      </c>
      <c r="F532" s="1674"/>
      <c r="G532" s="1674"/>
      <c r="H532" s="1674"/>
      <c r="I532" s="1674"/>
      <c r="J532" s="1674"/>
      <c r="K532" s="1674"/>
      <c r="L532" s="1674"/>
      <c r="M532" s="1674"/>
      <c r="N532" s="1257"/>
      <c r="O532" s="16"/>
      <c r="P532" s="1037"/>
    </row>
    <row r="533" spans="2:24" ht="12.75" customHeight="1" x14ac:dyDescent="0.2">
      <c r="B533" s="207"/>
      <c r="C533" s="1060"/>
      <c r="D533" s="1061"/>
      <c r="E533" s="1757" t="str">
        <f>Translations!$B$763</f>
        <v>Całkowite ciepło wprowadzone</v>
      </c>
      <c r="F533" s="1758"/>
      <c r="G533" s="1758"/>
      <c r="H533" s="450" t="str">
        <f>EUconst_Unit</f>
        <v>Jednostka</v>
      </c>
      <c r="I533" s="451">
        <f>I$1882</f>
        <v>2014</v>
      </c>
      <c r="J533" s="451">
        <f>J$1882</f>
        <v>2015</v>
      </c>
      <c r="K533" s="451">
        <f>K$1882</f>
        <v>2016</v>
      </c>
      <c r="L533" s="451">
        <f>L$1882</f>
        <v>2017</v>
      </c>
      <c r="M533" s="451">
        <f>M$1882</f>
        <v>2018</v>
      </c>
      <c r="N533" s="1257"/>
      <c r="O533" s="16"/>
      <c r="P533" s="1037"/>
      <c r="R533" s="1052"/>
      <c r="S533" s="814">
        <f>I533</f>
        <v>2014</v>
      </c>
      <c r="T533" s="814">
        <f>J533</f>
        <v>2015</v>
      </c>
      <c r="U533" s="814">
        <f>K533</f>
        <v>2016</v>
      </c>
      <c r="V533" s="814">
        <f>L533</f>
        <v>2017</v>
      </c>
      <c r="W533" s="815">
        <f>M533</f>
        <v>2018</v>
      </c>
    </row>
    <row r="534" spans="2:24" ht="12.75" customHeight="1" x14ac:dyDescent="0.2">
      <c r="B534" s="207"/>
      <c r="C534" s="1060"/>
      <c r="D534" s="699" t="s">
        <v>2</v>
      </c>
      <c r="E534" s="1739" t="str">
        <f>Translations!$B$764</f>
        <v>Ciepło wprowadzone netto</v>
      </c>
      <c r="F534" s="1740"/>
      <c r="G534" s="1740"/>
      <c r="H534" s="453" t="str">
        <f>EUconst_TJpa</f>
        <v>TJ / rok</v>
      </c>
      <c r="I534" s="471"/>
      <c r="J534" s="471"/>
      <c r="K534" s="471"/>
      <c r="L534" s="471"/>
      <c r="M534" s="471"/>
      <c r="N534" s="702"/>
      <c r="O534" s="16"/>
      <c r="P534" s="1062" t="str">
        <f>EUconst_CNTR_HeatImport &amp; I433</f>
        <v>HeatIm_</v>
      </c>
      <c r="R534" s="1064" t="str">
        <f>EUconst_ERR_AttrEmBMapplied &amp; I433</f>
        <v>ERR_AttrEmBM_ </v>
      </c>
      <c r="S534" s="116">
        <f>IF(AND(I534&lt;&gt;0,I535="",EUconst_StatusOfDataCollection=FALSE),1,0)</f>
        <v>0</v>
      </c>
      <c r="T534" s="116">
        <f>IF(AND(J534&lt;&gt;0,J535="",EUconst_StatusOfDataCollection=FALSE),1,0)</f>
        <v>0</v>
      </c>
      <c r="U534" s="116">
        <f>IF(AND(K534&lt;&gt;0,K535="",EUconst_StatusOfDataCollection=FALSE),1,0)</f>
        <v>0</v>
      </c>
      <c r="V534" s="116">
        <f>IF(AND(L534&lt;&gt;0,L535="",EUconst_StatusOfDataCollection=FALSE),1,0)</f>
        <v>0</v>
      </c>
      <c r="W534" s="117">
        <f>IF(AND(M534&lt;&gt;0,M535="",EUconst_StatusOfDataCollection=FALSE),1,0)</f>
        <v>0</v>
      </c>
      <c r="X534" s="45"/>
    </row>
    <row r="535" spans="2:24" ht="25.5" customHeight="1" thickBot="1" x14ac:dyDescent="0.25">
      <c r="B535" s="207"/>
      <c r="C535" s="1060"/>
      <c r="D535" s="699" t="s">
        <v>3</v>
      </c>
      <c r="E535" s="1739" t="str">
        <f>Translations!$B$765</f>
        <v>Właściwy współczynnik emisji (ciepło wprowadzone)</v>
      </c>
      <c r="F535" s="1740"/>
      <c r="G535" s="1740"/>
      <c r="H535" s="453" t="str">
        <f>EUconst_tCO2pTJ</f>
        <v>t CO2 / TJ</v>
      </c>
      <c r="I535" s="764"/>
      <c r="J535" s="764"/>
      <c r="K535" s="764"/>
      <c r="L535" s="764"/>
      <c r="M535" s="764"/>
      <c r="N535" s="665"/>
      <c r="O535" s="16"/>
      <c r="P535" s="1062" t="str">
        <f>EUconst_CNTR_HeatImportEF &amp; I433</f>
        <v>HeatImEF_</v>
      </c>
      <c r="R535" s="1053" t="str">
        <f>EUconst_CNTR_AttributedEmissions &amp; I433</f>
        <v>AttrEmissions_</v>
      </c>
      <c r="S535" s="119" t="str">
        <f>IF(S433,SUM(I534)*IF(ISNUMBER(I535),I535,EUconst_HeatBMvalue),"")</f>
        <v/>
      </c>
      <c r="T535" s="119" t="str">
        <f>IF(T433,SUM(J534)*IF(ISNUMBER(J535),J535,EUconst_HeatBMvalue),"")</f>
        <v/>
      </c>
      <c r="U535" s="119" t="str">
        <f>IF(U433,SUM(K534)*IF(ISNUMBER(K535),K535,EUconst_HeatBMvalue),"")</f>
        <v/>
      </c>
      <c r="V535" s="119" t="str">
        <f>IF(V433,SUM(L534)*IF(ISNUMBER(L535),L535,EUconst_HeatBMvalue),"")</f>
        <v/>
      </c>
      <c r="W535" s="120" t="str">
        <f>IF(W433,SUM(M534)*IF(ISNUMBER(M535),M535,EUconst_HeatBMvalue),"")</f>
        <v/>
      </c>
    </row>
    <row r="536" spans="2:24" ht="5.0999999999999996" customHeight="1" x14ac:dyDescent="0.2">
      <c r="B536" s="207"/>
      <c r="C536" s="1060"/>
      <c r="D536" s="1061"/>
      <c r="E536" s="1061"/>
      <c r="F536" s="1061"/>
      <c r="G536" s="1061"/>
      <c r="H536" s="1061"/>
      <c r="I536" s="1061"/>
      <c r="J536" s="1061"/>
      <c r="K536" s="1061"/>
      <c r="L536" s="1061"/>
      <c r="M536" s="1063"/>
      <c r="N536" s="665"/>
      <c r="O536" s="16"/>
      <c r="P536" s="1037"/>
      <c r="R536" s="1037"/>
      <c r="S536" s="1037"/>
    </row>
    <row r="537" spans="2:24" ht="12.75" customHeight="1" x14ac:dyDescent="0.2">
      <c r="B537" s="207"/>
      <c r="C537" s="1060"/>
      <c r="D537" s="1061"/>
      <c r="E537" s="1757" t="str">
        <f>Translations!$B$766</f>
        <v>Szczególne wprowadzenie ciepła</v>
      </c>
      <c r="F537" s="1757"/>
      <c r="G537" s="1757"/>
      <c r="H537" s="450" t="str">
        <f>EUconst_Unit</f>
        <v>Jednostka</v>
      </c>
      <c r="I537" s="451">
        <f>I$1882</f>
        <v>2014</v>
      </c>
      <c r="J537" s="451">
        <f>J$1882</f>
        <v>2015</v>
      </c>
      <c r="K537" s="451">
        <f>K$1882</f>
        <v>2016</v>
      </c>
      <c r="L537" s="451">
        <f>L$1882</f>
        <v>2017</v>
      </c>
      <c r="M537" s="451">
        <f>M$1882</f>
        <v>2018</v>
      </c>
      <c r="N537" s="1257"/>
      <c r="O537" s="16"/>
      <c r="P537" s="1037"/>
      <c r="R537" s="1037"/>
      <c r="S537" s="1037"/>
    </row>
    <row r="538" spans="2:24" ht="25.5" customHeight="1" x14ac:dyDescent="0.2">
      <c r="B538" s="207"/>
      <c r="C538" s="1060"/>
      <c r="D538" s="699" t="s">
        <v>4</v>
      </c>
      <c r="E538" s="1739" t="str">
        <f>Translations!$B$820</f>
        <v>Ciepło wprowadzone netto z masy celulozowej</v>
      </c>
      <c r="F538" s="1740"/>
      <c r="G538" s="1740"/>
      <c r="H538" s="453" t="str">
        <f>EUconst_TJpa</f>
        <v>TJ / rok</v>
      </c>
      <c r="I538" s="540"/>
      <c r="J538" s="540"/>
      <c r="K538" s="540"/>
      <c r="L538" s="540"/>
      <c r="M538" s="540"/>
      <c r="N538" s="702"/>
      <c r="O538" s="16"/>
      <c r="P538" s="1062" t="str">
        <f>EUconst_CNTR_HeatImportPulp &amp; I433</f>
        <v>HeatImPulp_</v>
      </c>
      <c r="R538" s="1037"/>
      <c r="S538" s="1037"/>
    </row>
    <row r="539" spans="2:24" ht="25.5" customHeight="1" x14ac:dyDescent="0.2">
      <c r="B539" s="207"/>
      <c r="C539" s="1060"/>
      <c r="D539" s="699" t="s">
        <v>6</v>
      </c>
      <c r="E539" s="1739" t="str">
        <f>Translations!$B$768</f>
        <v>Ciepło wprowadzone netto z podinstalacji wytwarzającej kwas azotowy</v>
      </c>
      <c r="F539" s="1740"/>
      <c r="G539" s="1740"/>
      <c r="H539" s="453" t="str">
        <f>EUconst_TJpa</f>
        <v>TJ / rok</v>
      </c>
      <c r="I539" s="471"/>
      <c r="J539" s="471"/>
      <c r="K539" s="471"/>
      <c r="L539" s="471"/>
      <c r="M539" s="471"/>
      <c r="N539" s="702"/>
      <c r="O539" s="16"/>
      <c r="P539" s="1062" t="str">
        <f>EUconst_CNTR_HeatImportNitric &amp; I433</f>
        <v>HeatImNitric_</v>
      </c>
      <c r="R539" s="1037"/>
      <c r="S539" s="1037"/>
    </row>
    <row r="540" spans="2:24" ht="5.0999999999999996" customHeight="1" thickBot="1" x14ac:dyDescent="0.25">
      <c r="B540" s="207"/>
      <c r="C540" s="1060"/>
      <c r="D540" s="1061"/>
      <c r="E540" s="1061"/>
      <c r="F540" s="1061"/>
      <c r="G540" s="1061"/>
      <c r="H540" s="1061"/>
      <c r="I540" s="1061"/>
      <c r="J540" s="1061"/>
      <c r="K540" s="1061"/>
      <c r="L540" s="1061"/>
      <c r="M540" s="1063"/>
      <c r="N540" s="665"/>
      <c r="O540" s="16"/>
      <c r="P540" s="1037"/>
      <c r="R540" s="1037"/>
      <c r="S540" s="1037"/>
    </row>
    <row r="541" spans="2:24" ht="12.75" customHeight="1" x14ac:dyDescent="0.2">
      <c r="B541" s="207"/>
      <c r="C541" s="1060"/>
      <c r="D541" s="1061"/>
      <c r="E541" s="1757" t="str">
        <f>Translations!$B$769</f>
        <v>Całkowite ciepło wyprowadzone</v>
      </c>
      <c r="F541" s="1757"/>
      <c r="G541" s="1757"/>
      <c r="H541" s="450" t="str">
        <f>EUconst_Unit</f>
        <v>Jednostka</v>
      </c>
      <c r="I541" s="451">
        <f>I$1882</f>
        <v>2014</v>
      </c>
      <c r="J541" s="451">
        <f>J$1882</f>
        <v>2015</v>
      </c>
      <c r="K541" s="451">
        <f>K$1882</f>
        <v>2016</v>
      </c>
      <c r="L541" s="451">
        <f>L$1882</f>
        <v>2017</v>
      </c>
      <c r="M541" s="451">
        <f>M$1882</f>
        <v>2018</v>
      </c>
      <c r="N541" s="1257"/>
      <c r="O541" s="16"/>
      <c r="P541" s="1037"/>
      <c r="R541" s="1052"/>
      <c r="S541" s="814">
        <f>I541</f>
        <v>2014</v>
      </c>
      <c r="T541" s="814">
        <f>J541</f>
        <v>2015</v>
      </c>
      <c r="U541" s="814">
        <f>K541</f>
        <v>2016</v>
      </c>
      <c r="V541" s="814">
        <f>L541</f>
        <v>2017</v>
      </c>
      <c r="W541" s="815">
        <f>M541</f>
        <v>2018</v>
      </c>
    </row>
    <row r="542" spans="2:24" ht="12.75" customHeight="1" x14ac:dyDescent="0.2">
      <c r="B542" s="207"/>
      <c r="C542" s="1060"/>
      <c r="D542" s="699" t="s">
        <v>316</v>
      </c>
      <c r="E542" s="1739" t="str">
        <f>Translations!$B$770</f>
        <v>Ciepło wyprowadzone netto</v>
      </c>
      <c r="F542" s="1740"/>
      <c r="G542" s="1740"/>
      <c r="H542" s="453" t="str">
        <f>EUconst_TJpa</f>
        <v>TJ / rok</v>
      </c>
      <c r="I542" s="471"/>
      <c r="J542" s="471"/>
      <c r="K542" s="471"/>
      <c r="L542" s="471"/>
      <c r="M542" s="471"/>
      <c r="N542" s="702"/>
      <c r="O542" s="16"/>
      <c r="P542" s="1062" t="str">
        <f>EUconst_CNTR_HeatExport &amp; I433</f>
        <v>HeatEx_</v>
      </c>
      <c r="R542" s="1064" t="str">
        <f>EUconst_ERR_AttrEmBMapplied &amp; I433</f>
        <v>ERR_AttrEmBM_ </v>
      </c>
      <c r="S542" s="116">
        <f>IF(AND(I542&lt;&gt;0,I543="",EUconst_StatusOfDataCollection=FALSE),1,0)</f>
        <v>0</v>
      </c>
      <c r="T542" s="116">
        <f>IF(AND(J542&lt;&gt;0,J543="",EUconst_StatusOfDataCollection=FALSE),1,0)</f>
        <v>0</v>
      </c>
      <c r="U542" s="116">
        <f>IF(AND(K542&lt;&gt;0,K543="",EUconst_StatusOfDataCollection=FALSE),1,0)</f>
        <v>0</v>
      </c>
      <c r="V542" s="116">
        <f>IF(AND(L542&lt;&gt;0,L543="",EUconst_StatusOfDataCollection=FALSE),1,0)</f>
        <v>0</v>
      </c>
      <c r="W542" s="117">
        <f>IF(AND(M542&lt;&gt;0,M543="",EUconst_StatusOfDataCollection=FALSE),1,0)</f>
        <v>0</v>
      </c>
    </row>
    <row r="543" spans="2:24" ht="25.5" customHeight="1" thickBot="1" x14ac:dyDescent="0.25">
      <c r="B543" s="207"/>
      <c r="C543" s="1060"/>
      <c r="D543" s="699" t="s">
        <v>317</v>
      </c>
      <c r="E543" s="1739" t="str">
        <f>Translations!$B$771</f>
        <v>Właściwy współczynnik emisji (ciepło wyprowadzone)</v>
      </c>
      <c r="F543" s="1740"/>
      <c r="G543" s="1740"/>
      <c r="H543" s="453" t="str">
        <f>EUconst_tCO2pTJ</f>
        <v>t CO2 / TJ</v>
      </c>
      <c r="I543" s="764"/>
      <c r="J543" s="764"/>
      <c r="K543" s="764"/>
      <c r="L543" s="764"/>
      <c r="M543" s="764"/>
      <c r="N543" s="665"/>
      <c r="O543" s="16"/>
      <c r="P543" s="1062" t="str">
        <f>EUconst_CNTR_HeatExportEF &amp; I433</f>
        <v>HeatExEF_</v>
      </c>
      <c r="R543" s="1053" t="str">
        <f>EUconst_CNTR_AttributedEmissions &amp; I433</f>
        <v>AttrEmissions_</v>
      </c>
      <c r="S543" s="119" t="str">
        <f>IF(S433,-SUM(I542)*IF(INDEX(EUconst_BMlistNumberOfBM,MATCH($I433,EUconst_BMlistNames,0))=39,0,IF(ISNUMBER(I543),I543,EUconst_HeatBMvalue)),"")</f>
        <v/>
      </c>
      <c r="T543" s="119" t="str">
        <f>IF(T433,-SUM(J542)*IF(INDEX(EUconst_BMlistNumberOfBM,MATCH($I433,EUconst_BMlistNames,0))=39,0,IF(ISNUMBER(J543),J543,EUconst_HeatBMvalue)),"")</f>
        <v/>
      </c>
      <c r="U543" s="119" t="str">
        <f>IF(U433,-SUM(K542)*IF(INDEX(EUconst_BMlistNumberOfBM,MATCH($I433,EUconst_BMlistNames,0))=39,0,IF(ISNUMBER(K543),K543,EUconst_HeatBMvalue)),"")</f>
        <v/>
      </c>
      <c r="V543" s="119" t="str">
        <f>IF(V433,-SUM(L542)*IF(INDEX(EUconst_BMlistNumberOfBM,MATCH($I433,EUconst_BMlistNames,0))=39,0,IF(ISNUMBER(L543),L543,EUconst_HeatBMvalue)),"")</f>
        <v/>
      </c>
      <c r="W543" s="120" t="str">
        <f>IF(W433,-SUM(M542)*IF(INDEX(EUconst_BMlistNumberOfBM,MATCH($I433,EUconst_BMlistNames,0))=39,0,IF(ISNUMBER(M543),M543,EUconst_HeatBMvalue)),"")</f>
        <v/>
      </c>
    </row>
    <row r="544" spans="2:24" ht="12.75" customHeight="1" x14ac:dyDescent="0.2">
      <c r="B544" s="207"/>
      <c r="C544" s="1060"/>
      <c r="D544" s="1061"/>
      <c r="E544" s="1061"/>
      <c r="F544" s="1061"/>
      <c r="G544" s="1061"/>
      <c r="H544" s="1061"/>
      <c r="I544" s="1061"/>
      <c r="J544" s="1061"/>
      <c r="K544" s="1061"/>
      <c r="L544" s="1061"/>
      <c r="M544" s="1063"/>
      <c r="N544" s="665"/>
      <c r="O544" s="16"/>
      <c r="P544" s="1037"/>
      <c r="R544" s="1037"/>
      <c r="S544" s="1037"/>
    </row>
    <row r="545" spans="2:27" ht="12.75" customHeight="1" x14ac:dyDescent="0.2">
      <c r="B545" s="207"/>
      <c r="C545" s="1060"/>
      <c r="D545" s="462" t="s">
        <v>220</v>
      </c>
      <c r="E545" s="1731" t="str">
        <f>Translations!$B$772</f>
        <v>Bilans gazów odlotowych dla tej podinstalacji</v>
      </c>
      <c r="F545" s="1734"/>
      <c r="G545" s="1734"/>
      <c r="H545" s="1734"/>
      <c r="I545" s="1734"/>
      <c r="J545" s="1734"/>
      <c r="K545" s="1734"/>
      <c r="L545" s="1734"/>
      <c r="M545" s="1734"/>
      <c r="N545" s="1735"/>
      <c r="O545" s="16"/>
      <c r="P545" s="1037"/>
      <c r="R545" s="1037"/>
      <c r="S545" s="1037"/>
    </row>
    <row r="546" spans="2:27" ht="5.0999999999999996" customHeight="1" thickBot="1" x14ac:dyDescent="0.25">
      <c r="B546" s="207"/>
      <c r="C546" s="1060"/>
      <c r="D546" s="1061"/>
      <c r="E546" s="1733"/>
      <c r="F546" s="1733"/>
      <c r="G546" s="1733"/>
      <c r="H546" s="1733"/>
      <c r="I546" s="1733"/>
      <c r="J546" s="1733"/>
      <c r="K546" s="1733"/>
      <c r="L546" s="1733"/>
      <c r="M546" s="1733"/>
      <c r="N546" s="1768"/>
      <c r="O546" s="16"/>
      <c r="P546" s="1037"/>
      <c r="R546" s="1037"/>
      <c r="S546" s="1037"/>
    </row>
    <row r="547" spans="2:27" ht="12.75" customHeight="1" thickBot="1" x14ac:dyDescent="0.25">
      <c r="B547" s="207"/>
      <c r="C547" s="1060"/>
      <c r="D547" s="699" t="s">
        <v>2</v>
      </c>
      <c r="E547" s="1741" t="str">
        <f>Translations!$B$773</f>
        <v>Czy gazy odlotowe dotyczą tej podinstalacji?</v>
      </c>
      <c r="F547" s="1741"/>
      <c r="G547" s="1741"/>
      <c r="H547" s="1741"/>
      <c r="I547" s="1741"/>
      <c r="J547" s="1741"/>
      <c r="K547" s="1742"/>
      <c r="L547" s="517"/>
      <c r="M547" s="1253"/>
      <c r="N547" s="1254"/>
      <c r="O547" s="16"/>
      <c r="P547" s="1037"/>
      <c r="R547" s="1037"/>
      <c r="W547" s="1048" t="s">
        <v>414</v>
      </c>
      <c r="X547" s="1046" t="b">
        <f>IF(AND(I433&lt;&gt;"",ISBLANK(L547)),EUconst_Error&amp;"BM"&amp;C433,FALSE)</f>
        <v>0</v>
      </c>
    </row>
    <row r="548" spans="2:27" ht="5.0999999999999996" customHeight="1" thickBot="1" x14ac:dyDescent="0.25">
      <c r="B548" s="207"/>
      <c r="C548" s="1060"/>
      <c r="D548" s="1061"/>
      <c r="E548" s="1733"/>
      <c r="F548" s="1734"/>
      <c r="G548" s="1734"/>
      <c r="H548" s="1734"/>
      <c r="I548" s="1734"/>
      <c r="J548" s="1734"/>
      <c r="K548" s="1734"/>
      <c r="L548" s="1734"/>
      <c r="M548" s="1734"/>
      <c r="N548" s="1735"/>
      <c r="O548" s="16"/>
      <c r="P548" s="1037"/>
      <c r="R548" s="1037"/>
      <c r="AA548" s="422" t="s">
        <v>272</v>
      </c>
    </row>
    <row r="549" spans="2:27" ht="12.75" customHeight="1" x14ac:dyDescent="0.2">
      <c r="B549" s="207"/>
      <c r="C549" s="1060"/>
      <c r="D549" s="699" t="s">
        <v>3</v>
      </c>
      <c r="E549" s="1760" t="str">
        <f>Translations!$B$775</f>
        <v>Rodzaje wytworzonych gazów odlotowych:</v>
      </c>
      <c r="F549" s="1760"/>
      <c r="G549" s="1760"/>
      <c r="H549" s="1760"/>
      <c r="I549" s="1763"/>
      <c r="J549" s="1764"/>
      <c r="K549" s="1764"/>
      <c r="L549" s="1764"/>
      <c r="M549" s="1765"/>
      <c r="N549" s="1254"/>
      <c r="O549" s="16"/>
      <c r="P549" s="1037"/>
      <c r="R549" s="1037"/>
      <c r="AA549" s="646" t="b">
        <f>IF(I433&lt;&gt;"",AND(L547&lt;&gt;"",L547=FALSE),FALSE)</f>
        <v>0</v>
      </c>
    </row>
    <row r="550" spans="2:27" ht="5.0999999999999996" customHeight="1" x14ac:dyDescent="0.2">
      <c r="B550" s="207"/>
      <c r="C550" s="1060"/>
      <c r="D550" s="1061"/>
      <c r="E550" s="1733"/>
      <c r="F550" s="1734"/>
      <c r="G550" s="1734"/>
      <c r="H550" s="1734"/>
      <c r="I550" s="1734"/>
      <c r="J550" s="1734"/>
      <c r="K550" s="1734"/>
      <c r="L550" s="1734"/>
      <c r="M550" s="1734"/>
      <c r="N550" s="1735"/>
      <c r="O550" s="16"/>
      <c r="P550" s="1037"/>
      <c r="R550" s="1037"/>
      <c r="S550" s="1037"/>
      <c r="AA550" s="608"/>
    </row>
    <row r="551" spans="2:27" ht="12.75" customHeight="1" x14ac:dyDescent="0.2">
      <c r="B551" s="207"/>
      <c r="C551" s="1060"/>
      <c r="D551" s="1061"/>
      <c r="E551" s="1757"/>
      <c r="F551" s="1758"/>
      <c r="G551" s="1758"/>
      <c r="H551" s="450" t="str">
        <f>EUconst_Unit</f>
        <v>Jednostka</v>
      </c>
      <c r="I551" s="451">
        <f>I$1882</f>
        <v>2014</v>
      </c>
      <c r="J551" s="451">
        <f>J$1882</f>
        <v>2015</v>
      </c>
      <c r="K551" s="451">
        <f>K$1882</f>
        <v>2016</v>
      </c>
      <c r="L551" s="451">
        <f>L$1882</f>
        <v>2017</v>
      </c>
      <c r="M551" s="451">
        <f>M$1882</f>
        <v>2018</v>
      </c>
      <c r="N551" s="1257"/>
      <c r="O551" s="16"/>
      <c r="P551" s="1037"/>
      <c r="R551" s="1037"/>
      <c r="S551" s="1037"/>
      <c r="AA551" s="608"/>
    </row>
    <row r="552" spans="2:27" ht="12.75" customHeight="1" x14ac:dyDescent="0.2">
      <c r="B552" s="207"/>
      <c r="C552" s="1060"/>
      <c r="D552" s="699" t="s">
        <v>4</v>
      </c>
      <c r="E552" s="1766" t="str">
        <f>Translations!$B$777</f>
        <v>Ilości wytworzone</v>
      </c>
      <c r="F552" s="1767"/>
      <c r="G552" s="1767"/>
      <c r="H552" s="231"/>
      <c r="I552" s="472"/>
      <c r="J552" s="472"/>
      <c r="K552" s="472"/>
      <c r="L552" s="472"/>
      <c r="M552" s="472"/>
      <c r="N552" s="1257"/>
      <c r="O552" s="16"/>
      <c r="P552" s="1037"/>
      <c r="R552" s="1037"/>
      <c r="S552" s="1037"/>
      <c r="AA552" s="345" t="b">
        <f>AA549</f>
        <v>0</v>
      </c>
    </row>
    <row r="553" spans="2:27" ht="12.75" customHeight="1" x14ac:dyDescent="0.2">
      <c r="B553" s="207"/>
      <c r="C553" s="1060"/>
      <c r="D553" s="699" t="s">
        <v>6</v>
      </c>
      <c r="E553" s="1743" t="str">
        <f>Translations!$B$470</f>
        <v>Wartość opałowa</v>
      </c>
      <c r="F553" s="1744"/>
      <c r="G553" s="1744"/>
      <c r="H553" s="56" t="str">
        <f>IF(ISBLANK(H552),EUconst_GJperUnit,INDEX(EUconst_GJperTorKNm3,MATCH(H552,EUconst_TonnesOrkNm3pa,0)))</f>
        <v>GJ / Jednostka</v>
      </c>
      <c r="I553" s="446"/>
      <c r="J553" s="446"/>
      <c r="K553" s="446"/>
      <c r="L553" s="446"/>
      <c r="M553" s="446"/>
      <c r="N553" s="1257"/>
      <c r="O553" s="16"/>
      <c r="R553" s="1037"/>
      <c r="S553" s="1037"/>
      <c r="T553" s="1037"/>
      <c r="U553" s="1037"/>
      <c r="V553" s="1037"/>
      <c r="W553" s="1037"/>
      <c r="AA553" s="345" t="b">
        <f>AA552</f>
        <v>0</v>
      </c>
    </row>
    <row r="554" spans="2:27" ht="12.75" customHeight="1" x14ac:dyDescent="0.2">
      <c r="B554" s="207"/>
      <c r="C554" s="1060"/>
      <c r="D554" s="699" t="s">
        <v>316</v>
      </c>
      <c r="E554" s="1739" t="str">
        <f>Translations!$B$778</f>
        <v>Gazy odlotowe wytworzone</v>
      </c>
      <c r="F554" s="1740"/>
      <c r="G554" s="1740"/>
      <c r="H554" s="453" t="str">
        <f>EUconst_TJpa</f>
        <v>TJ / rok</v>
      </c>
      <c r="I554" s="513" t="str">
        <f>IF(COUNT(I552:I553)=2,I552*I553/1000,"")</f>
        <v/>
      </c>
      <c r="J554" s="513" t="str">
        <f>IF(COUNT(J552:J553)=2,J552*J553/1000,"")</f>
        <v/>
      </c>
      <c r="K554" s="513" t="str">
        <f>IF(COUNT(K552:K553)=2,K552*K553/1000,"")</f>
        <v/>
      </c>
      <c r="L554" s="513" t="str">
        <f>IF(COUNT(L552:L553)=2,L552*L553/1000,"")</f>
        <v/>
      </c>
      <c r="M554" s="513" t="str">
        <f>IF(COUNT(M552:M553)=2,M552*M553/1000,"")</f>
        <v/>
      </c>
      <c r="N554" s="1257"/>
      <c r="O554" s="16"/>
      <c r="P554" s="1062" t="str">
        <f>EUconst_CNTR_WGProduced &amp; I433</f>
        <v>WasteGasProd_</v>
      </c>
      <c r="R554" s="1037"/>
      <c r="S554" s="1037"/>
      <c r="T554" s="1037"/>
      <c r="U554" s="1037"/>
      <c r="V554" s="1037"/>
      <c r="W554" s="1037"/>
      <c r="AA554" s="608"/>
    </row>
    <row r="555" spans="2:27" ht="25.5" customHeight="1" x14ac:dyDescent="0.2">
      <c r="B555" s="207"/>
      <c r="C555" s="1060"/>
      <c r="D555" s="699" t="s">
        <v>317</v>
      </c>
      <c r="E555" s="1739" t="str">
        <f>Translations!$B$779</f>
        <v>Właściwy współczynnik emisji (gazy odlotowe wytworzone)</v>
      </c>
      <c r="F555" s="1740"/>
      <c r="G555" s="1740"/>
      <c r="H555" s="453" t="str">
        <f>EUconst_tCO2pTJ</f>
        <v>t CO2 / TJ</v>
      </c>
      <c r="I555" s="471"/>
      <c r="J555" s="471"/>
      <c r="K555" s="471"/>
      <c r="L555" s="471"/>
      <c r="M555" s="471"/>
      <c r="N555" s="665"/>
      <c r="O555" s="16"/>
      <c r="P555" s="1062" t="str">
        <f>EUconst_CNTR_WGProducedEF &amp; I433</f>
        <v>WasteGasProdEF_</v>
      </c>
      <c r="R555" s="1037"/>
      <c r="S555" s="1037"/>
      <c r="T555" s="1037"/>
      <c r="U555" s="1037"/>
      <c r="V555" s="1037"/>
      <c r="W555" s="1037"/>
      <c r="AA555" s="345" t="b">
        <f>AA553</f>
        <v>0</v>
      </c>
    </row>
    <row r="556" spans="2:27" ht="12.75" customHeight="1" x14ac:dyDescent="0.2">
      <c r="B556" s="207"/>
      <c r="C556" s="1060"/>
      <c r="D556" s="1061"/>
      <c r="E556" s="1061"/>
      <c r="F556" s="1061"/>
      <c r="G556" s="1061"/>
      <c r="H556" s="1061"/>
      <c r="I556" s="1061"/>
      <c r="J556" s="1061"/>
      <c r="K556" s="1061"/>
      <c r="L556" s="1061"/>
      <c r="M556" s="1063"/>
      <c r="N556" s="665"/>
      <c r="O556" s="16"/>
      <c r="P556" s="1037"/>
      <c r="R556" s="1037"/>
      <c r="S556" s="1037"/>
      <c r="T556" s="1037"/>
      <c r="U556" s="1037"/>
      <c r="V556" s="1037"/>
      <c r="W556" s="1037"/>
      <c r="AA556" s="608"/>
    </row>
    <row r="557" spans="2:27" ht="12.75" customHeight="1" x14ac:dyDescent="0.2">
      <c r="B557" s="207"/>
      <c r="C557" s="1060"/>
      <c r="D557" s="699" t="s">
        <v>318</v>
      </c>
      <c r="E557" s="1760" t="str">
        <f>Translations!$B$780</f>
        <v>Rodzaje zużytych gazów odlotowych:</v>
      </c>
      <c r="F557" s="1760"/>
      <c r="G557" s="1760"/>
      <c r="H557" s="1760"/>
      <c r="I557" s="1763"/>
      <c r="J557" s="1764"/>
      <c r="K557" s="1764"/>
      <c r="L557" s="1764"/>
      <c r="M557" s="1765"/>
      <c r="N557" s="1254"/>
      <c r="O557" s="16"/>
      <c r="P557" s="1037"/>
      <c r="R557" s="1037"/>
      <c r="S557" s="1037"/>
      <c r="T557" s="1037"/>
      <c r="U557" s="1037"/>
      <c r="V557" s="1037"/>
      <c r="W557" s="1037"/>
      <c r="AA557" s="345" t="b">
        <f>AA555</f>
        <v>0</v>
      </c>
    </row>
    <row r="558" spans="2:27" ht="5.0999999999999996" customHeight="1" x14ac:dyDescent="0.2">
      <c r="B558" s="207"/>
      <c r="C558" s="1060"/>
      <c r="D558" s="699"/>
      <c r="E558" s="1733"/>
      <c r="F558" s="1734"/>
      <c r="G558" s="1734"/>
      <c r="H558" s="1734"/>
      <c r="I558" s="1734"/>
      <c r="J558" s="1734"/>
      <c r="K558" s="1734"/>
      <c r="L558" s="1734"/>
      <c r="M558" s="1734"/>
      <c r="N558" s="1735"/>
      <c r="O558" s="16"/>
      <c r="P558" s="1037"/>
      <c r="R558" s="1037"/>
      <c r="S558" s="1037"/>
      <c r="T558" s="1037"/>
      <c r="U558" s="1037"/>
      <c r="V558" s="1037"/>
      <c r="W558" s="1037"/>
      <c r="AA558" s="608"/>
    </row>
    <row r="559" spans="2:27" ht="12.75" customHeight="1" x14ac:dyDescent="0.2">
      <c r="B559" s="207"/>
      <c r="C559" s="1060"/>
      <c r="D559" s="1061"/>
      <c r="E559" s="1757"/>
      <c r="F559" s="1758"/>
      <c r="G559" s="1758"/>
      <c r="H559" s="450" t="str">
        <f>EUconst_Unit</f>
        <v>Jednostka</v>
      </c>
      <c r="I559" s="451">
        <f>I$1882</f>
        <v>2014</v>
      </c>
      <c r="J559" s="451">
        <f>J$1882</f>
        <v>2015</v>
      </c>
      <c r="K559" s="451">
        <f>K$1882</f>
        <v>2016</v>
      </c>
      <c r="L559" s="451">
        <f>L$1882</f>
        <v>2017</v>
      </c>
      <c r="M559" s="451">
        <f>M$1882</f>
        <v>2018</v>
      </c>
      <c r="N559" s="1257"/>
      <c r="O559" s="16"/>
      <c r="P559" s="1037"/>
      <c r="R559" s="1037"/>
      <c r="S559" s="1037"/>
      <c r="T559" s="1037"/>
      <c r="U559" s="1037"/>
      <c r="V559" s="1037"/>
      <c r="W559" s="1037"/>
      <c r="AA559" s="608"/>
    </row>
    <row r="560" spans="2:27" ht="12.75" customHeight="1" x14ac:dyDescent="0.2">
      <c r="B560" s="207"/>
      <c r="C560" s="1060"/>
      <c r="D560" s="699" t="s">
        <v>319</v>
      </c>
      <c r="E560" s="1766" t="str">
        <f>Translations!$B$782</f>
        <v>Ilości zużyte</v>
      </c>
      <c r="F560" s="1767"/>
      <c r="G560" s="1767"/>
      <c r="H560" s="231"/>
      <c r="I560" s="472"/>
      <c r="J560" s="472"/>
      <c r="K560" s="472"/>
      <c r="L560" s="472"/>
      <c r="M560" s="472"/>
      <c r="N560" s="1257"/>
      <c r="O560" s="16"/>
      <c r="P560" s="1037"/>
      <c r="R560" s="1037"/>
      <c r="S560" s="1037"/>
      <c r="T560" s="1037"/>
      <c r="U560" s="1037"/>
      <c r="V560" s="1037"/>
      <c r="W560" s="1037"/>
      <c r="AA560" s="345" t="b">
        <f>AA557</f>
        <v>0</v>
      </c>
    </row>
    <row r="561" spans="2:27" ht="12.75" customHeight="1" x14ac:dyDescent="0.2">
      <c r="B561" s="207"/>
      <c r="C561" s="1060"/>
      <c r="D561" s="699" t="s">
        <v>320</v>
      </c>
      <c r="E561" s="1743" t="str">
        <f>Translations!$B$470</f>
        <v>Wartość opałowa</v>
      </c>
      <c r="F561" s="1744"/>
      <c r="G561" s="1744"/>
      <c r="H561" s="56" t="str">
        <f>IF(ISBLANK(H560),EUconst_GJperUnit,INDEX(EUconst_GJperTorKNm3,MATCH(H560,EUconst_TonnesOrkNm3pa,0)))</f>
        <v>GJ / Jednostka</v>
      </c>
      <c r="I561" s="446"/>
      <c r="J561" s="446"/>
      <c r="K561" s="446"/>
      <c r="L561" s="446"/>
      <c r="M561" s="446"/>
      <c r="N561" s="1257"/>
      <c r="O561" s="16"/>
      <c r="R561" s="1037"/>
      <c r="S561" s="1037"/>
      <c r="T561" s="1037"/>
      <c r="U561" s="1037"/>
      <c r="V561" s="1037"/>
      <c r="W561" s="1037"/>
      <c r="AA561" s="345" t="b">
        <f>AA560</f>
        <v>0</v>
      </c>
    </row>
    <row r="562" spans="2:27" ht="12.75" customHeight="1" x14ac:dyDescent="0.2">
      <c r="B562" s="207"/>
      <c r="C562" s="1060"/>
      <c r="D562" s="699" t="s">
        <v>16</v>
      </c>
      <c r="E562" s="1739" t="str">
        <f>Translations!$B$783</f>
        <v>Gazy odlotowe zużyte</v>
      </c>
      <c r="F562" s="1740"/>
      <c r="G562" s="1740"/>
      <c r="H562" s="453" t="str">
        <f>EUconst_TJpa</f>
        <v>TJ / rok</v>
      </c>
      <c r="I562" s="513" t="str">
        <f>IF(COUNT(I560:I561)=2,I560*I561/1000,"")</f>
        <v/>
      </c>
      <c r="J562" s="513" t="str">
        <f>IF(COUNT(J560:J561)=2,J560*J561/1000,"")</f>
        <v/>
      </c>
      <c r="K562" s="513" t="str">
        <f>IF(COUNT(K560:K561)=2,K560*K561/1000,"")</f>
        <v/>
      </c>
      <c r="L562" s="513" t="str">
        <f>IF(COUNT(L560:L561)=2,L560*L561/1000,"")</f>
        <v/>
      </c>
      <c r="M562" s="513" t="str">
        <f>IF(COUNT(M560:M561)=2,M560*M561/1000,"")</f>
        <v/>
      </c>
      <c r="N562" s="1257"/>
      <c r="O562" s="16"/>
      <c r="P562" s="1062" t="str">
        <f>EUconst_CNTR_WGConsumed &amp; I433</f>
        <v>WasteGasCons_</v>
      </c>
      <c r="R562" s="1037"/>
      <c r="S562" s="1037"/>
      <c r="T562" s="1037"/>
      <c r="U562" s="1037"/>
      <c r="V562" s="1037"/>
      <c r="W562" s="1037"/>
      <c r="AA562" s="608"/>
    </row>
    <row r="563" spans="2:27" ht="25.5" customHeight="1" x14ac:dyDescent="0.2">
      <c r="B563" s="207"/>
      <c r="C563" s="1060"/>
      <c r="D563" s="699" t="s">
        <v>17</v>
      </c>
      <c r="E563" s="1739" t="str">
        <f>Translations!$B$784</f>
        <v>Właściwy współczynnik emisji (gazy odlotowe zużyte)</v>
      </c>
      <c r="F563" s="1740"/>
      <c r="G563" s="1740"/>
      <c r="H563" s="453" t="str">
        <f>EUconst_tCO2pTJ</f>
        <v>t CO2 / TJ</v>
      </c>
      <c r="I563" s="471"/>
      <c r="J563" s="471"/>
      <c r="K563" s="471"/>
      <c r="L563" s="471"/>
      <c r="M563" s="471"/>
      <c r="N563" s="665"/>
      <c r="O563" s="16"/>
      <c r="P563" s="1062" t="str">
        <f>EUconst_CNTR_WGConsumedEF &amp; I433</f>
        <v>WasteGasConsEF_</v>
      </c>
      <c r="R563" s="1037"/>
      <c r="S563" s="1037"/>
      <c r="T563" s="1037"/>
      <c r="U563" s="1037"/>
      <c r="V563" s="1037"/>
      <c r="W563" s="1037"/>
      <c r="AA563" s="345" t="b">
        <f>AA561</f>
        <v>0</v>
      </c>
    </row>
    <row r="564" spans="2:27" ht="12.75" customHeight="1" x14ac:dyDescent="0.2">
      <c r="B564" s="207"/>
      <c r="C564" s="1060"/>
      <c r="D564" s="1061"/>
      <c r="E564" s="1061"/>
      <c r="F564" s="1061"/>
      <c r="G564" s="1061"/>
      <c r="H564" s="1061"/>
      <c r="I564" s="1061"/>
      <c r="J564" s="1061"/>
      <c r="K564" s="1061"/>
      <c r="L564" s="1061"/>
      <c r="M564" s="1063"/>
      <c r="N564" s="665"/>
      <c r="O564" s="16"/>
      <c r="P564" s="1037"/>
      <c r="R564" s="1037"/>
      <c r="S564" s="1037"/>
      <c r="AA564" s="608"/>
    </row>
    <row r="565" spans="2:27" ht="12.75" customHeight="1" x14ac:dyDescent="0.2">
      <c r="B565" s="207"/>
      <c r="C565" s="1060"/>
      <c r="D565" s="699" t="s">
        <v>18</v>
      </c>
      <c r="E565" s="1760" t="str">
        <f>Translations!$B$785</f>
        <v>Rodzaje gazów odlotowych spalonych na pochodniach:</v>
      </c>
      <c r="F565" s="1760"/>
      <c r="G565" s="1760"/>
      <c r="H565" s="1760"/>
      <c r="I565" s="1763"/>
      <c r="J565" s="1764"/>
      <c r="K565" s="1764"/>
      <c r="L565" s="1764"/>
      <c r="M565" s="1765"/>
      <c r="N565" s="1254"/>
      <c r="O565" s="16"/>
      <c r="P565" s="1037"/>
      <c r="R565" s="1037"/>
      <c r="AA565" s="345" t="b">
        <f>AA555</f>
        <v>0</v>
      </c>
    </row>
    <row r="566" spans="2:27" ht="5.0999999999999996" customHeight="1" x14ac:dyDescent="0.2">
      <c r="B566" s="207"/>
      <c r="C566" s="1060"/>
      <c r="D566" s="699"/>
      <c r="E566" s="1733"/>
      <c r="F566" s="1734"/>
      <c r="G566" s="1734"/>
      <c r="H566" s="1734"/>
      <c r="I566" s="1734"/>
      <c r="J566" s="1734"/>
      <c r="K566" s="1734"/>
      <c r="L566" s="1734"/>
      <c r="M566" s="1734"/>
      <c r="N566" s="1735"/>
      <c r="O566" s="16"/>
      <c r="P566" s="1037"/>
      <c r="S566" s="1037"/>
      <c r="AA566" s="608"/>
    </row>
    <row r="567" spans="2:27" ht="12.75" customHeight="1" x14ac:dyDescent="0.2">
      <c r="B567" s="207"/>
      <c r="C567" s="1060"/>
      <c r="D567" s="1061"/>
      <c r="E567" s="1757"/>
      <c r="F567" s="1758"/>
      <c r="G567" s="1758"/>
      <c r="H567" s="450" t="str">
        <f>EUconst_Unit</f>
        <v>Jednostka</v>
      </c>
      <c r="I567" s="451">
        <f>I$1882</f>
        <v>2014</v>
      </c>
      <c r="J567" s="451">
        <f>J$1882</f>
        <v>2015</v>
      </c>
      <c r="K567" s="451">
        <f>K$1882</f>
        <v>2016</v>
      </c>
      <c r="L567" s="451">
        <f>L$1882</f>
        <v>2017</v>
      </c>
      <c r="M567" s="451">
        <f>M$1882</f>
        <v>2018</v>
      </c>
      <c r="N567" s="1257"/>
      <c r="O567" s="16"/>
      <c r="P567" s="1037"/>
      <c r="AA567" s="608"/>
    </row>
    <row r="568" spans="2:27" ht="12.75" customHeight="1" thickBot="1" x14ac:dyDescent="0.25">
      <c r="B568" s="207"/>
      <c r="C568" s="1060"/>
      <c r="D568" s="699" t="s">
        <v>454</v>
      </c>
      <c r="E568" s="1766" t="str">
        <f>Translations!$B$789</f>
        <v>Ilości spalone na pochodniach</v>
      </c>
      <c r="F568" s="1767"/>
      <c r="G568" s="1767"/>
      <c r="H568" s="231"/>
      <c r="I568" s="472"/>
      <c r="J568" s="472"/>
      <c r="K568" s="472"/>
      <c r="L568" s="472"/>
      <c r="M568" s="472"/>
      <c r="N568" s="1257"/>
      <c r="O568" s="16"/>
      <c r="P568" s="1037"/>
      <c r="R568" s="1037" t="s">
        <v>546</v>
      </c>
      <c r="AA568" s="345" t="b">
        <f>AA565</f>
        <v>0</v>
      </c>
    </row>
    <row r="569" spans="2:27" ht="12.75" customHeight="1" thickBot="1" x14ac:dyDescent="0.25">
      <c r="B569" s="207"/>
      <c r="C569" s="1060"/>
      <c r="D569" s="699" t="s">
        <v>455</v>
      </c>
      <c r="E569" s="1743" t="str">
        <f>Translations!$B$470</f>
        <v>Wartość opałowa</v>
      </c>
      <c r="F569" s="1744"/>
      <c r="G569" s="1744"/>
      <c r="H569" s="56" t="str">
        <f>IF(ISBLANK(H568),EUconst_GJperUnit,INDEX(EUconst_GJperTorKNm3,MATCH(H568,EUconst_TonnesOrkNm3pa,0)))</f>
        <v>GJ / Jednostka</v>
      </c>
      <c r="I569" s="446"/>
      <c r="J569" s="446"/>
      <c r="K569" s="446"/>
      <c r="L569" s="446"/>
      <c r="M569" s="446"/>
      <c r="N569" s="1257"/>
      <c r="O569" s="16"/>
      <c r="R569" s="712" t="s">
        <v>437</v>
      </c>
      <c r="S569" s="709">
        <f>I567</f>
        <v>2014</v>
      </c>
      <c r="T569" s="710">
        <f>J567</f>
        <v>2015</v>
      </c>
      <c r="U569" s="710">
        <f>K567</f>
        <v>2016</v>
      </c>
      <c r="V569" s="710">
        <f>L567</f>
        <v>2017</v>
      </c>
      <c r="W569" s="711">
        <f>M567</f>
        <v>2018</v>
      </c>
      <c r="AA569" s="345" t="b">
        <f>AA568</f>
        <v>0</v>
      </c>
    </row>
    <row r="570" spans="2:27" ht="12.75" customHeight="1" thickBot="1" x14ac:dyDescent="0.25">
      <c r="B570" s="207"/>
      <c r="C570" s="1060"/>
      <c r="D570" s="699" t="s">
        <v>456</v>
      </c>
      <c r="E570" s="1739" t="str">
        <f>Translations!$B$790</f>
        <v>Gazy odlotowe spalone na pochodniach</v>
      </c>
      <c r="F570" s="1740"/>
      <c r="G570" s="1740"/>
      <c r="H570" s="453" t="str">
        <f>EUconst_TJpa</f>
        <v>TJ / rok</v>
      </c>
      <c r="I570" s="513" t="str">
        <f>IF(COUNT(I568:I569)=2,I568*I569/1000,"")</f>
        <v/>
      </c>
      <c r="J570" s="513" t="str">
        <f>IF(COUNT(J568:J569)=2,J568*J569/1000,"")</f>
        <v/>
      </c>
      <c r="K570" s="513" t="str">
        <f>IF(COUNT(K568:K569)=2,K568*K569/1000,"")</f>
        <v/>
      </c>
      <c r="L570" s="513" t="str">
        <f>IF(COUNT(L568:L569)=2,L568*L569/1000,"")</f>
        <v/>
      </c>
      <c r="M570" s="513" t="str">
        <f>IF(COUNT(M568:M569)=2,M568*M569/1000,"")</f>
        <v/>
      </c>
      <c r="N570" s="1257"/>
      <c r="O570" s="16"/>
      <c r="P570" s="1062" t="str">
        <f>EUconst_CNTR_WGFlared &amp; I433</f>
        <v>WasteGasFlare_</v>
      </c>
      <c r="R570" s="347" t="str">
        <f>IF(COUNT(S570:W570)&gt;0,AVERAGE(S570:W570),"")</f>
        <v/>
      </c>
      <c r="S570" s="442" t="str">
        <f>IF(S433,IF(ISNUMBER(I570),I570,0),"")</f>
        <v/>
      </c>
      <c r="T570" s="443" t="str">
        <f>IF(T433,IF(ISNUMBER(J570),J570,0),"")</f>
        <v/>
      </c>
      <c r="U570" s="443" t="str">
        <f>IF(U433,IF(ISNUMBER(K570),K570,0),"")</f>
        <v/>
      </c>
      <c r="V570" s="443" t="str">
        <f>IF(V433,IF(ISNUMBER(L570),L570,0),"")</f>
        <v/>
      </c>
      <c r="W570" s="444" t="str">
        <f>IF(W433,IF(ISNUMBER(M570),M570,0),"")</f>
        <v/>
      </c>
      <c r="AA570" s="608"/>
    </row>
    <row r="571" spans="2:27" ht="25.5" customHeight="1" thickBot="1" x14ac:dyDescent="0.25">
      <c r="B571" s="207"/>
      <c r="C571" s="1060"/>
      <c r="D571" s="699" t="s">
        <v>457</v>
      </c>
      <c r="E571" s="1739" t="str">
        <f>Translations!$B$791</f>
        <v>Właściwy współczynnik emisji (gazy odlotowe spalone na pochodniach)</v>
      </c>
      <c r="F571" s="1740"/>
      <c r="G571" s="1740"/>
      <c r="H571" s="453" t="str">
        <f>EUconst_tCO2pTJ</f>
        <v>t CO2 / TJ</v>
      </c>
      <c r="I571" s="471"/>
      <c r="J571" s="471"/>
      <c r="K571" s="471"/>
      <c r="L571" s="471"/>
      <c r="M571" s="471"/>
      <c r="N571" s="665"/>
      <c r="O571" s="16"/>
      <c r="P571" s="1062" t="str">
        <f>EUconst_CNTR_WGFlaredEF &amp; I433</f>
        <v>WasteGasFlareEF_</v>
      </c>
      <c r="R571" s="854" t="str">
        <f>IF(COUNT(S571:W571)&gt;0,AVERAGE(S571:W571),"")</f>
        <v/>
      </c>
      <c r="S571" s="442" t="str">
        <f>IF(S433,SUM(I570)*SUM(I571),"")</f>
        <v/>
      </c>
      <c r="T571" s="443" t="str">
        <f>IF(T433,SUM(J570)*SUM(J571),"")</f>
        <v/>
      </c>
      <c r="U571" s="443" t="str">
        <f>IF(U433,SUM(K570)*SUM(K571),"")</f>
        <v/>
      </c>
      <c r="V571" s="443" t="str">
        <f>IF(V433,SUM(L570)*SUM(L571),"")</f>
        <v/>
      </c>
      <c r="W571" s="444" t="str">
        <f>IF(W433,SUM(M570)*SUM(M571),"")</f>
        <v/>
      </c>
      <c r="AA571" s="345" t="b">
        <f>AA569</f>
        <v>0</v>
      </c>
    </row>
    <row r="572" spans="2:27" ht="12.75" customHeight="1" x14ac:dyDescent="0.2">
      <c r="B572" s="207"/>
      <c r="C572" s="1060"/>
      <c r="D572" s="1061"/>
      <c r="E572" s="1061"/>
      <c r="F572" s="1061"/>
      <c r="G572" s="1061"/>
      <c r="H572" s="1061"/>
      <c r="I572" s="1061"/>
      <c r="J572" s="1061"/>
      <c r="K572" s="1061"/>
      <c r="L572" s="1061"/>
      <c r="M572" s="1063"/>
      <c r="N572" s="665"/>
      <c r="O572" s="16"/>
      <c r="P572" s="1037"/>
      <c r="R572" s="1037"/>
      <c r="S572" s="1037"/>
      <c r="AA572" s="608"/>
    </row>
    <row r="573" spans="2:27" ht="12.75" customHeight="1" x14ac:dyDescent="0.2">
      <c r="B573" s="207"/>
      <c r="C573" s="1060"/>
      <c r="D573" s="699" t="s">
        <v>458</v>
      </c>
      <c r="E573" s="1760" t="str">
        <f>Translations!$B$792</f>
        <v>Rodzaje gazów odlotowych wprowadzonych:</v>
      </c>
      <c r="F573" s="1760"/>
      <c r="G573" s="1760"/>
      <c r="H573" s="1760"/>
      <c r="I573" s="1763"/>
      <c r="J573" s="1764"/>
      <c r="K573" s="1764"/>
      <c r="L573" s="1764"/>
      <c r="M573" s="1765"/>
      <c r="N573" s="665"/>
      <c r="O573" s="16"/>
      <c r="P573" s="1037"/>
      <c r="R573" s="1037"/>
      <c r="AA573" s="345" t="b">
        <f>AA553</f>
        <v>0</v>
      </c>
    </row>
    <row r="574" spans="2:27" ht="5.0999999999999996" customHeight="1" x14ac:dyDescent="0.2">
      <c r="B574" s="207"/>
      <c r="C574" s="1060"/>
      <c r="D574" s="699"/>
      <c r="E574" s="1730"/>
      <c r="F574" s="1731"/>
      <c r="G574" s="1731"/>
      <c r="H574" s="1731"/>
      <c r="I574" s="1731"/>
      <c r="J574" s="1731"/>
      <c r="K574" s="1731"/>
      <c r="L574" s="1731"/>
      <c r="M574" s="1731"/>
      <c r="N574" s="1732"/>
      <c r="O574" s="16"/>
      <c r="P574" s="1037"/>
      <c r="R574" s="1037"/>
      <c r="S574" s="1037"/>
      <c r="AA574" s="608"/>
    </row>
    <row r="575" spans="2:27" ht="12.75" customHeight="1" x14ac:dyDescent="0.2">
      <c r="B575" s="207"/>
      <c r="C575" s="1060"/>
      <c r="D575" s="1061"/>
      <c r="E575" s="1757"/>
      <c r="F575" s="1758"/>
      <c r="G575" s="1758"/>
      <c r="H575" s="450" t="str">
        <f>EUconst_Unit</f>
        <v>Jednostka</v>
      </c>
      <c r="I575" s="451">
        <f>I$1882</f>
        <v>2014</v>
      </c>
      <c r="J575" s="451">
        <f>J$1882</f>
        <v>2015</v>
      </c>
      <c r="K575" s="451">
        <f>K$1882</f>
        <v>2016</v>
      </c>
      <c r="L575" s="451">
        <f>L$1882</f>
        <v>2017</v>
      </c>
      <c r="M575" s="451">
        <f>M$1882</f>
        <v>2018</v>
      </c>
      <c r="N575" s="1257"/>
      <c r="O575" s="16"/>
      <c r="P575" s="1037"/>
      <c r="R575" s="1037"/>
      <c r="S575" s="1037"/>
      <c r="AA575" s="608"/>
    </row>
    <row r="576" spans="2:27" ht="12.75" customHeight="1" thickBot="1" x14ac:dyDescent="0.25">
      <c r="B576" s="207"/>
      <c r="C576" s="1060"/>
      <c r="D576" s="699" t="s">
        <v>459</v>
      </c>
      <c r="E576" s="1766" t="str">
        <f>Translations!$B$795</f>
        <v>Ilości wprowadzone</v>
      </c>
      <c r="F576" s="1767"/>
      <c r="G576" s="1767"/>
      <c r="H576" s="231"/>
      <c r="I576" s="472"/>
      <c r="J576" s="472"/>
      <c r="K576" s="472"/>
      <c r="L576" s="472"/>
      <c r="M576" s="472"/>
      <c r="N576" s="1257"/>
      <c r="O576" s="16"/>
      <c r="P576" s="1037"/>
      <c r="R576" s="1037"/>
      <c r="S576" s="1037"/>
      <c r="AA576" s="345" t="b">
        <f>AA573</f>
        <v>0</v>
      </c>
    </row>
    <row r="577" spans="1:27" ht="12.75" customHeight="1" x14ac:dyDescent="0.2">
      <c r="B577" s="207"/>
      <c r="C577" s="1060"/>
      <c r="D577" s="699" t="s">
        <v>460</v>
      </c>
      <c r="E577" s="1743" t="str">
        <f>Translations!$B$470</f>
        <v>Wartość opałowa</v>
      </c>
      <c r="F577" s="1744"/>
      <c r="G577" s="1744"/>
      <c r="H577" s="56" t="str">
        <f>IF(ISBLANK(H576),EUconst_GJperUnit,INDEX(EUconst_GJperTorKNm3,MATCH(H576,EUconst_TonnesOrkNm3pa,0)))</f>
        <v>GJ / Jednostka</v>
      </c>
      <c r="I577" s="446"/>
      <c r="J577" s="446"/>
      <c r="K577" s="446"/>
      <c r="L577" s="446"/>
      <c r="M577" s="446"/>
      <c r="N577" s="1257"/>
      <c r="O577" s="16"/>
      <c r="P577" s="1065"/>
      <c r="R577" s="1052"/>
      <c r="S577" s="814">
        <f>I575</f>
        <v>2014</v>
      </c>
      <c r="T577" s="814">
        <f>J575</f>
        <v>2015</v>
      </c>
      <c r="U577" s="814">
        <f>K575</f>
        <v>2016</v>
      </c>
      <c r="V577" s="814">
        <f>L575</f>
        <v>2017</v>
      </c>
      <c r="W577" s="815">
        <f>M575</f>
        <v>2018</v>
      </c>
      <c r="AA577" s="345" t="b">
        <f>AA576</f>
        <v>0</v>
      </c>
    </row>
    <row r="578" spans="1:27" ht="12.75" customHeight="1" x14ac:dyDescent="0.2">
      <c r="B578" s="207"/>
      <c r="C578" s="1060"/>
      <c r="D578" s="699" t="s">
        <v>461</v>
      </c>
      <c r="E578" s="1739" t="str">
        <f>Translations!$B$796</f>
        <v>Gazy odlotowe wprowadzone</v>
      </c>
      <c r="F578" s="1740"/>
      <c r="G578" s="1740"/>
      <c r="H578" s="453" t="str">
        <f>EUconst_TJpa</f>
        <v>TJ / rok</v>
      </c>
      <c r="I578" s="433" t="str">
        <f>IF(COUNT(I576:I577)=2,I576*I577/1000,"")</f>
        <v/>
      </c>
      <c r="J578" s="433" t="str">
        <f>IF(COUNT(J576:J577)=2,J576*J577/1000,"")</f>
        <v/>
      </c>
      <c r="K578" s="433" t="str">
        <f>IF(COUNT(K576:K577)=2,K576*K577/1000,"")</f>
        <v/>
      </c>
      <c r="L578" s="433" t="str">
        <f>IF(COUNT(L576:L577)=2,L576*L577/1000,"")</f>
        <v/>
      </c>
      <c r="M578" s="433" t="str">
        <f>IF(COUNT(M576:M577)=2,M576*M577/1000,"")</f>
        <v/>
      </c>
      <c r="N578" s="1257"/>
      <c r="O578" s="16"/>
      <c r="P578" s="1062" t="str">
        <f>EUconst_CNTR_WGImport &amp; I433</f>
        <v>WasteGasIm_</v>
      </c>
      <c r="R578" s="1064" t="str">
        <f>EUconst_ERR_AttrEmBMapplied &amp; I433</f>
        <v>ERR_AttrEmBM_ </v>
      </c>
      <c r="S578" s="116">
        <f>IF(AND(I578&lt;&gt;"",EUconst_StatusOfDataCollection=FALSE),1,0)</f>
        <v>0</v>
      </c>
      <c r="T578" s="116">
        <f>IF(AND(J578&lt;&gt;"",EUconst_StatusOfDataCollection=FALSE),1,0)</f>
        <v>0</v>
      </c>
      <c r="U578" s="116">
        <f>IF(AND(K578&lt;&gt;"",EUconst_StatusOfDataCollection=FALSE),1,0)</f>
        <v>0</v>
      </c>
      <c r="V578" s="116">
        <f>IF(AND(L578&lt;&gt;"",EUconst_StatusOfDataCollection=FALSE),1,0)</f>
        <v>0</v>
      </c>
      <c r="W578" s="117">
        <f>IF(AND(M578&lt;&gt;"",EUconst_StatusOfDataCollection=FALSE),1,0)</f>
        <v>0</v>
      </c>
      <c r="AA578" s="608"/>
    </row>
    <row r="579" spans="1:27" s="701" customFormat="1" ht="25.5" customHeight="1" thickBot="1" x14ac:dyDescent="0.25">
      <c r="A579" s="422"/>
      <c r="B579" s="207"/>
      <c r="C579" s="1060"/>
      <c r="D579" s="699" t="s">
        <v>462</v>
      </c>
      <c r="E579" s="1739" t="str">
        <f>Translations!$B$797</f>
        <v>Właściwy współczynnik emisji (gazy odlotowe wprowadzone)</v>
      </c>
      <c r="F579" s="1739"/>
      <c r="G579" s="1739"/>
      <c r="H579" s="452" t="str">
        <f>EUconst_tCO2pTJ</f>
        <v>t CO2 / TJ</v>
      </c>
      <c r="I579" s="765"/>
      <c r="J579" s="765"/>
      <c r="K579" s="765"/>
      <c r="L579" s="765"/>
      <c r="M579" s="765"/>
      <c r="N579" s="665"/>
      <c r="O579" s="16"/>
      <c r="P579" s="1062" t="str">
        <f>EUconst_CNTR_WGImportEF &amp; I433</f>
        <v>WasteGasImEF_</v>
      </c>
      <c r="Q579" s="422"/>
      <c r="R579" s="1053" t="str">
        <f>EUconst_CNTR_AttributedEmissions &amp; I433</f>
        <v>AttrEmissions_</v>
      </c>
      <c r="S579" s="119" t="str">
        <f>IF(S433,SUM(I578)*EUconst_FuelBMvalue,"")</f>
        <v/>
      </c>
      <c r="T579" s="119" t="str">
        <f>IF(T433,SUM(J578)*EUconst_FuelBMvalue,"")</f>
        <v/>
      </c>
      <c r="U579" s="119" t="str">
        <f>IF(U433,SUM(K578)*EUconst_FuelBMvalue,"")</f>
        <v/>
      </c>
      <c r="V579" s="119" t="str">
        <f>IF(V433,SUM(L578)*EUconst_FuelBMvalue,"")</f>
        <v/>
      </c>
      <c r="W579" s="120" t="str">
        <f>IF(W433,SUM(M578)*EUconst_FuelBMvalue,"")</f>
        <v/>
      </c>
      <c r="X579" s="422"/>
      <c r="Y579" s="422"/>
      <c r="Z579" s="422"/>
      <c r="AA579" s="345" t="b">
        <f>AA577</f>
        <v>0</v>
      </c>
    </row>
    <row r="580" spans="1:27" ht="12.75" customHeight="1" x14ac:dyDescent="0.2">
      <c r="B580" s="207"/>
      <c r="C580" s="1060"/>
      <c r="D580" s="1061"/>
      <c r="E580" s="1061"/>
      <c r="F580" s="1061"/>
      <c r="G580" s="1061"/>
      <c r="H580" s="1061"/>
      <c r="I580" s="1061"/>
      <c r="J580" s="1061"/>
      <c r="K580" s="1061"/>
      <c r="L580" s="1061"/>
      <c r="M580" s="1063"/>
      <c r="N580" s="665"/>
      <c r="O580" s="16"/>
      <c r="P580" s="1037"/>
      <c r="R580" s="1037"/>
      <c r="S580" s="1037"/>
      <c r="AA580" s="608"/>
    </row>
    <row r="581" spans="1:27" ht="12.75" customHeight="1" x14ac:dyDescent="0.2">
      <c r="B581" s="207"/>
      <c r="C581" s="1060"/>
      <c r="D581" s="699" t="s">
        <v>463</v>
      </c>
      <c r="E581" s="1760" t="str">
        <f>Translations!$B$798</f>
        <v>Rodzaje wyprowadzonych gazów odlotowych:</v>
      </c>
      <c r="F581" s="1760"/>
      <c r="G581" s="1760"/>
      <c r="H581" s="1760"/>
      <c r="I581" s="1763"/>
      <c r="J581" s="1764"/>
      <c r="K581" s="1764"/>
      <c r="L581" s="1764"/>
      <c r="M581" s="1765"/>
      <c r="N581" s="1254"/>
      <c r="O581" s="16"/>
      <c r="P581" s="1037"/>
      <c r="R581" s="1037"/>
      <c r="AA581" s="345" t="b">
        <f>AA576</f>
        <v>0</v>
      </c>
    </row>
    <row r="582" spans="1:27" ht="5.0999999999999996" customHeight="1" x14ac:dyDescent="0.2">
      <c r="B582" s="207"/>
      <c r="C582" s="1060"/>
      <c r="D582" s="699"/>
      <c r="E582" s="1733"/>
      <c r="F582" s="1734"/>
      <c r="G582" s="1734"/>
      <c r="H582" s="1734"/>
      <c r="I582" s="1734"/>
      <c r="J582" s="1734"/>
      <c r="K582" s="1734"/>
      <c r="L582" s="1734"/>
      <c r="M582" s="1734"/>
      <c r="N582" s="1735"/>
      <c r="O582" s="16"/>
      <c r="P582" s="1037"/>
      <c r="R582" s="1037"/>
      <c r="S582" s="1037"/>
      <c r="AA582" s="608"/>
    </row>
    <row r="583" spans="1:27" ht="12.75" customHeight="1" x14ac:dyDescent="0.2">
      <c r="B583" s="207"/>
      <c r="C583" s="1060"/>
      <c r="D583" s="1061"/>
      <c r="E583" s="1757"/>
      <c r="F583" s="1758"/>
      <c r="G583" s="1758"/>
      <c r="H583" s="450" t="str">
        <f>EUconst_Unit</f>
        <v>Jednostka</v>
      </c>
      <c r="I583" s="451">
        <f>I$1882</f>
        <v>2014</v>
      </c>
      <c r="J583" s="451">
        <f>J$1882</f>
        <v>2015</v>
      </c>
      <c r="K583" s="451">
        <f>K$1882</f>
        <v>2016</v>
      </c>
      <c r="L583" s="451">
        <f>L$1882</f>
        <v>2017</v>
      </c>
      <c r="M583" s="451">
        <f>M$1882</f>
        <v>2018</v>
      </c>
      <c r="N583" s="1257"/>
      <c r="O583" s="16"/>
      <c r="P583" s="1037"/>
      <c r="R583" s="1037"/>
      <c r="S583" s="1037"/>
      <c r="AA583" s="608"/>
    </row>
    <row r="584" spans="1:27" ht="12.75" customHeight="1" x14ac:dyDescent="0.2">
      <c r="B584" s="207"/>
      <c r="C584" s="1060"/>
      <c r="D584" s="699" t="s">
        <v>464</v>
      </c>
      <c r="E584" s="1766" t="str">
        <f>Translations!$B$800</f>
        <v>Ilości wyprowadzone</v>
      </c>
      <c r="F584" s="1767"/>
      <c r="G584" s="1767"/>
      <c r="H584" s="231"/>
      <c r="I584" s="472"/>
      <c r="J584" s="472"/>
      <c r="K584" s="472"/>
      <c r="L584" s="472"/>
      <c r="M584" s="472"/>
      <c r="N584" s="1257"/>
      <c r="O584" s="16"/>
      <c r="P584" s="1037"/>
      <c r="R584" s="1037"/>
      <c r="S584" s="1037"/>
      <c r="AA584" s="345" t="b">
        <f>AA581</f>
        <v>0</v>
      </c>
    </row>
    <row r="585" spans="1:27" ht="12.75" customHeight="1" thickBot="1" x14ac:dyDescent="0.25">
      <c r="B585" s="207"/>
      <c r="C585" s="1060"/>
      <c r="D585" s="699" t="s">
        <v>643</v>
      </c>
      <c r="E585" s="1743" t="str">
        <f>Translations!$B$470</f>
        <v>Wartość opałowa</v>
      </c>
      <c r="F585" s="1744"/>
      <c r="G585" s="1744"/>
      <c r="H585" s="56" t="str">
        <f>IF(ISBLANK(H584),EUconst_GJperUnit,INDEX(EUconst_GJperTorKNm3,MATCH(H584,EUconst_TonnesOrkNm3pa,0)))</f>
        <v>GJ / Jednostka</v>
      </c>
      <c r="I585" s="446"/>
      <c r="J585" s="446"/>
      <c r="K585" s="446"/>
      <c r="L585" s="446"/>
      <c r="M585" s="446"/>
      <c r="N585" s="1257"/>
      <c r="O585" s="16"/>
      <c r="P585" s="1065"/>
      <c r="R585" s="1037"/>
      <c r="S585" s="1037"/>
      <c r="AA585" s="345" t="b">
        <f>AA584</f>
        <v>0</v>
      </c>
    </row>
    <row r="586" spans="1:27" ht="12.75" customHeight="1" x14ac:dyDescent="0.2">
      <c r="B586" s="207"/>
      <c r="C586" s="1060"/>
      <c r="D586" s="699" t="s">
        <v>644</v>
      </c>
      <c r="E586" s="1739" t="str">
        <f>Translations!$B$801</f>
        <v>Gazy odlotowe wyprowadzone</v>
      </c>
      <c r="F586" s="1740"/>
      <c r="G586" s="1740"/>
      <c r="H586" s="453" t="str">
        <f>EUconst_TJpa</f>
        <v>TJ / rok</v>
      </c>
      <c r="I586" s="433" t="str">
        <f>IF(COUNT(I584:I585)=2,I584*I585/1000,"")</f>
        <v/>
      </c>
      <c r="J586" s="433" t="str">
        <f>IF(COUNT(J584:J585)=2,J584*J585/1000,"")</f>
        <v/>
      </c>
      <c r="K586" s="433" t="str">
        <f>IF(COUNT(K584:K585)=2,K584*K585/1000,"")</f>
        <v/>
      </c>
      <c r="L586" s="433" t="str">
        <f>IF(COUNT(L584:L585)=2,L584*L585/1000,"")</f>
        <v/>
      </c>
      <c r="M586" s="433" t="str">
        <f>IF(COUNT(M584:M585)=2,M584*M585/1000,"")</f>
        <v/>
      </c>
      <c r="N586" s="702"/>
      <c r="O586" s="16"/>
      <c r="P586" s="1062" t="str">
        <f>EUconst_CNTR_WGExport &amp; I433</f>
        <v>WasteGasEx_</v>
      </c>
      <c r="R586" s="1052"/>
      <c r="S586" s="814">
        <f>I583</f>
        <v>2014</v>
      </c>
      <c r="T586" s="814">
        <f>J583</f>
        <v>2015</v>
      </c>
      <c r="U586" s="814">
        <f>K583</f>
        <v>2016</v>
      </c>
      <c r="V586" s="814">
        <f>L583</f>
        <v>2017</v>
      </c>
      <c r="W586" s="815">
        <f>M583</f>
        <v>2018</v>
      </c>
      <c r="AA586" s="608"/>
    </row>
    <row r="587" spans="1:27" s="701" customFormat="1" ht="25.5" customHeight="1" thickBot="1" x14ac:dyDescent="0.25">
      <c r="A587" s="422"/>
      <c r="B587" s="207"/>
      <c r="C587" s="1060"/>
      <c r="D587" s="699" t="s">
        <v>645</v>
      </c>
      <c r="E587" s="1739" t="str">
        <f>Translations!$B$802</f>
        <v>Właściwy współczynnik emisji (gazy odlotowe wyprowadzone)</v>
      </c>
      <c r="F587" s="1739"/>
      <c r="G587" s="1739"/>
      <c r="H587" s="452" t="str">
        <f>EUconst_tCO2pTJ</f>
        <v>t CO2 / TJ</v>
      </c>
      <c r="I587" s="765"/>
      <c r="J587" s="765"/>
      <c r="K587" s="765"/>
      <c r="L587" s="765"/>
      <c r="M587" s="765"/>
      <c r="N587" s="665"/>
      <c r="O587" s="16"/>
      <c r="P587" s="1062" t="str">
        <f>EUconst_CNTR_WGExportEF &amp; I433</f>
        <v>WasteGasExEF_</v>
      </c>
      <c r="Q587" s="422"/>
      <c r="R587" s="1053" t="str">
        <f>EUconst_CNTR_AttributedEmissions &amp; I433</f>
        <v>AttrEmissions_</v>
      </c>
      <c r="S587" s="119" t="str">
        <f>IF(S433,-SUM(I586)*EUconst_NGEFvalue*EUconst_WasteGasCorrFactor,"")</f>
        <v/>
      </c>
      <c r="T587" s="119" t="str">
        <f>IF(T433,-SUM(J586)*EUconst_NGEFvalue*EUconst_WasteGasCorrFactor,"")</f>
        <v/>
      </c>
      <c r="U587" s="119" t="str">
        <f>IF(U433,-SUM(K586)*EUconst_NGEFvalue*EUconst_WasteGasCorrFactor,"")</f>
        <v/>
      </c>
      <c r="V587" s="119" t="str">
        <f>IF(V433,-SUM(L586)*EUconst_NGEFvalue*EUconst_WasteGasCorrFactor,"")</f>
        <v/>
      </c>
      <c r="W587" s="120" t="str">
        <f>IF(W433,-SUM(M586)*EUconst_NGEFvalue*EUconst_WasteGasCorrFactor,"")</f>
        <v/>
      </c>
      <c r="X587" s="422"/>
      <c r="Y587" s="422"/>
      <c r="Z587" s="422"/>
      <c r="AA587" s="168" t="b">
        <f>AA585</f>
        <v>0</v>
      </c>
    </row>
    <row r="588" spans="1:27" ht="12.75" customHeight="1" x14ac:dyDescent="0.2">
      <c r="B588" s="207"/>
      <c r="C588" s="1060"/>
      <c r="D588" s="1061"/>
      <c r="E588" s="1061"/>
      <c r="F588" s="1061"/>
      <c r="G588" s="1061"/>
      <c r="H588" s="1061"/>
      <c r="I588" s="1061"/>
      <c r="J588" s="1061"/>
      <c r="K588" s="1061"/>
      <c r="L588" s="1061"/>
      <c r="M588" s="1063"/>
      <c r="N588" s="665"/>
      <c r="O588" s="16"/>
      <c r="P588" s="1037"/>
      <c r="R588" s="1037"/>
    </row>
    <row r="589" spans="1:27" ht="12.75" customHeight="1" thickBot="1" x14ac:dyDescent="0.25">
      <c r="B589" s="207"/>
      <c r="C589" s="1060"/>
      <c r="D589" s="462" t="s">
        <v>221</v>
      </c>
      <c r="E589" s="1731" t="str">
        <f>Translations!$B$420</f>
        <v>Wytwarzanie energii elektrycznej</v>
      </c>
      <c r="F589" s="1734"/>
      <c r="G589" s="1734"/>
      <c r="H589" s="1734"/>
      <c r="I589" s="1734"/>
      <c r="J589" s="1734"/>
      <c r="K589" s="1734"/>
      <c r="L589" s="1734"/>
      <c r="M589" s="1734"/>
      <c r="N589" s="1735"/>
      <c r="O589" s="16"/>
      <c r="P589" s="1037"/>
      <c r="R589" s="1037"/>
    </row>
    <row r="590" spans="1:27" ht="12.75" customHeight="1" x14ac:dyDescent="0.2">
      <c r="B590" s="207"/>
      <c r="C590" s="1060"/>
      <c r="D590" s="462"/>
      <c r="E590" s="1757"/>
      <c r="F590" s="1758"/>
      <c r="G590" s="1758"/>
      <c r="H590" s="450" t="str">
        <f>EUconst_Unit</f>
        <v>Jednostka</v>
      </c>
      <c r="I590" s="451">
        <f>I$1882</f>
        <v>2014</v>
      </c>
      <c r="J590" s="451">
        <f>J$1882</f>
        <v>2015</v>
      </c>
      <c r="K590" s="451">
        <f>K$1882</f>
        <v>2016</v>
      </c>
      <c r="L590" s="451">
        <f>L$1882</f>
        <v>2017</v>
      </c>
      <c r="M590" s="451">
        <f>M$1882</f>
        <v>2018</v>
      </c>
      <c r="N590" s="665"/>
      <c r="O590" s="16"/>
      <c r="P590" s="1037"/>
      <c r="R590" s="1052"/>
      <c r="S590" s="814">
        <f>I590</f>
        <v>2014</v>
      </c>
      <c r="T590" s="814">
        <f>J590</f>
        <v>2015</v>
      </c>
      <c r="U590" s="814">
        <f>K590</f>
        <v>2016</v>
      </c>
      <c r="V590" s="814">
        <f>L590</f>
        <v>2017</v>
      </c>
      <c r="W590" s="815">
        <f>M590</f>
        <v>2018</v>
      </c>
    </row>
    <row r="591" spans="1:27" ht="12.75" customHeight="1" thickBot="1" x14ac:dyDescent="0.25">
      <c r="B591" s="207"/>
      <c r="C591" s="1060"/>
      <c r="D591" s="699"/>
      <c r="E591" s="1739" t="str">
        <f>Translations!$B$805</f>
        <v>Energia elektryczna wytworzona</v>
      </c>
      <c r="F591" s="1740"/>
      <c r="G591" s="1740"/>
      <c r="H591" s="453" t="str">
        <f>EUconst_MWhpa</f>
        <v>MWh / rok</v>
      </c>
      <c r="I591" s="471"/>
      <c r="J591" s="471"/>
      <c r="K591" s="471"/>
      <c r="L591" s="471"/>
      <c r="M591" s="471"/>
      <c r="N591" s="1257"/>
      <c r="O591" s="16"/>
      <c r="P591" s="1062" t="str">
        <f>EUconst_CNTR_ElectricityExported &amp; I433</f>
        <v>ElecEx_</v>
      </c>
      <c r="R591" s="1053" t="str">
        <f>EUconst_CNTR_AttributedEmissions &amp; I433</f>
        <v>AttrEmissions_</v>
      </c>
      <c r="S591" s="119" t="str">
        <f>IF(S433,-SUM(I591)*EUconst_ElBM,"")</f>
        <v/>
      </c>
      <c r="T591" s="119" t="str">
        <f>IF(T433,-SUM(J591)*EUconst_ElBM,"")</f>
        <v/>
      </c>
      <c r="U591" s="119" t="str">
        <f>IF(U433,-SUM(K591)*EUconst_ElBM,"")</f>
        <v/>
      </c>
      <c r="V591" s="119" t="str">
        <f>IF(V433,-SUM(L591)*EUconst_ElBM,"")</f>
        <v/>
      </c>
      <c r="W591" s="120" t="str">
        <f>IF(W433,-SUM(M591)*EUconst_ElBM,"")</f>
        <v/>
      </c>
    </row>
    <row r="592" spans="1:27" ht="12.75" customHeight="1" x14ac:dyDescent="0.2">
      <c r="B592" s="207"/>
      <c r="C592" s="1060"/>
      <c r="D592" s="1061"/>
      <c r="E592" s="1061"/>
      <c r="F592" s="1061"/>
      <c r="G592" s="1061"/>
      <c r="H592" s="1061"/>
      <c r="I592" s="1061"/>
      <c r="J592" s="1061"/>
      <c r="K592" s="1061"/>
      <c r="L592" s="1061"/>
      <c r="M592" s="1063"/>
      <c r="N592" s="665"/>
      <c r="O592" s="16"/>
      <c r="P592" s="1037"/>
      <c r="R592" s="1037"/>
      <c r="S592" s="1037"/>
    </row>
    <row r="593" spans="2:27" ht="12.75" customHeight="1" thickBot="1" x14ac:dyDescent="0.25">
      <c r="B593" s="207"/>
      <c r="C593" s="1060"/>
      <c r="D593" s="462" t="s">
        <v>79</v>
      </c>
      <c r="E593" s="1760" t="str">
        <f>Translations!$B$806</f>
        <v>Całkowita ilość wyprodukowanej masy celulozowej</v>
      </c>
      <c r="F593" s="1760"/>
      <c r="G593" s="1760"/>
      <c r="H593" s="1760"/>
      <c r="I593" s="1760"/>
      <c r="J593" s="1760"/>
      <c r="K593" s="1760"/>
      <c r="L593" s="1760"/>
      <c r="M593" s="1760"/>
      <c r="N593" s="1761"/>
      <c r="O593" s="16"/>
      <c r="S593" s="1037"/>
    </row>
    <row r="594" spans="2:27" ht="12.75" customHeight="1" thickBot="1" x14ac:dyDescent="0.25">
      <c r="B594" s="207"/>
      <c r="C594" s="1060"/>
      <c r="D594" s="699"/>
      <c r="E594" s="1762" t="str">
        <f>IF(I433="","",IF(INDEX(EUconst_BMlistPulp,MATCH(I433,EUconst_BMlistNames,0)),I433,""))</f>
        <v/>
      </c>
      <c r="F594" s="1762"/>
      <c r="G594" s="1762"/>
      <c r="H594" s="453" t="str">
        <f>EUconst_Tons</f>
        <v>tony</v>
      </c>
      <c r="I594" s="471"/>
      <c r="J594" s="471"/>
      <c r="K594" s="471"/>
      <c r="L594" s="471"/>
      <c r="M594" s="471"/>
      <c r="N594" s="1257"/>
      <c r="O594" s="16"/>
      <c r="P594" s="1062" t="str">
        <f>EUconst_CNTR_HALPulpTotal &amp; I433</f>
        <v>HALPulpTotal_</v>
      </c>
      <c r="R594" s="1037"/>
      <c r="AA594" s="738" t="b">
        <f>IF(I433&lt;&gt;"",IF(INDEX(EUconst_BMlistPulp,MATCH(I433,EUconst_BMlistNames,0))=TRUE,FALSE,TRUE),FALSE)</f>
        <v>0</v>
      </c>
    </row>
    <row r="595" spans="2:27" ht="12.75" customHeight="1" x14ac:dyDescent="0.2">
      <c r="B595" s="207"/>
      <c r="C595" s="1060"/>
      <c r="D595" s="699"/>
      <c r="E595" s="699"/>
      <c r="F595" s="699"/>
      <c r="G595" s="699"/>
      <c r="H595" s="699"/>
      <c r="I595" s="699"/>
      <c r="J595" s="699"/>
      <c r="K595" s="699"/>
      <c r="L595" s="699"/>
      <c r="M595" s="699"/>
      <c r="N595" s="1257"/>
      <c r="O595" s="16"/>
      <c r="P595" s="1065"/>
      <c r="R595" s="1037"/>
      <c r="S595" s="1037"/>
    </row>
    <row r="596" spans="2:27" ht="12.75" customHeight="1" thickBot="1" x14ac:dyDescent="0.25">
      <c r="B596" s="207"/>
      <c r="C596" s="1060"/>
      <c r="D596" s="462" t="s">
        <v>333</v>
      </c>
      <c r="E596" s="1731" t="str">
        <f>Translations!$B$810</f>
        <v>Wprowadzanie lub wyprowadzanie produktów pośrednich objętych wskaźnikami emisyjności dla produktów</v>
      </c>
      <c r="F596" s="1734"/>
      <c r="G596" s="1734"/>
      <c r="H596" s="1734"/>
      <c r="I596" s="1734"/>
      <c r="J596" s="1734"/>
      <c r="K596" s="1734"/>
      <c r="L596" s="1734"/>
      <c r="M596" s="1734"/>
      <c r="N596" s="1735"/>
      <c r="O596" s="16"/>
      <c r="P596" s="1037"/>
      <c r="R596" s="1037"/>
      <c r="S596" s="1037"/>
    </row>
    <row r="597" spans="2:27" ht="25.5" customHeight="1" thickBot="1" x14ac:dyDescent="0.25">
      <c r="B597" s="20"/>
      <c r="C597" s="1060"/>
      <c r="D597" s="699" t="s">
        <v>2</v>
      </c>
      <c r="E597" s="1774" t="str">
        <f>Translations!$B$813</f>
        <v>Czy ma miejsce jakiekolwiek wprowadzanie lub wyprowadzanie produktów pośrednich objętych wskaźnikami emisyjności dla produktów?</v>
      </c>
      <c r="F597" s="1774"/>
      <c r="G597" s="1774"/>
      <c r="H597" s="1774"/>
      <c r="I597" s="1774"/>
      <c r="J597" s="1774"/>
      <c r="K597" s="1775"/>
      <c r="L597" s="517"/>
      <c r="M597" s="449"/>
      <c r="N597" s="702"/>
      <c r="O597" s="16"/>
      <c r="W597" s="1048" t="s">
        <v>414</v>
      </c>
      <c r="X597" s="1046" t="b">
        <f>IF(AND(I433&lt;&gt;"",ISBLANK(L597)),EUconst_Error&amp;"BM"&amp;C433,FALSE)</f>
        <v>0</v>
      </c>
    </row>
    <row r="598" spans="2:27" ht="5.0999999999999996" customHeight="1" x14ac:dyDescent="0.2">
      <c r="B598" s="207"/>
      <c r="C598" s="1060"/>
      <c r="D598" s="699"/>
      <c r="E598" s="699"/>
      <c r="F598" s="699"/>
      <c r="G598" s="699"/>
      <c r="H598" s="699"/>
      <c r="I598" s="699"/>
      <c r="J598" s="699"/>
      <c r="K598" s="699"/>
      <c r="L598" s="699"/>
      <c r="M598" s="699"/>
      <c r="N598" s="1257"/>
      <c r="O598" s="16"/>
      <c r="P598" s="1065"/>
      <c r="R598" s="1037"/>
      <c r="S598" s="1037"/>
    </row>
    <row r="599" spans="2:27" ht="12.75" customHeight="1" thickBot="1" x14ac:dyDescent="0.25">
      <c r="B599" s="207"/>
      <c r="C599" s="1060"/>
      <c r="D599" s="514"/>
      <c r="E599" s="1757" t="str">
        <f>Translations!$B$814</f>
        <v>Ilości wprowadzone:</v>
      </c>
      <c r="F599" s="1758"/>
      <c r="G599" s="1758"/>
      <c r="H599" s="515" t="str">
        <f>EUconst_Unit</f>
        <v>Jednostka</v>
      </c>
      <c r="I599" s="451">
        <f>I$1882</f>
        <v>2014</v>
      </c>
      <c r="J599" s="451">
        <f>J$1882</f>
        <v>2015</v>
      </c>
      <c r="K599" s="451">
        <f>K$1882</f>
        <v>2016</v>
      </c>
      <c r="L599" s="451">
        <f>L$1882</f>
        <v>2017</v>
      </c>
      <c r="M599" s="451">
        <f>M$1882</f>
        <v>2018</v>
      </c>
      <c r="N599" s="1257"/>
      <c r="O599" s="16"/>
      <c r="P599" s="1065"/>
      <c r="R599" s="1037"/>
      <c r="S599" s="1037"/>
      <c r="AA599" s="422" t="s">
        <v>272</v>
      </c>
    </row>
    <row r="600" spans="2:27" ht="12.75" customHeight="1" x14ac:dyDescent="0.2">
      <c r="B600" s="207"/>
      <c r="C600" s="1060"/>
      <c r="D600" s="516" t="s">
        <v>3</v>
      </c>
      <c r="E600" s="1759"/>
      <c r="F600" s="1759"/>
      <c r="G600" s="1759"/>
      <c r="H600" s="64" t="str">
        <f>IF(E600&lt;&gt;"",INDEX(EUconst_BMlistUnits,MATCH(E600,EUconst_BMlistNames,0)),EUconst_Tons)</f>
        <v>tony</v>
      </c>
      <c r="I600" s="318"/>
      <c r="J600" s="318"/>
      <c r="K600" s="318"/>
      <c r="L600" s="318"/>
      <c r="M600" s="318"/>
      <c r="N600" s="1257"/>
      <c r="O600" s="16"/>
      <c r="P600" s="1062" t="str">
        <f>EUconst_CNTR_IntermediateImport &amp; R600 &amp; "_" &amp; I433</f>
        <v>IntImp_1_</v>
      </c>
      <c r="R600" s="1062">
        <v>1</v>
      </c>
      <c r="S600" s="1037"/>
      <c r="AA600" s="646" t="b">
        <f>AND(NOT(ISBLANK(L597)),L597=FALSE)</f>
        <v>0</v>
      </c>
    </row>
    <row r="601" spans="2:27" ht="12.75" customHeight="1" x14ac:dyDescent="0.2">
      <c r="B601" s="207"/>
      <c r="C601" s="1060"/>
      <c r="D601" s="516" t="s">
        <v>4</v>
      </c>
      <c r="E601" s="1747"/>
      <c r="F601" s="1747"/>
      <c r="G601" s="1747"/>
      <c r="H601" s="56" t="str">
        <f>IF(E601&lt;&gt;"",INDEX(EUconst_BMlistUnits,MATCH(E601,EUconst_BMlistNames,0)),EUconst_Tons)</f>
        <v>tony</v>
      </c>
      <c r="I601" s="317"/>
      <c r="J601" s="317"/>
      <c r="K601" s="317"/>
      <c r="L601" s="317"/>
      <c r="M601" s="317"/>
      <c r="N601" s="1257"/>
      <c r="O601" s="16"/>
      <c r="P601" s="1062" t="str">
        <f>EUconst_CNTR_IntermediateImport &amp; R601 &amp; "_" &amp; I433</f>
        <v>IntImp_2_</v>
      </c>
      <c r="R601" s="1062">
        <v>2</v>
      </c>
      <c r="S601" s="1037"/>
      <c r="AA601" s="345" t="b">
        <f>AA600</f>
        <v>0</v>
      </c>
    </row>
    <row r="602" spans="2:27" ht="5.0999999999999996" customHeight="1" x14ac:dyDescent="0.2">
      <c r="B602" s="207"/>
      <c r="C602" s="1060"/>
      <c r="D602" s="699"/>
      <c r="E602" s="699"/>
      <c r="F602" s="699"/>
      <c r="G602" s="699"/>
      <c r="H602" s="699"/>
      <c r="I602" s="699"/>
      <c r="J602" s="699"/>
      <c r="K602" s="699"/>
      <c r="L602" s="699"/>
      <c r="M602" s="699"/>
      <c r="N602" s="1257"/>
      <c r="O602" s="16"/>
      <c r="P602" s="1065"/>
      <c r="R602" s="1037"/>
      <c r="S602" s="1037"/>
      <c r="AA602" s="608"/>
    </row>
    <row r="603" spans="2:27" ht="12.75" customHeight="1" x14ac:dyDescent="0.2">
      <c r="B603" s="207"/>
      <c r="C603" s="1060"/>
      <c r="D603" s="514"/>
      <c r="E603" s="1757" t="str">
        <f>Translations!$B$815</f>
        <v>Ilości wyprowadzone:</v>
      </c>
      <c r="F603" s="1758"/>
      <c r="G603" s="1758"/>
      <c r="H603" s="515" t="str">
        <f>EUconst_Unit</f>
        <v>Jednostka</v>
      </c>
      <c r="I603" s="451">
        <f>I$1882</f>
        <v>2014</v>
      </c>
      <c r="J603" s="451">
        <f>J$1882</f>
        <v>2015</v>
      </c>
      <c r="K603" s="451">
        <f>K$1882</f>
        <v>2016</v>
      </c>
      <c r="L603" s="451">
        <f>L$1882</f>
        <v>2017</v>
      </c>
      <c r="M603" s="451">
        <f>M$1882</f>
        <v>2018</v>
      </c>
      <c r="N603" s="1257"/>
      <c r="O603" s="16"/>
      <c r="P603" s="1065"/>
      <c r="R603" s="1037"/>
      <c r="S603" s="1037"/>
      <c r="AA603" s="608"/>
    </row>
    <row r="604" spans="2:27" ht="12.75" customHeight="1" x14ac:dyDescent="0.2">
      <c r="B604" s="207"/>
      <c r="C604" s="1060"/>
      <c r="D604" s="516" t="s">
        <v>6</v>
      </c>
      <c r="E604" s="1759"/>
      <c r="F604" s="1759"/>
      <c r="G604" s="1759"/>
      <c r="H604" s="64" t="str">
        <f>IF(E604&lt;&gt;"",INDEX(EUconst_BMlistUnits,MATCH(E604,EUconst_BMlistNames,0)),EUconst_Tons)</f>
        <v>tony</v>
      </c>
      <c r="I604" s="318"/>
      <c r="J604" s="318"/>
      <c r="K604" s="318"/>
      <c r="L604" s="318"/>
      <c r="M604" s="318"/>
      <c r="N604" s="1257"/>
      <c r="O604" s="16"/>
      <c r="P604" s="1062" t="str">
        <f>EUconst_CNTR_IntermediateExport &amp; R600 &amp; "_" &amp; I433</f>
        <v>IntExp_1_</v>
      </c>
      <c r="R604" s="1062">
        <v>1</v>
      </c>
      <c r="S604" s="1037"/>
      <c r="U604" s="512"/>
      <c r="V604" s="512"/>
      <c r="AA604" s="345" t="b">
        <f>AA600</f>
        <v>0</v>
      </c>
    </row>
    <row r="605" spans="2:27" ht="12.75" customHeight="1" x14ac:dyDescent="0.2">
      <c r="B605" s="207"/>
      <c r="C605" s="1060"/>
      <c r="D605" s="516" t="s">
        <v>316</v>
      </c>
      <c r="E605" s="1747"/>
      <c r="F605" s="1747"/>
      <c r="G605" s="1747"/>
      <c r="H605" s="56" t="str">
        <f>IF(E605&lt;&gt;"",INDEX(EUconst_BMlistUnits,MATCH(E605,EUconst_BMlistNames,0)),EUconst_Tons)</f>
        <v>tony</v>
      </c>
      <c r="I605" s="317"/>
      <c r="J605" s="317"/>
      <c r="K605" s="317"/>
      <c r="L605" s="317"/>
      <c r="M605" s="317"/>
      <c r="N605" s="1257"/>
      <c r="O605" s="16"/>
      <c r="P605" s="1062" t="str">
        <f>EUconst_CNTR_IntermediateExport &amp; R605 &amp; "_" &amp; I433</f>
        <v>IntExp_2_</v>
      </c>
      <c r="R605" s="1062">
        <v>2</v>
      </c>
      <c r="S605" s="1037"/>
      <c r="U605" s="512"/>
      <c r="V605" s="512"/>
      <c r="AA605" s="345" t="b">
        <f>AA600</f>
        <v>0</v>
      </c>
    </row>
    <row r="606" spans="2:27" ht="5.0999999999999996" customHeight="1" x14ac:dyDescent="0.2">
      <c r="B606" s="207"/>
      <c r="C606" s="1060"/>
      <c r="D606" s="699"/>
      <c r="E606" s="699"/>
      <c r="F606" s="699"/>
      <c r="G606" s="699"/>
      <c r="H606" s="699"/>
      <c r="I606" s="699"/>
      <c r="J606" s="699"/>
      <c r="K606" s="699"/>
      <c r="L606" s="699"/>
      <c r="M606" s="699"/>
      <c r="N606" s="1257"/>
      <c r="O606" s="16"/>
      <c r="P606" s="1065"/>
      <c r="R606" s="1037"/>
      <c r="S606" s="1037"/>
      <c r="U606" s="512"/>
      <c r="V606" s="512"/>
      <c r="AA606" s="608"/>
    </row>
    <row r="607" spans="2:27" ht="12.75" customHeight="1" x14ac:dyDescent="0.2">
      <c r="B607" s="207"/>
      <c r="C607" s="1060"/>
      <c r="D607" s="516" t="s">
        <v>317</v>
      </c>
      <c r="E607" s="1748" t="str">
        <f>Translations!$B$816</f>
        <v>Opis produktów pośrednich wprowadzonych lub wyprowadzonych</v>
      </c>
      <c r="F607" s="1748"/>
      <c r="G607" s="1748"/>
      <c r="H607" s="1748"/>
      <c r="I607" s="1748"/>
      <c r="J607" s="1748"/>
      <c r="K607" s="1748"/>
      <c r="L607" s="1748"/>
      <c r="M607" s="1748"/>
      <c r="N607" s="1257"/>
      <c r="O607" s="16"/>
      <c r="P607" s="1065"/>
      <c r="R607" s="1037"/>
      <c r="S607" s="1037"/>
      <c r="U607" s="512"/>
      <c r="V607" s="512"/>
      <c r="AA607" s="608"/>
    </row>
    <row r="608" spans="2:27" ht="12.75" customHeight="1" x14ac:dyDescent="0.2">
      <c r="B608" s="207"/>
      <c r="C608" s="1060"/>
      <c r="D608" s="699"/>
      <c r="E608" s="1749"/>
      <c r="F608" s="1750"/>
      <c r="G608" s="1750"/>
      <c r="H608" s="1750"/>
      <c r="I608" s="1750"/>
      <c r="J608" s="1750"/>
      <c r="K608" s="1750"/>
      <c r="L608" s="1750"/>
      <c r="M608" s="1751"/>
      <c r="N608" s="1257"/>
      <c r="O608" s="16"/>
      <c r="P608" s="1065"/>
      <c r="R608" s="1037"/>
      <c r="S608" s="1037"/>
      <c r="U608" s="512"/>
      <c r="V608" s="512"/>
      <c r="AA608" s="345" t="b">
        <f>AA600</f>
        <v>0</v>
      </c>
    </row>
    <row r="609" spans="2:27" ht="12.75" customHeight="1" thickBot="1" x14ac:dyDescent="0.25">
      <c r="B609" s="207"/>
      <c r="C609" s="1060"/>
      <c r="D609" s="699"/>
      <c r="E609" s="1752"/>
      <c r="F609" s="1753"/>
      <c r="G609" s="1753"/>
      <c r="H609" s="1753"/>
      <c r="I609" s="1753"/>
      <c r="J609" s="1753"/>
      <c r="K609" s="1753"/>
      <c r="L609" s="1753"/>
      <c r="M609" s="1754"/>
      <c r="N609" s="1257"/>
      <c r="O609" s="16"/>
      <c r="P609" s="1065"/>
      <c r="R609" s="1037"/>
      <c r="S609" s="1037"/>
      <c r="U609" s="512"/>
      <c r="V609" s="512"/>
      <c r="AA609" s="168" t="b">
        <f>AA600</f>
        <v>0</v>
      </c>
    </row>
    <row r="610" spans="2:27" ht="12.75" customHeight="1" thickBot="1" x14ac:dyDescent="0.25">
      <c r="B610" s="207"/>
      <c r="C610" s="1066"/>
      <c r="D610" s="1067"/>
      <c r="E610" s="1067"/>
      <c r="F610" s="1067"/>
      <c r="G610" s="1067"/>
      <c r="H610" s="1067"/>
      <c r="I610" s="1067"/>
      <c r="J610" s="1067"/>
      <c r="K610" s="1067"/>
      <c r="L610" s="1067"/>
      <c r="M610" s="1068"/>
      <c r="N610" s="1069"/>
      <c r="O610" s="16"/>
      <c r="P610" s="1037"/>
      <c r="R610" s="1037"/>
      <c r="S610" s="1037"/>
    </row>
    <row r="611" spans="2:27" ht="13.5" thickBot="1" x14ac:dyDescent="0.25">
      <c r="B611" s="20"/>
      <c r="C611" s="20"/>
      <c r="D611" s="20"/>
      <c r="E611" s="20"/>
      <c r="F611" s="20"/>
      <c r="G611" s="20"/>
      <c r="H611" s="20"/>
      <c r="I611" s="20"/>
      <c r="J611" s="20"/>
      <c r="K611" s="20"/>
      <c r="L611" s="20"/>
      <c r="M611" s="20"/>
      <c r="N611" s="20"/>
      <c r="O611" s="16"/>
      <c r="P611" s="346" t="str">
        <f>IF(OR(AND(CNTR_ExistProductSubEntries=FALSE,P433=1),AND(I433&lt;&gt;"",COUNTIF(P612:$P$1876,"PRINT")=0)),"PRINT","")</f>
        <v/>
      </c>
      <c r="Q611" s="422" t="s">
        <v>498</v>
      </c>
      <c r="R611" s="1037"/>
      <c r="S611" s="1037"/>
    </row>
    <row r="612" spans="2:27" ht="5.0999999999999996" customHeight="1" thickBot="1" x14ac:dyDescent="0.25">
      <c r="B612" s="20"/>
      <c r="C612" s="1070"/>
      <c r="D612" s="1070"/>
      <c r="E612" s="1070"/>
      <c r="F612" s="1070"/>
      <c r="G612" s="1070"/>
      <c r="H612" s="1070"/>
      <c r="I612" s="1070"/>
      <c r="J612" s="1070"/>
      <c r="K612" s="1070"/>
      <c r="L612" s="1070"/>
      <c r="M612" s="1070"/>
      <c r="N612" s="1070"/>
      <c r="O612" s="16"/>
      <c r="R612" s="1037"/>
      <c r="S612" s="1037"/>
    </row>
    <row r="613" spans="2:27" ht="15.75" thickBot="1" x14ac:dyDescent="0.25">
      <c r="B613" s="207"/>
      <c r="C613" s="1047">
        <f>C433+1</f>
        <v>4</v>
      </c>
      <c r="D613" s="1439" t="str">
        <f>EUconst_BMSubinst &amp; ":"</f>
        <v>Podinstalacja i wskaźnik emisyjności dla produktów:</v>
      </c>
      <c r="E613" s="1370"/>
      <c r="F613" s="1370"/>
      <c r="G613" s="1370"/>
      <c r="H613" s="1432"/>
      <c r="I613" s="1781" t="str">
        <f>IF(INDEX(CNTR_SubInstListIsProdBM,$C613),INDEX(CNTR_SubInstListNames,$C613),"")</f>
        <v/>
      </c>
      <c r="J613" s="1666"/>
      <c r="K613" s="1666"/>
      <c r="L613" s="1666"/>
      <c r="M613" s="1666"/>
      <c r="N613" s="1383"/>
      <c r="O613" s="16"/>
      <c r="P613" s="346">
        <f>C613</f>
        <v>4</v>
      </c>
      <c r="Q613" s="1048" t="s">
        <v>234</v>
      </c>
      <c r="R613" s="1049" t="str">
        <f>IF(I613="","",INDEX(CNTR_SubInstStartDate,MATCH($I613,CNTR_SubInstListNames,0)))</f>
        <v/>
      </c>
      <c r="S613" s="1050" t="b">
        <f>IF($I613="",FALSE,AND(I$1885, IF($R613&lt;DATE($L$1882,1,1),YEAR($R613)&lt;=I$1882,YEAR($R613-1)&lt;I$1882) ) )</f>
        <v>0</v>
      </c>
      <c r="T613" s="1050" t="b">
        <f>IF($I613="",FALSE,AND(J$1885, IF($R613&lt;DATE($L$1882,1,1),YEAR($R613)&lt;=J$1882,YEAR($R613-1)&lt;J$1882) ) )</f>
        <v>0</v>
      </c>
      <c r="U613" s="1050" t="b">
        <f>IF($I613="",FALSE,AND(K$1885, IF($R613&lt;DATE($L$1882,1,1),YEAR($R613)&lt;=K$1882,YEAR($R613-1)&lt;K$1882) ) )</f>
        <v>0</v>
      </c>
      <c r="V613" s="1050" t="b">
        <f>IF($I613="",FALSE,AND(L$1885, IF($R613&lt;DATE($L$1882,1,1),YEAR($R613)&lt;=L$1882,YEAR($R613-1)&lt;L$1882) ) )</f>
        <v>0</v>
      </c>
      <c r="W613" s="1050" t="b">
        <f>IF($I613="",FALSE,AND(M$1885, IF($R613&lt;DATE($L$1882,1,1),YEAR($R613)&lt;=M$1882,YEAR($R613-1)&lt;M$1882) ) )</f>
        <v>0</v>
      </c>
      <c r="Z613" s="736" t="s">
        <v>550</v>
      </c>
      <c r="AA613" s="738" t="b">
        <f>AND(CNTR_ExistSubInstEntries,I613="")</f>
        <v>1</v>
      </c>
    </row>
    <row r="614" spans="2:27" ht="5.0999999999999996" customHeight="1" x14ac:dyDescent="0.2">
      <c r="B614" s="207"/>
      <c r="C614" s="207"/>
      <c r="D614" s="207"/>
      <c r="E614" s="207"/>
      <c r="F614" s="207"/>
      <c r="G614" s="207"/>
      <c r="H614" s="207"/>
      <c r="I614" s="207"/>
      <c r="J614" s="207"/>
      <c r="K614" s="207"/>
      <c r="L614" s="207"/>
      <c r="M614" s="16"/>
      <c r="N614" s="16"/>
      <c r="O614" s="16"/>
      <c r="P614" s="1037"/>
      <c r="R614" s="1037"/>
      <c r="S614" s="1037"/>
    </row>
    <row r="615" spans="2:27" ht="12.75" customHeight="1" x14ac:dyDescent="0.2">
      <c r="B615" s="207"/>
      <c r="C615" s="207"/>
      <c r="D615" s="207"/>
      <c r="E615" s="1622" t="str">
        <f>CONCATENATE(EUconst_MsgSeeFirst," (F.I.1)")</f>
        <v>Szczegółowe instrukcje dotyczące wprowadzania danych w tym narzędziu znajdują się w pierwszej kopii tego narzędzia.  (F.I.1)</v>
      </c>
      <c r="F615" s="1622"/>
      <c r="G615" s="1622"/>
      <c r="H615" s="1622"/>
      <c r="I615" s="1622"/>
      <c r="J615" s="1622"/>
      <c r="K615" s="1622"/>
      <c r="L615" s="1622"/>
      <c r="M615" s="1622"/>
      <c r="N615" s="1622"/>
      <c r="O615" s="16"/>
      <c r="P615" s="1037"/>
      <c r="R615" s="1037"/>
      <c r="S615" s="1037"/>
    </row>
    <row r="616" spans="2:27" ht="5.0999999999999996" customHeight="1" x14ac:dyDescent="0.2">
      <c r="B616" s="207"/>
      <c r="C616" s="207"/>
      <c r="D616" s="207"/>
      <c r="E616" s="207"/>
      <c r="F616" s="207"/>
      <c r="G616" s="207"/>
      <c r="H616" s="207"/>
      <c r="I616" s="207"/>
      <c r="J616" s="207"/>
      <c r="K616" s="207"/>
      <c r="L616" s="207"/>
      <c r="M616" s="16"/>
      <c r="N616" s="16"/>
      <c r="O616" s="16"/>
      <c r="P616" s="1037"/>
      <c r="R616" s="1037"/>
      <c r="S616" s="1037"/>
    </row>
    <row r="617" spans="2:27" ht="13.5" thickBot="1" x14ac:dyDescent="0.25">
      <c r="B617" s="207"/>
      <c r="C617" s="207"/>
      <c r="D617" s="14" t="s">
        <v>173</v>
      </c>
      <c r="E617" s="1375" t="str">
        <f>Translations!$B$670</f>
        <v>Historyczne poziomy działalności</v>
      </c>
      <c r="F617" s="1370"/>
      <c r="G617" s="1370"/>
      <c r="H617" s="1370"/>
      <c r="I617" s="1370"/>
      <c r="J617" s="1370"/>
      <c r="K617" s="1370"/>
      <c r="L617" s="1370"/>
      <c r="M617" s="1370"/>
      <c r="N617" s="1370"/>
      <c r="O617" s="16"/>
      <c r="P617" s="1037"/>
      <c r="R617" s="1037"/>
      <c r="S617" s="1037"/>
    </row>
    <row r="618" spans="2:27" ht="13.5" customHeight="1" thickBot="1" x14ac:dyDescent="0.25">
      <c r="B618" s="20"/>
      <c r="C618" s="20"/>
      <c r="D618" s="14"/>
      <c r="E618" s="1430" t="str">
        <f>Translations!$B$676</f>
        <v>Roczne poziomy działalności:</v>
      </c>
      <c r="F618" s="1430"/>
      <c r="G618" s="1430"/>
      <c r="H618" s="34" t="str">
        <f>EUconst_Unit</f>
        <v>Jednostka</v>
      </c>
      <c r="I618" s="396">
        <f>I$1882</f>
        <v>2014</v>
      </c>
      <c r="J618" s="396">
        <f>J$1882</f>
        <v>2015</v>
      </c>
      <c r="K618" s="396">
        <f>K$1882</f>
        <v>2016</v>
      </c>
      <c r="L618" s="396">
        <f>L$1882</f>
        <v>2017</v>
      </c>
      <c r="M618" s="421">
        <f>M$1882</f>
        <v>2018</v>
      </c>
      <c r="N618" s="888" t="str">
        <f>IF(I613="","",IF(S623,YEAR(R613)+1,""))</f>
        <v/>
      </c>
      <c r="O618" s="16"/>
      <c r="P618" s="1037"/>
      <c r="Q618" s="424" t="s">
        <v>432</v>
      </c>
      <c r="R618" s="276"/>
      <c r="S618" s="276"/>
      <c r="T618" s="276"/>
      <c r="U618" s="276"/>
      <c r="V618" s="276"/>
      <c r="W618" s="277"/>
      <c r="Y618" s="788" t="b">
        <f>IF(CNTR_ExistSubInstEntries,IF(I613&lt;&gt;"",NOT(S623),TRUE),FALSE)</f>
        <v>1</v>
      </c>
      <c r="AA618" s="422" t="s">
        <v>272</v>
      </c>
    </row>
    <row r="619" spans="2:27" ht="13.5" thickBot="1" x14ac:dyDescent="0.25">
      <c r="B619" s="20"/>
      <c r="C619" s="20"/>
      <c r="D619" s="195" t="s">
        <v>2</v>
      </c>
      <c r="E619" s="1801" t="str">
        <f>I613</f>
        <v/>
      </c>
      <c r="F619" s="1801"/>
      <c r="G619" s="1801"/>
      <c r="H619" s="98" t="str">
        <f>IF(INDEX(CNTR_SubInstListIsProdBM,$C613),INDEX(CNTR_SubInstListHALUnit,$C613),EUconst_Tons)</f>
        <v>tony</v>
      </c>
      <c r="I619" s="591"/>
      <c r="J619" s="591"/>
      <c r="K619" s="591"/>
      <c r="L619" s="591"/>
      <c r="M619" s="886"/>
      <c r="N619" s="889"/>
      <c r="O619" s="16"/>
      <c r="P619" s="164" t="s">
        <v>237</v>
      </c>
      <c r="Q619" s="1238" t="s">
        <v>2190</v>
      </c>
      <c r="R619" s="187" t="s">
        <v>437</v>
      </c>
      <c r="S619" s="442">
        <f>I618</f>
        <v>2014</v>
      </c>
      <c r="T619" s="443">
        <f>J618</f>
        <v>2015</v>
      </c>
      <c r="U619" s="443">
        <f>K618</f>
        <v>2016</v>
      </c>
      <c r="V619" s="443">
        <f>L618</f>
        <v>2017</v>
      </c>
      <c r="W619" s="444">
        <f>M618</f>
        <v>2018</v>
      </c>
      <c r="Y619" s="963" t="b">
        <f>IF(CNTR_ExistSubInstEntries,IF(AND(I613&lt;&gt;"",N620=""),NOT(S623),TRUE),FALSE)</f>
        <v>1</v>
      </c>
      <c r="Z619" s="422"/>
      <c r="AA619" s="646" t="b">
        <f>IF(CNTR_ExistSubInstEntries,AND(I613&lt;&gt;"",Q623),FALSE)</f>
        <v>0</v>
      </c>
    </row>
    <row r="620" spans="2:27" ht="13.5" thickBot="1" x14ac:dyDescent="0.25">
      <c r="B620" s="20"/>
      <c r="C620" s="20"/>
      <c r="D620" s="195" t="s">
        <v>3</v>
      </c>
      <c r="E620" s="1801" t="str">
        <f>Translations!$B$677</f>
        <v>Z arkusza „H_SpecialBM”:</v>
      </c>
      <c r="F620" s="1801"/>
      <c r="G620" s="1801"/>
      <c r="H620" s="98" t="str">
        <f>H619</f>
        <v>tony</v>
      </c>
      <c r="I620" s="321" t="str">
        <f>IF($I613="","",IF($Q623,SUMIF(H_SpecialBM!$P$9:$P$384,$P620,H_SpecialBM!I$9:I$384),""))</f>
        <v/>
      </c>
      <c r="J620" s="321" t="str">
        <f>IF($I613="","",IF($Q623,SUMIF(H_SpecialBM!$P$9:$P$384,$P620,H_SpecialBM!J$9:J$384),""))</f>
        <v/>
      </c>
      <c r="K620" s="321" t="str">
        <f>IF($I613="","",IF($Q623,SUMIF(H_SpecialBM!$P$9:$P$384,$P620,H_SpecialBM!K$9:K$384),""))</f>
        <v/>
      </c>
      <c r="L620" s="321" t="str">
        <f>IF($I613="","",IF($Q623,SUMIF(H_SpecialBM!$P$9:$P$384,$P620,H_SpecialBM!L$9:L$384),""))</f>
        <v/>
      </c>
      <c r="M620" s="887" t="str">
        <f>IF($I613="","",IF($Q623,SUMIF(H_SpecialBM!$P$9:$P$384,$P620,H_SpecialBM!M$9:M$384),""))</f>
        <v/>
      </c>
      <c r="N620" s="890" t="str">
        <f>IF($I613="","",IF(AND($Q623,$S623),SUMIF(H_SpecialBM!$P$9:$P$384,$P620,H_SpecialBM!N$9:N$384),""))</f>
        <v/>
      </c>
      <c r="O620" s="16"/>
      <c r="P620" s="1051" t="str">
        <f>EUconst_CNTR_HALspecial&amp;I613</f>
        <v>HALspecial_</v>
      </c>
      <c r="Q620" s="179" t="str">
        <f>IF(COUNT($U620:$V620)&gt;0,SUM($U620:$V620),"")</f>
        <v/>
      </c>
      <c r="R620" s="439" t="str">
        <f>IF(COUNT(S620:W620)&gt;0,AVERAGE(S620:W620),"")</f>
        <v/>
      </c>
      <c r="S620" s="440" t="str">
        <f>IF(S613,IF(ISNUMBER(I620),I620,""),"")</f>
        <v/>
      </c>
      <c r="T620" s="441" t="str">
        <f>IF(T613,IF(ISNUMBER(J620),J620,""),"")</f>
        <v/>
      </c>
      <c r="U620" s="441" t="str">
        <f>IF(U613,IF(ISNUMBER(K620),K620,""),"")</f>
        <v/>
      </c>
      <c r="V620" s="441" t="str">
        <f>IF(V613,IF(ISNUMBER(L620),L620,""),"")</f>
        <v/>
      </c>
      <c r="W620" s="439" t="str">
        <f>IF(W613,IF(ISNUMBER(M620),M620,""),"")</f>
        <v/>
      </c>
      <c r="Y620" s="777" t="b">
        <f>OR(Y618,AA620)</f>
        <v>1</v>
      </c>
      <c r="AA620" s="723" t="b">
        <f>Q623=FALSE</f>
        <v>0</v>
      </c>
    </row>
    <row r="621" spans="2:27" ht="13.5" thickBot="1" x14ac:dyDescent="0.25">
      <c r="B621" s="20"/>
      <c r="C621" s="20"/>
      <c r="D621" s="195" t="s">
        <v>4</v>
      </c>
      <c r="E621" s="1801" t="str">
        <f>Translations!$B$678</f>
        <v>Wartości użyte do obliczenia:</v>
      </c>
      <c r="F621" s="1801"/>
      <c r="G621" s="1801"/>
      <c r="H621" s="98" t="str">
        <f>H620</f>
        <v>tony</v>
      </c>
      <c r="I621" s="321" t="str">
        <f>IF($I613="","",IF($Q623=TRUE,IF(ISNUMBER(I620),I620,0),IF(ISNUMBER(I619),I619,0)))</f>
        <v/>
      </c>
      <c r="J621" s="321" t="str">
        <f>IF($I613="","",IF($Q623=TRUE,IF(ISNUMBER(J620),J620,0),IF(ISNUMBER(J619),J619,0)))</f>
        <v/>
      </c>
      <c r="K621" s="321" t="str">
        <f>IF($I613="","",IF($Q623=TRUE,IF(ISNUMBER(K620),K620,0),IF(ISNUMBER(K619),K619,0)))</f>
        <v/>
      </c>
      <c r="L621" s="321" t="str">
        <f>IF($I613="","",IF($Q623=TRUE,IF(ISNUMBER(L620),L620,0),IF(ISNUMBER(L619),L619,0)))</f>
        <v/>
      </c>
      <c r="M621" s="887" t="str">
        <f>IF($I613="","",IF($Q623=TRUE,IF(ISNUMBER(M620),M620,0),IF(ISNUMBER(M619),M619,0)))</f>
        <v/>
      </c>
      <c r="N621" s="890" t="str">
        <f>IF($I613="","",IF(S623,IF($Q623=TRUE,IF(ISNUMBER(N620),N620,0),IF(ISNUMBER(N619),N619,0)),""))</f>
        <v/>
      </c>
      <c r="O621" s="16"/>
      <c r="P621" s="1051" t="str">
        <f>EUconst_CNTR_HAL&amp;I613</f>
        <v>HAL_</v>
      </c>
      <c r="Q621" s="168" t="str">
        <f>IF(COUNT($U621:$V621)&gt;0,SUM($U621:$V621),"")</f>
        <v/>
      </c>
      <c r="R621" s="120" t="str">
        <f>IF(COUNT(S621:W621)&gt;0,AVERAGE(S621:W621),"")</f>
        <v/>
      </c>
      <c r="S621" s="118" t="str">
        <f>IF(S613,IF(ISNUMBER(I621),I621,""),"")</f>
        <v/>
      </c>
      <c r="T621" s="119" t="str">
        <f>IF(T613,IF(ISNUMBER(J621),J621,""),"")</f>
        <v/>
      </c>
      <c r="U621" s="119" t="str">
        <f>IF(U613,IF(ISNUMBER(K621),K621,""),"")</f>
        <v/>
      </c>
      <c r="V621" s="119" t="str">
        <f>IF(V613,IF(ISNUMBER(L621),L621,""),"")</f>
        <v/>
      </c>
      <c r="W621" s="120" t="str">
        <f>IF(W613,IF(ISNUMBER(M621),M621,""),"")</f>
        <v/>
      </c>
      <c r="Y621" s="168" t="b">
        <f>Y618</f>
        <v>1</v>
      </c>
    </row>
    <row r="622" spans="2:27" ht="5.0999999999999996" customHeight="1" x14ac:dyDescent="0.2">
      <c r="B622" s="207"/>
      <c r="C622" s="207"/>
      <c r="D622" s="207"/>
      <c r="E622" s="207"/>
      <c r="F622" s="207"/>
      <c r="G622" s="207"/>
      <c r="H622" s="207"/>
      <c r="I622" s="207"/>
      <c r="J622" s="207"/>
      <c r="K622" s="207"/>
      <c r="L622" s="207"/>
      <c r="M622" s="16"/>
      <c r="N622" s="16"/>
      <c r="O622" s="16"/>
      <c r="P622" s="1037"/>
      <c r="R622" s="1037"/>
      <c r="S622" s="1037"/>
    </row>
    <row r="623" spans="2:27" x14ac:dyDescent="0.2">
      <c r="B623" s="207"/>
      <c r="C623" s="207"/>
      <c r="D623" s="14" t="s">
        <v>353</v>
      </c>
      <c r="E623" s="1375" t="str">
        <f>Translations!$B$679</f>
        <v>Szczególne wymogi w zakresie raportowania:</v>
      </c>
      <c r="F623" s="1375"/>
      <c r="G623" s="1637"/>
      <c r="H623" s="1796" t="str">
        <f>IF(I613="","",HYPERLINK(INDEX(EUconst_BMlistSpecialJumpTable,MATCH(I613,EUconst_BMlistNames,0)),INDEX(EUconst_BMlistSpecialReporting,MATCH(I613,EUconst_BMlistNames,0))))</f>
        <v/>
      </c>
      <c r="I623" s="1802"/>
      <c r="J623" s="1802"/>
      <c r="K623" s="1802"/>
      <c r="L623" s="1802"/>
      <c r="M623" s="1802"/>
      <c r="N623" s="1803"/>
      <c r="O623" s="16"/>
      <c r="P623" s="1048" t="s">
        <v>38</v>
      </c>
      <c r="Q623" s="116" t="str">
        <f>IF(I613="","",IF(AND(INDEX(EUconst_BMlistSpecialJumpTable,MATCH(I613,EUconst_BMlistNames,0))&lt;&gt;"",MATCH(I613,EUconst_BMlistNames,0)&lt;&gt;47),TRUE,FALSE))</f>
        <v/>
      </c>
      <c r="R623" s="1048" t="s">
        <v>598</v>
      </c>
      <c r="S623" s="116" t="b">
        <f>IF(I613="",FALSE,INDEX(CNTR_SubInstLess1Year,MATCH(I613,CNTR_SubInstListNames,0)))</f>
        <v>0</v>
      </c>
    </row>
    <row r="624" spans="2:27" ht="12.75" customHeight="1" x14ac:dyDescent="0.2">
      <c r="B624" s="207"/>
      <c r="C624" s="207"/>
      <c r="D624" s="207"/>
      <c r="E624" s="207"/>
      <c r="F624" s="207"/>
      <c r="G624" s="207"/>
      <c r="H624" s="207"/>
      <c r="I624" s="207"/>
      <c r="J624" s="207"/>
      <c r="K624" s="207"/>
      <c r="L624" s="207"/>
      <c r="M624" s="207"/>
      <c r="N624" s="207"/>
      <c r="O624" s="16"/>
      <c r="P624" s="1037"/>
      <c r="R624" s="1037"/>
      <c r="S624" s="1037"/>
    </row>
    <row r="625" spans="1:27" ht="15" customHeight="1" x14ac:dyDescent="0.2">
      <c r="B625" s="20"/>
      <c r="C625" s="208"/>
      <c r="D625" s="1439" t="str">
        <f>Translations!$B$681</f>
        <v>Dodatkowe współczynniki korygujące</v>
      </c>
      <c r="E625" s="1370"/>
      <c r="F625" s="1370"/>
      <c r="G625" s="1370"/>
      <c r="H625" s="1370"/>
      <c r="I625" s="1370"/>
      <c r="J625" s="1370"/>
      <c r="K625" s="1370"/>
      <c r="L625" s="1370"/>
      <c r="M625" s="1370"/>
      <c r="N625" s="1370"/>
      <c r="O625" s="16"/>
      <c r="R625" s="1037"/>
      <c r="S625" s="1037"/>
    </row>
    <row r="626" spans="1:27" ht="5.0999999999999996" customHeight="1" x14ac:dyDescent="0.2">
      <c r="B626" s="207"/>
      <c r="C626" s="207"/>
      <c r="D626" s="207"/>
      <c r="E626" s="207"/>
      <c r="F626" s="207"/>
      <c r="G626" s="207"/>
      <c r="H626" s="207"/>
      <c r="I626" s="207"/>
      <c r="J626" s="207"/>
      <c r="K626" s="207"/>
      <c r="L626" s="207"/>
      <c r="M626" s="207"/>
      <c r="N626" s="207"/>
      <c r="O626" s="16"/>
      <c r="P626" s="1037"/>
      <c r="R626" s="1037"/>
      <c r="S626" s="1037"/>
    </row>
    <row r="627" spans="1:27" ht="13.5" thickBot="1" x14ac:dyDescent="0.25">
      <c r="B627" s="20"/>
      <c r="C627" s="20"/>
      <c r="D627" s="14" t="s">
        <v>11</v>
      </c>
      <c r="E627" s="1375" t="str">
        <f>Translations!$B$682</f>
        <v>Zamienność paliw i energii elektrycznej:</v>
      </c>
      <c r="F627" s="1370"/>
      <c r="G627" s="1370"/>
      <c r="H627" s="1370"/>
      <c r="I627" s="1432"/>
      <c r="J627" s="1796" t="str">
        <f>IF(I613="","",IF(INDEX(EUconst_BMlistElExchangability,MATCH(I613,EUconst_BMlistNames,0))=TRUE,"",HYPERLINK(Q627,EUconst_MsgGoOn)))</f>
        <v/>
      </c>
      <c r="K627" s="1797"/>
      <c r="L627" s="1797"/>
      <c r="M627" s="1797"/>
      <c r="N627" s="1798"/>
      <c r="O627" s="16"/>
      <c r="P627" s="2" t="s">
        <v>199</v>
      </c>
      <c r="Q627" s="346" t="str">
        <f>"#"&amp;ADDRESS(ROW(D635),COLUMN(D635))</f>
        <v>#$D$635</v>
      </c>
      <c r="R627" s="1037"/>
      <c r="S627" s="1037"/>
    </row>
    <row r="628" spans="1:27" s="701" customFormat="1" ht="13.5" thickBot="1" x14ac:dyDescent="0.25">
      <c r="A628" s="422"/>
      <c r="B628" s="398"/>
      <c r="C628" s="398"/>
      <c r="D628" s="14"/>
      <c r="E628" s="1430" t="str">
        <f>Translations!$B$686</f>
        <v>Parametr</v>
      </c>
      <c r="F628" s="1377"/>
      <c r="G628" s="1377"/>
      <c r="H628" s="34" t="str">
        <f>EUconst_Unit</f>
        <v>Jednostka</v>
      </c>
      <c r="I628" s="396">
        <f>I$66</f>
        <v>2014</v>
      </c>
      <c r="J628" s="396">
        <f>J$66</f>
        <v>2015</v>
      </c>
      <c r="K628" s="396">
        <f>K$66</f>
        <v>2016</v>
      </c>
      <c r="L628" s="396">
        <f>L$66</f>
        <v>2017</v>
      </c>
      <c r="M628" s="421">
        <f>M$66</f>
        <v>2018</v>
      </c>
      <c r="N628" s="888" t="str">
        <f>IF(AA629=FALSE,N618,"")</f>
        <v/>
      </c>
      <c r="O628" s="16"/>
      <c r="P628" s="422"/>
      <c r="Q628" s="422"/>
      <c r="R628" s="1037"/>
      <c r="S628" s="1037"/>
      <c r="T628" s="1037"/>
      <c r="U628" s="1037"/>
      <c r="V628" s="1037"/>
      <c r="W628" s="1037"/>
      <c r="X628" s="1037"/>
      <c r="Y628" s="788" t="b">
        <f>OR(Y618,AA629)</f>
        <v>1</v>
      </c>
      <c r="Z628" s="422"/>
      <c r="AA628" s="1037" t="s">
        <v>381</v>
      </c>
    </row>
    <row r="629" spans="1:27" s="701" customFormat="1" ht="13.5" thickBot="1" x14ac:dyDescent="0.25">
      <c r="A629" s="422"/>
      <c r="B629" s="398"/>
      <c r="C629" s="398"/>
      <c r="D629" s="425" t="s">
        <v>2</v>
      </c>
      <c r="E629" s="1569" t="str">
        <f>Translations!$B$687</f>
        <v>Emisje bezpośrednie</v>
      </c>
      <c r="F629" s="1569"/>
      <c r="G629" s="1569"/>
      <c r="H629" s="581" t="str">
        <f>EUconst_tCO2pa</f>
        <v>t CO2 / rok</v>
      </c>
      <c r="I629" s="818"/>
      <c r="J629" s="818"/>
      <c r="K629" s="819"/>
      <c r="L629" s="818"/>
      <c r="M629" s="891"/>
      <c r="N629" s="903"/>
      <c r="O629" s="16"/>
      <c r="P629" s="422"/>
      <c r="Q629" s="422"/>
      <c r="R629" s="1037"/>
      <c r="S629" s="1037"/>
      <c r="T629" s="1037"/>
      <c r="U629" s="1037"/>
      <c r="V629" s="1037"/>
      <c r="W629" s="1037"/>
      <c r="X629" s="1037"/>
      <c r="Y629" s="715" t="b">
        <f>Y628</f>
        <v>1</v>
      </c>
      <c r="Z629" s="422"/>
      <c r="AA629" s="788" t="b">
        <f>IF(CNTR_ExistSubInstEntries,IF(I613&lt;&gt;"",IF(INDEX(EUconst_BMlistElExchangability,MATCH(I613,EUconst_BMlistNames,0)),FALSE,TRUE),TRUE),FALSE)</f>
        <v>1</v>
      </c>
    </row>
    <row r="630" spans="1:27" s="701" customFormat="1" x14ac:dyDescent="0.2">
      <c r="A630" s="422"/>
      <c r="B630" s="398"/>
      <c r="C630" s="398"/>
      <c r="D630" s="425" t="s">
        <v>3</v>
      </c>
      <c r="E630" s="1482" t="str">
        <f>Translations!$B$688</f>
        <v>Ciepło wprowadzone netto</v>
      </c>
      <c r="F630" s="1482"/>
      <c r="G630" s="1482"/>
      <c r="H630" s="584" t="str">
        <f>EUconst_TJpa</f>
        <v>TJ / rok</v>
      </c>
      <c r="I630" s="585" t="str">
        <f>IF($I613&lt;&gt;"",IF(INDEX(EUconst_BMlistElExchangability,MATCH($I613,EUconst_BMlistNames,0)),SUM(I714),""),"")</f>
        <v/>
      </c>
      <c r="J630" s="585" t="str">
        <f>IF($I613&lt;&gt;"",IF(INDEX(EUconst_BMlistElExchangability,MATCH($I613,EUconst_BMlistNames,0)),SUM(J714),""),"")</f>
        <v/>
      </c>
      <c r="K630" s="585" t="str">
        <f>IF($I613&lt;&gt;"",IF(INDEX(EUconst_BMlistElExchangability,MATCH($I613,EUconst_BMlistNames,0)),SUM(K714),""),"")</f>
        <v/>
      </c>
      <c r="L630" s="585" t="str">
        <f>IF($I613&lt;&gt;"",IF(INDEX(EUconst_BMlistElExchangability,MATCH($I613,EUconst_BMlistNames,0)),SUM(L714),""),"")</f>
        <v/>
      </c>
      <c r="M630" s="892" t="str">
        <f>IF($I613&lt;&gt;"",IF(INDEX(EUconst_BMlistElExchangability,MATCH($I613,EUconst_BMlistNames,0)),SUM(M714),""),"")</f>
        <v/>
      </c>
      <c r="N630" s="904"/>
      <c r="O630" s="16"/>
      <c r="P630" s="422"/>
      <c r="Q630" s="422"/>
      <c r="R630" s="1052"/>
      <c r="S630" s="814">
        <f>I628</f>
        <v>2014</v>
      </c>
      <c r="T630" s="814">
        <f>J628</f>
        <v>2015</v>
      </c>
      <c r="U630" s="814">
        <f>K628</f>
        <v>2016</v>
      </c>
      <c r="V630" s="814">
        <f>L628</f>
        <v>2017</v>
      </c>
      <c r="W630" s="815">
        <f>M628</f>
        <v>2018</v>
      </c>
      <c r="X630" s="422"/>
      <c r="Y630" s="715" t="b">
        <f>Y629</f>
        <v>1</v>
      </c>
      <c r="Z630" s="422"/>
      <c r="AA630" s="715" t="b">
        <f>AA629</f>
        <v>1</v>
      </c>
    </row>
    <row r="631" spans="1:27" s="701" customFormat="1" ht="12.75" customHeight="1" thickBot="1" x14ac:dyDescent="0.25">
      <c r="A631" s="422"/>
      <c r="B631" s="398"/>
      <c r="C631" s="398"/>
      <c r="D631" s="425" t="s">
        <v>4</v>
      </c>
      <c r="E631" s="1799" t="str">
        <f>Translations!$B$689</f>
        <v>Odpowiednie zużycie energii elektrycznej</v>
      </c>
      <c r="F631" s="1800"/>
      <c r="G631" s="1800"/>
      <c r="H631" s="611" t="str">
        <f>EUconst_MWhpa</f>
        <v>MWh / rok</v>
      </c>
      <c r="I631" s="612"/>
      <c r="J631" s="612"/>
      <c r="K631" s="612"/>
      <c r="L631" s="612"/>
      <c r="M631" s="893"/>
      <c r="N631" s="896"/>
      <c r="O631" s="16"/>
      <c r="P631" s="185" t="str">
        <f>EUconst_CNTR_HAL&amp;EUconst_CNTR_ELEXCH</f>
        <v>HAL_ELEXCH_</v>
      </c>
      <c r="Q631" s="185" t="str">
        <f>EUconst_CNTR_HAL&amp;EUconst_CNTR_ELEXCH &amp; I613</f>
        <v>HAL_ELEXCH_</v>
      </c>
      <c r="R631" s="1053" t="str">
        <f>EUconst_CNTR_AttributedEmissions &amp; I613</f>
        <v>AttrEmissions_</v>
      </c>
      <c r="S631" s="119" t="str">
        <f>IF(S613,SUM(I631)*EUconst_ElBM,"")</f>
        <v/>
      </c>
      <c r="T631" s="119" t="str">
        <f>IF(T613,SUM(J631)*EUconst_ElBM,"")</f>
        <v/>
      </c>
      <c r="U631" s="119" t="str">
        <f>IF(U613,SUM(K631)*EUconst_ElBM,"")</f>
        <v/>
      </c>
      <c r="V631" s="119" t="str">
        <f>IF(V613,SUM(L631)*EUconst_ElBM,"")</f>
        <v/>
      </c>
      <c r="W631" s="120" t="str">
        <f>IF(W613,SUM(M631)*EUconst_ElBM,"")</f>
        <v/>
      </c>
      <c r="X631" s="422" t="str">
        <f>N628</f>
        <v/>
      </c>
      <c r="Y631" s="715" t="b">
        <f>Y630</f>
        <v>1</v>
      </c>
      <c r="Z631" s="422"/>
      <c r="AA631" s="715" t="b">
        <f>AA630</f>
        <v>1</v>
      </c>
    </row>
    <row r="632" spans="1:27" s="701" customFormat="1" ht="13.5" thickBot="1" x14ac:dyDescent="0.25">
      <c r="A632" s="422"/>
      <c r="B632" s="398"/>
      <c r="C632" s="398"/>
      <c r="D632" s="425" t="s">
        <v>6</v>
      </c>
      <c r="E632" s="1569" t="str">
        <f>Translations!$B$690</f>
        <v>Całkowite emisje bezpośrednie</v>
      </c>
      <c r="F632" s="1569"/>
      <c r="G632" s="1569"/>
      <c r="H632" s="581" t="str">
        <f>EUconst_tCO2pa</f>
        <v>t CO2 / rok</v>
      </c>
      <c r="I632" s="582" t="str">
        <f>IF(ISNUMBER(I629),I629+SUM(I630)*EUconst_HeatBMvalue,"")</f>
        <v/>
      </c>
      <c r="J632" s="582" t="str">
        <f>IF(ISNUMBER(J629),J629+SUM(J630)*EUconst_HeatBMvalue,"")</f>
        <v/>
      </c>
      <c r="K632" s="583" t="str">
        <f>IF(ISNUMBER(K629),K629+SUM(K630)*EUconst_HeatBMvalue,"")</f>
        <v/>
      </c>
      <c r="L632" s="582" t="str">
        <f>IF(ISNUMBER(L629),L629+SUM(L630)*EUconst_HeatBMvalue,"")</f>
        <v/>
      </c>
      <c r="M632" s="894" t="str">
        <f>IF(ISNUMBER(M629),M629+SUM(M630)*EUconst_HeatBMvalue,"")</f>
        <v/>
      </c>
      <c r="N632" s="897" t="str">
        <f>IF(AND(S623,ISNUMBER(N629)),N629+SUM(N630)*EUconst_HeatBMvalue,"")</f>
        <v/>
      </c>
      <c r="O632" s="16"/>
      <c r="P632" s="422"/>
      <c r="Q632" s="422"/>
      <c r="R632" s="1048" t="s">
        <v>557</v>
      </c>
      <c r="S632" s="905" t="str">
        <f>IF(S613,IF(ISNUMBER(I632),I632,0),"")</f>
        <v/>
      </c>
      <c r="T632" s="906" t="str">
        <f>IF(T613,IF(ISNUMBER(J632),J632,0),"")</f>
        <v/>
      </c>
      <c r="U632" s="906" t="str">
        <f>IF(U613,IF(ISNUMBER(K632),K632,0),"")</f>
        <v/>
      </c>
      <c r="V632" s="906" t="str">
        <f>IF(V613,IF(ISNUMBER(L632),L632,0),"")</f>
        <v/>
      </c>
      <c r="W632" s="907" t="str">
        <f>IF(W613,IF(ISNUMBER(M632),M632,0),"")</f>
        <v/>
      </c>
      <c r="X632" s="911" t="str">
        <f>IF(S623,IF(ISNUMBER(N632),N632,0),"")</f>
        <v/>
      </c>
      <c r="Y632" s="715" t="b">
        <f>Y631</f>
        <v>1</v>
      </c>
      <c r="Z632" s="422"/>
      <c r="AA632" s="715" t="b">
        <f>AA631</f>
        <v>1</v>
      </c>
    </row>
    <row r="633" spans="1:27" s="701" customFormat="1" ht="13.5" thickBot="1" x14ac:dyDescent="0.25">
      <c r="A633" s="422"/>
      <c r="B633" s="398"/>
      <c r="C633" s="398"/>
      <c r="D633" s="425" t="s">
        <v>316</v>
      </c>
      <c r="E633" s="1493" t="str">
        <f>Translations!$B$691</f>
        <v>Emisje pośrednie</v>
      </c>
      <c r="F633" s="1493"/>
      <c r="G633" s="1493"/>
      <c r="H633" s="586" t="str">
        <f>EUconst_tCO2pa</f>
        <v>t CO2 / rok</v>
      </c>
      <c r="I633" s="587" t="str">
        <f t="shared" ref="I633:N633" si="12">IF(ISNUMBER(I631),I631*EUconst_ElBM,"")</f>
        <v/>
      </c>
      <c r="J633" s="587" t="str">
        <f t="shared" si="12"/>
        <v/>
      </c>
      <c r="K633" s="588" t="str">
        <f t="shared" si="12"/>
        <v/>
      </c>
      <c r="L633" s="587" t="str">
        <f t="shared" si="12"/>
        <v/>
      </c>
      <c r="M633" s="895" t="str">
        <f t="shared" si="12"/>
        <v/>
      </c>
      <c r="N633" s="898" t="str">
        <f t="shared" si="12"/>
        <v/>
      </c>
      <c r="O633" s="16"/>
      <c r="P633" s="912" t="str">
        <f>EUconst_CNTR_ELEXCH &amp; I613</f>
        <v>ELEXCH_</v>
      </c>
      <c r="Q633" s="913" t="str">
        <f>IF(SUM(S633:X633)&lt;&gt;0,SUM(S632:X632)/SUM(S633:X633),EUconst_NA)</f>
        <v>Nie dotyczy</v>
      </c>
      <c r="R633" s="1048" t="s">
        <v>326</v>
      </c>
      <c r="S633" s="908" t="str">
        <f>IF(S613,IF(COUNT(I632:I633)&gt;0,SUM(I632:I633),0),"")</f>
        <v/>
      </c>
      <c r="T633" s="909" t="str">
        <f>IF(T613,IF(COUNT(J632:J633)&gt;0,SUM(J632:J633),0),"")</f>
        <v/>
      </c>
      <c r="U633" s="909" t="str">
        <f>IF(U613,IF(COUNT(K632:K633)&gt;0,SUM(K632:K633),0),"")</f>
        <v/>
      </c>
      <c r="V633" s="909" t="str">
        <f>IF(V613,IF(COUNT(L632:L633)&gt;0,SUM(L632:L633),0),"")</f>
        <v/>
      </c>
      <c r="W633" s="910" t="str">
        <f>IF(W613,IF(COUNT(M632:M633)&gt;0,SUM(M632:M633),0),"")</f>
        <v/>
      </c>
      <c r="X633" s="716" t="str">
        <f>IF(S623,IF(COUNT(N632:N633)&gt;0,SUM(N632:N633),0),"")</f>
        <v/>
      </c>
      <c r="Y633" s="716" t="b">
        <f>Y632</f>
        <v>1</v>
      </c>
      <c r="Z633" s="422"/>
      <c r="AA633" s="716" t="b">
        <f>AA632</f>
        <v>1</v>
      </c>
    </row>
    <row r="634" spans="1:27" ht="5.0999999999999996" customHeight="1" x14ac:dyDescent="0.2">
      <c r="B634" s="207"/>
      <c r="C634" s="207"/>
      <c r="D634" s="207"/>
      <c r="E634" s="207"/>
      <c r="F634" s="207"/>
      <c r="G634" s="207"/>
      <c r="H634" s="207"/>
      <c r="I634" s="207"/>
      <c r="J634" s="207"/>
      <c r="K634" s="207"/>
      <c r="L634" s="207"/>
      <c r="M634" s="16"/>
      <c r="N634" s="16"/>
      <c r="O634" s="16"/>
      <c r="P634" s="1037"/>
      <c r="X634" s="422"/>
    </row>
    <row r="635" spans="1:27" x14ac:dyDescent="0.2">
      <c r="B635" s="207"/>
      <c r="C635" s="207"/>
      <c r="D635" s="14" t="s">
        <v>356</v>
      </c>
      <c r="E635" s="1375" t="str">
        <f>Translations!$B$692</f>
        <v>Ciepło wprowadzone z instalacji lub od podmiotów nieobjętych EU ETS:</v>
      </c>
      <c r="F635" s="1375"/>
      <c r="G635" s="1375"/>
      <c r="H635" s="1375"/>
      <c r="I635" s="1637"/>
      <c r="J635" s="1796" t="str">
        <f>IF(I613="","",HYPERLINK(Q635,EUconst_MsgGoOnIfNotRelevant))</f>
        <v/>
      </c>
      <c r="K635" s="1797"/>
      <c r="L635" s="1797"/>
      <c r="M635" s="1797"/>
      <c r="N635" s="1798"/>
      <c r="O635" s="16"/>
      <c r="P635" s="2" t="s">
        <v>199</v>
      </c>
      <c r="Q635" s="346" t="str">
        <f>"#"&amp;ADDRESS(ROW(D642),COLUMN(D642))</f>
        <v>#$D$642</v>
      </c>
      <c r="X635" s="422"/>
    </row>
    <row r="636" spans="1:27" ht="13.5" customHeight="1" thickBot="1" x14ac:dyDescent="0.25">
      <c r="B636" s="207"/>
      <c r="C636" s="207"/>
      <c r="D636" s="16"/>
      <c r="E636" s="1408"/>
      <c r="F636" s="1408"/>
      <c r="G636" s="1408"/>
      <c r="H636" s="1408"/>
      <c r="I636" s="1408"/>
      <c r="J636" s="1408"/>
      <c r="K636" s="1408"/>
      <c r="L636" s="1408"/>
      <c r="M636" s="1408"/>
      <c r="N636" s="1408"/>
      <c r="O636" s="16"/>
      <c r="P636" s="1037"/>
      <c r="R636" s="1037"/>
      <c r="S636" s="1037"/>
      <c r="Y636" s="422" t="s">
        <v>606</v>
      </c>
    </row>
    <row r="637" spans="1:27" ht="13.5" thickBot="1" x14ac:dyDescent="0.25">
      <c r="B637" s="20"/>
      <c r="C637" s="20"/>
      <c r="D637" s="14"/>
      <c r="E637" s="1430" t="str">
        <f>Translations!$B$686</f>
        <v>Parametr</v>
      </c>
      <c r="F637" s="1377"/>
      <c r="G637" s="1377"/>
      <c r="H637" s="34" t="str">
        <f>EUconst_Unit</f>
        <v>Jednostka</v>
      </c>
      <c r="I637" s="396">
        <f>I$66</f>
        <v>2014</v>
      </c>
      <c r="J637" s="396">
        <f>J$66</f>
        <v>2015</v>
      </c>
      <c r="K637" s="396">
        <f>K$66</f>
        <v>2016</v>
      </c>
      <c r="L637" s="396">
        <f>L$66</f>
        <v>2017</v>
      </c>
      <c r="M637" s="421">
        <f>M$66</f>
        <v>2018</v>
      </c>
      <c r="N637" s="888" t="str">
        <f>N628</f>
        <v/>
      </c>
      <c r="O637" s="16"/>
      <c r="Q637" s="45"/>
      <c r="R637" s="1037"/>
      <c r="S637" s="45">
        <f t="shared" ref="S637:X637" si="13">I637</f>
        <v>2014</v>
      </c>
      <c r="T637" s="45">
        <f t="shared" si="13"/>
        <v>2015</v>
      </c>
      <c r="U637" s="45">
        <f t="shared" si="13"/>
        <v>2016</v>
      </c>
      <c r="V637" s="45">
        <f t="shared" si="13"/>
        <v>2017</v>
      </c>
      <c r="W637" s="45">
        <f t="shared" si="13"/>
        <v>2018</v>
      </c>
      <c r="X637" s="422" t="str">
        <f t="shared" si="13"/>
        <v/>
      </c>
      <c r="Y637" s="749" t="b">
        <f>Y618</f>
        <v>1</v>
      </c>
      <c r="Z637" s="45"/>
      <c r="AA637" s="422" t="s">
        <v>272</v>
      </c>
    </row>
    <row r="638" spans="1:27" ht="13.5" thickBot="1" x14ac:dyDescent="0.25">
      <c r="B638" s="20"/>
      <c r="C638" s="20"/>
      <c r="D638" s="195" t="s">
        <v>2</v>
      </c>
      <c r="E638" s="1612" t="str">
        <f>Translations!$B$697</f>
        <v>Mierzalne ciepło wprowadzone z instalacji lub od podmiotów nieobjętych EU ETS:</v>
      </c>
      <c r="F638" s="1612"/>
      <c r="G638" s="1612"/>
      <c r="H638" s="48" t="str">
        <f>EUconst_TJpa</f>
        <v>TJ / rok</v>
      </c>
      <c r="I638" s="313"/>
      <c r="J638" s="313"/>
      <c r="K638" s="313"/>
      <c r="L638" s="313"/>
      <c r="M638" s="899"/>
      <c r="N638" s="902"/>
      <c r="O638" s="16"/>
      <c r="P638" s="116" t="str">
        <f>EUconst_CNTR_HAL&amp;EUconst_CNTR_nonETSMeasHeat</f>
        <v>HAL_mierzalne ciepło nieobjęte systemem EU ETS</v>
      </c>
      <c r="R638" s="1037"/>
      <c r="S638" s="442" t="str">
        <f>IF(S613,IF(ISNUMBER(I638),I638,0),"")</f>
        <v/>
      </c>
      <c r="T638" s="443" t="str">
        <f>IF(T613,IF(ISNUMBER(J638),J638,0),"")</f>
        <v/>
      </c>
      <c r="U638" s="443" t="str">
        <f>IF(U613,IF(ISNUMBER(K638),K638,0),"")</f>
        <v/>
      </c>
      <c r="V638" s="443" t="str">
        <f>IF(V613,IF(ISNUMBER(L638),L638,0),"")</f>
        <v/>
      </c>
      <c r="W638" s="444" t="str">
        <f>IF(W613,IF(ISNUMBER(M638),M638,0),"")</f>
        <v/>
      </c>
      <c r="X638" s="151" t="str">
        <f>IF(S623,IF(ISNUMBER(N638),N638,0),"")</f>
        <v/>
      </c>
      <c r="Y638" s="716" t="b">
        <f>Y637</f>
        <v>1</v>
      </c>
      <c r="AA638" s="646" t="b">
        <f>AND(CNTR_ExistSubInstEntries,I613="")</f>
        <v>1</v>
      </c>
    </row>
    <row r="639" spans="1:27" ht="25.5" customHeight="1" thickBot="1" x14ac:dyDescent="0.25">
      <c r="B639" s="20"/>
      <c r="C639" s="20"/>
      <c r="D639" s="195" t="s">
        <v>3</v>
      </c>
      <c r="E639" s="1618" t="str">
        <f>Translations!$B$698</f>
        <v>Weryfikacja spójności z arkuszem „E_Energy flows”:</v>
      </c>
      <c r="F639" s="1618"/>
      <c r="G639" s="1618"/>
      <c r="H639" s="27" t="s">
        <v>409</v>
      </c>
      <c r="I639" s="304" t="str">
        <f>IF(AND(ISNUMBER(I638),ISNUMBER(E_EnergyFlows!I$102)), I638/E_EnergyFlows!I$102*100,"")</f>
        <v/>
      </c>
      <c r="J639" s="304" t="str">
        <f>IF(AND(ISNUMBER(J638),ISNUMBER(E_EnergyFlows!J$102)), J638/E_EnergyFlows!J$102*100,"")</f>
        <v/>
      </c>
      <c r="K639" s="304" t="str">
        <f>IF(AND(ISNUMBER(K638),ISNUMBER(E_EnergyFlows!K$102)), K638/E_EnergyFlows!K$102*100,"")</f>
        <v/>
      </c>
      <c r="L639" s="304" t="str">
        <f>IF(AND(ISNUMBER(L638),ISNUMBER(E_EnergyFlows!L$102)), L638/E_EnergyFlows!L$102*100,"")</f>
        <v/>
      </c>
      <c r="M639" s="900" t="str">
        <f>IF(AND(ISNUMBER(M638),ISNUMBER(E_EnergyFlows!M$102)), M638/E_EnergyFlows!M$102*100,"")</f>
        <v/>
      </c>
      <c r="N639" s="147"/>
      <c r="O639" s="16"/>
      <c r="P639" s="164" t="str">
        <f>EUconst_CNTR_HEAT &amp; I613</f>
        <v>HEAT_</v>
      </c>
      <c r="Q639" s="302" t="str">
        <f>IF(COUNT(S638:X638)&gt;0,AVERAGE(S638:X638)*EUconst_HeatBMvalue,EUconst_NA)</f>
        <v>Nie dotyczy</v>
      </c>
      <c r="R639" s="1037"/>
      <c r="S639" s="1037"/>
      <c r="AA639" s="608"/>
    </row>
    <row r="640" spans="1:27" ht="12.75" customHeight="1" x14ac:dyDescent="0.2">
      <c r="B640" s="20"/>
      <c r="C640" s="20"/>
      <c r="D640" s="195" t="s">
        <v>4</v>
      </c>
      <c r="E640" s="1493" t="str">
        <f>Translations!$B$699</f>
        <v>Weryfikacja spójności z lit. k) ppkt (i):</v>
      </c>
      <c r="F640" s="1615"/>
      <c r="G640" s="1615"/>
      <c r="H640" s="30" t="s">
        <v>409</v>
      </c>
      <c r="I640" s="303" t="str">
        <f>IF(AND(I714&gt;0,ISNUMBER(I638)), I638/I714*100,"")</f>
        <v/>
      </c>
      <c r="J640" s="303" t="str">
        <f>IF(AND(J714&gt;0,ISNUMBER(J638)), J638/J714*100,"")</f>
        <v/>
      </c>
      <c r="K640" s="303" t="str">
        <f>IF(AND(K714&gt;0,ISNUMBER(K638)), K638/K714*100,"")</f>
        <v/>
      </c>
      <c r="L640" s="303" t="str">
        <f>IF(AND(L714&gt;0,ISNUMBER(L638)), L638/L714*100,"")</f>
        <v/>
      </c>
      <c r="M640" s="901" t="str">
        <f>IF(AND(M714&gt;0,ISNUMBER(M638)), M638/M714*100,"")</f>
        <v/>
      </c>
      <c r="N640" s="147"/>
      <c r="O640" s="16"/>
      <c r="R640" s="1037"/>
      <c r="S640" s="1037"/>
      <c r="AA640" s="608"/>
    </row>
    <row r="641" spans="2:27" ht="12.75" customHeight="1" x14ac:dyDescent="0.2">
      <c r="B641" s="20"/>
      <c r="C641" s="20"/>
      <c r="D641" s="20"/>
      <c r="E641" s="20"/>
      <c r="F641" s="20"/>
      <c r="G641" s="20"/>
      <c r="H641" s="20"/>
      <c r="I641" s="107"/>
      <c r="J641" s="20"/>
      <c r="K641" s="20"/>
      <c r="L641" s="20"/>
      <c r="M641" s="20"/>
      <c r="N641" s="20"/>
      <c r="O641" s="16"/>
      <c r="P641" s="139"/>
      <c r="R641" s="1037"/>
      <c r="S641" s="1037"/>
      <c r="AA641" s="608"/>
    </row>
    <row r="642" spans="2:27" ht="15" x14ac:dyDescent="0.2">
      <c r="B642" s="20"/>
      <c r="C642" s="1054"/>
      <c r="D642" s="1439" t="str">
        <f>Translations!$B$700</f>
        <v>Szczegółowe dane dotyczące produkcji</v>
      </c>
      <c r="E642" s="1370"/>
      <c r="F642" s="1370"/>
      <c r="G642" s="1370"/>
      <c r="H642" s="1370"/>
      <c r="I642" s="1370"/>
      <c r="J642" s="1370"/>
      <c r="K642" s="1370"/>
      <c r="L642" s="1370"/>
      <c r="M642" s="1370"/>
      <c r="N642" s="1370"/>
      <c r="O642" s="16"/>
      <c r="R642" s="1037"/>
      <c r="S642" s="1037"/>
      <c r="AA642" s="608"/>
    </row>
    <row r="643" spans="2:27" ht="5.0999999999999996" customHeight="1" x14ac:dyDescent="0.2">
      <c r="B643" s="207"/>
      <c r="C643" s="207"/>
      <c r="D643" s="207"/>
      <c r="E643" s="207"/>
      <c r="F643" s="207"/>
      <c r="G643" s="207"/>
      <c r="H643" s="207"/>
      <c r="I643" s="207"/>
      <c r="J643" s="207"/>
      <c r="K643" s="207"/>
      <c r="L643" s="207"/>
      <c r="M643" s="207"/>
      <c r="N643" s="207"/>
      <c r="O643" s="16"/>
      <c r="P643" s="1037"/>
      <c r="Q643" s="1037"/>
      <c r="R643" s="1037"/>
      <c r="S643" s="1037"/>
      <c r="AA643" s="608"/>
    </row>
    <row r="644" spans="2:27" x14ac:dyDescent="0.2">
      <c r="B644" s="207"/>
      <c r="C644" s="14"/>
      <c r="D644" s="14" t="s">
        <v>12</v>
      </c>
      <c r="E644" s="1375" t="str">
        <f>Translations!$B$701</f>
        <v>Identyfikacja produktów wchodzących w zakres tej podinstalacji objętej wskaźnikiem emisyjności dla produktów</v>
      </c>
      <c r="F644" s="1370"/>
      <c r="G644" s="1370"/>
      <c r="H644" s="1370"/>
      <c r="I644" s="1370"/>
      <c r="J644" s="1370"/>
      <c r="K644" s="1370"/>
      <c r="L644" s="1370"/>
      <c r="M644" s="1370"/>
      <c r="N644" s="1370"/>
      <c r="O644" s="16"/>
      <c r="P644" s="1037"/>
      <c r="R644" s="1037"/>
      <c r="S644" s="1037"/>
      <c r="AA644" s="608"/>
    </row>
    <row r="645" spans="2:27" x14ac:dyDescent="0.2">
      <c r="B645" s="207"/>
      <c r="C645" s="16"/>
      <c r="D645" s="16"/>
      <c r="E645" s="1408" t="str">
        <f>Translations!$B$704</f>
        <v>Wykaz kodów PRODCOM 2010 jest dostępny pod adresem:</v>
      </c>
      <c r="F645" s="1370"/>
      <c r="G645" s="1370"/>
      <c r="H645" s="1370"/>
      <c r="I645" s="1370"/>
      <c r="J645" s="1370"/>
      <c r="K645" s="1370"/>
      <c r="L645" s="1370"/>
      <c r="M645" s="1370"/>
      <c r="N645" s="1370"/>
      <c r="O645" s="16"/>
      <c r="P645" s="1037"/>
      <c r="R645" s="1037"/>
      <c r="S645" s="1037"/>
      <c r="AA645" s="608"/>
    </row>
    <row r="646" spans="2:27" x14ac:dyDescent="0.2">
      <c r="B646" s="207"/>
      <c r="C646" s="16"/>
      <c r="D646" s="16"/>
      <c r="E646" s="1795" t="str">
        <f>Translations!$B$705</f>
        <v>http://ec.europa.eu/eurostat/ramon/nomenclatures/index.cfm?TargetUrl=LST_CLS_DLD&amp;StrNom=PRD_2010&amp;StrLanguageCode=EN&amp;StrLayoutCode=HIERARCHIChttp://ec.europa.eu/eurostat/ramon/nomenclatures/index.cfm?TargetUrl=LST_CLS_DLD&amp;StrNom=PRD_2010&amp;StrLanguageCode=EN&amp;StrLayoutCode=HIERARCHIC</v>
      </c>
      <c r="F646" s="1663"/>
      <c r="G646" s="1663"/>
      <c r="H646" s="1663"/>
      <c r="I646" s="1663"/>
      <c r="J646" s="1663"/>
      <c r="K646" s="1663"/>
      <c r="L646" s="1663"/>
      <c r="M646" s="1663"/>
      <c r="N646" s="1663"/>
      <c r="O646" s="16"/>
      <c r="P646" s="1037"/>
      <c r="R646" s="1037"/>
      <c r="S646" s="1037"/>
      <c r="AA646" s="608"/>
    </row>
    <row r="647" spans="2:27" ht="5.0999999999999996" customHeight="1" x14ac:dyDescent="0.2">
      <c r="B647" s="207"/>
      <c r="C647" s="207"/>
      <c r="D647" s="207"/>
      <c r="E647" s="207"/>
      <c r="F647" s="207"/>
      <c r="G647" s="207"/>
      <c r="H647" s="207"/>
      <c r="I647" s="207"/>
      <c r="J647" s="207"/>
      <c r="K647" s="207"/>
      <c r="L647" s="207"/>
      <c r="M647" s="207"/>
      <c r="N647" s="207"/>
      <c r="O647" s="16"/>
      <c r="P647" s="1037"/>
      <c r="Q647" s="1037"/>
      <c r="R647" s="1037"/>
      <c r="S647" s="1037"/>
      <c r="AA647" s="608"/>
    </row>
    <row r="648" spans="2:27" x14ac:dyDescent="0.2">
      <c r="B648" s="207"/>
      <c r="C648" s="14"/>
      <c r="D648" s="14" t="s">
        <v>13</v>
      </c>
      <c r="E648" s="1375" t="str">
        <f>Translations!$B$706</f>
        <v>Poszczególne poziomy wytwarzanych produktów wchodzących w zakres tej podinstalacji objętej wskaźnikiem emisyjności dla produktów</v>
      </c>
      <c r="F648" s="1370"/>
      <c r="G648" s="1370"/>
      <c r="H648" s="1370"/>
      <c r="I648" s="1370"/>
      <c r="J648" s="1370"/>
      <c r="K648" s="1370"/>
      <c r="L648" s="1370"/>
      <c r="M648" s="1370"/>
      <c r="N648" s="1370"/>
      <c r="O648" s="16"/>
      <c r="P648" s="1037"/>
      <c r="R648" s="1037"/>
      <c r="S648" s="1037"/>
      <c r="AA648" s="608"/>
    </row>
    <row r="649" spans="2:27" ht="5.0999999999999996" customHeight="1" x14ac:dyDescent="0.2">
      <c r="B649" s="207"/>
      <c r="C649" s="207"/>
      <c r="D649" s="16"/>
      <c r="E649" s="17"/>
      <c r="F649" s="17"/>
      <c r="G649" s="17"/>
      <c r="H649" s="17"/>
      <c r="I649" s="17"/>
      <c r="J649" s="21"/>
      <c r="K649" s="21"/>
      <c r="L649" s="21"/>
      <c r="M649" s="16"/>
      <c r="N649" s="16"/>
      <c r="O649" s="16"/>
      <c r="P649" s="1037"/>
      <c r="R649" s="1037"/>
      <c r="S649" s="1037"/>
      <c r="AA649" s="608"/>
    </row>
    <row r="650" spans="2:27" ht="25.5" customHeight="1" x14ac:dyDescent="0.2">
      <c r="B650" s="20"/>
      <c r="C650" s="20"/>
      <c r="D650" s="344"/>
      <c r="E650" s="399" t="s">
        <v>386</v>
      </c>
      <c r="F650" s="1789" t="str">
        <f>Translations!$B$707</f>
        <v>Nazwa produktu lub grupy produktów</v>
      </c>
      <c r="G650" s="1790"/>
      <c r="H650" s="1055" t="str">
        <f>EUconst_Unit</f>
        <v>Jednostka</v>
      </c>
      <c r="I650" s="396">
        <f>I$1882</f>
        <v>2014</v>
      </c>
      <c r="J650" s="396">
        <f>J$1882</f>
        <v>2015</v>
      </c>
      <c r="K650" s="396">
        <f>K$1882</f>
        <v>2016</v>
      </c>
      <c r="L650" s="396">
        <f>L$1882</f>
        <v>2017</v>
      </c>
      <c r="M650" s="396">
        <f>M$1882</f>
        <v>2018</v>
      </c>
      <c r="N650" s="16"/>
      <c r="O650" s="16"/>
      <c r="R650" s="1037"/>
      <c r="S650" s="1037"/>
      <c r="AA650" s="608"/>
    </row>
    <row r="651" spans="2:27" x14ac:dyDescent="0.2">
      <c r="B651" s="20"/>
      <c r="C651" s="20"/>
      <c r="D651" s="37">
        <v>1</v>
      </c>
      <c r="E651" s="1245"/>
      <c r="F651" s="1791"/>
      <c r="G651" s="1792"/>
      <c r="H651" s="804"/>
      <c r="I651" s="472"/>
      <c r="J651" s="472"/>
      <c r="K651" s="472"/>
      <c r="L651" s="472"/>
      <c r="M651" s="472"/>
      <c r="N651" s="16"/>
      <c r="O651" s="16"/>
      <c r="R651" s="1037"/>
      <c r="S651" s="1037"/>
      <c r="AA651" s="345" t="b">
        <f>AA638</f>
        <v>1</v>
      </c>
    </row>
    <row r="652" spans="2:27" x14ac:dyDescent="0.2">
      <c r="B652" s="20"/>
      <c r="C652" s="20"/>
      <c r="D652" s="38">
        <f>D651+1</f>
        <v>2</v>
      </c>
      <c r="E652" s="1246"/>
      <c r="F652" s="1793"/>
      <c r="G652" s="1794"/>
      <c r="H652" s="564"/>
      <c r="I652" s="548"/>
      <c r="J652" s="548"/>
      <c r="K652" s="548"/>
      <c r="L652" s="548"/>
      <c r="M652" s="548"/>
      <c r="N652" s="16"/>
      <c r="O652" s="16"/>
      <c r="R652" s="1037"/>
      <c r="S652" s="1037"/>
      <c r="AA652" s="345" t="b">
        <f>AA651</f>
        <v>1</v>
      </c>
    </row>
    <row r="653" spans="2:27" x14ac:dyDescent="0.2">
      <c r="B653" s="20"/>
      <c r="C653" s="20"/>
      <c r="D653" s="38">
        <f t="shared" ref="D653:D660" si="14">D652+1</f>
        <v>3</v>
      </c>
      <c r="E653" s="1246"/>
      <c r="F653" s="1784"/>
      <c r="G653" s="1785"/>
      <c r="H653" s="564"/>
      <c r="I653" s="548"/>
      <c r="J653" s="548"/>
      <c r="K653" s="548"/>
      <c r="L653" s="548"/>
      <c r="M653" s="548"/>
      <c r="N653" s="16"/>
      <c r="O653" s="16"/>
      <c r="R653" s="1037"/>
      <c r="S653" s="1037"/>
      <c r="AA653" s="345" t="b">
        <f t="shared" ref="AA653:AA661" si="15">AA652</f>
        <v>1</v>
      </c>
    </row>
    <row r="654" spans="2:27" x14ac:dyDescent="0.2">
      <c r="B654" s="20"/>
      <c r="C654" s="20"/>
      <c r="D654" s="38">
        <f t="shared" si="14"/>
        <v>4</v>
      </c>
      <c r="E654" s="1246"/>
      <c r="F654" s="1784"/>
      <c r="G654" s="1785"/>
      <c r="H654" s="564"/>
      <c r="I654" s="548"/>
      <c r="J654" s="548"/>
      <c r="K654" s="548"/>
      <c r="L654" s="548"/>
      <c r="M654" s="548"/>
      <c r="N654" s="16"/>
      <c r="O654" s="16"/>
      <c r="R654" s="1037"/>
      <c r="S654" s="1037"/>
      <c r="AA654" s="345" t="b">
        <f t="shared" si="15"/>
        <v>1</v>
      </c>
    </row>
    <row r="655" spans="2:27" x14ac:dyDescent="0.2">
      <c r="B655" s="20"/>
      <c r="C655" s="20"/>
      <c r="D655" s="38">
        <f t="shared" si="14"/>
        <v>5</v>
      </c>
      <c r="E655" s="1246"/>
      <c r="F655" s="1784"/>
      <c r="G655" s="1785"/>
      <c r="H655" s="564"/>
      <c r="I655" s="548"/>
      <c r="J655" s="548"/>
      <c r="K655" s="548"/>
      <c r="L655" s="548"/>
      <c r="M655" s="548"/>
      <c r="N655" s="16"/>
      <c r="O655" s="16"/>
      <c r="R655" s="1037"/>
      <c r="S655" s="1037"/>
      <c r="AA655" s="345" t="b">
        <f t="shared" si="15"/>
        <v>1</v>
      </c>
    </row>
    <row r="656" spans="2:27" x14ac:dyDescent="0.2">
      <c r="B656" s="20"/>
      <c r="C656" s="20"/>
      <c r="D656" s="38">
        <f t="shared" si="14"/>
        <v>6</v>
      </c>
      <c r="E656" s="1246"/>
      <c r="F656" s="1784"/>
      <c r="G656" s="1785"/>
      <c r="H656" s="564"/>
      <c r="I656" s="548"/>
      <c r="J656" s="548"/>
      <c r="K656" s="548"/>
      <c r="L656" s="548"/>
      <c r="M656" s="548"/>
      <c r="N656" s="16"/>
      <c r="O656" s="16"/>
      <c r="R656" s="1037"/>
      <c r="S656" s="1037"/>
      <c r="AA656" s="345" t="b">
        <f t="shared" si="15"/>
        <v>1</v>
      </c>
    </row>
    <row r="657" spans="2:27" x14ac:dyDescent="0.2">
      <c r="B657" s="20"/>
      <c r="C657" s="20"/>
      <c r="D657" s="38">
        <f t="shared" si="14"/>
        <v>7</v>
      </c>
      <c r="E657" s="1246"/>
      <c r="F657" s="1784"/>
      <c r="G657" s="1785"/>
      <c r="H657" s="564"/>
      <c r="I657" s="548"/>
      <c r="J657" s="548"/>
      <c r="K657" s="548"/>
      <c r="L657" s="548"/>
      <c r="M657" s="548"/>
      <c r="N657" s="16"/>
      <c r="O657" s="16"/>
      <c r="R657" s="1037"/>
      <c r="S657" s="1037"/>
      <c r="AA657" s="345" t="b">
        <f t="shared" si="15"/>
        <v>1</v>
      </c>
    </row>
    <row r="658" spans="2:27" x14ac:dyDescent="0.2">
      <c r="B658" s="20"/>
      <c r="C658" s="20"/>
      <c r="D658" s="38">
        <f t="shared" si="14"/>
        <v>8</v>
      </c>
      <c r="E658" s="1246"/>
      <c r="F658" s="1784"/>
      <c r="G658" s="1785"/>
      <c r="H658" s="564"/>
      <c r="I658" s="548"/>
      <c r="J658" s="548"/>
      <c r="K658" s="548"/>
      <c r="L658" s="548"/>
      <c r="M658" s="548"/>
      <c r="N658" s="16"/>
      <c r="O658" s="16"/>
      <c r="R658" s="1037"/>
      <c r="S658" s="1037"/>
      <c r="AA658" s="345" t="b">
        <f t="shared" si="15"/>
        <v>1</v>
      </c>
    </row>
    <row r="659" spans="2:27" x14ac:dyDescent="0.2">
      <c r="B659" s="20"/>
      <c r="C659" s="20"/>
      <c r="D659" s="38">
        <f t="shared" si="14"/>
        <v>9</v>
      </c>
      <c r="E659" s="1246"/>
      <c r="F659" s="1784"/>
      <c r="G659" s="1785"/>
      <c r="H659" s="564"/>
      <c r="I659" s="548"/>
      <c r="J659" s="548"/>
      <c r="K659" s="548"/>
      <c r="L659" s="548"/>
      <c r="M659" s="548"/>
      <c r="N659" s="16"/>
      <c r="O659" s="16"/>
      <c r="R659" s="1037"/>
      <c r="S659" s="1037"/>
      <c r="AA659" s="345" t="b">
        <f t="shared" si="15"/>
        <v>1</v>
      </c>
    </row>
    <row r="660" spans="2:27" x14ac:dyDescent="0.2">
      <c r="B660" s="20"/>
      <c r="C660" s="20"/>
      <c r="D660" s="41">
        <f t="shared" si="14"/>
        <v>10</v>
      </c>
      <c r="E660" s="1247"/>
      <c r="F660" s="1786"/>
      <c r="G660" s="1787"/>
      <c r="H660" s="565"/>
      <c r="I660" s="446"/>
      <c r="J660" s="446"/>
      <c r="K660" s="446"/>
      <c r="L660" s="446"/>
      <c r="M660" s="446"/>
      <c r="N660" s="16"/>
      <c r="O660" s="16"/>
      <c r="R660" s="1037"/>
      <c r="S660" s="1037"/>
      <c r="AA660" s="345" t="b">
        <f t="shared" si="15"/>
        <v>1</v>
      </c>
    </row>
    <row r="661" spans="2:27" ht="12.75" customHeight="1" thickBot="1" x14ac:dyDescent="0.25">
      <c r="B661" s="20"/>
      <c r="C661" s="20"/>
      <c r="D661" s="97"/>
      <c r="E661" s="1788" t="str">
        <f>Translations!$B$708</f>
        <v>Suma poziomów produkcji</v>
      </c>
      <c r="F661" s="1788"/>
      <c r="G661" s="1788"/>
      <c r="H661" s="737"/>
      <c r="I661" s="327" t="str">
        <f>IF(COUNT(I651:I660)&gt;0,SUM(I651:I660),"")</f>
        <v/>
      </c>
      <c r="J661" s="327" t="str">
        <f>IF(COUNT(J651:J660)&gt;0,SUM(J651:J660),"")</f>
        <v/>
      </c>
      <c r="K661" s="327" t="str">
        <f>IF(COUNT(K651:K660)&gt;0,SUM(K651:K660),"")</f>
        <v/>
      </c>
      <c r="L661" s="327" t="str">
        <f>IF(COUNT(L651:L660)&gt;0,SUM(L651:L660),"")</f>
        <v/>
      </c>
      <c r="M661" s="327" t="str">
        <f>IF(COUNT(M651:M660)&gt;0,SUM(M651:M660),"")</f>
        <v/>
      </c>
      <c r="N661" s="16"/>
      <c r="O661" s="16"/>
      <c r="R661" s="1037"/>
      <c r="S661" s="1037"/>
      <c r="AA661" s="168" t="b">
        <f t="shared" si="15"/>
        <v>1</v>
      </c>
    </row>
    <row r="662" spans="2:27" ht="12.75" customHeight="1" thickBot="1" x14ac:dyDescent="0.25">
      <c r="B662" s="207"/>
      <c r="C662" s="207"/>
      <c r="D662" s="207"/>
      <c r="E662" s="207"/>
      <c r="F662" s="207"/>
      <c r="G662" s="207"/>
      <c r="H662" s="207"/>
      <c r="I662" s="207"/>
      <c r="J662" s="207"/>
      <c r="K662" s="207"/>
      <c r="L662" s="207"/>
      <c r="M662" s="16"/>
      <c r="N662" s="16"/>
      <c r="O662" s="16"/>
      <c r="P662" s="1037"/>
      <c r="R662" s="1037"/>
      <c r="S662" s="1037"/>
    </row>
    <row r="663" spans="2:27" ht="5.0999999999999996" customHeight="1" x14ac:dyDescent="0.2">
      <c r="B663" s="207"/>
      <c r="C663" s="1056"/>
      <c r="D663" s="1057"/>
      <c r="E663" s="1057"/>
      <c r="F663" s="1057"/>
      <c r="G663" s="1057"/>
      <c r="H663" s="1057"/>
      <c r="I663" s="1057"/>
      <c r="J663" s="1057"/>
      <c r="K663" s="1057"/>
      <c r="L663" s="1057"/>
      <c r="M663" s="1058"/>
      <c r="N663" s="1059"/>
      <c r="O663" s="16"/>
      <c r="P663" s="1037"/>
      <c r="R663" s="1037"/>
      <c r="S663" s="1037"/>
    </row>
    <row r="664" spans="2:27" ht="15" customHeight="1" x14ac:dyDescent="0.2">
      <c r="B664" s="20"/>
      <c r="C664" s="1060"/>
      <c r="D664" s="1776" t="str">
        <f>Translations!$B$709</f>
        <v>Dane wymagane do określenia współczynnika poprawy wskaźników zgodnie z art. 10a ust. 2 dyrektywy w sprawie EU ETS</v>
      </c>
      <c r="E664" s="1776"/>
      <c r="F664" s="1776"/>
      <c r="G664" s="1776"/>
      <c r="H664" s="1776"/>
      <c r="I664" s="1776"/>
      <c r="J664" s="1776"/>
      <c r="K664" s="1776"/>
      <c r="L664" s="1776"/>
      <c r="M664" s="1776"/>
      <c r="N664" s="1777"/>
      <c r="O664" s="16"/>
      <c r="R664" s="1037"/>
      <c r="S664" s="1037"/>
    </row>
    <row r="665" spans="2:27" ht="5.0999999999999996" customHeight="1" x14ac:dyDescent="0.2">
      <c r="B665" s="20"/>
      <c r="C665" s="460"/>
      <c r="D665" s="449"/>
      <c r="E665" s="449"/>
      <c r="F665" s="449"/>
      <c r="G665" s="449"/>
      <c r="H665" s="449"/>
      <c r="I665" s="449"/>
      <c r="J665" s="449"/>
      <c r="K665" s="449"/>
      <c r="L665" s="449"/>
      <c r="M665" s="449"/>
      <c r="N665" s="461"/>
      <c r="O665" s="16"/>
      <c r="R665" s="1037"/>
      <c r="S665" s="1037"/>
    </row>
    <row r="666" spans="2:27" ht="15" customHeight="1" x14ac:dyDescent="0.2">
      <c r="B666" s="20"/>
      <c r="C666" s="460"/>
      <c r="D666" s="1778" t="str">
        <f>EUconst_BMSubinst &amp; ":"</f>
        <v>Podinstalacja i wskaźnik emisyjności dla produktów:</v>
      </c>
      <c r="E666" s="1779"/>
      <c r="F666" s="1779"/>
      <c r="G666" s="1779"/>
      <c r="H666" s="1780"/>
      <c r="I666" s="1781" t="str">
        <f>I613</f>
        <v/>
      </c>
      <c r="J666" s="1666"/>
      <c r="K666" s="1666"/>
      <c r="L666" s="1666"/>
      <c r="M666" s="1666"/>
      <c r="N666" s="1782"/>
      <c r="O666" s="16"/>
      <c r="R666" s="1037"/>
      <c r="S666" s="1037"/>
    </row>
    <row r="667" spans="2:27" ht="5.0999999999999996" customHeight="1" x14ac:dyDescent="0.2">
      <c r="B667" s="20"/>
      <c r="C667" s="460"/>
      <c r="D667" s="449"/>
      <c r="E667" s="449"/>
      <c r="F667" s="449"/>
      <c r="G667" s="449"/>
      <c r="H667" s="449"/>
      <c r="I667" s="449"/>
      <c r="J667" s="449"/>
      <c r="K667" s="449"/>
      <c r="L667" s="449"/>
      <c r="M667" s="449"/>
      <c r="N667" s="461"/>
      <c r="O667" s="16"/>
      <c r="R667" s="1037"/>
      <c r="S667" s="1037"/>
    </row>
    <row r="668" spans="2:27" ht="15" customHeight="1" x14ac:dyDescent="0.2">
      <c r="B668" s="207"/>
      <c r="C668" s="1060"/>
      <c r="D668" s="1061"/>
      <c r="E668" s="1783" t="str">
        <f>Translations!$B$714</f>
        <v>Po dokonaniu poniższych wpisów emisje, które można przypisać, są obliczane w części K.III.2 arkusza podsumowania.</v>
      </c>
      <c r="F668" s="1783"/>
      <c r="G668" s="1783"/>
      <c r="H668" s="1783"/>
      <c r="I668" s="1783"/>
      <c r="J668" s="1783"/>
      <c r="K668" s="1783"/>
      <c r="L668" s="1783"/>
      <c r="M668" s="1783"/>
      <c r="N668" s="702"/>
      <c r="O668" s="16"/>
      <c r="P668" s="1037"/>
    </row>
    <row r="669" spans="2:27" ht="5.0999999999999996" customHeight="1" x14ac:dyDescent="0.2">
      <c r="B669" s="20"/>
      <c r="C669" s="460"/>
      <c r="D669" s="449"/>
      <c r="E669" s="449"/>
      <c r="F669" s="449"/>
      <c r="G669" s="449"/>
      <c r="H669" s="449"/>
      <c r="I669" s="449"/>
      <c r="J669" s="449"/>
      <c r="K669" s="449"/>
      <c r="L669" s="449"/>
      <c r="M669" s="449"/>
      <c r="N669" s="461"/>
      <c r="O669" s="16"/>
      <c r="R669" s="1037"/>
      <c r="S669" s="1037"/>
    </row>
    <row r="670" spans="2:27" ht="12.75" customHeight="1" x14ac:dyDescent="0.2">
      <c r="B670" s="207"/>
      <c r="C670" s="1060"/>
      <c r="D670" s="462" t="s">
        <v>87</v>
      </c>
      <c r="E670" s="1731" t="str">
        <f>Translations!$B$715</f>
        <v>Emisje, które można bezpośrednio przypisać (DirEm* (plan monitorowania strumieni materiałów wsadowych)) do tej podinstalacji</v>
      </c>
      <c r="F670" s="1734"/>
      <c r="G670" s="1734"/>
      <c r="H670" s="1734"/>
      <c r="I670" s="1734"/>
      <c r="J670" s="1734"/>
      <c r="K670" s="1734"/>
      <c r="L670" s="1734"/>
      <c r="M670" s="1734"/>
      <c r="N670" s="1735"/>
      <c r="O670" s="16"/>
      <c r="P670" s="1037"/>
      <c r="R670" s="1037"/>
      <c r="S670" s="1037"/>
    </row>
    <row r="671" spans="2:27" ht="12.75" customHeight="1" thickBot="1" x14ac:dyDescent="0.25">
      <c r="B671" s="207"/>
      <c r="C671" s="1060"/>
      <c r="D671" s="1061"/>
      <c r="E671" s="1745"/>
      <c r="F671" s="1745"/>
      <c r="G671" s="1745"/>
      <c r="H671" s="1745"/>
      <c r="I671" s="1745"/>
      <c r="J671" s="1745"/>
      <c r="K671" s="1745"/>
      <c r="L671" s="1745"/>
      <c r="M671" s="1745"/>
      <c r="N671" s="1746"/>
      <c r="O671" s="16"/>
      <c r="P671" s="1037"/>
      <c r="R671" s="1037"/>
    </row>
    <row r="672" spans="2:27" ht="12.75" customHeight="1" x14ac:dyDescent="0.2">
      <c r="B672" s="207"/>
      <c r="C672" s="1060"/>
      <c r="D672" s="462"/>
      <c r="E672" s="1757" t="str">
        <f>Translations!$B$725</f>
        <v>Emisje, które można bezpośrednio przypisać (DirEm*)</v>
      </c>
      <c r="F672" s="1758"/>
      <c r="G672" s="1758"/>
      <c r="H672" s="450" t="str">
        <f>EUconst_Unit</f>
        <v>Jednostka</v>
      </c>
      <c r="I672" s="451">
        <f>I$1882</f>
        <v>2014</v>
      </c>
      <c r="J672" s="451">
        <f>J$1882</f>
        <v>2015</v>
      </c>
      <c r="K672" s="451">
        <f>K$1882</f>
        <v>2016</v>
      </c>
      <c r="L672" s="451">
        <f>L$1882</f>
        <v>2017</v>
      </c>
      <c r="M672" s="451">
        <f>M$1882</f>
        <v>2018</v>
      </c>
      <c r="N672" s="665"/>
      <c r="O672" s="16"/>
      <c r="P672" s="1037"/>
      <c r="R672" s="1052"/>
      <c r="S672" s="814">
        <f>I672</f>
        <v>2014</v>
      </c>
      <c r="T672" s="814">
        <f>J672</f>
        <v>2015</v>
      </c>
      <c r="U672" s="814">
        <f>K672</f>
        <v>2016</v>
      </c>
      <c r="V672" s="814">
        <f>L672</f>
        <v>2017</v>
      </c>
      <c r="W672" s="815">
        <f>M672</f>
        <v>2018</v>
      </c>
    </row>
    <row r="673" spans="2:27" ht="12.75" customHeight="1" thickBot="1" x14ac:dyDescent="0.25">
      <c r="B673" s="207"/>
      <c r="C673" s="1060"/>
      <c r="D673" s="1061"/>
      <c r="E673" s="1762" t="str">
        <f>I613</f>
        <v/>
      </c>
      <c r="F673" s="1762"/>
      <c r="G673" s="1762"/>
      <c r="H673" s="452" t="str">
        <f>EUconst_tCO2epa</f>
        <v>t CO2e/rok</v>
      </c>
      <c r="I673" s="313"/>
      <c r="J673" s="313"/>
      <c r="K673" s="313"/>
      <c r="L673" s="313"/>
      <c r="M673" s="313"/>
      <c r="N673" s="665"/>
      <c r="O673" s="16"/>
      <c r="P673" s="1062" t="str">
        <f>EUconst_CNTR_Emissions &amp; I613</f>
        <v>DirEmissions_</v>
      </c>
      <c r="R673" s="1053" t="str">
        <f>EUconst_CNTR_AttributedEmissions &amp; I613</f>
        <v>AttrEmissions_</v>
      </c>
      <c r="S673" s="119" t="str">
        <f>IF(S613,SUM(I673),"")</f>
        <v/>
      </c>
      <c r="T673" s="119" t="str">
        <f>IF(T613,SUM(J673),"")</f>
        <v/>
      </c>
      <c r="U673" s="119" t="str">
        <f>IF(U613,SUM(K673),"")</f>
        <v/>
      </c>
      <c r="V673" s="119" t="str">
        <f>IF(V613,SUM(L673),"")</f>
        <v/>
      </c>
      <c r="W673" s="120" t="str">
        <f>IF(W613,SUM(M673),"")</f>
        <v/>
      </c>
    </row>
    <row r="674" spans="2:27" ht="12.75" customHeight="1" x14ac:dyDescent="0.2">
      <c r="B674" s="207"/>
      <c r="C674" s="1060"/>
      <c r="D674" s="1061"/>
      <c r="E674" s="1061"/>
      <c r="F674" s="1061"/>
      <c r="G674" s="1061"/>
      <c r="H674" s="1061"/>
      <c r="I674" s="1061"/>
      <c r="J674" s="1061"/>
      <c r="K674" s="1061"/>
      <c r="L674" s="1061"/>
      <c r="M674" s="1063"/>
      <c r="N674" s="665"/>
      <c r="O674" s="16"/>
      <c r="P674" s="1037"/>
      <c r="R674" s="1037"/>
    </row>
    <row r="675" spans="2:27" ht="12.75" customHeight="1" x14ac:dyDescent="0.2">
      <c r="B675" s="207"/>
      <c r="C675" s="1060"/>
      <c r="D675" s="462" t="s">
        <v>88</v>
      </c>
      <c r="E675" s="1760" t="str">
        <f>Translations!$B$726</f>
        <v>Wsad paliwa do tej podinstalacji oraz odpowiedni współczynnik emisji</v>
      </c>
      <c r="F675" s="1760"/>
      <c r="G675" s="1760"/>
      <c r="H675" s="1760"/>
      <c r="I675" s="1760"/>
      <c r="J675" s="1760"/>
      <c r="K675" s="1760"/>
      <c r="L675" s="1760"/>
      <c r="M675" s="1760"/>
      <c r="N675" s="1761"/>
      <c r="O675" s="16"/>
      <c r="P675" s="1037"/>
      <c r="Q675" s="1037"/>
      <c r="R675" s="1037"/>
    </row>
    <row r="676" spans="2:27" ht="12.75" customHeight="1" x14ac:dyDescent="0.2">
      <c r="B676" s="207"/>
      <c r="C676" s="1060"/>
      <c r="D676" s="462"/>
      <c r="E676" s="1757"/>
      <c r="F676" s="1758"/>
      <c r="G676" s="1758"/>
      <c r="H676" s="450" t="str">
        <f>EUconst_Unit</f>
        <v>Jednostka</v>
      </c>
      <c r="I676" s="451">
        <f>I$1882</f>
        <v>2014</v>
      </c>
      <c r="J676" s="451">
        <f>J$1882</f>
        <v>2015</v>
      </c>
      <c r="K676" s="451">
        <f>K$1882</f>
        <v>2016</v>
      </c>
      <c r="L676" s="451">
        <f>L$1882</f>
        <v>2017</v>
      </c>
      <c r="M676" s="451">
        <f>M$1882</f>
        <v>2018</v>
      </c>
      <c r="N676" s="665"/>
      <c r="O676" s="16"/>
      <c r="P676" s="1037"/>
      <c r="R676" s="1037"/>
    </row>
    <row r="677" spans="2:27" ht="12.75" customHeight="1" x14ac:dyDescent="0.2">
      <c r="B677" s="207"/>
      <c r="C677" s="1060"/>
      <c r="D677" s="699" t="s">
        <v>2</v>
      </c>
      <c r="E677" s="1739" t="str">
        <f>Translations!$B$731</f>
        <v>Wsad paliwa</v>
      </c>
      <c r="F677" s="1740"/>
      <c r="G677" s="1740"/>
      <c r="H677" s="453" t="str">
        <f>EUconst_TJpa</f>
        <v>TJ / rok</v>
      </c>
      <c r="I677" s="313"/>
      <c r="J677" s="313"/>
      <c r="K677" s="313"/>
      <c r="L677" s="313"/>
      <c r="M677" s="313"/>
      <c r="N677" s="702"/>
      <c r="O677" s="16"/>
      <c r="P677" s="1062" t="str">
        <f>EUconst_CNTR_FuelInput &amp; I613</f>
        <v>FuelInput_</v>
      </c>
      <c r="R677" s="1037"/>
    </row>
    <row r="678" spans="2:27" ht="12.75" customHeight="1" x14ac:dyDescent="0.2">
      <c r="B678" s="207"/>
      <c r="C678" s="1060"/>
      <c r="D678" s="699" t="s">
        <v>3</v>
      </c>
      <c r="E678" s="1772" t="str">
        <f>Translations!$B$732</f>
        <v>Ważony współczynnik emisji</v>
      </c>
      <c r="F678" s="1773"/>
      <c r="G678" s="1773"/>
      <c r="H678" s="569" t="str">
        <f>EUconst_tCO2pTJ</f>
        <v>t CO2 / TJ</v>
      </c>
      <c r="I678" s="323"/>
      <c r="J678" s="323"/>
      <c r="K678" s="323"/>
      <c r="L678" s="323"/>
      <c r="M678" s="323"/>
      <c r="N678" s="665"/>
      <c r="O678" s="16"/>
      <c r="P678" s="1062" t="str">
        <f>EUconst_CNTR_FuelEF &amp; I613</f>
        <v>FuelEF_</v>
      </c>
      <c r="R678" s="1037"/>
    </row>
    <row r="679" spans="2:27" ht="12.75" customHeight="1" x14ac:dyDescent="0.2">
      <c r="B679" s="207"/>
      <c r="C679" s="1060"/>
      <c r="D679" s="1061"/>
      <c r="E679" s="1061"/>
      <c r="F679" s="1061"/>
      <c r="G679" s="1061"/>
      <c r="H679" s="1061"/>
      <c r="I679" s="1061"/>
      <c r="J679" s="1061"/>
      <c r="K679" s="1061"/>
      <c r="L679" s="1061"/>
      <c r="M679" s="1063"/>
      <c r="N679" s="665"/>
      <c r="O679" s="16"/>
      <c r="P679" s="1037"/>
      <c r="R679" s="1037"/>
    </row>
    <row r="680" spans="2:27" ht="12.75" customHeight="1" thickBot="1" x14ac:dyDescent="0.25">
      <c r="B680" s="207"/>
      <c r="C680" s="1060"/>
      <c r="D680" s="462" t="s">
        <v>89</v>
      </c>
      <c r="E680" s="1760" t="str">
        <f>Translations!$B$733</f>
        <v>Dalsze wewnętrzne strumienie materiałów wsadowych wprowadzane do tej podinstalacji lub z niej wyprowadzane</v>
      </c>
      <c r="F680" s="1760"/>
      <c r="G680" s="1760"/>
      <c r="H680" s="1760"/>
      <c r="I680" s="1760"/>
      <c r="J680" s="1760"/>
      <c r="K680" s="1760"/>
      <c r="L680" s="1760"/>
      <c r="M680" s="1760"/>
      <c r="N680" s="1761"/>
      <c r="O680" s="16"/>
      <c r="P680" s="1037"/>
      <c r="Q680" s="1037"/>
      <c r="R680" s="1037"/>
    </row>
    <row r="681" spans="2:27" ht="12.75" customHeight="1" thickBot="1" x14ac:dyDescent="0.25">
      <c r="B681" s="207"/>
      <c r="C681" s="1060"/>
      <c r="D681" s="699" t="s">
        <v>2</v>
      </c>
      <c r="E681" s="1755" t="str">
        <f>Translations!$B$739</f>
        <v>Czy tej podinstalacji dotyczy więcej wprowadzonych lub wyprowadzonych wewnętrznych strumieni materiałów wsadowych?</v>
      </c>
      <c r="F681" s="1755"/>
      <c r="G681" s="1755"/>
      <c r="H681" s="1755"/>
      <c r="I681" s="1755"/>
      <c r="J681" s="1755"/>
      <c r="K681" s="1756"/>
      <c r="L681" s="517"/>
      <c r="M681" s="1253"/>
      <c r="N681" s="1254"/>
      <c r="O681" s="16"/>
      <c r="P681" s="1037"/>
      <c r="R681" s="1037"/>
      <c r="W681" s="1048" t="s">
        <v>414</v>
      </c>
      <c r="X681" s="1046" t="b">
        <f>IF(AND(I613&lt;&gt;"",ISBLANK(L681)),EUconst_Error&amp;"BM"&amp;C613,FALSE)</f>
        <v>0</v>
      </c>
    </row>
    <row r="682" spans="2:27" ht="5.0999999999999996" customHeight="1" thickBot="1" x14ac:dyDescent="0.25">
      <c r="B682" s="207"/>
      <c r="C682" s="1060"/>
      <c r="D682" s="1061"/>
      <c r="E682" s="1733"/>
      <c r="F682" s="1734"/>
      <c r="G682" s="1734"/>
      <c r="H682" s="1734"/>
      <c r="I682" s="1734"/>
      <c r="J682" s="1734"/>
      <c r="K682" s="1734"/>
      <c r="L682" s="1734"/>
      <c r="M682" s="1734"/>
      <c r="N682" s="1735"/>
      <c r="O682" s="16"/>
      <c r="P682" s="1037"/>
      <c r="R682" s="1037"/>
      <c r="AA682" s="422" t="s">
        <v>272</v>
      </c>
    </row>
    <row r="683" spans="2:27" ht="12.75" customHeight="1" x14ac:dyDescent="0.2">
      <c r="B683" s="207"/>
      <c r="C683" s="1060"/>
      <c r="D683" s="699" t="s">
        <v>3</v>
      </c>
      <c r="E683" s="1760" t="str">
        <f>Translations!$B$741</f>
        <v>Nazwa dalszych strumieni materiałów wsadowych – 1:</v>
      </c>
      <c r="F683" s="1760"/>
      <c r="G683" s="1760"/>
      <c r="H683" s="1760"/>
      <c r="I683" s="1763"/>
      <c r="J683" s="1764"/>
      <c r="K683" s="1764"/>
      <c r="L683" s="1764"/>
      <c r="M683" s="1765"/>
      <c r="N683" s="664"/>
      <c r="O683" s="16"/>
      <c r="P683" s="1037"/>
      <c r="R683" s="1037"/>
      <c r="AA683" s="646" t="b">
        <f>IF(I613&lt;&gt;"",AND(L681&lt;&gt;"",L681=FALSE),FALSE)</f>
        <v>0</v>
      </c>
    </row>
    <row r="684" spans="2:27" ht="5.0999999999999996" customHeight="1" x14ac:dyDescent="0.2">
      <c r="B684" s="207"/>
      <c r="C684" s="1060"/>
      <c r="D684" s="1061"/>
      <c r="E684" s="1256"/>
      <c r="F684" s="1253"/>
      <c r="G684" s="1253"/>
      <c r="H684" s="1253"/>
      <c r="I684" s="1253"/>
      <c r="J684" s="1253"/>
      <c r="K684" s="1253"/>
      <c r="L684" s="1253"/>
      <c r="M684" s="1253"/>
      <c r="N684" s="1254"/>
      <c r="O684" s="16"/>
      <c r="P684" s="1037"/>
      <c r="R684" s="1037"/>
      <c r="AA684" s="608"/>
    </row>
    <row r="685" spans="2:27" ht="12.75" customHeight="1" x14ac:dyDescent="0.2">
      <c r="B685" s="207"/>
      <c r="C685" s="1060"/>
      <c r="D685" s="1061"/>
      <c r="E685" s="1757" t="str">
        <f>Translations!$B$742</f>
        <v>Dalsze strumienie materiałów wsadowych – 1:</v>
      </c>
      <c r="F685" s="1758"/>
      <c r="G685" s="1758"/>
      <c r="H685" s="450" t="str">
        <f>EUconst_Unit</f>
        <v>Jednostka</v>
      </c>
      <c r="I685" s="451">
        <f>I$1882</f>
        <v>2014</v>
      </c>
      <c r="J685" s="451">
        <f>J$1882</f>
        <v>2015</v>
      </c>
      <c r="K685" s="451">
        <f>K$1882</f>
        <v>2016</v>
      </c>
      <c r="L685" s="451">
        <f>L$1882</f>
        <v>2017</v>
      </c>
      <c r="M685" s="451">
        <f>M$1882</f>
        <v>2018</v>
      </c>
      <c r="N685" s="665"/>
      <c r="O685" s="16"/>
      <c r="P685" s="1037"/>
      <c r="R685" s="1037"/>
      <c r="AA685" s="608"/>
    </row>
    <row r="686" spans="2:27" ht="12.75" customHeight="1" x14ac:dyDescent="0.2">
      <c r="B686" s="207"/>
      <c r="C686" s="1060"/>
      <c r="D686" s="699" t="s">
        <v>4</v>
      </c>
      <c r="E686" s="1766" t="str">
        <f>Translations!$B$743</f>
        <v>Ilość wprowadzona lub wyprowadzona</v>
      </c>
      <c r="F686" s="1767"/>
      <c r="G686" s="1767"/>
      <c r="H686" s="454" t="str">
        <f>EUconst_tpa</f>
        <v>t / rok</v>
      </c>
      <c r="I686" s="331"/>
      <c r="J686" s="331"/>
      <c r="K686" s="331"/>
      <c r="L686" s="331"/>
      <c r="M686" s="331"/>
      <c r="N686" s="665"/>
      <c r="O686" s="16"/>
      <c r="P686" s="1037"/>
      <c r="R686" s="1037"/>
      <c r="AA686" s="345" t="b">
        <f>AA683</f>
        <v>0</v>
      </c>
    </row>
    <row r="687" spans="2:27" ht="12.75" customHeight="1" x14ac:dyDescent="0.2">
      <c r="B687" s="207"/>
      <c r="C687" s="1060"/>
      <c r="D687" s="699" t="s">
        <v>6</v>
      </c>
      <c r="E687" s="1771" t="str">
        <f>Translations!$B$744</f>
        <v>Wartość opałowa netto (NCV) (jeśli dotyczy)</v>
      </c>
      <c r="F687" s="1771"/>
      <c r="G687" s="1771"/>
      <c r="H687" s="541" t="str">
        <f>EUconst_GJpt</f>
        <v>GJ / t</v>
      </c>
      <c r="I687" s="330"/>
      <c r="J687" s="330"/>
      <c r="K687" s="330"/>
      <c r="L687" s="330"/>
      <c r="M687" s="330"/>
      <c r="N687" s="665"/>
      <c r="O687" s="16"/>
      <c r="P687" s="1037"/>
      <c r="R687" s="1037"/>
      <c r="AA687" s="345" t="b">
        <f>AA686</f>
        <v>0</v>
      </c>
    </row>
    <row r="688" spans="2:27" ht="12.75" customHeight="1" thickBot="1" x14ac:dyDescent="0.25">
      <c r="B688" s="207"/>
      <c r="C688" s="1060"/>
      <c r="D688" s="699" t="s">
        <v>316</v>
      </c>
      <c r="E688" s="1771" t="str">
        <f>Translations!$B$745</f>
        <v>Zawartość węgla (% masy)</v>
      </c>
      <c r="F688" s="1771"/>
      <c r="G688" s="1771"/>
      <c r="H688" s="542" t="s">
        <v>355</v>
      </c>
      <c r="I688" s="330"/>
      <c r="J688" s="330"/>
      <c r="K688" s="330"/>
      <c r="L688" s="330"/>
      <c r="M688" s="330"/>
      <c r="N688" s="665"/>
      <c r="O688" s="16"/>
      <c r="P688" s="1037"/>
      <c r="R688" s="1037"/>
      <c r="AA688" s="345" t="b">
        <f>AA687</f>
        <v>0</v>
      </c>
    </row>
    <row r="689" spans="2:27" ht="12.75" customHeight="1" x14ac:dyDescent="0.2">
      <c r="B689" s="207"/>
      <c r="C689" s="1060"/>
      <c r="D689" s="699" t="s">
        <v>317</v>
      </c>
      <c r="E689" s="1744" t="str">
        <f>Translations!$B$746</f>
        <v>Zawartość biomasy (jako frakcja węgla)</v>
      </c>
      <c r="F689" s="1744"/>
      <c r="G689" s="1744"/>
      <c r="H689" s="473" t="s">
        <v>355</v>
      </c>
      <c r="I689" s="329"/>
      <c r="J689" s="329"/>
      <c r="K689" s="329"/>
      <c r="L689" s="329"/>
      <c r="M689" s="329"/>
      <c r="N689" s="665"/>
      <c r="O689" s="16"/>
      <c r="P689" s="1037"/>
      <c r="R689" s="1052"/>
      <c r="S689" s="814">
        <f>I685</f>
        <v>2014</v>
      </c>
      <c r="T689" s="814">
        <f>J685</f>
        <v>2015</v>
      </c>
      <c r="U689" s="814">
        <f>K685</f>
        <v>2016</v>
      </c>
      <c r="V689" s="814">
        <f>L685</f>
        <v>2017</v>
      </c>
      <c r="W689" s="815">
        <f>M685</f>
        <v>2018</v>
      </c>
      <c r="AA689" s="345" t="b">
        <f>AA688</f>
        <v>0</v>
      </c>
    </row>
    <row r="690" spans="2:27" ht="12.75" customHeight="1" thickBot="1" x14ac:dyDescent="0.25">
      <c r="B690" s="207"/>
      <c r="C690" s="1060"/>
      <c r="D690" s="699" t="s">
        <v>318</v>
      </c>
      <c r="E690" s="1767" t="str">
        <f>Translations!$B$747</f>
        <v>Emisje (kopalne, obliczone)</v>
      </c>
      <c r="F690" s="1767"/>
      <c r="G690" s="1767"/>
      <c r="H690" s="543" t="str">
        <f>EUconst_tCO2pa</f>
        <v>t CO2 / rok</v>
      </c>
      <c r="I690" s="325" t="str">
        <f>IF(AND(COUNT(I686:I689)&gt;0,I693=""),3.664*I686*(I688/100)*(1-I689/100),"")</f>
        <v/>
      </c>
      <c r="J690" s="325" t="str">
        <f>IF(AND(COUNT(J686:J689)&gt;0,J693=""),3.664*J686*(J688/100)*(1-J689/100),"")</f>
        <v/>
      </c>
      <c r="K690" s="325" t="str">
        <f>IF(AND(COUNT(K686:K689)&gt;0,K693=""),3.664*K686*(K688/100)*(1-K689/100),"")</f>
        <v/>
      </c>
      <c r="L690" s="325" t="str">
        <f>IF(AND(COUNT(L686:L689)&gt;0,L693=""),3.664*L686*(L688/100)*(1-L689/100),"")</f>
        <v/>
      </c>
      <c r="M690" s="325" t="str">
        <f>IF(AND(COUNT(M686:M689)&gt;0,M693=""),3.664*M686*(M688/100)*(1-M689/100),"")</f>
        <v/>
      </c>
      <c r="N690" s="665"/>
      <c r="O690" s="16"/>
      <c r="P690" s="1062" t="str">
        <f>EUconst_CNTR_EmissionsIntSource1 &amp; I613</f>
        <v>EmInternalSource1_</v>
      </c>
      <c r="R690" s="1053" t="str">
        <f>EUconst_CNTR_AttributedEmissions &amp; I613</f>
        <v>AttrEmissions_</v>
      </c>
      <c r="S690" s="119" t="str">
        <f>IF(S613,SUM(I690),"")</f>
        <v/>
      </c>
      <c r="T690" s="119" t="str">
        <f>IF(T613,SUM(J690),"")</f>
        <v/>
      </c>
      <c r="U690" s="119" t="str">
        <f>IF(U613,SUM(K690),"")</f>
        <v/>
      </c>
      <c r="V690" s="119" t="str">
        <f>IF(V613,SUM(L690),"")</f>
        <v/>
      </c>
      <c r="W690" s="120" t="str">
        <f>IF(W613,SUM(M690),"")</f>
        <v/>
      </c>
      <c r="AA690" s="608"/>
    </row>
    <row r="691" spans="2:27" ht="12.75" customHeight="1" x14ac:dyDescent="0.2">
      <c r="B691" s="207"/>
      <c r="C691" s="1060"/>
      <c r="D691" s="699" t="s">
        <v>319</v>
      </c>
      <c r="E691" s="1769" t="str">
        <f>Translations!$B$748</f>
        <v>Nota uzupełniająca: Emisje pochodzące z biomasy</v>
      </c>
      <c r="F691" s="1769"/>
      <c r="G691" s="1769"/>
      <c r="H691" s="544" t="str">
        <f>EUconst_tCO2pa</f>
        <v>t CO2 / rok</v>
      </c>
      <c r="I691" s="324" t="str">
        <f>IF(ISNUMBER(I690),3.664*I686*(I688/100)*(I689/100),"")</f>
        <v/>
      </c>
      <c r="J691" s="324" t="str">
        <f>IF(ISNUMBER(J690),3.664*J686*(J688/100)*(J689/100),"")</f>
        <v/>
      </c>
      <c r="K691" s="324" t="str">
        <f>IF(ISNUMBER(K690),3.664*K686*(K688/100)*(K689/100),"")</f>
        <v/>
      </c>
      <c r="L691" s="324" t="str">
        <f>IF(ISNUMBER(L690),3.664*L686*(L688/100)*(L689/100),"")</f>
        <v/>
      </c>
      <c r="M691" s="324" t="str">
        <f>IF(ISNUMBER(M690),3.664*M686*(M688/100)*(M689/100),"")</f>
        <v/>
      </c>
      <c r="N691" s="665"/>
      <c r="O691" s="16"/>
      <c r="P691" s="1037"/>
      <c r="R691" s="1037"/>
      <c r="AA691" s="608"/>
    </row>
    <row r="692" spans="2:27" ht="12.75" customHeight="1" x14ac:dyDescent="0.2">
      <c r="B692" s="207"/>
      <c r="C692" s="1060"/>
      <c r="D692" s="699" t="s">
        <v>320</v>
      </c>
      <c r="E692" s="1744" t="str">
        <f>Translations!$B$749</f>
        <v>Zawartość energii (obliczona)</v>
      </c>
      <c r="F692" s="1744"/>
      <c r="G692" s="1744"/>
      <c r="H692" s="545" t="str">
        <f>EUconst_TJpa</f>
        <v>TJ / rok</v>
      </c>
      <c r="I692" s="327" t="str">
        <f>IF(COUNT(I686:I687)=2,I686*I687/1000,"")</f>
        <v/>
      </c>
      <c r="J692" s="327" t="str">
        <f>IF(COUNT(J686:J687)=2,J686*J687/1000,"")</f>
        <v/>
      </c>
      <c r="K692" s="327" t="str">
        <f>IF(COUNT(K686:K687)=2,K686*K687/1000,"")</f>
        <v/>
      </c>
      <c r="L692" s="327" t="str">
        <f>IF(COUNT(L686:L687)=2,L686*L687/1000,"")</f>
        <v/>
      </c>
      <c r="M692" s="327" t="str">
        <f>IF(COUNT(M686:M687)=2,M686*M687/1000,"")</f>
        <v/>
      </c>
      <c r="N692" s="665"/>
      <c r="O692" s="16"/>
      <c r="P692" s="1037"/>
      <c r="R692" s="1037"/>
      <c r="AA692" s="608"/>
    </row>
    <row r="693" spans="2:27" ht="12.75" customHeight="1" x14ac:dyDescent="0.2">
      <c r="B693" s="207"/>
      <c r="C693" s="1060"/>
      <c r="D693" s="699" t="s">
        <v>16</v>
      </c>
      <c r="E693" s="1770" t="str">
        <f>Translations!$B$750</f>
        <v>Komunikaty o błędach (emisje)</v>
      </c>
      <c r="F693" s="1770"/>
      <c r="G693" s="1770"/>
      <c r="H693" s="546"/>
      <c r="I693" s="666" t="str">
        <f>IF(COUNT(I686,I688:I689)&gt;0,IF(COUNTIF(I687:I689,"&lt;0")&gt;0,EUconst_Negative,IF(COUNT(I686,I688:I689)&lt;3,EUconst_Incomplete,"")),"")</f>
        <v/>
      </c>
      <c r="J693" s="666" t="str">
        <f>IF(COUNT(J686,J688:J689)&gt;0,IF(COUNTIF(J687:J689,"&lt;0")&gt;0,EUconst_Negative,IF(COUNT(J686,J688:J689)&lt;3,EUconst_Incomplete,"")),"")</f>
        <v/>
      </c>
      <c r="K693" s="666" t="str">
        <f>IF(COUNT(K686,K688:K689)&gt;0,IF(COUNTIF(K687:K689,"&lt;0")&gt;0,EUconst_Negative,IF(COUNT(K686,K688:K689)&lt;3,EUconst_Incomplete,"")),"")</f>
        <v/>
      </c>
      <c r="L693" s="666" t="str">
        <f>IF(COUNT(L686,L688:L689)&gt;0,IF(COUNTIF(L687:L689,"&lt;0")&gt;0,EUconst_Negative,IF(COUNT(L686,L688:L689)&lt;3,EUconst_Incomplete,"")),"")</f>
        <v/>
      </c>
      <c r="M693" s="666" t="str">
        <f>IF(COUNT(M686,M688:M689)&gt;0,IF(COUNTIF(M687:M689,"&lt;0")&gt;0,EUconst_Negative,IF(COUNT(M686,M688:M689)&lt;3,EUconst_Incomplete,"")),"")</f>
        <v/>
      </c>
      <c r="N693" s="665"/>
      <c r="O693" s="16"/>
      <c r="P693" s="1037"/>
      <c r="R693" s="1037"/>
      <c r="AA693" s="608"/>
    </row>
    <row r="694" spans="2:27" ht="12.75" customHeight="1" x14ac:dyDescent="0.2">
      <c r="B694" s="207"/>
      <c r="C694" s="1060"/>
      <c r="D694" s="699"/>
      <c r="E694" s="1061"/>
      <c r="F694" s="1061"/>
      <c r="G694" s="1061"/>
      <c r="H694" s="1061"/>
      <c r="I694" s="1061"/>
      <c r="J694" s="1061"/>
      <c r="K694" s="1061"/>
      <c r="L694" s="1061"/>
      <c r="M694" s="1063"/>
      <c r="N694" s="665"/>
      <c r="O694" s="16"/>
      <c r="P694" s="1037"/>
      <c r="R694" s="1037"/>
      <c r="AA694" s="608"/>
    </row>
    <row r="695" spans="2:27" ht="12.75" customHeight="1" x14ac:dyDescent="0.2">
      <c r="B695" s="207"/>
      <c r="C695" s="1060"/>
      <c r="D695" s="699" t="s">
        <v>17</v>
      </c>
      <c r="E695" s="1760" t="str">
        <f>Translations!$B$751</f>
        <v>Nazwa dalszych strumieni materiałów wsadowych – 2:</v>
      </c>
      <c r="F695" s="1760"/>
      <c r="G695" s="1760"/>
      <c r="H695" s="1760"/>
      <c r="I695" s="1763"/>
      <c r="J695" s="1764"/>
      <c r="K695" s="1764"/>
      <c r="L695" s="1764"/>
      <c r="M695" s="1765"/>
      <c r="N695" s="1254"/>
      <c r="O695" s="16"/>
      <c r="P695" s="1037"/>
      <c r="R695" s="1037"/>
      <c r="AA695" s="345" t="b">
        <f>AA683</f>
        <v>0</v>
      </c>
    </row>
    <row r="696" spans="2:27" ht="5.0999999999999996" customHeight="1" x14ac:dyDescent="0.2">
      <c r="B696" s="207"/>
      <c r="C696" s="1060"/>
      <c r="D696" s="1061"/>
      <c r="E696" s="1256"/>
      <c r="F696" s="1253"/>
      <c r="G696" s="1253"/>
      <c r="H696" s="1253"/>
      <c r="I696" s="1253"/>
      <c r="J696" s="1253"/>
      <c r="K696" s="1253"/>
      <c r="L696" s="1253"/>
      <c r="M696" s="1253"/>
      <c r="N696" s="1254"/>
      <c r="O696" s="16"/>
      <c r="P696" s="1037"/>
      <c r="R696" s="1037"/>
      <c r="AA696" s="608"/>
    </row>
    <row r="697" spans="2:27" ht="12.75" customHeight="1" x14ac:dyDescent="0.2">
      <c r="B697" s="207"/>
      <c r="C697" s="1060"/>
      <c r="D697" s="699"/>
      <c r="E697" s="1757" t="str">
        <f>Translations!$B$752</f>
        <v>Dalsze strumienie materiałów wsadowych – 2:</v>
      </c>
      <c r="F697" s="1758"/>
      <c r="G697" s="1758"/>
      <c r="H697" s="450" t="str">
        <f>EUconst_Unit</f>
        <v>Jednostka</v>
      </c>
      <c r="I697" s="451">
        <f>I$1882</f>
        <v>2014</v>
      </c>
      <c r="J697" s="451">
        <f>J$1882</f>
        <v>2015</v>
      </c>
      <c r="K697" s="451">
        <f>K$1882</f>
        <v>2016</v>
      </c>
      <c r="L697" s="451">
        <f>L$1882</f>
        <v>2017</v>
      </c>
      <c r="M697" s="451">
        <f>M$1882</f>
        <v>2018</v>
      </c>
      <c r="N697" s="665"/>
      <c r="O697" s="16"/>
      <c r="P697" s="1037"/>
      <c r="R697" s="1037"/>
      <c r="AA697" s="608"/>
    </row>
    <row r="698" spans="2:27" ht="12.75" customHeight="1" x14ac:dyDescent="0.2">
      <c r="B698" s="207"/>
      <c r="C698" s="1060"/>
      <c r="D698" s="699" t="s">
        <v>18</v>
      </c>
      <c r="E698" s="1766" t="str">
        <f>Translations!$B$743</f>
        <v>Ilość wprowadzona lub wyprowadzona</v>
      </c>
      <c r="F698" s="1767"/>
      <c r="G698" s="1767"/>
      <c r="H698" s="454" t="str">
        <f>EUconst_tpa</f>
        <v>t / rok</v>
      </c>
      <c r="I698" s="331"/>
      <c r="J698" s="331"/>
      <c r="K698" s="331"/>
      <c r="L698" s="331"/>
      <c r="M698" s="331"/>
      <c r="N698" s="665"/>
      <c r="O698" s="16"/>
      <c r="P698" s="1037"/>
      <c r="R698" s="1037"/>
      <c r="AA698" s="345" t="b">
        <f>AA695</f>
        <v>0</v>
      </c>
    </row>
    <row r="699" spans="2:27" ht="12.75" customHeight="1" x14ac:dyDescent="0.2">
      <c r="B699" s="207"/>
      <c r="C699" s="1060"/>
      <c r="D699" s="699" t="s">
        <v>454</v>
      </c>
      <c r="E699" s="1771" t="str">
        <f>Translations!$B$744</f>
        <v>Wartość opałowa netto (NCV) (jeśli dotyczy)</v>
      </c>
      <c r="F699" s="1771"/>
      <c r="G699" s="1771"/>
      <c r="H699" s="541" t="str">
        <f>EUconst_GJpt</f>
        <v>GJ / t</v>
      </c>
      <c r="I699" s="330"/>
      <c r="J699" s="330"/>
      <c r="K699" s="330"/>
      <c r="L699" s="330"/>
      <c r="M699" s="330"/>
      <c r="N699" s="665"/>
      <c r="O699" s="16"/>
      <c r="P699" s="1037"/>
      <c r="R699" s="1037"/>
      <c r="AA699" s="345" t="b">
        <f>AA698</f>
        <v>0</v>
      </c>
    </row>
    <row r="700" spans="2:27" ht="12.75" customHeight="1" thickBot="1" x14ac:dyDescent="0.25">
      <c r="B700" s="207"/>
      <c r="C700" s="1060"/>
      <c r="D700" s="699" t="s">
        <v>455</v>
      </c>
      <c r="E700" s="1771" t="str">
        <f>Translations!$B$745</f>
        <v>Zawartość węgla (% masy)</v>
      </c>
      <c r="F700" s="1771"/>
      <c r="G700" s="1771"/>
      <c r="H700" s="542" t="s">
        <v>355</v>
      </c>
      <c r="I700" s="330"/>
      <c r="J700" s="330"/>
      <c r="K700" s="330"/>
      <c r="L700" s="330"/>
      <c r="M700" s="330"/>
      <c r="N700" s="665"/>
      <c r="O700" s="16"/>
      <c r="P700" s="1037"/>
      <c r="R700" s="1037"/>
      <c r="AA700" s="345" t="b">
        <f>AA699</f>
        <v>0</v>
      </c>
    </row>
    <row r="701" spans="2:27" ht="12.75" customHeight="1" thickBot="1" x14ac:dyDescent="0.25">
      <c r="B701" s="207"/>
      <c r="C701" s="1060"/>
      <c r="D701" s="699" t="s">
        <v>456</v>
      </c>
      <c r="E701" s="1744" t="str">
        <f>Translations!$B$746</f>
        <v>Zawartość biomasy (jako frakcja węgla)</v>
      </c>
      <c r="F701" s="1744"/>
      <c r="G701" s="1744"/>
      <c r="H701" s="473" t="s">
        <v>355</v>
      </c>
      <c r="I701" s="329"/>
      <c r="J701" s="329"/>
      <c r="K701" s="329"/>
      <c r="L701" s="329"/>
      <c r="M701" s="329"/>
      <c r="N701" s="665"/>
      <c r="O701" s="16"/>
      <c r="P701" s="1037"/>
      <c r="R701" s="1052"/>
      <c r="S701" s="814">
        <f>I697</f>
        <v>2014</v>
      </c>
      <c r="T701" s="814">
        <f>J697</f>
        <v>2015</v>
      </c>
      <c r="U701" s="814">
        <f>K697</f>
        <v>2016</v>
      </c>
      <c r="V701" s="814">
        <f>L697</f>
        <v>2017</v>
      </c>
      <c r="W701" s="815">
        <f>M697</f>
        <v>2018</v>
      </c>
      <c r="AA701" s="168" t="b">
        <f>AA700</f>
        <v>0</v>
      </c>
    </row>
    <row r="702" spans="2:27" ht="12.75" customHeight="1" thickBot="1" x14ac:dyDescent="0.25">
      <c r="B702" s="207"/>
      <c r="C702" s="1060"/>
      <c r="D702" s="699" t="s">
        <v>457</v>
      </c>
      <c r="E702" s="1767" t="str">
        <f>Translations!$B$747</f>
        <v>Emisje (kopalne, obliczone)</v>
      </c>
      <c r="F702" s="1767"/>
      <c r="G702" s="1767"/>
      <c r="H702" s="543" t="str">
        <f>EUconst_tCO2pa</f>
        <v>t CO2 / rok</v>
      </c>
      <c r="I702" s="325" t="str">
        <f>IF(AND(COUNT(I698:I701)&gt;0,I705=""),3.664*I698*(I700/100)*(1-I701/100),"")</f>
        <v/>
      </c>
      <c r="J702" s="325" t="str">
        <f>IF(AND(COUNT(J698:J701)&gt;0,J705=""),3.664*J698*(J700/100)*(1-J701/100),"")</f>
        <v/>
      </c>
      <c r="K702" s="325" t="str">
        <f>IF(AND(COUNT(K698:K701)&gt;0,K705=""),3.664*K698*(K700/100)*(1-K701/100),"")</f>
        <v/>
      </c>
      <c r="L702" s="325" t="str">
        <f>IF(AND(COUNT(L698:L701)&gt;0,L705=""),3.664*L698*(L700/100)*(1-L701/100),"")</f>
        <v/>
      </c>
      <c r="M702" s="325" t="str">
        <f>IF(AND(COUNT(M698:M701)&gt;0,M705=""),3.664*M698*(M700/100)*(1-M701/100),"")</f>
        <v/>
      </c>
      <c r="N702" s="665"/>
      <c r="O702" s="16"/>
      <c r="P702" s="1062" t="str">
        <f>EUconst_CNTR_EmissionsIntSource2 &amp; I613</f>
        <v>EmInternalSource2_</v>
      </c>
      <c r="R702" s="1053" t="str">
        <f>EUconst_CNTR_AttributedEmissions &amp; I613</f>
        <v>AttrEmissions_</v>
      </c>
      <c r="S702" s="119" t="str">
        <f>IF(S613,SUM(I702),"")</f>
        <v/>
      </c>
      <c r="T702" s="119" t="str">
        <f>IF(T613,SUM(J702),"")</f>
        <v/>
      </c>
      <c r="U702" s="119" t="str">
        <f>IF(U613,SUM(K702),"")</f>
        <v/>
      </c>
      <c r="V702" s="119" t="str">
        <f>IF(V613,SUM(L702),"")</f>
        <v/>
      </c>
      <c r="W702" s="120" t="str">
        <f>IF(W613,SUM(M702),"")</f>
        <v/>
      </c>
    </row>
    <row r="703" spans="2:27" ht="12.75" customHeight="1" x14ac:dyDescent="0.2">
      <c r="B703" s="207"/>
      <c r="C703" s="1060"/>
      <c r="D703" s="699" t="s">
        <v>458</v>
      </c>
      <c r="E703" s="1769" t="str">
        <f>Translations!$B$748</f>
        <v>Nota uzupełniająca: Emisje pochodzące z biomasy</v>
      </c>
      <c r="F703" s="1769"/>
      <c r="G703" s="1769"/>
      <c r="H703" s="544" t="str">
        <f>EUconst_tCO2pa</f>
        <v>t CO2 / rok</v>
      </c>
      <c r="I703" s="324" t="str">
        <f>IF(ISNUMBER(I702),3.664*I698*(I700/100)*(I701/100),"")</f>
        <v/>
      </c>
      <c r="J703" s="324" t="str">
        <f>IF(ISNUMBER(J702),3.664*J698*(J700/100)*(J701/100),"")</f>
        <v/>
      </c>
      <c r="K703" s="324" t="str">
        <f>IF(ISNUMBER(K702),3.664*K698*(K700/100)*(K701/100),"")</f>
        <v/>
      </c>
      <c r="L703" s="324" t="str">
        <f>IF(ISNUMBER(L702),3.664*L698*(L700/100)*(L701/100),"")</f>
        <v/>
      </c>
      <c r="M703" s="324" t="str">
        <f>IF(ISNUMBER(M702),3.664*M698*(M700/100)*(M701/100),"")</f>
        <v/>
      </c>
      <c r="N703" s="665"/>
      <c r="O703" s="16"/>
      <c r="P703" s="1037"/>
      <c r="R703" s="1037"/>
    </row>
    <row r="704" spans="2:27" ht="12.75" customHeight="1" x14ac:dyDescent="0.2">
      <c r="B704" s="207"/>
      <c r="C704" s="1060"/>
      <c r="D704" s="699" t="s">
        <v>459</v>
      </c>
      <c r="E704" s="1744" t="str">
        <f>Translations!$B$749</f>
        <v>Zawartość energii (obliczona)</v>
      </c>
      <c r="F704" s="1744"/>
      <c r="G704" s="1744"/>
      <c r="H704" s="545" t="str">
        <f>EUconst_TJpa</f>
        <v>TJ / rok</v>
      </c>
      <c r="I704" s="327" t="str">
        <f>IF(COUNT(I698:I699)=2,I698*I699/1000,"")</f>
        <v/>
      </c>
      <c r="J704" s="327" t="str">
        <f>IF(COUNT(J698:J699)=2,J698*J699/1000,"")</f>
        <v/>
      </c>
      <c r="K704" s="327" t="str">
        <f>IF(COUNT(K698:K699)=2,K698*K699/1000,"")</f>
        <v/>
      </c>
      <c r="L704" s="327" t="str">
        <f>IF(COUNT(L698:L699)=2,L698*L699/1000,"")</f>
        <v/>
      </c>
      <c r="M704" s="327" t="str">
        <f>IF(COUNT(M698:M699)=2,M698*M699/1000,"")</f>
        <v/>
      </c>
      <c r="N704" s="665"/>
      <c r="O704" s="16"/>
      <c r="P704" s="1037"/>
      <c r="R704" s="1037"/>
    </row>
    <row r="705" spans="2:24" ht="12.75" customHeight="1" x14ac:dyDescent="0.2">
      <c r="B705" s="207"/>
      <c r="C705" s="1060"/>
      <c r="D705" s="699" t="s">
        <v>455</v>
      </c>
      <c r="E705" s="1770" t="str">
        <f>Translations!$B$750</f>
        <v>Komunikaty o błędach (emisje)</v>
      </c>
      <c r="F705" s="1770"/>
      <c r="G705" s="1770"/>
      <c r="H705" s="546"/>
      <c r="I705" s="666" t="str">
        <f>IF(COUNT(I698,I700:I701)&gt;0,IF(COUNTIF(I699:I701,"&lt;0")&gt;0,EUconst_Negative,IF(COUNT(I698,I700:I701)&lt;3,EUconst_Incomplete,"")),"")</f>
        <v/>
      </c>
      <c r="J705" s="666" t="str">
        <f>IF(COUNT(J698,J700:J701)&gt;0,IF(COUNTIF(J699:J701,"&lt;0")&gt;0,EUconst_Negative,IF(COUNT(J698,J700:J701)&lt;3,EUconst_Incomplete,"")),"")</f>
        <v/>
      </c>
      <c r="K705" s="666" t="str">
        <f>IF(COUNT(K698,K700:K701)&gt;0,IF(COUNTIF(K699:K701,"&lt;0")&gt;0,EUconst_Negative,IF(COUNT(K698,K700:K701)&lt;3,EUconst_Incomplete,"")),"")</f>
        <v/>
      </c>
      <c r="L705" s="666" t="str">
        <f>IF(COUNT(L698,L700:L701)&gt;0,IF(COUNTIF(L699:L701,"&lt;0")&gt;0,EUconst_Negative,IF(COUNT(L698,L700:L701)&lt;3,EUconst_Incomplete,"")),"")</f>
        <v/>
      </c>
      <c r="M705" s="666" t="str">
        <f>IF(COUNT(M698,M700:M701)&gt;0,IF(COUNTIF(M699:M701,"&lt;0")&gt;0,EUconst_Negative,IF(COUNT(M698,M700:M701)&lt;3,EUconst_Incomplete,"")),"")</f>
        <v/>
      </c>
      <c r="N705" s="665"/>
      <c r="O705" s="16"/>
      <c r="P705" s="1037"/>
      <c r="R705" s="1037"/>
    </row>
    <row r="706" spans="2:24" ht="12.75" customHeight="1" x14ac:dyDescent="0.2">
      <c r="B706" s="207"/>
      <c r="C706" s="1060"/>
      <c r="D706" s="1061"/>
      <c r="E706" s="1061"/>
      <c r="F706" s="1061"/>
      <c r="G706" s="1061"/>
      <c r="H706" s="1061"/>
      <c r="I706" s="1061"/>
      <c r="J706" s="1061"/>
      <c r="K706" s="1061"/>
      <c r="L706" s="1061"/>
      <c r="M706" s="1063"/>
      <c r="N706" s="665"/>
      <c r="O706" s="16"/>
      <c r="P706" s="1037"/>
      <c r="R706" s="1037"/>
    </row>
    <row r="707" spans="2:24" ht="12.75" customHeight="1" thickBot="1" x14ac:dyDescent="0.25">
      <c r="B707" s="207"/>
      <c r="C707" s="1060"/>
      <c r="D707" s="462" t="s">
        <v>218</v>
      </c>
      <c r="E707" s="1731" t="str">
        <f>Translations!$B$753</f>
        <v>Ilość gazów cieplarnianych wprowadzonych lub wyprowadzonych w charakterze materiałów wsadowych</v>
      </c>
      <c r="F707" s="1734"/>
      <c r="G707" s="1734"/>
      <c r="H707" s="1734"/>
      <c r="I707" s="1734"/>
      <c r="J707" s="1734"/>
      <c r="K707" s="1734"/>
      <c r="L707" s="1734"/>
      <c r="M707" s="1734"/>
      <c r="N707" s="1735"/>
      <c r="O707" s="16"/>
      <c r="P707" s="1037"/>
      <c r="R707" s="1037"/>
    </row>
    <row r="708" spans="2:24" ht="12.75" customHeight="1" x14ac:dyDescent="0.2">
      <c r="B708" s="207"/>
      <c r="C708" s="1060"/>
      <c r="D708" s="462"/>
      <c r="E708" s="1757"/>
      <c r="F708" s="1758"/>
      <c r="G708" s="1758"/>
      <c r="H708" s="450" t="str">
        <f>EUconst_Unit</f>
        <v>Jednostka</v>
      </c>
      <c r="I708" s="451">
        <f>I$1882</f>
        <v>2014</v>
      </c>
      <c r="J708" s="451">
        <f>J$1882</f>
        <v>2015</v>
      </c>
      <c r="K708" s="451">
        <f>K$1882</f>
        <v>2016</v>
      </c>
      <c r="L708" s="451">
        <f>L$1882</f>
        <v>2017</v>
      </c>
      <c r="M708" s="451">
        <f>M$1882</f>
        <v>2018</v>
      </c>
      <c r="N708" s="665"/>
      <c r="O708" s="16"/>
      <c r="P708" s="1037"/>
      <c r="R708" s="1052"/>
      <c r="S708" s="814">
        <f>I708</f>
        <v>2014</v>
      </c>
      <c r="T708" s="814">
        <f>J708</f>
        <v>2015</v>
      </c>
      <c r="U708" s="814">
        <f>K708</f>
        <v>2016</v>
      </c>
      <c r="V708" s="814">
        <f>L708</f>
        <v>2017</v>
      </c>
      <c r="W708" s="815">
        <f>M708</f>
        <v>2018</v>
      </c>
    </row>
    <row r="709" spans="2:24" ht="12.75" customHeight="1" thickBot="1" x14ac:dyDescent="0.25">
      <c r="B709" s="207"/>
      <c r="C709" s="1060"/>
      <c r="D709" s="699"/>
      <c r="E709" s="1739" t="str">
        <f>Translations!$B$756</f>
        <v>Wprowadzone lub wyprowadzone gazy cieplarniane</v>
      </c>
      <c r="F709" s="1740"/>
      <c r="G709" s="1740"/>
      <c r="H709" s="453" t="str">
        <f>EUconst_tCO2epa</f>
        <v>t CO2e/rok</v>
      </c>
      <c r="I709" s="471"/>
      <c r="J709" s="471"/>
      <c r="K709" s="471"/>
      <c r="L709" s="471"/>
      <c r="M709" s="471"/>
      <c r="N709" s="1257"/>
      <c r="O709" s="16"/>
      <c r="P709" s="1062" t="str">
        <f>EUconst_CNTR_CO2Feedstock &amp; I613</f>
        <v>EmCO2Feedstock_</v>
      </c>
      <c r="R709" s="1053" t="str">
        <f>EUconst_CNTR_AttributedEmissions &amp; I613</f>
        <v>AttrEmissions_</v>
      </c>
      <c r="S709" s="119" t="str">
        <f>IF(S613,SUM(I709),"")</f>
        <v/>
      </c>
      <c r="T709" s="119" t="str">
        <f>IF(T613,SUM(J709),"")</f>
        <v/>
      </c>
      <c r="U709" s="119" t="str">
        <f>IF(U613,SUM(K709),"")</f>
        <v/>
      </c>
      <c r="V709" s="119" t="str">
        <f>IF(V613,SUM(L709),"")</f>
        <v/>
      </c>
      <c r="W709" s="120" t="str">
        <f>IF(W613,SUM(M709),"")</f>
        <v/>
      </c>
    </row>
    <row r="710" spans="2:24" ht="12.75" customHeight="1" x14ac:dyDescent="0.2">
      <c r="B710" s="207"/>
      <c r="C710" s="1060"/>
      <c r="D710" s="1061"/>
      <c r="E710" s="1061"/>
      <c r="F710" s="1061"/>
      <c r="G710" s="1061"/>
      <c r="H710" s="1061"/>
      <c r="I710" s="1061"/>
      <c r="J710" s="1061"/>
      <c r="K710" s="1061"/>
      <c r="L710" s="1061"/>
      <c r="M710" s="1063"/>
      <c r="N710" s="665"/>
      <c r="O710" s="16"/>
      <c r="P710" s="1037"/>
      <c r="R710" s="1037"/>
    </row>
    <row r="711" spans="2:24" ht="12.75" customHeight="1" x14ac:dyDescent="0.2">
      <c r="B711" s="207"/>
      <c r="C711" s="1060"/>
      <c r="D711" s="462" t="s">
        <v>219</v>
      </c>
      <c r="E711" s="1731" t="str">
        <f>Translations!$B$757</f>
        <v>Mierzalne ciepło wprowadzone do tej podinstalacji i z niej wyprowadzone</v>
      </c>
      <c r="F711" s="1734"/>
      <c r="G711" s="1734"/>
      <c r="H711" s="1734"/>
      <c r="I711" s="1734"/>
      <c r="J711" s="1734"/>
      <c r="K711" s="1734"/>
      <c r="L711" s="1734"/>
      <c r="M711" s="1734"/>
      <c r="N711" s="1735"/>
      <c r="O711" s="16"/>
      <c r="P711" s="1037"/>
      <c r="R711" s="1037"/>
    </row>
    <row r="712" spans="2:24" ht="12.75" customHeight="1" thickBot="1" x14ac:dyDescent="0.25">
      <c r="B712" s="207"/>
      <c r="C712" s="1060"/>
      <c r="D712" s="1061"/>
      <c r="E712" s="1674" t="str">
        <f>Translations!$B$762</f>
        <v>W celu przypisania emisji z kogeneracji (CHP) do wytwarzania ciepła należy zastosować „narzędzie dotyczące CHP” w części D.III. niniejszego formularza.</v>
      </c>
      <c r="F712" s="1674"/>
      <c r="G712" s="1674"/>
      <c r="H712" s="1674"/>
      <c r="I712" s="1674"/>
      <c r="J712" s="1674"/>
      <c r="K712" s="1674"/>
      <c r="L712" s="1674"/>
      <c r="M712" s="1674"/>
      <c r="N712" s="1257"/>
      <c r="O712" s="16"/>
      <c r="P712" s="1037"/>
    </row>
    <row r="713" spans="2:24" ht="12.75" customHeight="1" x14ac:dyDescent="0.2">
      <c r="B713" s="207"/>
      <c r="C713" s="1060"/>
      <c r="D713" s="1061"/>
      <c r="E713" s="1757" t="str">
        <f>Translations!$B$763</f>
        <v>Całkowite ciepło wprowadzone</v>
      </c>
      <c r="F713" s="1758"/>
      <c r="G713" s="1758"/>
      <c r="H713" s="450" t="str">
        <f>EUconst_Unit</f>
        <v>Jednostka</v>
      </c>
      <c r="I713" s="451">
        <f>I$1882</f>
        <v>2014</v>
      </c>
      <c r="J713" s="451">
        <f>J$1882</f>
        <v>2015</v>
      </c>
      <c r="K713" s="451">
        <f>K$1882</f>
        <v>2016</v>
      </c>
      <c r="L713" s="451">
        <f>L$1882</f>
        <v>2017</v>
      </c>
      <c r="M713" s="451">
        <f>M$1882</f>
        <v>2018</v>
      </c>
      <c r="N713" s="1257"/>
      <c r="O713" s="16"/>
      <c r="P713" s="1037"/>
      <c r="R713" s="1052"/>
      <c r="S713" s="814">
        <f>I713</f>
        <v>2014</v>
      </c>
      <c r="T713" s="814">
        <f>J713</f>
        <v>2015</v>
      </c>
      <c r="U713" s="814">
        <f>K713</f>
        <v>2016</v>
      </c>
      <c r="V713" s="814">
        <f>L713</f>
        <v>2017</v>
      </c>
      <c r="W713" s="815">
        <f>M713</f>
        <v>2018</v>
      </c>
    </row>
    <row r="714" spans="2:24" ht="12.75" customHeight="1" x14ac:dyDescent="0.2">
      <c r="B714" s="207"/>
      <c r="C714" s="1060"/>
      <c r="D714" s="699" t="s">
        <v>2</v>
      </c>
      <c r="E714" s="1739" t="str">
        <f>Translations!$B$764</f>
        <v>Ciepło wprowadzone netto</v>
      </c>
      <c r="F714" s="1740"/>
      <c r="G714" s="1740"/>
      <c r="H714" s="453" t="str">
        <f>EUconst_TJpa</f>
        <v>TJ / rok</v>
      </c>
      <c r="I714" s="471"/>
      <c r="J714" s="471"/>
      <c r="K714" s="471"/>
      <c r="L714" s="471"/>
      <c r="M714" s="471"/>
      <c r="N714" s="702"/>
      <c r="O714" s="16"/>
      <c r="P714" s="1062" t="str">
        <f>EUconst_CNTR_HeatImport &amp; I613</f>
        <v>HeatIm_</v>
      </c>
      <c r="R714" s="1064" t="str">
        <f>EUconst_ERR_AttrEmBMapplied &amp; I613</f>
        <v>ERR_AttrEmBM_ </v>
      </c>
      <c r="S714" s="116">
        <f>IF(AND(I714&lt;&gt;0,I715="",EUconst_StatusOfDataCollection=FALSE),1,0)</f>
        <v>0</v>
      </c>
      <c r="T714" s="116">
        <f>IF(AND(J714&lt;&gt;0,J715="",EUconst_StatusOfDataCollection=FALSE),1,0)</f>
        <v>0</v>
      </c>
      <c r="U714" s="116">
        <f>IF(AND(K714&lt;&gt;0,K715="",EUconst_StatusOfDataCollection=FALSE),1,0)</f>
        <v>0</v>
      </c>
      <c r="V714" s="116">
        <f>IF(AND(L714&lt;&gt;0,L715="",EUconst_StatusOfDataCollection=FALSE),1,0)</f>
        <v>0</v>
      </c>
      <c r="W714" s="117">
        <f>IF(AND(M714&lt;&gt;0,M715="",EUconst_StatusOfDataCollection=FALSE),1,0)</f>
        <v>0</v>
      </c>
      <c r="X714" s="45"/>
    </row>
    <row r="715" spans="2:24" ht="12.75" customHeight="1" thickBot="1" x14ac:dyDescent="0.25">
      <c r="B715" s="207"/>
      <c r="C715" s="1060"/>
      <c r="D715" s="699" t="s">
        <v>3</v>
      </c>
      <c r="E715" s="1739" t="str">
        <f>Translations!$B$765</f>
        <v>Właściwy współczynnik emisji (ciepło wprowadzone)</v>
      </c>
      <c r="F715" s="1740"/>
      <c r="G715" s="1740"/>
      <c r="H715" s="453" t="str">
        <f>EUconst_tCO2pTJ</f>
        <v>t CO2 / TJ</v>
      </c>
      <c r="I715" s="764"/>
      <c r="J715" s="764"/>
      <c r="K715" s="764"/>
      <c r="L715" s="764"/>
      <c r="M715" s="764"/>
      <c r="N715" s="665"/>
      <c r="O715" s="16"/>
      <c r="P715" s="1062" t="str">
        <f>EUconst_CNTR_HeatImportEF &amp; I613</f>
        <v>HeatImEF_</v>
      </c>
      <c r="R715" s="1053" t="str">
        <f>EUconst_CNTR_AttributedEmissions &amp; I613</f>
        <v>AttrEmissions_</v>
      </c>
      <c r="S715" s="119" t="str">
        <f>IF(S613,SUM(I714)*IF(ISNUMBER(I715),I715,EUconst_HeatBMvalue),"")</f>
        <v/>
      </c>
      <c r="T715" s="119" t="str">
        <f>IF(T613,SUM(J714)*IF(ISNUMBER(J715),J715,EUconst_HeatBMvalue),"")</f>
        <v/>
      </c>
      <c r="U715" s="119" t="str">
        <f>IF(U613,SUM(K714)*IF(ISNUMBER(K715),K715,EUconst_HeatBMvalue),"")</f>
        <v/>
      </c>
      <c r="V715" s="119" t="str">
        <f>IF(V613,SUM(L714)*IF(ISNUMBER(L715),L715,EUconst_HeatBMvalue),"")</f>
        <v/>
      </c>
      <c r="W715" s="120" t="str">
        <f>IF(W613,SUM(M714)*IF(ISNUMBER(M715),M715,EUconst_HeatBMvalue),"")</f>
        <v/>
      </c>
    </row>
    <row r="716" spans="2:24" ht="5.0999999999999996" customHeight="1" x14ac:dyDescent="0.2">
      <c r="B716" s="207"/>
      <c r="C716" s="1060"/>
      <c r="D716" s="1061"/>
      <c r="E716" s="1061"/>
      <c r="F716" s="1061"/>
      <c r="G716" s="1061"/>
      <c r="H716" s="1061"/>
      <c r="I716" s="1061"/>
      <c r="J716" s="1061"/>
      <c r="K716" s="1061"/>
      <c r="L716" s="1061"/>
      <c r="M716" s="1063"/>
      <c r="N716" s="665"/>
      <c r="O716" s="16"/>
      <c r="P716" s="1037"/>
      <c r="R716" s="1037"/>
      <c r="S716" s="1037"/>
    </row>
    <row r="717" spans="2:24" ht="12.75" customHeight="1" x14ac:dyDescent="0.2">
      <c r="B717" s="207"/>
      <c r="C717" s="1060"/>
      <c r="D717" s="1061"/>
      <c r="E717" s="1757" t="str">
        <f>Translations!$B$766</f>
        <v>Szczególne wprowadzenie ciepła</v>
      </c>
      <c r="F717" s="1757"/>
      <c r="G717" s="1757"/>
      <c r="H717" s="450" t="str">
        <f>EUconst_Unit</f>
        <v>Jednostka</v>
      </c>
      <c r="I717" s="451">
        <f>I$1882</f>
        <v>2014</v>
      </c>
      <c r="J717" s="451">
        <f>J$1882</f>
        <v>2015</v>
      </c>
      <c r="K717" s="451">
        <f>K$1882</f>
        <v>2016</v>
      </c>
      <c r="L717" s="451">
        <f>L$1882</f>
        <v>2017</v>
      </c>
      <c r="M717" s="451">
        <f>M$1882</f>
        <v>2018</v>
      </c>
      <c r="N717" s="1257"/>
      <c r="O717" s="16"/>
      <c r="P717" s="1037"/>
      <c r="R717" s="1037"/>
      <c r="S717" s="1037"/>
    </row>
    <row r="718" spans="2:24" ht="12.75" customHeight="1" x14ac:dyDescent="0.2">
      <c r="B718" s="207"/>
      <c r="C718" s="1060"/>
      <c r="D718" s="699" t="s">
        <v>4</v>
      </c>
      <c r="E718" s="1739" t="str">
        <f>Translations!$B$820</f>
        <v>Ciepło wprowadzone netto z masy celulozowej</v>
      </c>
      <c r="F718" s="1740"/>
      <c r="G718" s="1740"/>
      <c r="H718" s="453" t="str">
        <f>EUconst_TJpa</f>
        <v>TJ / rok</v>
      </c>
      <c r="I718" s="540"/>
      <c r="J718" s="540"/>
      <c r="K718" s="540"/>
      <c r="L718" s="540"/>
      <c r="M718" s="540"/>
      <c r="N718" s="702"/>
      <c r="O718" s="16"/>
      <c r="P718" s="1062" t="str">
        <f>EUconst_CNTR_HeatImportPulp &amp; I613</f>
        <v>HeatImPulp_</v>
      </c>
      <c r="R718" s="1037"/>
      <c r="S718" s="1037"/>
    </row>
    <row r="719" spans="2:24" ht="12.75" customHeight="1" x14ac:dyDescent="0.2">
      <c r="B719" s="207"/>
      <c r="C719" s="1060"/>
      <c r="D719" s="699" t="s">
        <v>6</v>
      </c>
      <c r="E719" s="1739" t="str">
        <f>Translations!$B$768</f>
        <v>Ciepło wprowadzone netto z podinstalacji wytwarzającej kwas azotowy</v>
      </c>
      <c r="F719" s="1740"/>
      <c r="G719" s="1740"/>
      <c r="H719" s="453" t="str">
        <f>EUconst_TJpa</f>
        <v>TJ / rok</v>
      </c>
      <c r="I719" s="471"/>
      <c r="J719" s="471"/>
      <c r="K719" s="471"/>
      <c r="L719" s="471"/>
      <c r="M719" s="471"/>
      <c r="N719" s="702"/>
      <c r="O719" s="16"/>
      <c r="P719" s="1062" t="str">
        <f>EUconst_CNTR_HeatImportNitric &amp; I613</f>
        <v>HeatImNitric_</v>
      </c>
      <c r="R719" s="1037"/>
      <c r="S719" s="1037"/>
    </row>
    <row r="720" spans="2:24" ht="5.0999999999999996" customHeight="1" thickBot="1" x14ac:dyDescent="0.25">
      <c r="B720" s="207"/>
      <c r="C720" s="1060"/>
      <c r="D720" s="1061"/>
      <c r="E720" s="1061"/>
      <c r="F720" s="1061"/>
      <c r="G720" s="1061"/>
      <c r="H720" s="1061"/>
      <c r="I720" s="1061"/>
      <c r="J720" s="1061"/>
      <c r="K720" s="1061"/>
      <c r="L720" s="1061"/>
      <c r="M720" s="1063"/>
      <c r="N720" s="665"/>
      <c r="O720" s="16"/>
      <c r="P720" s="1037"/>
      <c r="R720" s="1037"/>
      <c r="S720" s="1037"/>
    </row>
    <row r="721" spans="2:27" ht="12.75" customHeight="1" x14ac:dyDescent="0.2">
      <c r="B721" s="207"/>
      <c r="C721" s="1060"/>
      <c r="D721" s="1061"/>
      <c r="E721" s="1757" t="str">
        <f>Translations!$B$769</f>
        <v>Całkowite ciepło wyprowadzone</v>
      </c>
      <c r="F721" s="1757"/>
      <c r="G721" s="1757"/>
      <c r="H721" s="450" t="str">
        <f>EUconst_Unit</f>
        <v>Jednostka</v>
      </c>
      <c r="I721" s="451">
        <f>I$1882</f>
        <v>2014</v>
      </c>
      <c r="J721" s="451">
        <f>J$1882</f>
        <v>2015</v>
      </c>
      <c r="K721" s="451">
        <f>K$1882</f>
        <v>2016</v>
      </c>
      <c r="L721" s="451">
        <f>L$1882</f>
        <v>2017</v>
      </c>
      <c r="M721" s="451">
        <f>M$1882</f>
        <v>2018</v>
      </c>
      <c r="N721" s="1257"/>
      <c r="O721" s="16"/>
      <c r="P721" s="1037"/>
      <c r="R721" s="1052"/>
      <c r="S721" s="814">
        <f>I721</f>
        <v>2014</v>
      </c>
      <c r="T721" s="814">
        <f>J721</f>
        <v>2015</v>
      </c>
      <c r="U721" s="814">
        <f>K721</f>
        <v>2016</v>
      </c>
      <c r="V721" s="814">
        <f>L721</f>
        <v>2017</v>
      </c>
      <c r="W721" s="815">
        <f>M721</f>
        <v>2018</v>
      </c>
    </row>
    <row r="722" spans="2:27" ht="12.75" customHeight="1" x14ac:dyDescent="0.2">
      <c r="B722" s="207"/>
      <c r="C722" s="1060"/>
      <c r="D722" s="699" t="s">
        <v>316</v>
      </c>
      <c r="E722" s="1739" t="str">
        <f>Translations!$B$770</f>
        <v>Ciepło wyprowadzone netto</v>
      </c>
      <c r="F722" s="1740"/>
      <c r="G722" s="1740"/>
      <c r="H722" s="453" t="str">
        <f>EUconst_TJpa</f>
        <v>TJ / rok</v>
      </c>
      <c r="I722" s="471"/>
      <c r="J722" s="471"/>
      <c r="K722" s="471"/>
      <c r="L722" s="471"/>
      <c r="M722" s="471"/>
      <c r="N722" s="702"/>
      <c r="O722" s="16"/>
      <c r="P722" s="1062" t="str">
        <f>EUconst_CNTR_HeatExport &amp; I613</f>
        <v>HeatEx_</v>
      </c>
      <c r="R722" s="1064" t="str">
        <f>EUconst_ERR_AttrEmBMapplied &amp; I613</f>
        <v>ERR_AttrEmBM_ </v>
      </c>
      <c r="S722" s="116">
        <f>IF(AND(I722&lt;&gt;0,I723="",EUconst_StatusOfDataCollection=FALSE),1,0)</f>
        <v>0</v>
      </c>
      <c r="T722" s="116">
        <f>IF(AND(J722&lt;&gt;0,J723="",EUconst_StatusOfDataCollection=FALSE),1,0)</f>
        <v>0</v>
      </c>
      <c r="U722" s="116">
        <f>IF(AND(K722&lt;&gt;0,K723="",EUconst_StatusOfDataCollection=FALSE),1,0)</f>
        <v>0</v>
      </c>
      <c r="V722" s="116">
        <f>IF(AND(L722&lt;&gt;0,L723="",EUconst_StatusOfDataCollection=FALSE),1,0)</f>
        <v>0</v>
      </c>
      <c r="W722" s="117">
        <f>IF(AND(M722&lt;&gt;0,M723="",EUconst_StatusOfDataCollection=FALSE),1,0)</f>
        <v>0</v>
      </c>
    </row>
    <row r="723" spans="2:27" ht="12.75" customHeight="1" thickBot="1" x14ac:dyDescent="0.25">
      <c r="B723" s="207"/>
      <c r="C723" s="1060"/>
      <c r="D723" s="699" t="s">
        <v>317</v>
      </c>
      <c r="E723" s="1739" t="str">
        <f>Translations!$B$771</f>
        <v>Właściwy współczynnik emisji (ciepło wyprowadzone)</v>
      </c>
      <c r="F723" s="1740"/>
      <c r="G723" s="1740"/>
      <c r="H723" s="453" t="str">
        <f>EUconst_tCO2pTJ</f>
        <v>t CO2 / TJ</v>
      </c>
      <c r="I723" s="764"/>
      <c r="J723" s="764"/>
      <c r="K723" s="764"/>
      <c r="L723" s="764"/>
      <c r="M723" s="764"/>
      <c r="N723" s="665"/>
      <c r="O723" s="16"/>
      <c r="P723" s="1062" t="str">
        <f>EUconst_CNTR_HeatExportEF &amp; I613</f>
        <v>HeatExEF_</v>
      </c>
      <c r="R723" s="1053" t="str">
        <f>EUconst_CNTR_AttributedEmissions &amp; I613</f>
        <v>AttrEmissions_</v>
      </c>
      <c r="S723" s="119" t="str">
        <f>IF(S613,-SUM(I722)*IF(INDEX(EUconst_BMlistNumberOfBM,MATCH($I613,EUconst_BMlistNames,0))=39,0,IF(ISNUMBER(I723),I723,EUconst_HeatBMvalue)),"")</f>
        <v/>
      </c>
      <c r="T723" s="119" t="str">
        <f>IF(T613,-SUM(J722)*IF(INDEX(EUconst_BMlistNumberOfBM,MATCH($I613,EUconst_BMlistNames,0))=39,0,IF(ISNUMBER(J723),J723,EUconst_HeatBMvalue)),"")</f>
        <v/>
      </c>
      <c r="U723" s="119" t="str">
        <f>IF(U613,-SUM(K722)*IF(INDEX(EUconst_BMlistNumberOfBM,MATCH($I613,EUconst_BMlistNames,0))=39,0,IF(ISNUMBER(K723),K723,EUconst_HeatBMvalue)),"")</f>
        <v/>
      </c>
      <c r="V723" s="119" t="str">
        <f>IF(V613,-SUM(L722)*IF(INDEX(EUconst_BMlistNumberOfBM,MATCH($I613,EUconst_BMlistNames,0))=39,0,IF(ISNUMBER(L723),L723,EUconst_HeatBMvalue)),"")</f>
        <v/>
      </c>
      <c r="W723" s="120" t="str">
        <f>IF(W613,-SUM(M722)*IF(INDEX(EUconst_BMlistNumberOfBM,MATCH($I613,EUconst_BMlistNames,0))=39,0,IF(ISNUMBER(M723),M723,EUconst_HeatBMvalue)),"")</f>
        <v/>
      </c>
    </row>
    <row r="724" spans="2:27" ht="12.75" customHeight="1" x14ac:dyDescent="0.2">
      <c r="B724" s="207"/>
      <c r="C724" s="1060"/>
      <c r="D724" s="1061"/>
      <c r="E724" s="1061"/>
      <c r="F724" s="1061"/>
      <c r="G724" s="1061"/>
      <c r="H724" s="1061"/>
      <c r="I724" s="1061"/>
      <c r="J724" s="1061"/>
      <c r="K724" s="1061"/>
      <c r="L724" s="1061"/>
      <c r="M724" s="1063"/>
      <c r="N724" s="665"/>
      <c r="O724" s="16"/>
      <c r="P724" s="1037"/>
      <c r="R724" s="1037"/>
      <c r="S724" s="1037"/>
    </row>
    <row r="725" spans="2:27" ht="12.75" customHeight="1" x14ac:dyDescent="0.2">
      <c r="B725" s="207"/>
      <c r="C725" s="1060"/>
      <c r="D725" s="462" t="s">
        <v>220</v>
      </c>
      <c r="E725" s="1731" t="str">
        <f>Translations!$B$772</f>
        <v>Bilans gazów odlotowych dla tej podinstalacji</v>
      </c>
      <c r="F725" s="1734"/>
      <c r="G725" s="1734"/>
      <c r="H725" s="1734"/>
      <c r="I725" s="1734"/>
      <c r="J725" s="1734"/>
      <c r="K725" s="1734"/>
      <c r="L725" s="1734"/>
      <c r="M725" s="1734"/>
      <c r="N725" s="1735"/>
      <c r="O725" s="16"/>
      <c r="P725" s="1037"/>
      <c r="R725" s="1037"/>
      <c r="S725" s="1037"/>
    </row>
    <row r="726" spans="2:27" ht="5.0999999999999996" customHeight="1" thickBot="1" x14ac:dyDescent="0.25">
      <c r="B726" s="207"/>
      <c r="C726" s="1060"/>
      <c r="D726" s="1061"/>
      <c r="E726" s="1733"/>
      <c r="F726" s="1733"/>
      <c r="G726" s="1733"/>
      <c r="H726" s="1733"/>
      <c r="I726" s="1733"/>
      <c r="J726" s="1733"/>
      <c r="K726" s="1733"/>
      <c r="L726" s="1733"/>
      <c r="M726" s="1733"/>
      <c r="N726" s="1768"/>
      <c r="O726" s="16"/>
      <c r="P726" s="1037"/>
      <c r="R726" s="1037"/>
      <c r="S726" s="1037"/>
    </row>
    <row r="727" spans="2:27" ht="12.75" customHeight="1" thickBot="1" x14ac:dyDescent="0.25">
      <c r="B727" s="207"/>
      <c r="C727" s="1060"/>
      <c r="D727" s="699" t="s">
        <v>2</v>
      </c>
      <c r="E727" s="1741" t="str">
        <f>Translations!$B$773</f>
        <v>Czy gazy odlotowe dotyczą tej podinstalacji?</v>
      </c>
      <c r="F727" s="1741"/>
      <c r="G727" s="1741"/>
      <c r="H727" s="1741"/>
      <c r="I727" s="1741"/>
      <c r="J727" s="1741"/>
      <c r="K727" s="1742"/>
      <c r="L727" s="517"/>
      <c r="M727" s="1253"/>
      <c r="N727" s="1254"/>
      <c r="O727" s="16"/>
      <c r="P727" s="1037"/>
      <c r="R727" s="1037"/>
      <c r="W727" s="1048" t="s">
        <v>414</v>
      </c>
      <c r="X727" s="1046" t="b">
        <f>IF(AND(I613&lt;&gt;"",ISBLANK(L727)),EUconst_Error&amp;"BM"&amp;C613,FALSE)</f>
        <v>0</v>
      </c>
    </row>
    <row r="728" spans="2:27" ht="5.0999999999999996" customHeight="1" thickBot="1" x14ac:dyDescent="0.25">
      <c r="B728" s="207"/>
      <c r="C728" s="1060"/>
      <c r="D728" s="1061"/>
      <c r="E728" s="1733"/>
      <c r="F728" s="1734"/>
      <c r="G728" s="1734"/>
      <c r="H728" s="1734"/>
      <c r="I728" s="1734"/>
      <c r="J728" s="1734"/>
      <c r="K728" s="1734"/>
      <c r="L728" s="1734"/>
      <c r="M728" s="1734"/>
      <c r="N728" s="1735"/>
      <c r="O728" s="16"/>
      <c r="P728" s="1037"/>
      <c r="R728" s="1037"/>
      <c r="AA728" s="422" t="s">
        <v>272</v>
      </c>
    </row>
    <row r="729" spans="2:27" ht="12.75" customHeight="1" x14ac:dyDescent="0.2">
      <c r="B729" s="207"/>
      <c r="C729" s="1060"/>
      <c r="D729" s="699" t="s">
        <v>3</v>
      </c>
      <c r="E729" s="1760" t="str">
        <f>Translations!$B$775</f>
        <v>Rodzaje wytworzonych gazów odlotowych:</v>
      </c>
      <c r="F729" s="1760"/>
      <c r="G729" s="1760"/>
      <c r="H729" s="1760"/>
      <c r="I729" s="1763"/>
      <c r="J729" s="1764"/>
      <c r="K729" s="1764"/>
      <c r="L729" s="1764"/>
      <c r="M729" s="1765"/>
      <c r="N729" s="1254"/>
      <c r="O729" s="16"/>
      <c r="P729" s="1037"/>
      <c r="R729" s="1037"/>
      <c r="AA729" s="646" t="b">
        <f>IF(I613&lt;&gt;"",AND(L727&lt;&gt;"",L727=FALSE),FALSE)</f>
        <v>0</v>
      </c>
    </row>
    <row r="730" spans="2:27" ht="5.0999999999999996" customHeight="1" x14ac:dyDescent="0.2">
      <c r="B730" s="207"/>
      <c r="C730" s="1060"/>
      <c r="D730" s="1061"/>
      <c r="E730" s="1733"/>
      <c r="F730" s="1734"/>
      <c r="G730" s="1734"/>
      <c r="H730" s="1734"/>
      <c r="I730" s="1734"/>
      <c r="J730" s="1734"/>
      <c r="K730" s="1734"/>
      <c r="L730" s="1734"/>
      <c r="M730" s="1734"/>
      <c r="N730" s="1735"/>
      <c r="O730" s="16"/>
      <c r="P730" s="1037"/>
      <c r="R730" s="1037"/>
      <c r="S730" s="1037"/>
      <c r="AA730" s="608"/>
    </row>
    <row r="731" spans="2:27" ht="12.75" customHeight="1" x14ac:dyDescent="0.2">
      <c r="B731" s="207"/>
      <c r="C731" s="1060"/>
      <c r="D731" s="1061"/>
      <c r="E731" s="1757"/>
      <c r="F731" s="1758"/>
      <c r="G731" s="1758"/>
      <c r="H731" s="450" t="str">
        <f>EUconst_Unit</f>
        <v>Jednostka</v>
      </c>
      <c r="I731" s="451">
        <f>I$1882</f>
        <v>2014</v>
      </c>
      <c r="J731" s="451">
        <f>J$1882</f>
        <v>2015</v>
      </c>
      <c r="K731" s="451">
        <f>K$1882</f>
        <v>2016</v>
      </c>
      <c r="L731" s="451">
        <f>L$1882</f>
        <v>2017</v>
      </c>
      <c r="M731" s="451">
        <f>M$1882</f>
        <v>2018</v>
      </c>
      <c r="N731" s="1257"/>
      <c r="O731" s="16"/>
      <c r="P731" s="1037"/>
      <c r="R731" s="1037"/>
      <c r="S731" s="1037"/>
      <c r="AA731" s="608"/>
    </row>
    <row r="732" spans="2:27" ht="12.75" customHeight="1" x14ac:dyDescent="0.2">
      <c r="B732" s="207"/>
      <c r="C732" s="1060"/>
      <c r="D732" s="699" t="s">
        <v>4</v>
      </c>
      <c r="E732" s="1766" t="str">
        <f>Translations!$B$777</f>
        <v>Ilości wytworzone</v>
      </c>
      <c r="F732" s="1767"/>
      <c r="G732" s="1767"/>
      <c r="H732" s="231"/>
      <c r="I732" s="472"/>
      <c r="J732" s="472"/>
      <c r="K732" s="472"/>
      <c r="L732" s="472"/>
      <c r="M732" s="472"/>
      <c r="N732" s="1257"/>
      <c r="O732" s="16"/>
      <c r="P732" s="1037"/>
      <c r="R732" s="1037"/>
      <c r="S732" s="1037"/>
      <c r="AA732" s="345" t="b">
        <f>AA729</f>
        <v>0</v>
      </c>
    </row>
    <row r="733" spans="2:27" ht="12.75" customHeight="1" x14ac:dyDescent="0.2">
      <c r="B733" s="207"/>
      <c r="C733" s="1060"/>
      <c r="D733" s="699" t="s">
        <v>6</v>
      </c>
      <c r="E733" s="1743" t="str">
        <f>Translations!$B$470</f>
        <v>Wartość opałowa</v>
      </c>
      <c r="F733" s="1744"/>
      <c r="G733" s="1744"/>
      <c r="H733" s="56" t="str">
        <f>IF(ISBLANK(H732),EUconst_GJperUnit,INDEX(EUconst_GJperTorKNm3,MATCH(H732,EUconst_TonnesOrkNm3pa,0)))</f>
        <v>GJ / Jednostka</v>
      </c>
      <c r="I733" s="446"/>
      <c r="J733" s="446"/>
      <c r="K733" s="446"/>
      <c r="L733" s="446"/>
      <c r="M733" s="446"/>
      <c r="N733" s="1257"/>
      <c r="O733" s="16"/>
      <c r="R733" s="1037"/>
      <c r="S733" s="1037"/>
      <c r="T733" s="1037"/>
      <c r="U733" s="1037"/>
      <c r="V733" s="1037"/>
      <c r="W733" s="1037"/>
      <c r="AA733" s="345" t="b">
        <f>AA732</f>
        <v>0</v>
      </c>
    </row>
    <row r="734" spans="2:27" ht="12.75" customHeight="1" x14ac:dyDescent="0.2">
      <c r="B734" s="207"/>
      <c r="C734" s="1060"/>
      <c r="D734" s="699" t="s">
        <v>316</v>
      </c>
      <c r="E734" s="1739" t="str">
        <f>Translations!$B$778</f>
        <v>Gazy odlotowe wytworzone</v>
      </c>
      <c r="F734" s="1740"/>
      <c r="G734" s="1740"/>
      <c r="H734" s="453" t="str">
        <f>EUconst_TJpa</f>
        <v>TJ / rok</v>
      </c>
      <c r="I734" s="513" t="str">
        <f>IF(COUNT(I732:I733)=2,I732*I733/1000,"")</f>
        <v/>
      </c>
      <c r="J734" s="513" t="str">
        <f>IF(COUNT(J732:J733)=2,J732*J733/1000,"")</f>
        <v/>
      </c>
      <c r="K734" s="513" t="str">
        <f>IF(COUNT(K732:K733)=2,K732*K733/1000,"")</f>
        <v/>
      </c>
      <c r="L734" s="513" t="str">
        <f>IF(COUNT(L732:L733)=2,L732*L733/1000,"")</f>
        <v/>
      </c>
      <c r="M734" s="513" t="str">
        <f>IF(COUNT(M732:M733)=2,M732*M733/1000,"")</f>
        <v/>
      </c>
      <c r="N734" s="1257"/>
      <c r="O734" s="16"/>
      <c r="P734" s="1062" t="str">
        <f>EUconst_CNTR_WGProduced &amp; I613</f>
        <v>WasteGasProd_</v>
      </c>
      <c r="R734" s="1037"/>
      <c r="S734" s="1037"/>
      <c r="T734" s="1037"/>
      <c r="U734" s="1037"/>
      <c r="V734" s="1037"/>
      <c r="W734" s="1037"/>
      <c r="AA734" s="608"/>
    </row>
    <row r="735" spans="2:27" ht="12.75" customHeight="1" x14ac:dyDescent="0.2">
      <c r="B735" s="207"/>
      <c r="C735" s="1060"/>
      <c r="D735" s="699" t="s">
        <v>317</v>
      </c>
      <c r="E735" s="1739" t="str">
        <f>Translations!$B$779</f>
        <v>Właściwy współczynnik emisji (gazy odlotowe wytworzone)</v>
      </c>
      <c r="F735" s="1740"/>
      <c r="G735" s="1740"/>
      <c r="H735" s="453" t="str">
        <f>EUconst_tCO2pTJ</f>
        <v>t CO2 / TJ</v>
      </c>
      <c r="I735" s="471"/>
      <c r="J735" s="471"/>
      <c r="K735" s="471"/>
      <c r="L735" s="471"/>
      <c r="M735" s="471"/>
      <c r="N735" s="665"/>
      <c r="O735" s="16"/>
      <c r="P735" s="1062" t="str">
        <f>EUconst_CNTR_WGProducedEF &amp; I613</f>
        <v>WasteGasProdEF_</v>
      </c>
      <c r="R735" s="1037"/>
      <c r="S735" s="1037"/>
      <c r="T735" s="1037"/>
      <c r="U735" s="1037"/>
      <c r="V735" s="1037"/>
      <c r="W735" s="1037"/>
      <c r="AA735" s="345" t="b">
        <f>AA733</f>
        <v>0</v>
      </c>
    </row>
    <row r="736" spans="2:27" ht="12.75" customHeight="1" x14ac:dyDescent="0.2">
      <c r="B736" s="207"/>
      <c r="C736" s="1060"/>
      <c r="D736" s="1061"/>
      <c r="E736" s="1061"/>
      <c r="F736" s="1061"/>
      <c r="G736" s="1061"/>
      <c r="H736" s="1061"/>
      <c r="I736" s="1061"/>
      <c r="J736" s="1061"/>
      <c r="K736" s="1061"/>
      <c r="L736" s="1061"/>
      <c r="M736" s="1063"/>
      <c r="N736" s="665"/>
      <c r="O736" s="16"/>
      <c r="P736" s="1037"/>
      <c r="R736" s="1037"/>
      <c r="S736" s="1037"/>
      <c r="T736" s="1037"/>
      <c r="U736" s="1037"/>
      <c r="V736" s="1037"/>
      <c r="W736" s="1037"/>
      <c r="AA736" s="608"/>
    </row>
    <row r="737" spans="2:27" ht="12.75" customHeight="1" x14ac:dyDescent="0.2">
      <c r="B737" s="207"/>
      <c r="C737" s="1060"/>
      <c r="D737" s="699" t="s">
        <v>318</v>
      </c>
      <c r="E737" s="1760" t="str">
        <f>Translations!$B$780</f>
        <v>Rodzaje zużytych gazów odlotowych:</v>
      </c>
      <c r="F737" s="1760"/>
      <c r="G737" s="1760"/>
      <c r="H737" s="1760"/>
      <c r="I737" s="1763"/>
      <c r="J737" s="1764"/>
      <c r="K737" s="1764"/>
      <c r="L737" s="1764"/>
      <c r="M737" s="1765"/>
      <c r="N737" s="1254"/>
      <c r="O737" s="16"/>
      <c r="P737" s="1037"/>
      <c r="R737" s="1037"/>
      <c r="S737" s="1037"/>
      <c r="T737" s="1037"/>
      <c r="U737" s="1037"/>
      <c r="V737" s="1037"/>
      <c r="W737" s="1037"/>
      <c r="AA737" s="345" t="b">
        <f>AA735</f>
        <v>0</v>
      </c>
    </row>
    <row r="738" spans="2:27" ht="5.0999999999999996" customHeight="1" x14ac:dyDescent="0.2">
      <c r="B738" s="207"/>
      <c r="C738" s="1060"/>
      <c r="D738" s="699"/>
      <c r="E738" s="1733"/>
      <c r="F738" s="1734"/>
      <c r="G738" s="1734"/>
      <c r="H738" s="1734"/>
      <c r="I738" s="1734"/>
      <c r="J738" s="1734"/>
      <c r="K738" s="1734"/>
      <c r="L738" s="1734"/>
      <c r="M738" s="1734"/>
      <c r="N738" s="1735"/>
      <c r="O738" s="16"/>
      <c r="P738" s="1037"/>
      <c r="R738" s="1037"/>
      <c r="S738" s="1037"/>
      <c r="T738" s="1037"/>
      <c r="U738" s="1037"/>
      <c r="V738" s="1037"/>
      <c r="W738" s="1037"/>
      <c r="AA738" s="608"/>
    </row>
    <row r="739" spans="2:27" ht="12.75" customHeight="1" x14ac:dyDescent="0.2">
      <c r="B739" s="207"/>
      <c r="C739" s="1060"/>
      <c r="D739" s="1061"/>
      <c r="E739" s="1757"/>
      <c r="F739" s="1758"/>
      <c r="G739" s="1758"/>
      <c r="H739" s="450" t="str">
        <f>EUconst_Unit</f>
        <v>Jednostka</v>
      </c>
      <c r="I739" s="451">
        <f>I$1882</f>
        <v>2014</v>
      </c>
      <c r="J739" s="451">
        <f>J$1882</f>
        <v>2015</v>
      </c>
      <c r="K739" s="451">
        <f>K$1882</f>
        <v>2016</v>
      </c>
      <c r="L739" s="451">
        <f>L$1882</f>
        <v>2017</v>
      </c>
      <c r="M739" s="451">
        <f>M$1882</f>
        <v>2018</v>
      </c>
      <c r="N739" s="1257"/>
      <c r="O739" s="16"/>
      <c r="P739" s="1037"/>
      <c r="R739" s="1037"/>
      <c r="S739" s="1037"/>
      <c r="T739" s="1037"/>
      <c r="U739" s="1037"/>
      <c r="V739" s="1037"/>
      <c r="W739" s="1037"/>
      <c r="AA739" s="608"/>
    </row>
    <row r="740" spans="2:27" ht="12.75" customHeight="1" x14ac:dyDescent="0.2">
      <c r="B740" s="207"/>
      <c r="C740" s="1060"/>
      <c r="D740" s="699" t="s">
        <v>319</v>
      </c>
      <c r="E740" s="1766" t="str">
        <f>Translations!$B$782</f>
        <v>Ilości zużyte</v>
      </c>
      <c r="F740" s="1767"/>
      <c r="G740" s="1767"/>
      <c r="H740" s="231"/>
      <c r="I740" s="472"/>
      <c r="J740" s="472"/>
      <c r="K740" s="472"/>
      <c r="L740" s="472"/>
      <c r="M740" s="472"/>
      <c r="N740" s="1257"/>
      <c r="O740" s="16"/>
      <c r="P740" s="1037"/>
      <c r="R740" s="1037"/>
      <c r="S740" s="1037"/>
      <c r="T740" s="1037"/>
      <c r="U740" s="1037"/>
      <c r="V740" s="1037"/>
      <c r="W740" s="1037"/>
      <c r="AA740" s="345" t="b">
        <f>AA737</f>
        <v>0</v>
      </c>
    </row>
    <row r="741" spans="2:27" ht="12.75" customHeight="1" x14ac:dyDescent="0.2">
      <c r="B741" s="207"/>
      <c r="C741" s="1060"/>
      <c r="D741" s="699" t="s">
        <v>320</v>
      </c>
      <c r="E741" s="1743" t="str">
        <f>Translations!$B$470</f>
        <v>Wartość opałowa</v>
      </c>
      <c r="F741" s="1744"/>
      <c r="G741" s="1744"/>
      <c r="H741" s="56" t="str">
        <f>IF(ISBLANK(H740),EUconst_GJperUnit,INDEX(EUconst_GJperTorKNm3,MATCH(H740,EUconst_TonnesOrkNm3pa,0)))</f>
        <v>GJ / Jednostka</v>
      </c>
      <c r="I741" s="446"/>
      <c r="J741" s="446"/>
      <c r="K741" s="446"/>
      <c r="L741" s="446"/>
      <c r="M741" s="446"/>
      <c r="N741" s="1257"/>
      <c r="O741" s="16"/>
      <c r="R741" s="1037"/>
      <c r="S741" s="1037"/>
      <c r="T741" s="1037"/>
      <c r="U741" s="1037"/>
      <c r="V741" s="1037"/>
      <c r="W741" s="1037"/>
      <c r="AA741" s="345" t="b">
        <f>AA740</f>
        <v>0</v>
      </c>
    </row>
    <row r="742" spans="2:27" ht="12.75" customHeight="1" x14ac:dyDescent="0.2">
      <c r="B742" s="207"/>
      <c r="C742" s="1060"/>
      <c r="D742" s="699" t="s">
        <v>16</v>
      </c>
      <c r="E742" s="1739" t="str">
        <f>Translations!$B$783</f>
        <v>Gazy odlotowe zużyte</v>
      </c>
      <c r="F742" s="1740"/>
      <c r="G742" s="1740"/>
      <c r="H742" s="453" t="str">
        <f>EUconst_TJpa</f>
        <v>TJ / rok</v>
      </c>
      <c r="I742" s="513" t="str">
        <f>IF(COUNT(I740:I741)=2,I740*I741/1000,"")</f>
        <v/>
      </c>
      <c r="J742" s="513" t="str">
        <f>IF(COUNT(J740:J741)=2,J740*J741/1000,"")</f>
        <v/>
      </c>
      <c r="K742" s="513" t="str">
        <f>IF(COUNT(K740:K741)=2,K740*K741/1000,"")</f>
        <v/>
      </c>
      <c r="L742" s="513" t="str">
        <f>IF(COUNT(L740:L741)=2,L740*L741/1000,"")</f>
        <v/>
      </c>
      <c r="M742" s="513" t="str">
        <f>IF(COUNT(M740:M741)=2,M740*M741/1000,"")</f>
        <v/>
      </c>
      <c r="N742" s="1257"/>
      <c r="O742" s="16"/>
      <c r="P742" s="1062" t="str">
        <f>EUconst_CNTR_WGConsumed &amp; I613</f>
        <v>WasteGasCons_</v>
      </c>
      <c r="R742" s="1037"/>
      <c r="S742" s="1037"/>
      <c r="T742" s="1037"/>
      <c r="U742" s="1037"/>
      <c r="V742" s="1037"/>
      <c r="W742" s="1037"/>
      <c r="AA742" s="608"/>
    </row>
    <row r="743" spans="2:27" ht="12.75" customHeight="1" x14ac:dyDescent="0.2">
      <c r="B743" s="207"/>
      <c r="C743" s="1060"/>
      <c r="D743" s="699" t="s">
        <v>17</v>
      </c>
      <c r="E743" s="1739" t="str">
        <f>Translations!$B$784</f>
        <v>Właściwy współczynnik emisji (gazy odlotowe zużyte)</v>
      </c>
      <c r="F743" s="1740"/>
      <c r="G743" s="1740"/>
      <c r="H743" s="453" t="str">
        <f>EUconst_tCO2pTJ</f>
        <v>t CO2 / TJ</v>
      </c>
      <c r="I743" s="471"/>
      <c r="J743" s="471"/>
      <c r="K743" s="471"/>
      <c r="L743" s="471"/>
      <c r="M743" s="471"/>
      <c r="N743" s="665"/>
      <c r="O743" s="16"/>
      <c r="P743" s="1062" t="str">
        <f>EUconst_CNTR_WGConsumedEF &amp; I613</f>
        <v>WasteGasConsEF_</v>
      </c>
      <c r="R743" s="1037"/>
      <c r="S743" s="1037"/>
      <c r="T743" s="1037"/>
      <c r="U743" s="1037"/>
      <c r="V743" s="1037"/>
      <c r="W743" s="1037"/>
      <c r="AA743" s="345" t="b">
        <f>AA741</f>
        <v>0</v>
      </c>
    </row>
    <row r="744" spans="2:27" ht="12.75" customHeight="1" x14ac:dyDescent="0.2">
      <c r="B744" s="207"/>
      <c r="C744" s="1060"/>
      <c r="D744" s="1061"/>
      <c r="E744" s="1061"/>
      <c r="F744" s="1061"/>
      <c r="G744" s="1061"/>
      <c r="H744" s="1061"/>
      <c r="I744" s="1061"/>
      <c r="J744" s="1061"/>
      <c r="K744" s="1061"/>
      <c r="L744" s="1061"/>
      <c r="M744" s="1063"/>
      <c r="N744" s="665"/>
      <c r="O744" s="16"/>
      <c r="P744" s="1037"/>
      <c r="R744" s="1037"/>
      <c r="S744" s="1037"/>
      <c r="AA744" s="608"/>
    </row>
    <row r="745" spans="2:27" ht="12.75" customHeight="1" x14ac:dyDescent="0.2">
      <c r="B745" s="207"/>
      <c r="C745" s="1060"/>
      <c r="D745" s="699" t="s">
        <v>18</v>
      </c>
      <c r="E745" s="1760" t="str">
        <f>Translations!$B$785</f>
        <v>Rodzaje gazów odlotowych spalonych na pochodniach:</v>
      </c>
      <c r="F745" s="1760"/>
      <c r="G745" s="1760"/>
      <c r="H745" s="1760"/>
      <c r="I745" s="1763"/>
      <c r="J745" s="1764"/>
      <c r="K745" s="1764"/>
      <c r="L745" s="1764"/>
      <c r="M745" s="1765"/>
      <c r="N745" s="1254"/>
      <c r="O745" s="16"/>
      <c r="P745" s="1037"/>
      <c r="R745" s="1037"/>
      <c r="AA745" s="345" t="b">
        <f>AA735</f>
        <v>0</v>
      </c>
    </row>
    <row r="746" spans="2:27" ht="5.0999999999999996" customHeight="1" x14ac:dyDescent="0.2">
      <c r="B746" s="207"/>
      <c r="C746" s="1060"/>
      <c r="D746" s="699"/>
      <c r="E746" s="1733"/>
      <c r="F746" s="1734"/>
      <c r="G746" s="1734"/>
      <c r="H746" s="1734"/>
      <c r="I746" s="1734"/>
      <c r="J746" s="1734"/>
      <c r="K746" s="1734"/>
      <c r="L746" s="1734"/>
      <c r="M746" s="1734"/>
      <c r="N746" s="1735"/>
      <c r="O746" s="16"/>
      <c r="P746" s="1037"/>
      <c r="S746" s="1037"/>
      <c r="AA746" s="608"/>
    </row>
    <row r="747" spans="2:27" ht="12.75" customHeight="1" x14ac:dyDescent="0.2">
      <c r="B747" s="207"/>
      <c r="C747" s="1060"/>
      <c r="D747" s="1061"/>
      <c r="E747" s="1757"/>
      <c r="F747" s="1758"/>
      <c r="G747" s="1758"/>
      <c r="H747" s="450" t="str">
        <f>EUconst_Unit</f>
        <v>Jednostka</v>
      </c>
      <c r="I747" s="451">
        <f>I$1882</f>
        <v>2014</v>
      </c>
      <c r="J747" s="451">
        <f>J$1882</f>
        <v>2015</v>
      </c>
      <c r="K747" s="451">
        <f>K$1882</f>
        <v>2016</v>
      </c>
      <c r="L747" s="451">
        <f>L$1882</f>
        <v>2017</v>
      </c>
      <c r="M747" s="451">
        <f>M$1882</f>
        <v>2018</v>
      </c>
      <c r="N747" s="1257"/>
      <c r="O747" s="16"/>
      <c r="P747" s="1037"/>
      <c r="AA747" s="608"/>
    </row>
    <row r="748" spans="2:27" ht="12.75" customHeight="1" thickBot="1" x14ac:dyDescent="0.25">
      <c r="B748" s="207"/>
      <c r="C748" s="1060"/>
      <c r="D748" s="699" t="s">
        <v>454</v>
      </c>
      <c r="E748" s="1766" t="str">
        <f>Translations!$B$789</f>
        <v>Ilości spalone na pochodniach</v>
      </c>
      <c r="F748" s="1767"/>
      <c r="G748" s="1767"/>
      <c r="H748" s="231"/>
      <c r="I748" s="472"/>
      <c r="J748" s="472"/>
      <c r="K748" s="472"/>
      <c r="L748" s="472"/>
      <c r="M748" s="472"/>
      <c r="N748" s="1257"/>
      <c r="O748" s="16"/>
      <c r="P748" s="1037"/>
      <c r="R748" s="1037" t="s">
        <v>546</v>
      </c>
      <c r="AA748" s="345" t="b">
        <f>AA745</f>
        <v>0</v>
      </c>
    </row>
    <row r="749" spans="2:27" ht="12.75" customHeight="1" thickBot="1" x14ac:dyDescent="0.25">
      <c r="B749" s="207"/>
      <c r="C749" s="1060"/>
      <c r="D749" s="699" t="s">
        <v>455</v>
      </c>
      <c r="E749" s="1743" t="str">
        <f>Translations!$B$470</f>
        <v>Wartość opałowa</v>
      </c>
      <c r="F749" s="1744"/>
      <c r="G749" s="1744"/>
      <c r="H749" s="56" t="str">
        <f>IF(ISBLANK(H748),EUconst_GJperUnit,INDEX(EUconst_GJperTorKNm3,MATCH(H748,EUconst_TonnesOrkNm3pa,0)))</f>
        <v>GJ / Jednostka</v>
      </c>
      <c r="I749" s="446"/>
      <c r="J749" s="446"/>
      <c r="K749" s="446"/>
      <c r="L749" s="446"/>
      <c r="M749" s="446"/>
      <c r="N749" s="1257"/>
      <c r="O749" s="16"/>
      <c r="R749" s="712" t="s">
        <v>437</v>
      </c>
      <c r="S749" s="709">
        <f>I747</f>
        <v>2014</v>
      </c>
      <c r="T749" s="710">
        <f>J747</f>
        <v>2015</v>
      </c>
      <c r="U749" s="710">
        <f>K747</f>
        <v>2016</v>
      </c>
      <c r="V749" s="710">
        <f>L747</f>
        <v>2017</v>
      </c>
      <c r="W749" s="711">
        <f>M747</f>
        <v>2018</v>
      </c>
      <c r="AA749" s="345" t="b">
        <f>AA748</f>
        <v>0</v>
      </c>
    </row>
    <row r="750" spans="2:27" ht="12.75" customHeight="1" thickBot="1" x14ac:dyDescent="0.25">
      <c r="B750" s="207"/>
      <c r="C750" s="1060"/>
      <c r="D750" s="699" t="s">
        <v>456</v>
      </c>
      <c r="E750" s="1739" t="str">
        <f>Translations!$B$790</f>
        <v>Gazy odlotowe spalone na pochodniach</v>
      </c>
      <c r="F750" s="1740"/>
      <c r="G750" s="1740"/>
      <c r="H750" s="453" t="str">
        <f>EUconst_TJpa</f>
        <v>TJ / rok</v>
      </c>
      <c r="I750" s="513" t="str">
        <f>IF(COUNT(I748:I749)=2,I748*I749/1000,"")</f>
        <v/>
      </c>
      <c r="J750" s="513" t="str">
        <f>IF(COUNT(J748:J749)=2,J748*J749/1000,"")</f>
        <v/>
      </c>
      <c r="K750" s="513" t="str">
        <f>IF(COUNT(K748:K749)=2,K748*K749/1000,"")</f>
        <v/>
      </c>
      <c r="L750" s="513" t="str">
        <f>IF(COUNT(L748:L749)=2,L748*L749/1000,"")</f>
        <v/>
      </c>
      <c r="M750" s="513" t="str">
        <f>IF(COUNT(M748:M749)=2,M748*M749/1000,"")</f>
        <v/>
      </c>
      <c r="N750" s="1257"/>
      <c r="O750" s="16"/>
      <c r="P750" s="1062" t="str">
        <f>EUconst_CNTR_WGFlared &amp; I613</f>
        <v>WasteGasFlare_</v>
      </c>
      <c r="R750" s="347" t="str">
        <f>IF(COUNT(S750:W750)&gt;0,AVERAGE(S750:W750),"")</f>
        <v/>
      </c>
      <c r="S750" s="442" t="str">
        <f>IF(S613,IF(ISNUMBER(I750),I750,0),"")</f>
        <v/>
      </c>
      <c r="T750" s="443" t="str">
        <f>IF(T613,IF(ISNUMBER(J750),J750,0),"")</f>
        <v/>
      </c>
      <c r="U750" s="443" t="str">
        <f>IF(U613,IF(ISNUMBER(K750),K750,0),"")</f>
        <v/>
      </c>
      <c r="V750" s="443" t="str">
        <f>IF(V613,IF(ISNUMBER(L750),L750,0),"")</f>
        <v/>
      </c>
      <c r="W750" s="444" t="str">
        <f>IF(W613,IF(ISNUMBER(M750),M750,0),"")</f>
        <v/>
      </c>
      <c r="AA750" s="608"/>
    </row>
    <row r="751" spans="2:27" ht="12.75" customHeight="1" thickBot="1" x14ac:dyDescent="0.25">
      <c r="B751" s="207"/>
      <c r="C751" s="1060"/>
      <c r="D751" s="699" t="s">
        <v>457</v>
      </c>
      <c r="E751" s="1739" t="str">
        <f>Translations!$B$791</f>
        <v>Właściwy współczynnik emisji (gazy odlotowe spalone na pochodniach)</v>
      </c>
      <c r="F751" s="1740"/>
      <c r="G751" s="1740"/>
      <c r="H751" s="453" t="str">
        <f>EUconst_tCO2pTJ</f>
        <v>t CO2 / TJ</v>
      </c>
      <c r="I751" s="471"/>
      <c r="J751" s="471"/>
      <c r="K751" s="471"/>
      <c r="L751" s="471"/>
      <c r="M751" s="471"/>
      <c r="N751" s="665"/>
      <c r="O751" s="16"/>
      <c r="P751" s="1062" t="str">
        <f>EUconst_CNTR_WGFlaredEF &amp; I613</f>
        <v>WasteGasFlareEF_</v>
      </c>
      <c r="R751" s="854" t="str">
        <f>IF(COUNT(S751:W751)&gt;0,AVERAGE(S751:W751),"")</f>
        <v/>
      </c>
      <c r="S751" s="442" t="str">
        <f>IF(S613,SUM(I750)*SUM(I751),"")</f>
        <v/>
      </c>
      <c r="T751" s="443" t="str">
        <f>IF(T613,SUM(J750)*SUM(J751),"")</f>
        <v/>
      </c>
      <c r="U751" s="443" t="str">
        <f>IF(U613,SUM(K750)*SUM(K751),"")</f>
        <v/>
      </c>
      <c r="V751" s="443" t="str">
        <f>IF(V613,SUM(L750)*SUM(L751),"")</f>
        <v/>
      </c>
      <c r="W751" s="444" t="str">
        <f>IF(W613,SUM(M750)*SUM(M751),"")</f>
        <v/>
      </c>
      <c r="AA751" s="345" t="b">
        <f>AA749</f>
        <v>0</v>
      </c>
    </row>
    <row r="752" spans="2:27" ht="12.75" customHeight="1" x14ac:dyDescent="0.2">
      <c r="B752" s="207"/>
      <c r="C752" s="1060"/>
      <c r="D752" s="1061"/>
      <c r="E752" s="1061"/>
      <c r="F752" s="1061"/>
      <c r="G752" s="1061"/>
      <c r="H752" s="1061"/>
      <c r="I752" s="1061"/>
      <c r="J752" s="1061"/>
      <c r="K752" s="1061"/>
      <c r="L752" s="1061"/>
      <c r="M752" s="1063"/>
      <c r="N752" s="665"/>
      <c r="O752" s="16"/>
      <c r="P752" s="1037"/>
      <c r="R752" s="1037"/>
      <c r="S752" s="1037"/>
      <c r="AA752" s="608"/>
    </row>
    <row r="753" spans="1:27" ht="12.75" customHeight="1" x14ac:dyDescent="0.2">
      <c r="B753" s="207"/>
      <c r="C753" s="1060"/>
      <c r="D753" s="699" t="s">
        <v>458</v>
      </c>
      <c r="E753" s="1760" t="str">
        <f>Translations!$B$792</f>
        <v>Rodzaje gazów odlotowych wprowadzonych:</v>
      </c>
      <c r="F753" s="1760"/>
      <c r="G753" s="1760"/>
      <c r="H753" s="1760"/>
      <c r="I753" s="1763"/>
      <c r="J753" s="1764"/>
      <c r="K753" s="1764"/>
      <c r="L753" s="1764"/>
      <c r="M753" s="1765"/>
      <c r="N753" s="665"/>
      <c r="O753" s="16"/>
      <c r="P753" s="1037"/>
      <c r="R753" s="1037"/>
      <c r="AA753" s="345" t="b">
        <f>AA733</f>
        <v>0</v>
      </c>
    </row>
    <row r="754" spans="1:27" ht="5.0999999999999996" customHeight="1" x14ac:dyDescent="0.2">
      <c r="B754" s="207"/>
      <c r="C754" s="1060"/>
      <c r="D754" s="699"/>
      <c r="E754" s="1730"/>
      <c r="F754" s="1731"/>
      <c r="G754" s="1731"/>
      <c r="H754" s="1731"/>
      <c r="I754" s="1731"/>
      <c r="J754" s="1731"/>
      <c r="K754" s="1731"/>
      <c r="L754" s="1731"/>
      <c r="M754" s="1731"/>
      <c r="N754" s="1732"/>
      <c r="O754" s="16"/>
      <c r="P754" s="1037"/>
      <c r="R754" s="1037"/>
      <c r="S754" s="1037"/>
      <c r="AA754" s="608"/>
    </row>
    <row r="755" spans="1:27" ht="12.75" customHeight="1" x14ac:dyDescent="0.2">
      <c r="B755" s="207"/>
      <c r="C755" s="1060"/>
      <c r="D755" s="1061"/>
      <c r="E755" s="1757"/>
      <c r="F755" s="1758"/>
      <c r="G755" s="1758"/>
      <c r="H755" s="450" t="str">
        <f>EUconst_Unit</f>
        <v>Jednostka</v>
      </c>
      <c r="I755" s="451">
        <f>I$1882</f>
        <v>2014</v>
      </c>
      <c r="J755" s="451">
        <f>J$1882</f>
        <v>2015</v>
      </c>
      <c r="K755" s="451">
        <f>K$1882</f>
        <v>2016</v>
      </c>
      <c r="L755" s="451">
        <f>L$1882</f>
        <v>2017</v>
      </c>
      <c r="M755" s="451">
        <f>M$1882</f>
        <v>2018</v>
      </c>
      <c r="N755" s="1257"/>
      <c r="O755" s="16"/>
      <c r="P755" s="1037"/>
      <c r="R755" s="1037"/>
      <c r="S755" s="1037"/>
      <c r="AA755" s="608"/>
    </row>
    <row r="756" spans="1:27" ht="12.75" customHeight="1" thickBot="1" x14ac:dyDescent="0.25">
      <c r="B756" s="207"/>
      <c r="C756" s="1060"/>
      <c r="D756" s="699" t="s">
        <v>459</v>
      </c>
      <c r="E756" s="1766" t="str">
        <f>Translations!$B$795</f>
        <v>Ilości wprowadzone</v>
      </c>
      <c r="F756" s="1767"/>
      <c r="G756" s="1767"/>
      <c r="H756" s="231"/>
      <c r="I756" s="472"/>
      <c r="J756" s="472"/>
      <c r="K756" s="472"/>
      <c r="L756" s="472"/>
      <c r="M756" s="472"/>
      <c r="N756" s="1257"/>
      <c r="O756" s="16"/>
      <c r="P756" s="1037"/>
      <c r="R756" s="1037"/>
      <c r="S756" s="1037"/>
      <c r="AA756" s="345" t="b">
        <f>AA753</f>
        <v>0</v>
      </c>
    </row>
    <row r="757" spans="1:27" ht="12.75" customHeight="1" x14ac:dyDescent="0.2">
      <c r="B757" s="207"/>
      <c r="C757" s="1060"/>
      <c r="D757" s="699" t="s">
        <v>460</v>
      </c>
      <c r="E757" s="1743" t="str">
        <f>Translations!$B$470</f>
        <v>Wartość opałowa</v>
      </c>
      <c r="F757" s="1744"/>
      <c r="G757" s="1744"/>
      <c r="H757" s="56" t="str">
        <f>IF(ISBLANK(H756),EUconst_GJperUnit,INDEX(EUconst_GJperTorKNm3,MATCH(H756,EUconst_TonnesOrkNm3pa,0)))</f>
        <v>GJ / Jednostka</v>
      </c>
      <c r="I757" s="446"/>
      <c r="J757" s="446"/>
      <c r="K757" s="446"/>
      <c r="L757" s="446"/>
      <c r="M757" s="446"/>
      <c r="N757" s="1257"/>
      <c r="O757" s="16"/>
      <c r="P757" s="1065"/>
      <c r="R757" s="1052"/>
      <c r="S757" s="814">
        <f>I755</f>
        <v>2014</v>
      </c>
      <c r="T757" s="814">
        <f>J755</f>
        <v>2015</v>
      </c>
      <c r="U757" s="814">
        <f>K755</f>
        <v>2016</v>
      </c>
      <c r="V757" s="814">
        <f>L755</f>
        <v>2017</v>
      </c>
      <c r="W757" s="815">
        <f>M755</f>
        <v>2018</v>
      </c>
      <c r="AA757" s="345" t="b">
        <f>AA756</f>
        <v>0</v>
      </c>
    </row>
    <row r="758" spans="1:27" ht="12.75" customHeight="1" x14ac:dyDescent="0.2">
      <c r="B758" s="207"/>
      <c r="C758" s="1060"/>
      <c r="D758" s="699" t="s">
        <v>461</v>
      </c>
      <c r="E758" s="1739" t="str">
        <f>Translations!$B$796</f>
        <v>Gazy odlotowe wprowadzone</v>
      </c>
      <c r="F758" s="1740"/>
      <c r="G758" s="1740"/>
      <c r="H758" s="453" t="str">
        <f>EUconst_TJpa</f>
        <v>TJ / rok</v>
      </c>
      <c r="I758" s="433" t="str">
        <f>IF(COUNT(I756:I757)=2,I756*I757/1000,"")</f>
        <v/>
      </c>
      <c r="J758" s="433" t="str">
        <f>IF(COUNT(J756:J757)=2,J756*J757/1000,"")</f>
        <v/>
      </c>
      <c r="K758" s="433" t="str">
        <f>IF(COUNT(K756:K757)=2,K756*K757/1000,"")</f>
        <v/>
      </c>
      <c r="L758" s="433" t="str">
        <f>IF(COUNT(L756:L757)=2,L756*L757/1000,"")</f>
        <v/>
      </c>
      <c r="M758" s="433" t="str">
        <f>IF(COUNT(M756:M757)=2,M756*M757/1000,"")</f>
        <v/>
      </c>
      <c r="N758" s="1257"/>
      <c r="O758" s="16"/>
      <c r="P758" s="1062" t="str">
        <f>EUconst_CNTR_WGImport &amp; I613</f>
        <v>WasteGasIm_</v>
      </c>
      <c r="R758" s="1064" t="str">
        <f>EUconst_ERR_AttrEmBMapplied &amp; I613</f>
        <v>ERR_AttrEmBM_ </v>
      </c>
      <c r="S758" s="116">
        <f>IF(AND(I758&lt;&gt;"",EUconst_StatusOfDataCollection=FALSE),1,0)</f>
        <v>0</v>
      </c>
      <c r="T758" s="116">
        <f>IF(AND(J758&lt;&gt;"",EUconst_StatusOfDataCollection=FALSE),1,0)</f>
        <v>0</v>
      </c>
      <c r="U758" s="116">
        <f>IF(AND(K758&lt;&gt;"",EUconst_StatusOfDataCollection=FALSE),1,0)</f>
        <v>0</v>
      </c>
      <c r="V758" s="116">
        <f>IF(AND(L758&lt;&gt;"",EUconst_StatusOfDataCollection=FALSE),1,0)</f>
        <v>0</v>
      </c>
      <c r="W758" s="117">
        <f>IF(AND(M758&lt;&gt;"",EUconst_StatusOfDataCollection=FALSE),1,0)</f>
        <v>0</v>
      </c>
      <c r="AA758" s="608"/>
    </row>
    <row r="759" spans="1:27" s="701" customFormat="1" ht="12.75" customHeight="1" thickBot="1" x14ac:dyDescent="0.25">
      <c r="A759" s="422"/>
      <c r="B759" s="207"/>
      <c r="C759" s="1060"/>
      <c r="D759" s="699" t="s">
        <v>462</v>
      </c>
      <c r="E759" s="1739" t="str">
        <f>Translations!$B$797</f>
        <v>Właściwy współczynnik emisji (gazy odlotowe wprowadzone)</v>
      </c>
      <c r="F759" s="1739"/>
      <c r="G759" s="1739"/>
      <c r="H759" s="452" t="str">
        <f>EUconst_tCO2pTJ</f>
        <v>t CO2 / TJ</v>
      </c>
      <c r="I759" s="765"/>
      <c r="J759" s="765"/>
      <c r="K759" s="765"/>
      <c r="L759" s="765"/>
      <c r="M759" s="765"/>
      <c r="N759" s="665"/>
      <c r="O759" s="16"/>
      <c r="P759" s="1062" t="str">
        <f>EUconst_CNTR_WGImportEF &amp; I613</f>
        <v>WasteGasImEF_</v>
      </c>
      <c r="Q759" s="422"/>
      <c r="R759" s="1053" t="str">
        <f>EUconst_CNTR_AttributedEmissions &amp; I613</f>
        <v>AttrEmissions_</v>
      </c>
      <c r="S759" s="119" t="str">
        <f>IF(S613,SUM(I758)*EUconst_FuelBMvalue,"")</f>
        <v/>
      </c>
      <c r="T759" s="119" t="str">
        <f>IF(T613,SUM(J758)*EUconst_FuelBMvalue,"")</f>
        <v/>
      </c>
      <c r="U759" s="119" t="str">
        <f>IF(U613,SUM(K758)*EUconst_FuelBMvalue,"")</f>
        <v/>
      </c>
      <c r="V759" s="119" t="str">
        <f>IF(V613,SUM(L758)*EUconst_FuelBMvalue,"")</f>
        <v/>
      </c>
      <c r="W759" s="120" t="str">
        <f>IF(W613,SUM(M758)*EUconst_FuelBMvalue,"")</f>
        <v/>
      </c>
      <c r="X759" s="422"/>
      <c r="Y759" s="422"/>
      <c r="Z759" s="422"/>
      <c r="AA759" s="345" t="b">
        <f>AA757</f>
        <v>0</v>
      </c>
    </row>
    <row r="760" spans="1:27" ht="12.75" customHeight="1" x14ac:dyDescent="0.2">
      <c r="B760" s="207"/>
      <c r="C760" s="1060"/>
      <c r="D760" s="1061"/>
      <c r="E760" s="1061"/>
      <c r="F760" s="1061"/>
      <c r="G760" s="1061"/>
      <c r="H760" s="1061"/>
      <c r="I760" s="1061"/>
      <c r="J760" s="1061"/>
      <c r="K760" s="1061"/>
      <c r="L760" s="1061"/>
      <c r="M760" s="1063"/>
      <c r="N760" s="665"/>
      <c r="O760" s="16"/>
      <c r="P760" s="1037"/>
      <c r="R760" s="1037"/>
      <c r="S760" s="1037"/>
      <c r="AA760" s="608"/>
    </row>
    <row r="761" spans="1:27" ht="12.75" customHeight="1" x14ac:dyDescent="0.2">
      <c r="B761" s="207"/>
      <c r="C761" s="1060"/>
      <c r="D761" s="699" t="s">
        <v>463</v>
      </c>
      <c r="E761" s="1760" t="str">
        <f>Translations!$B$798</f>
        <v>Rodzaje wyprowadzonych gazów odlotowych:</v>
      </c>
      <c r="F761" s="1760"/>
      <c r="G761" s="1760"/>
      <c r="H761" s="1760"/>
      <c r="I761" s="1763"/>
      <c r="J761" s="1764"/>
      <c r="K761" s="1764"/>
      <c r="L761" s="1764"/>
      <c r="M761" s="1765"/>
      <c r="N761" s="1254"/>
      <c r="O761" s="16"/>
      <c r="P761" s="1037"/>
      <c r="R761" s="1037"/>
      <c r="AA761" s="345" t="b">
        <f>AA756</f>
        <v>0</v>
      </c>
    </row>
    <row r="762" spans="1:27" ht="5.0999999999999996" customHeight="1" x14ac:dyDescent="0.2">
      <c r="B762" s="207"/>
      <c r="C762" s="1060"/>
      <c r="D762" s="699"/>
      <c r="E762" s="1733"/>
      <c r="F762" s="1734"/>
      <c r="G762" s="1734"/>
      <c r="H762" s="1734"/>
      <c r="I762" s="1734"/>
      <c r="J762" s="1734"/>
      <c r="K762" s="1734"/>
      <c r="L762" s="1734"/>
      <c r="M762" s="1734"/>
      <c r="N762" s="1735"/>
      <c r="O762" s="16"/>
      <c r="P762" s="1037"/>
      <c r="R762" s="1037"/>
      <c r="S762" s="1037"/>
      <c r="AA762" s="608"/>
    </row>
    <row r="763" spans="1:27" ht="12.75" customHeight="1" x14ac:dyDescent="0.2">
      <c r="B763" s="207"/>
      <c r="C763" s="1060"/>
      <c r="D763" s="1061"/>
      <c r="E763" s="1757"/>
      <c r="F763" s="1758"/>
      <c r="G763" s="1758"/>
      <c r="H763" s="450" t="str">
        <f>EUconst_Unit</f>
        <v>Jednostka</v>
      </c>
      <c r="I763" s="451">
        <f>I$1882</f>
        <v>2014</v>
      </c>
      <c r="J763" s="451">
        <f>J$1882</f>
        <v>2015</v>
      </c>
      <c r="K763" s="451">
        <f>K$1882</f>
        <v>2016</v>
      </c>
      <c r="L763" s="451">
        <f>L$1882</f>
        <v>2017</v>
      </c>
      <c r="M763" s="451">
        <f>M$1882</f>
        <v>2018</v>
      </c>
      <c r="N763" s="1257"/>
      <c r="O763" s="16"/>
      <c r="P763" s="1037"/>
      <c r="R763" s="1037"/>
      <c r="S763" s="1037"/>
      <c r="AA763" s="608"/>
    </row>
    <row r="764" spans="1:27" ht="12.75" customHeight="1" x14ac:dyDescent="0.2">
      <c r="B764" s="207"/>
      <c r="C764" s="1060"/>
      <c r="D764" s="699" t="s">
        <v>464</v>
      </c>
      <c r="E764" s="1766" t="str">
        <f>Translations!$B$800</f>
        <v>Ilości wyprowadzone</v>
      </c>
      <c r="F764" s="1767"/>
      <c r="G764" s="1767"/>
      <c r="H764" s="231"/>
      <c r="I764" s="472"/>
      <c r="J764" s="472"/>
      <c r="K764" s="472"/>
      <c r="L764" s="472"/>
      <c r="M764" s="472"/>
      <c r="N764" s="1257"/>
      <c r="O764" s="16"/>
      <c r="P764" s="1037"/>
      <c r="R764" s="1037"/>
      <c r="S764" s="1037"/>
      <c r="AA764" s="345" t="b">
        <f>AA761</f>
        <v>0</v>
      </c>
    </row>
    <row r="765" spans="1:27" ht="12.75" customHeight="1" thickBot="1" x14ac:dyDescent="0.25">
      <c r="B765" s="207"/>
      <c r="C765" s="1060"/>
      <c r="D765" s="699" t="s">
        <v>643</v>
      </c>
      <c r="E765" s="1743" t="str">
        <f>Translations!$B$470</f>
        <v>Wartość opałowa</v>
      </c>
      <c r="F765" s="1744"/>
      <c r="G765" s="1744"/>
      <c r="H765" s="56" t="str">
        <f>IF(ISBLANK(H764),EUconst_GJperUnit,INDEX(EUconst_GJperTorKNm3,MATCH(H764,EUconst_TonnesOrkNm3pa,0)))</f>
        <v>GJ / Jednostka</v>
      </c>
      <c r="I765" s="446"/>
      <c r="J765" s="446"/>
      <c r="K765" s="446"/>
      <c r="L765" s="446"/>
      <c r="M765" s="446"/>
      <c r="N765" s="1257"/>
      <c r="O765" s="16"/>
      <c r="P765" s="1065"/>
      <c r="R765" s="1037"/>
      <c r="S765" s="1037"/>
      <c r="AA765" s="345" t="b">
        <f>AA764</f>
        <v>0</v>
      </c>
    </row>
    <row r="766" spans="1:27" ht="12.75" customHeight="1" x14ac:dyDescent="0.2">
      <c r="B766" s="207"/>
      <c r="C766" s="1060"/>
      <c r="D766" s="699" t="s">
        <v>644</v>
      </c>
      <c r="E766" s="1739" t="str">
        <f>Translations!$B$801</f>
        <v>Gazy odlotowe wyprowadzone</v>
      </c>
      <c r="F766" s="1740"/>
      <c r="G766" s="1740"/>
      <c r="H766" s="453" t="str">
        <f>EUconst_TJpa</f>
        <v>TJ / rok</v>
      </c>
      <c r="I766" s="433" t="str">
        <f>IF(COUNT(I764:I765)=2,I764*I765/1000,"")</f>
        <v/>
      </c>
      <c r="J766" s="433" t="str">
        <f>IF(COUNT(J764:J765)=2,J764*J765/1000,"")</f>
        <v/>
      </c>
      <c r="K766" s="433" t="str">
        <f>IF(COUNT(K764:K765)=2,K764*K765/1000,"")</f>
        <v/>
      </c>
      <c r="L766" s="433" t="str">
        <f>IF(COUNT(L764:L765)=2,L764*L765/1000,"")</f>
        <v/>
      </c>
      <c r="M766" s="433" t="str">
        <f>IF(COUNT(M764:M765)=2,M764*M765/1000,"")</f>
        <v/>
      </c>
      <c r="N766" s="702"/>
      <c r="O766" s="16"/>
      <c r="P766" s="1062" t="str">
        <f>EUconst_CNTR_WGExport &amp; I613</f>
        <v>WasteGasEx_</v>
      </c>
      <c r="R766" s="1052"/>
      <c r="S766" s="814">
        <f>I763</f>
        <v>2014</v>
      </c>
      <c r="T766" s="814">
        <f>J763</f>
        <v>2015</v>
      </c>
      <c r="U766" s="814">
        <f>K763</f>
        <v>2016</v>
      </c>
      <c r="V766" s="814">
        <f>L763</f>
        <v>2017</v>
      </c>
      <c r="W766" s="815">
        <f>M763</f>
        <v>2018</v>
      </c>
      <c r="AA766" s="608"/>
    </row>
    <row r="767" spans="1:27" s="701" customFormat="1" ht="12.75" customHeight="1" thickBot="1" x14ac:dyDescent="0.25">
      <c r="A767" s="422"/>
      <c r="B767" s="207"/>
      <c r="C767" s="1060"/>
      <c r="D767" s="699" t="s">
        <v>645</v>
      </c>
      <c r="E767" s="1739" t="str">
        <f>Translations!$B$802</f>
        <v>Właściwy współczynnik emisji (gazy odlotowe wyprowadzone)</v>
      </c>
      <c r="F767" s="1739"/>
      <c r="G767" s="1739"/>
      <c r="H767" s="452" t="str">
        <f>EUconst_tCO2pTJ</f>
        <v>t CO2 / TJ</v>
      </c>
      <c r="I767" s="765"/>
      <c r="J767" s="765"/>
      <c r="K767" s="765"/>
      <c r="L767" s="765"/>
      <c r="M767" s="765"/>
      <c r="N767" s="665"/>
      <c r="O767" s="16"/>
      <c r="P767" s="1062" t="str">
        <f>EUconst_CNTR_WGExportEF &amp; I613</f>
        <v>WasteGasExEF_</v>
      </c>
      <c r="Q767" s="422"/>
      <c r="R767" s="1053" t="str">
        <f>EUconst_CNTR_AttributedEmissions &amp; I613</f>
        <v>AttrEmissions_</v>
      </c>
      <c r="S767" s="119" t="str">
        <f>IF(S613,-SUM(I766)*EUconst_NGEFvalue*EUconst_WasteGasCorrFactor,"")</f>
        <v/>
      </c>
      <c r="T767" s="119" t="str">
        <f>IF(T613,-SUM(J766)*EUconst_NGEFvalue*EUconst_WasteGasCorrFactor,"")</f>
        <v/>
      </c>
      <c r="U767" s="119" t="str">
        <f>IF(U613,-SUM(K766)*EUconst_NGEFvalue*EUconst_WasteGasCorrFactor,"")</f>
        <v/>
      </c>
      <c r="V767" s="119" t="str">
        <f>IF(V613,-SUM(L766)*EUconst_NGEFvalue*EUconst_WasteGasCorrFactor,"")</f>
        <v/>
      </c>
      <c r="W767" s="120" t="str">
        <f>IF(W613,-SUM(M766)*EUconst_NGEFvalue*EUconst_WasteGasCorrFactor,"")</f>
        <v/>
      </c>
      <c r="X767" s="422"/>
      <c r="Y767" s="422"/>
      <c r="Z767" s="422"/>
      <c r="AA767" s="168" t="b">
        <f>AA765</f>
        <v>0</v>
      </c>
    </row>
    <row r="768" spans="1:27" ht="12.75" customHeight="1" x14ac:dyDescent="0.2">
      <c r="B768" s="207"/>
      <c r="C768" s="1060"/>
      <c r="D768" s="1061"/>
      <c r="E768" s="1061"/>
      <c r="F768" s="1061"/>
      <c r="G768" s="1061"/>
      <c r="H768" s="1061"/>
      <c r="I768" s="1061"/>
      <c r="J768" s="1061"/>
      <c r="K768" s="1061"/>
      <c r="L768" s="1061"/>
      <c r="M768" s="1063"/>
      <c r="N768" s="665"/>
      <c r="O768" s="16"/>
      <c r="P768" s="1037"/>
      <c r="R768" s="1037"/>
    </row>
    <row r="769" spans="2:27" ht="12.75" customHeight="1" thickBot="1" x14ac:dyDescent="0.25">
      <c r="B769" s="207"/>
      <c r="C769" s="1060"/>
      <c r="D769" s="462" t="s">
        <v>221</v>
      </c>
      <c r="E769" s="1731" t="str">
        <f>Translations!$B$420</f>
        <v>Wytwarzanie energii elektrycznej</v>
      </c>
      <c r="F769" s="1734"/>
      <c r="G769" s="1734"/>
      <c r="H769" s="1734"/>
      <c r="I769" s="1734"/>
      <c r="J769" s="1734"/>
      <c r="K769" s="1734"/>
      <c r="L769" s="1734"/>
      <c r="M769" s="1734"/>
      <c r="N769" s="1735"/>
      <c r="O769" s="16"/>
      <c r="P769" s="1037"/>
      <c r="R769" s="1037"/>
    </row>
    <row r="770" spans="2:27" ht="12.75" customHeight="1" x14ac:dyDescent="0.2">
      <c r="B770" s="207"/>
      <c r="C770" s="1060"/>
      <c r="D770" s="462"/>
      <c r="E770" s="1757"/>
      <c r="F770" s="1758"/>
      <c r="G770" s="1758"/>
      <c r="H770" s="450" t="str">
        <f>EUconst_Unit</f>
        <v>Jednostka</v>
      </c>
      <c r="I770" s="451">
        <f>I$1882</f>
        <v>2014</v>
      </c>
      <c r="J770" s="451">
        <f>J$1882</f>
        <v>2015</v>
      </c>
      <c r="K770" s="451">
        <f>K$1882</f>
        <v>2016</v>
      </c>
      <c r="L770" s="451">
        <f>L$1882</f>
        <v>2017</v>
      </c>
      <c r="M770" s="451">
        <f>M$1882</f>
        <v>2018</v>
      </c>
      <c r="N770" s="665"/>
      <c r="O770" s="16"/>
      <c r="P770" s="1037"/>
      <c r="R770" s="1052"/>
      <c r="S770" s="814">
        <f>I770</f>
        <v>2014</v>
      </c>
      <c r="T770" s="814">
        <f>J770</f>
        <v>2015</v>
      </c>
      <c r="U770" s="814">
        <f>K770</f>
        <v>2016</v>
      </c>
      <c r="V770" s="814">
        <f>L770</f>
        <v>2017</v>
      </c>
      <c r="W770" s="815">
        <f>M770</f>
        <v>2018</v>
      </c>
    </row>
    <row r="771" spans="2:27" ht="12.75" customHeight="1" thickBot="1" x14ac:dyDescent="0.25">
      <c r="B771" s="207"/>
      <c r="C771" s="1060"/>
      <c r="D771" s="699"/>
      <c r="E771" s="1739" t="str">
        <f>Translations!$B$805</f>
        <v>Energia elektryczna wytworzona</v>
      </c>
      <c r="F771" s="1740"/>
      <c r="G771" s="1740"/>
      <c r="H771" s="453" t="str">
        <f>EUconst_MWhpa</f>
        <v>MWh / rok</v>
      </c>
      <c r="I771" s="471"/>
      <c r="J771" s="471"/>
      <c r="K771" s="471"/>
      <c r="L771" s="471"/>
      <c r="M771" s="471"/>
      <c r="N771" s="1257"/>
      <c r="O771" s="16"/>
      <c r="P771" s="1062" t="str">
        <f>EUconst_CNTR_ElectricityExported &amp; I613</f>
        <v>ElecEx_</v>
      </c>
      <c r="R771" s="1053" t="str">
        <f>EUconst_CNTR_AttributedEmissions &amp; I613</f>
        <v>AttrEmissions_</v>
      </c>
      <c r="S771" s="119" t="str">
        <f>IF(S613,-SUM(I771)*EUconst_ElBM,"")</f>
        <v/>
      </c>
      <c r="T771" s="119" t="str">
        <f>IF(T613,-SUM(J771)*EUconst_ElBM,"")</f>
        <v/>
      </c>
      <c r="U771" s="119" t="str">
        <f>IF(U613,-SUM(K771)*EUconst_ElBM,"")</f>
        <v/>
      </c>
      <c r="V771" s="119" t="str">
        <f>IF(V613,-SUM(L771)*EUconst_ElBM,"")</f>
        <v/>
      </c>
      <c r="W771" s="120" t="str">
        <f>IF(W613,-SUM(M771)*EUconst_ElBM,"")</f>
        <v/>
      </c>
    </row>
    <row r="772" spans="2:27" ht="12.75" customHeight="1" x14ac:dyDescent="0.2">
      <c r="B772" s="207"/>
      <c r="C772" s="1060"/>
      <c r="D772" s="1061"/>
      <c r="E772" s="1061"/>
      <c r="F772" s="1061"/>
      <c r="G772" s="1061"/>
      <c r="H772" s="1061"/>
      <c r="I772" s="1061"/>
      <c r="J772" s="1061"/>
      <c r="K772" s="1061"/>
      <c r="L772" s="1061"/>
      <c r="M772" s="1063"/>
      <c r="N772" s="665"/>
      <c r="O772" s="16"/>
      <c r="P772" s="1037"/>
      <c r="R772" s="1037"/>
      <c r="S772" s="1037"/>
    </row>
    <row r="773" spans="2:27" ht="12.75" customHeight="1" thickBot="1" x14ac:dyDescent="0.25">
      <c r="B773" s="207"/>
      <c r="C773" s="1060"/>
      <c r="D773" s="462" t="s">
        <v>79</v>
      </c>
      <c r="E773" s="1760" t="str">
        <f>Translations!$B$806</f>
        <v>Całkowita ilość wyprodukowanej masy celulozowej</v>
      </c>
      <c r="F773" s="1760"/>
      <c r="G773" s="1760"/>
      <c r="H773" s="1760"/>
      <c r="I773" s="1760"/>
      <c r="J773" s="1760"/>
      <c r="K773" s="1760"/>
      <c r="L773" s="1760"/>
      <c r="M773" s="1760"/>
      <c r="N773" s="1761"/>
      <c r="O773" s="16"/>
      <c r="S773" s="1037"/>
    </row>
    <row r="774" spans="2:27" ht="12.75" customHeight="1" thickBot="1" x14ac:dyDescent="0.25">
      <c r="B774" s="207"/>
      <c r="C774" s="1060"/>
      <c r="D774" s="699"/>
      <c r="E774" s="1762" t="str">
        <f>IF(I613="","",IF(INDEX(EUconst_BMlistPulp,MATCH(I613,EUconst_BMlistNames,0)),I613,""))</f>
        <v/>
      </c>
      <c r="F774" s="1762"/>
      <c r="G774" s="1762"/>
      <c r="H774" s="453" t="str">
        <f>EUconst_Tons</f>
        <v>tony</v>
      </c>
      <c r="I774" s="471"/>
      <c r="J774" s="471"/>
      <c r="K774" s="471"/>
      <c r="L774" s="471"/>
      <c r="M774" s="471"/>
      <c r="N774" s="1257"/>
      <c r="O774" s="16"/>
      <c r="P774" s="1062" t="str">
        <f>EUconst_CNTR_HALPulpTotal &amp; I613</f>
        <v>HALPulpTotal_</v>
      </c>
      <c r="R774" s="1037"/>
      <c r="AA774" s="738" t="b">
        <f>IF(I613&lt;&gt;"",IF(INDEX(EUconst_BMlistPulp,MATCH(I613,EUconst_BMlistNames,0))=TRUE,FALSE,TRUE),FALSE)</f>
        <v>0</v>
      </c>
    </row>
    <row r="775" spans="2:27" ht="12.75" customHeight="1" x14ac:dyDescent="0.2">
      <c r="B775" s="207"/>
      <c r="C775" s="1060"/>
      <c r="D775" s="699"/>
      <c r="E775" s="699"/>
      <c r="F775" s="699"/>
      <c r="G775" s="699"/>
      <c r="H775" s="699"/>
      <c r="I775" s="699"/>
      <c r="J775" s="699"/>
      <c r="K775" s="699"/>
      <c r="L775" s="699"/>
      <c r="M775" s="699"/>
      <c r="N775" s="1257"/>
      <c r="O775" s="16"/>
      <c r="P775" s="1065"/>
      <c r="R775" s="1037"/>
      <c r="S775" s="1037"/>
    </row>
    <row r="776" spans="2:27" ht="12.75" customHeight="1" thickBot="1" x14ac:dyDescent="0.25">
      <c r="B776" s="207"/>
      <c r="C776" s="1060"/>
      <c r="D776" s="462" t="s">
        <v>333</v>
      </c>
      <c r="E776" s="1731" t="str">
        <f>Translations!$B$810</f>
        <v>Wprowadzanie lub wyprowadzanie produktów pośrednich objętych wskaźnikami emisyjności dla produktów</v>
      </c>
      <c r="F776" s="1734"/>
      <c r="G776" s="1734"/>
      <c r="H776" s="1734"/>
      <c r="I776" s="1734"/>
      <c r="J776" s="1734"/>
      <c r="K776" s="1734"/>
      <c r="L776" s="1734"/>
      <c r="M776" s="1734"/>
      <c r="N776" s="1735"/>
      <c r="O776" s="16"/>
      <c r="P776" s="1037"/>
      <c r="R776" s="1037"/>
      <c r="S776" s="1037"/>
    </row>
    <row r="777" spans="2:27" ht="12.75" customHeight="1" thickBot="1" x14ac:dyDescent="0.25">
      <c r="B777" s="20"/>
      <c r="C777" s="1060"/>
      <c r="D777" s="699" t="s">
        <v>2</v>
      </c>
      <c r="E777" s="1755" t="str">
        <f>Translations!$B$813</f>
        <v>Czy ma miejsce jakiekolwiek wprowadzanie lub wyprowadzanie produktów pośrednich objętych wskaźnikami emisyjności dla produktów?</v>
      </c>
      <c r="F777" s="1755"/>
      <c r="G777" s="1755"/>
      <c r="H777" s="1755"/>
      <c r="I777" s="1755"/>
      <c r="J777" s="1755"/>
      <c r="K777" s="1756"/>
      <c r="L777" s="517"/>
      <c r="M777" s="449"/>
      <c r="N777" s="702"/>
      <c r="O777" s="16"/>
      <c r="W777" s="1048" t="s">
        <v>414</v>
      </c>
      <c r="X777" s="1046" t="b">
        <f>IF(AND(I613&lt;&gt;"",ISBLANK(L777)),EUconst_Error&amp;"BM"&amp;C613,FALSE)</f>
        <v>0</v>
      </c>
    </row>
    <row r="778" spans="2:27" ht="5.0999999999999996" customHeight="1" x14ac:dyDescent="0.2">
      <c r="B778" s="207"/>
      <c r="C778" s="1060"/>
      <c r="D778" s="699"/>
      <c r="E778" s="699"/>
      <c r="F778" s="699"/>
      <c r="G778" s="699"/>
      <c r="H778" s="699"/>
      <c r="I778" s="699"/>
      <c r="J778" s="699"/>
      <c r="K778" s="699"/>
      <c r="L778" s="699"/>
      <c r="M778" s="699"/>
      <c r="N778" s="1257"/>
      <c r="O778" s="16"/>
      <c r="P778" s="1065"/>
      <c r="R778" s="1037"/>
      <c r="S778" s="1037"/>
    </row>
    <row r="779" spans="2:27" ht="12.75" customHeight="1" thickBot="1" x14ac:dyDescent="0.25">
      <c r="B779" s="207"/>
      <c r="C779" s="1060"/>
      <c r="D779" s="514"/>
      <c r="E779" s="1757" t="str">
        <f>Translations!$B$814</f>
        <v>Ilości wprowadzone:</v>
      </c>
      <c r="F779" s="1758"/>
      <c r="G779" s="1758"/>
      <c r="H779" s="515" t="str">
        <f>EUconst_Unit</f>
        <v>Jednostka</v>
      </c>
      <c r="I779" s="451">
        <f>I$1882</f>
        <v>2014</v>
      </c>
      <c r="J779" s="451">
        <f>J$1882</f>
        <v>2015</v>
      </c>
      <c r="K779" s="451">
        <f>K$1882</f>
        <v>2016</v>
      </c>
      <c r="L779" s="451">
        <f>L$1882</f>
        <v>2017</v>
      </c>
      <c r="M779" s="451">
        <f>M$1882</f>
        <v>2018</v>
      </c>
      <c r="N779" s="1257"/>
      <c r="O779" s="16"/>
      <c r="P779" s="1065"/>
      <c r="R779" s="1037"/>
      <c r="S779" s="1037"/>
      <c r="AA779" s="422" t="s">
        <v>272</v>
      </c>
    </row>
    <row r="780" spans="2:27" ht="12.75" customHeight="1" x14ac:dyDescent="0.2">
      <c r="B780" s="207"/>
      <c r="C780" s="1060"/>
      <c r="D780" s="516" t="s">
        <v>3</v>
      </c>
      <c r="E780" s="1759"/>
      <c r="F780" s="1759"/>
      <c r="G780" s="1759"/>
      <c r="H780" s="64" t="str">
        <f>IF(E780&lt;&gt;"",INDEX(EUconst_BMlistUnits,MATCH(E780,EUconst_BMlistNames,0)),EUconst_Tons)</f>
        <v>tony</v>
      </c>
      <c r="I780" s="318"/>
      <c r="J780" s="318"/>
      <c r="K780" s="318"/>
      <c r="L780" s="318"/>
      <c r="M780" s="318"/>
      <c r="N780" s="1257"/>
      <c r="O780" s="16"/>
      <c r="P780" s="1062" t="str">
        <f>EUconst_CNTR_IntermediateImport &amp; R780 &amp; "_" &amp; I613</f>
        <v>IntImp_1_</v>
      </c>
      <c r="R780" s="1062">
        <v>1</v>
      </c>
      <c r="S780" s="1037"/>
      <c r="AA780" s="646" t="b">
        <f>AND(NOT(ISBLANK(L777)),L777=FALSE)</f>
        <v>0</v>
      </c>
    </row>
    <row r="781" spans="2:27" ht="12.75" customHeight="1" x14ac:dyDescent="0.2">
      <c r="B781" s="207"/>
      <c r="C781" s="1060"/>
      <c r="D781" s="516" t="s">
        <v>4</v>
      </c>
      <c r="E781" s="1747"/>
      <c r="F781" s="1747"/>
      <c r="G781" s="1747"/>
      <c r="H781" s="56" t="str">
        <f>IF(E781&lt;&gt;"",INDEX(EUconst_BMlistUnits,MATCH(E781,EUconst_BMlistNames,0)),EUconst_Tons)</f>
        <v>tony</v>
      </c>
      <c r="I781" s="317"/>
      <c r="J781" s="317"/>
      <c r="K781" s="317"/>
      <c r="L781" s="317"/>
      <c r="M781" s="317"/>
      <c r="N781" s="1257"/>
      <c r="O781" s="16"/>
      <c r="P781" s="1062" t="str">
        <f>EUconst_CNTR_IntermediateImport &amp; R781 &amp; "_" &amp; I613</f>
        <v>IntImp_2_</v>
      </c>
      <c r="R781" s="1062">
        <v>2</v>
      </c>
      <c r="S781" s="1037"/>
      <c r="AA781" s="345" t="b">
        <f>AA780</f>
        <v>0</v>
      </c>
    </row>
    <row r="782" spans="2:27" ht="5.0999999999999996" customHeight="1" x14ac:dyDescent="0.2">
      <c r="B782" s="207"/>
      <c r="C782" s="1060"/>
      <c r="D782" s="699"/>
      <c r="E782" s="699"/>
      <c r="F782" s="699"/>
      <c r="G782" s="699"/>
      <c r="H782" s="699"/>
      <c r="I782" s="699"/>
      <c r="J782" s="699"/>
      <c r="K782" s="699"/>
      <c r="L782" s="699"/>
      <c r="M782" s="699"/>
      <c r="N782" s="1257"/>
      <c r="O782" s="16"/>
      <c r="P782" s="1065"/>
      <c r="R782" s="1037"/>
      <c r="S782" s="1037"/>
      <c r="AA782" s="608"/>
    </row>
    <row r="783" spans="2:27" ht="12.75" customHeight="1" x14ac:dyDescent="0.2">
      <c r="B783" s="207"/>
      <c r="C783" s="1060"/>
      <c r="D783" s="514"/>
      <c r="E783" s="1757" t="str">
        <f>Translations!$B$815</f>
        <v>Ilości wyprowadzone:</v>
      </c>
      <c r="F783" s="1758"/>
      <c r="G783" s="1758"/>
      <c r="H783" s="515" t="str">
        <f>EUconst_Unit</f>
        <v>Jednostka</v>
      </c>
      <c r="I783" s="451">
        <f>I$1882</f>
        <v>2014</v>
      </c>
      <c r="J783" s="451">
        <f>J$1882</f>
        <v>2015</v>
      </c>
      <c r="K783" s="451">
        <f>K$1882</f>
        <v>2016</v>
      </c>
      <c r="L783" s="451">
        <f>L$1882</f>
        <v>2017</v>
      </c>
      <c r="M783" s="451">
        <f>M$1882</f>
        <v>2018</v>
      </c>
      <c r="N783" s="1257"/>
      <c r="O783" s="16"/>
      <c r="P783" s="1065"/>
      <c r="R783" s="1037"/>
      <c r="S783" s="1037"/>
      <c r="AA783" s="608"/>
    </row>
    <row r="784" spans="2:27" ht="12.75" customHeight="1" x14ac:dyDescent="0.2">
      <c r="B784" s="207"/>
      <c r="C784" s="1060"/>
      <c r="D784" s="516" t="s">
        <v>6</v>
      </c>
      <c r="E784" s="1759"/>
      <c r="F784" s="1759"/>
      <c r="G784" s="1759"/>
      <c r="H784" s="64" t="str">
        <f>IF(E784&lt;&gt;"",INDEX(EUconst_BMlistUnits,MATCH(E784,EUconst_BMlistNames,0)),EUconst_Tons)</f>
        <v>tony</v>
      </c>
      <c r="I784" s="318"/>
      <c r="J784" s="318"/>
      <c r="K784" s="318"/>
      <c r="L784" s="318"/>
      <c r="M784" s="318"/>
      <c r="N784" s="1257"/>
      <c r="O784" s="16"/>
      <c r="P784" s="1062" t="str">
        <f>EUconst_CNTR_IntermediateExport &amp; R780 &amp; "_" &amp; I613</f>
        <v>IntExp_1_</v>
      </c>
      <c r="R784" s="1062">
        <v>1</v>
      </c>
      <c r="S784" s="1037"/>
      <c r="U784" s="512"/>
      <c r="V784" s="512"/>
      <c r="AA784" s="345" t="b">
        <f>AA780</f>
        <v>0</v>
      </c>
    </row>
    <row r="785" spans="2:27" ht="12.75" customHeight="1" x14ac:dyDescent="0.2">
      <c r="B785" s="207"/>
      <c r="C785" s="1060"/>
      <c r="D785" s="516" t="s">
        <v>316</v>
      </c>
      <c r="E785" s="1747"/>
      <c r="F785" s="1747"/>
      <c r="G785" s="1747"/>
      <c r="H785" s="56" t="str">
        <f>IF(E785&lt;&gt;"",INDEX(EUconst_BMlistUnits,MATCH(E785,EUconst_BMlistNames,0)),EUconst_Tons)</f>
        <v>tony</v>
      </c>
      <c r="I785" s="317"/>
      <c r="J785" s="317"/>
      <c r="K785" s="317"/>
      <c r="L785" s="317"/>
      <c r="M785" s="317"/>
      <c r="N785" s="1257"/>
      <c r="O785" s="16"/>
      <c r="P785" s="1062" t="str">
        <f>EUconst_CNTR_IntermediateExport &amp; R785 &amp; "_" &amp; I613</f>
        <v>IntExp_2_</v>
      </c>
      <c r="R785" s="1062">
        <v>2</v>
      </c>
      <c r="S785" s="1037"/>
      <c r="U785" s="512"/>
      <c r="V785" s="512"/>
      <c r="AA785" s="345" t="b">
        <f>AA780</f>
        <v>0</v>
      </c>
    </row>
    <row r="786" spans="2:27" ht="5.0999999999999996" customHeight="1" x14ac:dyDescent="0.2">
      <c r="B786" s="207"/>
      <c r="C786" s="1060"/>
      <c r="D786" s="699"/>
      <c r="E786" s="699"/>
      <c r="F786" s="699"/>
      <c r="G786" s="699"/>
      <c r="H786" s="699"/>
      <c r="I786" s="699"/>
      <c r="J786" s="699"/>
      <c r="K786" s="699"/>
      <c r="L786" s="699"/>
      <c r="M786" s="699"/>
      <c r="N786" s="1257"/>
      <c r="O786" s="16"/>
      <c r="P786" s="1065"/>
      <c r="R786" s="1037"/>
      <c r="S786" s="1037"/>
      <c r="U786" s="512"/>
      <c r="V786" s="512"/>
      <c r="AA786" s="608"/>
    </row>
    <row r="787" spans="2:27" ht="12.75" customHeight="1" x14ac:dyDescent="0.2">
      <c r="B787" s="207"/>
      <c r="C787" s="1060"/>
      <c r="D787" s="516" t="s">
        <v>317</v>
      </c>
      <c r="E787" s="1748" t="str">
        <f>Translations!$B$816</f>
        <v>Opis produktów pośrednich wprowadzonych lub wyprowadzonych</v>
      </c>
      <c r="F787" s="1748"/>
      <c r="G787" s="1748"/>
      <c r="H787" s="1748"/>
      <c r="I787" s="1748"/>
      <c r="J787" s="1748"/>
      <c r="K787" s="1748"/>
      <c r="L787" s="1748"/>
      <c r="M787" s="1748"/>
      <c r="N787" s="1257"/>
      <c r="O787" s="16"/>
      <c r="P787" s="1065"/>
      <c r="R787" s="1037"/>
      <c r="S787" s="1037"/>
      <c r="U787" s="512"/>
      <c r="V787" s="512"/>
      <c r="AA787" s="608"/>
    </row>
    <row r="788" spans="2:27" ht="12.75" customHeight="1" x14ac:dyDescent="0.2">
      <c r="B788" s="207"/>
      <c r="C788" s="1060"/>
      <c r="D788" s="699"/>
      <c r="E788" s="1749"/>
      <c r="F788" s="1750"/>
      <c r="G788" s="1750"/>
      <c r="H788" s="1750"/>
      <c r="I788" s="1750"/>
      <c r="J788" s="1750"/>
      <c r="K788" s="1750"/>
      <c r="L788" s="1750"/>
      <c r="M788" s="1751"/>
      <c r="N788" s="1257"/>
      <c r="O788" s="16"/>
      <c r="P788" s="1065"/>
      <c r="R788" s="1037"/>
      <c r="S788" s="1037"/>
      <c r="U788" s="512"/>
      <c r="V788" s="512"/>
      <c r="AA788" s="345" t="b">
        <f>AA780</f>
        <v>0</v>
      </c>
    </row>
    <row r="789" spans="2:27" ht="12.75" customHeight="1" thickBot="1" x14ac:dyDescent="0.25">
      <c r="B789" s="207"/>
      <c r="C789" s="1060"/>
      <c r="D789" s="699"/>
      <c r="E789" s="1752"/>
      <c r="F789" s="1753"/>
      <c r="G789" s="1753"/>
      <c r="H789" s="1753"/>
      <c r="I789" s="1753"/>
      <c r="J789" s="1753"/>
      <c r="K789" s="1753"/>
      <c r="L789" s="1753"/>
      <c r="M789" s="1754"/>
      <c r="N789" s="1257"/>
      <c r="O789" s="16"/>
      <c r="P789" s="1065"/>
      <c r="R789" s="1037"/>
      <c r="S789" s="1037"/>
      <c r="U789" s="512"/>
      <c r="V789" s="512"/>
      <c r="AA789" s="168" t="b">
        <f>AA780</f>
        <v>0</v>
      </c>
    </row>
    <row r="790" spans="2:27" ht="12.75" customHeight="1" thickBot="1" x14ac:dyDescent="0.25">
      <c r="B790" s="207"/>
      <c r="C790" s="1066"/>
      <c r="D790" s="1067"/>
      <c r="E790" s="1067"/>
      <c r="F790" s="1067"/>
      <c r="G790" s="1067"/>
      <c r="H790" s="1067"/>
      <c r="I790" s="1067"/>
      <c r="J790" s="1067"/>
      <c r="K790" s="1067"/>
      <c r="L790" s="1067"/>
      <c r="M790" s="1068"/>
      <c r="N790" s="1069"/>
      <c r="O790" s="16"/>
      <c r="P790" s="1037"/>
      <c r="R790" s="1037"/>
      <c r="S790" s="1037"/>
    </row>
    <row r="791" spans="2:27" ht="13.5" thickBot="1" x14ac:dyDescent="0.25">
      <c r="B791" s="20"/>
      <c r="C791" s="20"/>
      <c r="D791" s="20"/>
      <c r="E791" s="20"/>
      <c r="F791" s="20"/>
      <c r="G791" s="20"/>
      <c r="H791" s="20"/>
      <c r="I791" s="20"/>
      <c r="J791" s="20"/>
      <c r="K791" s="20"/>
      <c r="L791" s="20"/>
      <c r="M791" s="20"/>
      <c r="N791" s="20"/>
      <c r="O791" s="16"/>
      <c r="P791" s="346" t="str">
        <f>IF(OR(AND(CNTR_ExistProductSubEntries=FALSE,P613=1),AND(I613&lt;&gt;"",COUNTIF(P792:$P$1876,"PRINT")=0)),"PRINT","")</f>
        <v/>
      </c>
      <c r="Q791" s="422" t="s">
        <v>498</v>
      </c>
      <c r="R791" s="1037"/>
      <c r="S791" s="1037"/>
    </row>
    <row r="792" spans="2:27" ht="5.0999999999999996" customHeight="1" thickBot="1" x14ac:dyDescent="0.25">
      <c r="B792" s="20"/>
      <c r="C792" s="1070"/>
      <c r="D792" s="1070"/>
      <c r="E792" s="1070"/>
      <c r="F792" s="1070"/>
      <c r="G792" s="1070"/>
      <c r="H792" s="1070"/>
      <c r="I792" s="1070"/>
      <c r="J792" s="1070"/>
      <c r="K792" s="1070"/>
      <c r="L792" s="1070"/>
      <c r="M792" s="1070"/>
      <c r="N792" s="1070"/>
      <c r="O792" s="16"/>
      <c r="R792" s="1037"/>
      <c r="S792" s="1037"/>
    </row>
    <row r="793" spans="2:27" ht="15.75" thickBot="1" x14ac:dyDescent="0.25">
      <c r="B793" s="207"/>
      <c r="C793" s="1047">
        <f>C613+1</f>
        <v>5</v>
      </c>
      <c r="D793" s="1439" t="str">
        <f>EUconst_BMSubinst &amp; ":"</f>
        <v>Podinstalacja i wskaźnik emisyjności dla produktów:</v>
      </c>
      <c r="E793" s="1370"/>
      <c r="F793" s="1370"/>
      <c r="G793" s="1370"/>
      <c r="H793" s="1432"/>
      <c r="I793" s="1781" t="str">
        <f>IF(INDEX(CNTR_SubInstListIsProdBM,$C793),INDEX(CNTR_SubInstListNames,$C793),"")</f>
        <v/>
      </c>
      <c r="J793" s="1666"/>
      <c r="K793" s="1666"/>
      <c r="L793" s="1666"/>
      <c r="M793" s="1666"/>
      <c r="N793" s="1383"/>
      <c r="O793" s="16"/>
      <c r="P793" s="346">
        <f>C793</f>
        <v>5</v>
      </c>
      <c r="Q793" s="1048" t="s">
        <v>234</v>
      </c>
      <c r="R793" s="1049" t="str">
        <f>IF(I793="","",INDEX(CNTR_SubInstStartDate,MATCH($I793,CNTR_SubInstListNames,0)))</f>
        <v/>
      </c>
      <c r="S793" s="1050" t="b">
        <f>IF($I793="",FALSE,AND(I$1885, IF($R793&lt;DATE($L$1882,1,1),YEAR($R793)&lt;=I$1882,YEAR($R793-1)&lt;I$1882) ) )</f>
        <v>0</v>
      </c>
      <c r="T793" s="1050" t="b">
        <f>IF($I793="",FALSE,AND(J$1885, IF($R793&lt;DATE($L$1882,1,1),YEAR($R793)&lt;=J$1882,YEAR($R793-1)&lt;J$1882) ) )</f>
        <v>0</v>
      </c>
      <c r="U793" s="1050" t="b">
        <f>IF($I793="",FALSE,AND(K$1885, IF($R793&lt;DATE($L$1882,1,1),YEAR($R793)&lt;=K$1882,YEAR($R793-1)&lt;K$1882) ) )</f>
        <v>0</v>
      </c>
      <c r="V793" s="1050" t="b">
        <f>IF($I793="",FALSE,AND(L$1885, IF($R793&lt;DATE($L$1882,1,1),YEAR($R793)&lt;=L$1882,YEAR($R793-1)&lt;L$1882) ) )</f>
        <v>0</v>
      </c>
      <c r="W793" s="1050" t="b">
        <f>IF($I793="",FALSE,AND(M$1885, IF($R793&lt;DATE($L$1882,1,1),YEAR($R793)&lt;=M$1882,YEAR($R793-1)&lt;M$1882) ) )</f>
        <v>0</v>
      </c>
      <c r="Z793" s="736" t="s">
        <v>550</v>
      </c>
      <c r="AA793" s="738" t="b">
        <f>AND(CNTR_ExistSubInstEntries,I793="")</f>
        <v>1</v>
      </c>
    </row>
    <row r="794" spans="2:27" ht="5.0999999999999996" customHeight="1" x14ac:dyDescent="0.2">
      <c r="B794" s="207"/>
      <c r="C794" s="207"/>
      <c r="D794" s="207"/>
      <c r="E794" s="207"/>
      <c r="F794" s="207"/>
      <c r="G794" s="207"/>
      <c r="H794" s="207"/>
      <c r="I794" s="207"/>
      <c r="J794" s="207"/>
      <c r="K794" s="207"/>
      <c r="L794" s="207"/>
      <c r="M794" s="16"/>
      <c r="N794" s="16"/>
      <c r="O794" s="16"/>
      <c r="P794" s="1037"/>
      <c r="R794" s="1037"/>
      <c r="S794" s="1037"/>
    </row>
    <row r="795" spans="2:27" ht="12.75" customHeight="1" x14ac:dyDescent="0.2">
      <c r="B795" s="207"/>
      <c r="C795" s="207"/>
      <c r="D795" s="207"/>
      <c r="E795" s="1622" t="str">
        <f>CONCATENATE(EUconst_MsgSeeFirst," (F.I.1)")</f>
        <v>Szczegółowe instrukcje dotyczące wprowadzania danych w tym narzędziu znajdują się w pierwszej kopii tego narzędzia.  (F.I.1)</v>
      </c>
      <c r="F795" s="1622"/>
      <c r="G795" s="1622"/>
      <c r="H795" s="1622"/>
      <c r="I795" s="1622"/>
      <c r="J795" s="1622"/>
      <c r="K795" s="1622"/>
      <c r="L795" s="1622"/>
      <c r="M795" s="1622"/>
      <c r="N795" s="1622"/>
      <c r="O795" s="16"/>
      <c r="P795" s="1037"/>
      <c r="R795" s="1037"/>
      <c r="S795" s="1037"/>
    </row>
    <row r="796" spans="2:27" ht="5.0999999999999996" customHeight="1" x14ac:dyDescent="0.2">
      <c r="B796" s="207"/>
      <c r="C796" s="207"/>
      <c r="D796" s="207"/>
      <c r="E796" s="207"/>
      <c r="F796" s="207"/>
      <c r="G796" s="207"/>
      <c r="H796" s="207"/>
      <c r="I796" s="207"/>
      <c r="J796" s="207"/>
      <c r="K796" s="207"/>
      <c r="L796" s="207"/>
      <c r="M796" s="16"/>
      <c r="N796" s="16"/>
      <c r="O796" s="16"/>
      <c r="P796" s="1037"/>
      <c r="R796" s="1037"/>
      <c r="S796" s="1037"/>
    </row>
    <row r="797" spans="2:27" ht="13.5" thickBot="1" x14ac:dyDescent="0.25">
      <c r="B797" s="207"/>
      <c r="C797" s="207"/>
      <c r="D797" s="14" t="s">
        <v>173</v>
      </c>
      <c r="E797" s="1375" t="str">
        <f>Translations!$B$670</f>
        <v>Historyczne poziomy działalności</v>
      </c>
      <c r="F797" s="1370"/>
      <c r="G797" s="1370"/>
      <c r="H797" s="1370"/>
      <c r="I797" s="1370"/>
      <c r="J797" s="1370"/>
      <c r="K797" s="1370"/>
      <c r="L797" s="1370"/>
      <c r="M797" s="1370"/>
      <c r="N797" s="1370"/>
      <c r="O797" s="16"/>
      <c r="P797" s="1037"/>
      <c r="R797" s="1037"/>
      <c r="S797" s="1037"/>
    </row>
    <row r="798" spans="2:27" ht="13.5" customHeight="1" thickBot="1" x14ac:dyDescent="0.25">
      <c r="B798" s="20"/>
      <c r="C798" s="20"/>
      <c r="D798" s="14"/>
      <c r="E798" s="1430" t="str">
        <f>Translations!$B$676</f>
        <v>Roczne poziomy działalności:</v>
      </c>
      <c r="F798" s="1430"/>
      <c r="G798" s="1430"/>
      <c r="H798" s="34" t="str">
        <f>EUconst_Unit</f>
        <v>Jednostka</v>
      </c>
      <c r="I798" s="396">
        <f>I$1882</f>
        <v>2014</v>
      </c>
      <c r="J798" s="396">
        <f>J$1882</f>
        <v>2015</v>
      </c>
      <c r="K798" s="396">
        <f>K$1882</f>
        <v>2016</v>
      </c>
      <c r="L798" s="396">
        <f>L$1882</f>
        <v>2017</v>
      </c>
      <c r="M798" s="421">
        <f>M$1882</f>
        <v>2018</v>
      </c>
      <c r="N798" s="888" t="str">
        <f>IF(I793="","",IF(S803,YEAR(R793)+1,""))</f>
        <v/>
      </c>
      <c r="O798" s="16"/>
      <c r="P798" s="1037"/>
      <c r="Q798" s="424" t="s">
        <v>432</v>
      </c>
      <c r="R798" s="276"/>
      <c r="S798" s="276"/>
      <c r="T798" s="276"/>
      <c r="U798" s="276"/>
      <c r="V798" s="276"/>
      <c r="W798" s="277"/>
      <c r="Y798" s="788" t="b">
        <f>IF(CNTR_ExistSubInstEntries,IF(I793&lt;&gt;"",NOT(S803),TRUE),FALSE)</f>
        <v>1</v>
      </c>
      <c r="AA798" s="422" t="s">
        <v>272</v>
      </c>
    </row>
    <row r="799" spans="2:27" ht="13.5" thickBot="1" x14ac:dyDescent="0.25">
      <c r="B799" s="20"/>
      <c r="C799" s="20"/>
      <c r="D799" s="195" t="s">
        <v>2</v>
      </c>
      <c r="E799" s="1801" t="str">
        <f>I793</f>
        <v/>
      </c>
      <c r="F799" s="1801"/>
      <c r="G799" s="1801"/>
      <c r="H799" s="98" t="str">
        <f>IF(INDEX(CNTR_SubInstListIsProdBM,$C793),INDEX(CNTR_SubInstListHALUnit,$C793),EUconst_Tons)</f>
        <v>tony</v>
      </c>
      <c r="I799" s="591"/>
      <c r="J799" s="591"/>
      <c r="K799" s="591"/>
      <c r="L799" s="591"/>
      <c r="M799" s="886"/>
      <c r="N799" s="889"/>
      <c r="O799" s="16"/>
      <c r="P799" s="164" t="s">
        <v>237</v>
      </c>
      <c r="Q799" s="1238" t="s">
        <v>2190</v>
      </c>
      <c r="R799" s="187" t="s">
        <v>437</v>
      </c>
      <c r="S799" s="442">
        <f>I798</f>
        <v>2014</v>
      </c>
      <c r="T799" s="443">
        <f>J798</f>
        <v>2015</v>
      </c>
      <c r="U799" s="443">
        <f>K798</f>
        <v>2016</v>
      </c>
      <c r="V799" s="443">
        <f>L798</f>
        <v>2017</v>
      </c>
      <c r="W799" s="444">
        <f>M798</f>
        <v>2018</v>
      </c>
      <c r="Y799" s="963" t="b">
        <f>IF(CNTR_ExistSubInstEntries,IF(AND(I793&lt;&gt;"",N800=""),NOT(S803),TRUE),FALSE)</f>
        <v>1</v>
      </c>
      <c r="Z799" s="422"/>
      <c r="AA799" s="646" t="b">
        <f>IF(CNTR_ExistSubInstEntries,AND(I793&lt;&gt;"",Q803),FALSE)</f>
        <v>0</v>
      </c>
    </row>
    <row r="800" spans="2:27" ht="13.5" thickBot="1" x14ac:dyDescent="0.25">
      <c r="B800" s="20"/>
      <c r="C800" s="20"/>
      <c r="D800" s="195" t="s">
        <v>3</v>
      </c>
      <c r="E800" s="1801" t="str">
        <f>Translations!$B$677</f>
        <v>Z arkusza „H_SpecialBM”:</v>
      </c>
      <c r="F800" s="1801"/>
      <c r="G800" s="1801"/>
      <c r="H800" s="98" t="str">
        <f>H799</f>
        <v>tony</v>
      </c>
      <c r="I800" s="321" t="str">
        <f>IF($I793="","",IF($Q803,SUMIF(H_SpecialBM!$P$9:$P$384,$P800,H_SpecialBM!I$9:I$384),""))</f>
        <v/>
      </c>
      <c r="J800" s="321" t="str">
        <f>IF($I793="","",IF($Q803,SUMIF(H_SpecialBM!$P$9:$P$384,$P800,H_SpecialBM!J$9:J$384),""))</f>
        <v/>
      </c>
      <c r="K800" s="321" t="str">
        <f>IF($I793="","",IF($Q803,SUMIF(H_SpecialBM!$P$9:$P$384,$P800,H_SpecialBM!K$9:K$384),""))</f>
        <v/>
      </c>
      <c r="L800" s="321" t="str">
        <f>IF($I793="","",IF($Q803,SUMIF(H_SpecialBM!$P$9:$P$384,$P800,H_SpecialBM!L$9:L$384),""))</f>
        <v/>
      </c>
      <c r="M800" s="887" t="str">
        <f>IF($I793="","",IF($Q803,SUMIF(H_SpecialBM!$P$9:$P$384,$P800,H_SpecialBM!M$9:M$384),""))</f>
        <v/>
      </c>
      <c r="N800" s="890" t="str">
        <f>IF($I793="","",IF(AND($Q803,$S803),SUMIF(H_SpecialBM!$P$9:$P$384,$P800,H_SpecialBM!N$9:N$384),""))</f>
        <v/>
      </c>
      <c r="O800" s="16"/>
      <c r="P800" s="1051" t="str">
        <f>EUconst_CNTR_HALspecial&amp;I793</f>
        <v>HALspecial_</v>
      </c>
      <c r="Q800" s="179" t="str">
        <f>IF(COUNT($U800:$V800)&gt;0,SUM($U800:$V800),"")</f>
        <v/>
      </c>
      <c r="R800" s="439" t="str">
        <f>IF(COUNT(S800:W800)&gt;0,AVERAGE(S800:W800),"")</f>
        <v/>
      </c>
      <c r="S800" s="440" t="str">
        <f>IF(S793,IF(ISNUMBER(I800),I800,""),"")</f>
        <v/>
      </c>
      <c r="T800" s="441" t="str">
        <f>IF(T793,IF(ISNUMBER(J800),J800,""),"")</f>
        <v/>
      </c>
      <c r="U800" s="441" t="str">
        <f>IF(U793,IF(ISNUMBER(K800),K800,""),"")</f>
        <v/>
      </c>
      <c r="V800" s="441" t="str">
        <f>IF(V793,IF(ISNUMBER(L800),L800,""),"")</f>
        <v/>
      </c>
      <c r="W800" s="439" t="str">
        <f>IF(W793,IF(ISNUMBER(M800),M800,""),"")</f>
        <v/>
      </c>
      <c r="Y800" s="777" t="b">
        <f>OR(Y798,AA800)</f>
        <v>1</v>
      </c>
      <c r="AA800" s="723" t="b">
        <f>Q803=FALSE</f>
        <v>0</v>
      </c>
    </row>
    <row r="801" spans="1:27" ht="13.5" thickBot="1" x14ac:dyDescent="0.25">
      <c r="B801" s="20"/>
      <c r="C801" s="20"/>
      <c r="D801" s="195" t="s">
        <v>4</v>
      </c>
      <c r="E801" s="1801" t="str">
        <f>Translations!$B$678</f>
        <v>Wartości użyte do obliczenia:</v>
      </c>
      <c r="F801" s="1801"/>
      <c r="G801" s="1801"/>
      <c r="H801" s="98" t="str">
        <f>H800</f>
        <v>tony</v>
      </c>
      <c r="I801" s="321" t="str">
        <f>IF($I793="","",IF($Q803=TRUE,IF(ISNUMBER(I800),I800,0),IF(ISNUMBER(I799),I799,0)))</f>
        <v/>
      </c>
      <c r="J801" s="321" t="str">
        <f>IF($I793="","",IF($Q803=TRUE,IF(ISNUMBER(J800),J800,0),IF(ISNUMBER(J799),J799,0)))</f>
        <v/>
      </c>
      <c r="K801" s="321" t="str">
        <f>IF($I793="","",IF($Q803=TRUE,IF(ISNUMBER(K800),K800,0),IF(ISNUMBER(K799),K799,0)))</f>
        <v/>
      </c>
      <c r="L801" s="321" t="str">
        <f>IF($I793="","",IF($Q803=TRUE,IF(ISNUMBER(L800),L800,0),IF(ISNUMBER(L799),L799,0)))</f>
        <v/>
      </c>
      <c r="M801" s="887" t="str">
        <f>IF($I793="","",IF($Q803=TRUE,IF(ISNUMBER(M800),M800,0),IF(ISNUMBER(M799),M799,0)))</f>
        <v/>
      </c>
      <c r="N801" s="890" t="str">
        <f>IF($I793="","",IF(S803,IF($Q803=TRUE,IF(ISNUMBER(N800),N800,0),IF(ISNUMBER(N799),N799,0)),""))</f>
        <v/>
      </c>
      <c r="O801" s="16"/>
      <c r="P801" s="1051" t="str">
        <f>EUconst_CNTR_HAL&amp;I793</f>
        <v>HAL_</v>
      </c>
      <c r="Q801" s="168" t="str">
        <f>IF(COUNT($U801:$V801)&gt;0,SUM($U801:$V801),"")</f>
        <v/>
      </c>
      <c r="R801" s="120" t="str">
        <f>IF(COUNT(S801:W801)&gt;0,AVERAGE(S801:W801),"")</f>
        <v/>
      </c>
      <c r="S801" s="118" t="str">
        <f>IF(S793,IF(ISNUMBER(I801),I801,""),"")</f>
        <v/>
      </c>
      <c r="T801" s="119" t="str">
        <f>IF(T793,IF(ISNUMBER(J801),J801,""),"")</f>
        <v/>
      </c>
      <c r="U801" s="119" t="str">
        <f>IF(U793,IF(ISNUMBER(K801),K801,""),"")</f>
        <v/>
      </c>
      <c r="V801" s="119" t="str">
        <f>IF(V793,IF(ISNUMBER(L801),L801,""),"")</f>
        <v/>
      </c>
      <c r="W801" s="120" t="str">
        <f>IF(W793,IF(ISNUMBER(M801),M801,""),"")</f>
        <v/>
      </c>
      <c r="Y801" s="168" t="b">
        <f>Y798</f>
        <v>1</v>
      </c>
    </row>
    <row r="802" spans="1:27" ht="5.0999999999999996" customHeight="1" x14ac:dyDescent="0.2">
      <c r="B802" s="207"/>
      <c r="C802" s="207"/>
      <c r="D802" s="207"/>
      <c r="E802" s="207"/>
      <c r="F802" s="207"/>
      <c r="G802" s="207"/>
      <c r="H802" s="207"/>
      <c r="I802" s="207"/>
      <c r="J802" s="207"/>
      <c r="K802" s="207"/>
      <c r="L802" s="207"/>
      <c r="M802" s="16"/>
      <c r="N802" s="16"/>
      <c r="O802" s="16"/>
      <c r="P802" s="1037"/>
      <c r="R802" s="1037"/>
      <c r="S802" s="1037"/>
    </row>
    <row r="803" spans="1:27" x14ac:dyDescent="0.2">
      <c r="B803" s="207"/>
      <c r="C803" s="207"/>
      <c r="D803" s="14" t="s">
        <v>353</v>
      </c>
      <c r="E803" s="1375" t="str">
        <f>Translations!$B$679</f>
        <v>Szczególne wymogi w zakresie raportowania:</v>
      </c>
      <c r="F803" s="1375"/>
      <c r="G803" s="1637"/>
      <c r="H803" s="1796" t="str">
        <f>IF(I793="","",HYPERLINK(INDEX(EUconst_BMlistSpecialJumpTable,MATCH(I793,EUconst_BMlistNames,0)),INDEX(EUconst_BMlistSpecialReporting,MATCH(I793,EUconst_BMlistNames,0))))</f>
        <v/>
      </c>
      <c r="I803" s="1802"/>
      <c r="J803" s="1802"/>
      <c r="K803" s="1802"/>
      <c r="L803" s="1802"/>
      <c r="M803" s="1802"/>
      <c r="N803" s="1803"/>
      <c r="O803" s="16"/>
      <c r="P803" s="1048" t="s">
        <v>38</v>
      </c>
      <c r="Q803" s="116" t="str">
        <f>IF(I793="","",IF(AND(INDEX(EUconst_BMlistSpecialJumpTable,MATCH(I793,EUconst_BMlistNames,0))&lt;&gt;"",MATCH(I793,EUconst_BMlistNames,0)&lt;&gt;47),TRUE,FALSE))</f>
        <v/>
      </c>
      <c r="R803" s="1048" t="s">
        <v>598</v>
      </c>
      <c r="S803" s="116" t="b">
        <f>IF(I793="",FALSE,INDEX(CNTR_SubInstLess1Year,MATCH(I793,CNTR_SubInstListNames,0)))</f>
        <v>0</v>
      </c>
    </row>
    <row r="804" spans="1:27" ht="12.75" customHeight="1" x14ac:dyDescent="0.2">
      <c r="B804" s="207"/>
      <c r="C804" s="207"/>
      <c r="D804" s="207"/>
      <c r="E804" s="207"/>
      <c r="F804" s="207"/>
      <c r="G804" s="207"/>
      <c r="H804" s="207"/>
      <c r="I804" s="207"/>
      <c r="J804" s="207"/>
      <c r="K804" s="207"/>
      <c r="L804" s="207"/>
      <c r="M804" s="207"/>
      <c r="N804" s="207"/>
      <c r="O804" s="16"/>
      <c r="P804" s="1037"/>
      <c r="R804" s="1037"/>
      <c r="S804" s="1037"/>
    </row>
    <row r="805" spans="1:27" ht="15" customHeight="1" x14ac:dyDescent="0.2">
      <c r="B805" s="20"/>
      <c r="C805" s="208"/>
      <c r="D805" s="1439" t="str">
        <f>Translations!$B$681</f>
        <v>Dodatkowe współczynniki korygujące</v>
      </c>
      <c r="E805" s="1370"/>
      <c r="F805" s="1370"/>
      <c r="G805" s="1370"/>
      <c r="H805" s="1370"/>
      <c r="I805" s="1370"/>
      <c r="J805" s="1370"/>
      <c r="K805" s="1370"/>
      <c r="L805" s="1370"/>
      <c r="M805" s="1370"/>
      <c r="N805" s="1370"/>
      <c r="O805" s="16"/>
      <c r="R805" s="1037"/>
      <c r="S805" s="1037"/>
    </row>
    <row r="806" spans="1:27" ht="5.0999999999999996" customHeight="1" x14ac:dyDescent="0.2">
      <c r="B806" s="207"/>
      <c r="C806" s="207"/>
      <c r="D806" s="207"/>
      <c r="E806" s="207"/>
      <c r="F806" s="207"/>
      <c r="G806" s="207"/>
      <c r="H806" s="207"/>
      <c r="I806" s="207"/>
      <c r="J806" s="207"/>
      <c r="K806" s="207"/>
      <c r="L806" s="207"/>
      <c r="M806" s="207"/>
      <c r="N806" s="207"/>
      <c r="O806" s="16"/>
      <c r="P806" s="1037"/>
      <c r="R806" s="1037"/>
      <c r="S806" s="1037"/>
    </row>
    <row r="807" spans="1:27" ht="13.5" thickBot="1" x14ac:dyDescent="0.25">
      <c r="B807" s="20"/>
      <c r="C807" s="20"/>
      <c r="D807" s="14" t="s">
        <v>11</v>
      </c>
      <c r="E807" s="1375" t="str">
        <f>Translations!$B$682</f>
        <v>Zamienność paliw i energii elektrycznej:</v>
      </c>
      <c r="F807" s="1370"/>
      <c r="G807" s="1370"/>
      <c r="H807" s="1370"/>
      <c r="I807" s="1432"/>
      <c r="J807" s="1796" t="str">
        <f>IF(I793="","",IF(INDEX(EUconst_BMlistElExchangability,MATCH(I793,EUconst_BMlistNames,0))=TRUE,"",HYPERLINK(Q807,EUconst_MsgGoOn)))</f>
        <v/>
      </c>
      <c r="K807" s="1797"/>
      <c r="L807" s="1797"/>
      <c r="M807" s="1797"/>
      <c r="N807" s="1798"/>
      <c r="O807" s="16"/>
      <c r="P807" s="2" t="s">
        <v>199</v>
      </c>
      <c r="Q807" s="346" t="str">
        <f>"#"&amp;ADDRESS(ROW(D815),COLUMN(D815))</f>
        <v>#$D$815</v>
      </c>
      <c r="R807" s="1037"/>
      <c r="S807" s="1037"/>
    </row>
    <row r="808" spans="1:27" s="701" customFormat="1" ht="13.5" thickBot="1" x14ac:dyDescent="0.25">
      <c r="A808" s="422"/>
      <c r="B808" s="398"/>
      <c r="C808" s="398"/>
      <c r="D808" s="14"/>
      <c r="E808" s="1430" t="str">
        <f>Translations!$B$686</f>
        <v>Parametr</v>
      </c>
      <c r="F808" s="1377"/>
      <c r="G808" s="1377"/>
      <c r="H808" s="34" t="str">
        <f>EUconst_Unit</f>
        <v>Jednostka</v>
      </c>
      <c r="I808" s="396">
        <f>I$66</f>
        <v>2014</v>
      </c>
      <c r="J808" s="396">
        <f>J$66</f>
        <v>2015</v>
      </c>
      <c r="K808" s="396">
        <f>K$66</f>
        <v>2016</v>
      </c>
      <c r="L808" s="396">
        <f>L$66</f>
        <v>2017</v>
      </c>
      <c r="M808" s="421">
        <f>M$66</f>
        <v>2018</v>
      </c>
      <c r="N808" s="888" t="str">
        <f>IF(AA809=FALSE,N798,"")</f>
        <v/>
      </c>
      <c r="O808" s="16"/>
      <c r="P808" s="422"/>
      <c r="Q808" s="422"/>
      <c r="R808" s="1037"/>
      <c r="S808" s="1037"/>
      <c r="T808" s="1037"/>
      <c r="U808" s="1037"/>
      <c r="V808" s="1037"/>
      <c r="W808" s="1037"/>
      <c r="X808" s="1037"/>
      <c r="Y808" s="788" t="b">
        <f>OR(Y798,AA809)</f>
        <v>1</v>
      </c>
      <c r="Z808" s="422"/>
      <c r="AA808" s="1037" t="s">
        <v>381</v>
      </c>
    </row>
    <row r="809" spans="1:27" s="701" customFormat="1" ht="13.5" thickBot="1" x14ac:dyDescent="0.25">
      <c r="A809" s="422"/>
      <c r="B809" s="398"/>
      <c r="C809" s="398"/>
      <c r="D809" s="425" t="s">
        <v>2</v>
      </c>
      <c r="E809" s="1569" t="str">
        <f>Translations!$B$687</f>
        <v>Emisje bezpośrednie</v>
      </c>
      <c r="F809" s="1569"/>
      <c r="G809" s="1569"/>
      <c r="H809" s="581" t="str">
        <f>EUconst_tCO2pa</f>
        <v>t CO2 / rok</v>
      </c>
      <c r="I809" s="818"/>
      <c r="J809" s="818"/>
      <c r="K809" s="819"/>
      <c r="L809" s="818"/>
      <c r="M809" s="891"/>
      <c r="N809" s="903"/>
      <c r="O809" s="16"/>
      <c r="P809" s="422"/>
      <c r="Q809" s="422"/>
      <c r="R809" s="1037"/>
      <c r="S809" s="1037"/>
      <c r="T809" s="1037"/>
      <c r="U809" s="1037"/>
      <c r="V809" s="1037"/>
      <c r="W809" s="1037"/>
      <c r="X809" s="1037"/>
      <c r="Y809" s="715" t="b">
        <f>Y808</f>
        <v>1</v>
      </c>
      <c r="Z809" s="422"/>
      <c r="AA809" s="788" t="b">
        <f>IF(CNTR_ExistSubInstEntries,IF(I793&lt;&gt;"",IF(INDEX(EUconst_BMlistElExchangability,MATCH(I793,EUconst_BMlistNames,0)),FALSE,TRUE),TRUE),FALSE)</f>
        <v>1</v>
      </c>
    </row>
    <row r="810" spans="1:27" s="701" customFormat="1" x14ac:dyDescent="0.2">
      <c r="A810" s="422"/>
      <c r="B810" s="398"/>
      <c r="C810" s="398"/>
      <c r="D810" s="425" t="s">
        <v>3</v>
      </c>
      <c r="E810" s="1482" t="str">
        <f>Translations!$B$688</f>
        <v>Ciepło wprowadzone netto</v>
      </c>
      <c r="F810" s="1482"/>
      <c r="G810" s="1482"/>
      <c r="H810" s="584" t="str">
        <f>EUconst_TJpa</f>
        <v>TJ / rok</v>
      </c>
      <c r="I810" s="585" t="str">
        <f>IF($I793&lt;&gt;"",IF(INDEX(EUconst_BMlistElExchangability,MATCH($I793,EUconst_BMlistNames,0)),SUM(I894),""),"")</f>
        <v/>
      </c>
      <c r="J810" s="585" t="str">
        <f>IF($I793&lt;&gt;"",IF(INDEX(EUconst_BMlistElExchangability,MATCH($I793,EUconst_BMlistNames,0)),SUM(J894),""),"")</f>
        <v/>
      </c>
      <c r="K810" s="585" t="str">
        <f>IF($I793&lt;&gt;"",IF(INDEX(EUconst_BMlistElExchangability,MATCH($I793,EUconst_BMlistNames,0)),SUM(K894),""),"")</f>
        <v/>
      </c>
      <c r="L810" s="585" t="str">
        <f>IF($I793&lt;&gt;"",IF(INDEX(EUconst_BMlistElExchangability,MATCH($I793,EUconst_BMlistNames,0)),SUM(L894),""),"")</f>
        <v/>
      </c>
      <c r="M810" s="892" t="str">
        <f>IF($I793&lt;&gt;"",IF(INDEX(EUconst_BMlistElExchangability,MATCH($I793,EUconst_BMlistNames,0)),SUM(M894),""),"")</f>
        <v/>
      </c>
      <c r="N810" s="904"/>
      <c r="O810" s="16"/>
      <c r="P810" s="422"/>
      <c r="Q810" s="422"/>
      <c r="R810" s="1052"/>
      <c r="S810" s="814">
        <f>I808</f>
        <v>2014</v>
      </c>
      <c r="T810" s="814">
        <f>J808</f>
        <v>2015</v>
      </c>
      <c r="U810" s="814">
        <f>K808</f>
        <v>2016</v>
      </c>
      <c r="V810" s="814">
        <f>L808</f>
        <v>2017</v>
      </c>
      <c r="W810" s="815">
        <f>M808</f>
        <v>2018</v>
      </c>
      <c r="X810" s="422"/>
      <c r="Y810" s="715" t="b">
        <f>Y809</f>
        <v>1</v>
      </c>
      <c r="Z810" s="422"/>
      <c r="AA810" s="715" t="b">
        <f>AA809</f>
        <v>1</v>
      </c>
    </row>
    <row r="811" spans="1:27" s="701" customFormat="1" ht="12.75" customHeight="1" thickBot="1" x14ac:dyDescent="0.25">
      <c r="A811" s="422"/>
      <c r="B811" s="398"/>
      <c r="C811" s="398"/>
      <c r="D811" s="425" t="s">
        <v>4</v>
      </c>
      <c r="E811" s="1799" t="str">
        <f>Translations!$B$689</f>
        <v>Odpowiednie zużycie energii elektrycznej</v>
      </c>
      <c r="F811" s="1800"/>
      <c r="G811" s="1800"/>
      <c r="H811" s="611" t="str">
        <f>EUconst_MWhpa</f>
        <v>MWh / rok</v>
      </c>
      <c r="I811" s="612"/>
      <c r="J811" s="612"/>
      <c r="K811" s="612"/>
      <c r="L811" s="612"/>
      <c r="M811" s="893"/>
      <c r="N811" s="896"/>
      <c r="O811" s="16"/>
      <c r="P811" s="185" t="str">
        <f>EUconst_CNTR_HAL&amp;EUconst_CNTR_ELEXCH</f>
        <v>HAL_ELEXCH_</v>
      </c>
      <c r="Q811" s="185" t="str">
        <f>EUconst_CNTR_HAL&amp;EUconst_CNTR_ELEXCH &amp; I793</f>
        <v>HAL_ELEXCH_</v>
      </c>
      <c r="R811" s="1053" t="str">
        <f>EUconst_CNTR_AttributedEmissions &amp; I793</f>
        <v>AttrEmissions_</v>
      </c>
      <c r="S811" s="119" t="str">
        <f>IF(S793,SUM(I811)*EUconst_ElBM,"")</f>
        <v/>
      </c>
      <c r="T811" s="119" t="str">
        <f>IF(T793,SUM(J811)*EUconst_ElBM,"")</f>
        <v/>
      </c>
      <c r="U811" s="119" t="str">
        <f>IF(U793,SUM(K811)*EUconst_ElBM,"")</f>
        <v/>
      </c>
      <c r="V811" s="119" t="str">
        <f>IF(V793,SUM(L811)*EUconst_ElBM,"")</f>
        <v/>
      </c>
      <c r="W811" s="120" t="str">
        <f>IF(W793,SUM(M811)*EUconst_ElBM,"")</f>
        <v/>
      </c>
      <c r="X811" s="422" t="str">
        <f>N808</f>
        <v/>
      </c>
      <c r="Y811" s="715" t="b">
        <f>Y810</f>
        <v>1</v>
      </c>
      <c r="Z811" s="422"/>
      <c r="AA811" s="715" t="b">
        <f>AA810</f>
        <v>1</v>
      </c>
    </row>
    <row r="812" spans="1:27" s="701" customFormat="1" ht="13.5" thickBot="1" x14ac:dyDescent="0.25">
      <c r="A812" s="422"/>
      <c r="B812" s="398"/>
      <c r="C812" s="398"/>
      <c r="D812" s="425" t="s">
        <v>6</v>
      </c>
      <c r="E812" s="1569" t="str">
        <f>Translations!$B$690</f>
        <v>Całkowite emisje bezpośrednie</v>
      </c>
      <c r="F812" s="1569"/>
      <c r="G812" s="1569"/>
      <c r="H812" s="581" t="str">
        <f>EUconst_tCO2pa</f>
        <v>t CO2 / rok</v>
      </c>
      <c r="I812" s="582" t="str">
        <f>IF(ISNUMBER(I809),I809+SUM(I810)*EUconst_HeatBMvalue,"")</f>
        <v/>
      </c>
      <c r="J812" s="582" t="str">
        <f>IF(ISNUMBER(J809),J809+SUM(J810)*EUconst_HeatBMvalue,"")</f>
        <v/>
      </c>
      <c r="K812" s="583" t="str">
        <f>IF(ISNUMBER(K809),K809+SUM(K810)*EUconst_HeatBMvalue,"")</f>
        <v/>
      </c>
      <c r="L812" s="582" t="str">
        <f>IF(ISNUMBER(L809),L809+SUM(L810)*EUconst_HeatBMvalue,"")</f>
        <v/>
      </c>
      <c r="M812" s="894" t="str">
        <f>IF(ISNUMBER(M809),M809+SUM(M810)*EUconst_HeatBMvalue,"")</f>
        <v/>
      </c>
      <c r="N812" s="897" t="str">
        <f>IF(AND(S803,ISNUMBER(N809)),N809+SUM(N810)*EUconst_HeatBMvalue,"")</f>
        <v/>
      </c>
      <c r="O812" s="16"/>
      <c r="P812" s="422"/>
      <c r="Q812" s="422"/>
      <c r="R812" s="1048" t="s">
        <v>557</v>
      </c>
      <c r="S812" s="905" t="str">
        <f>IF(S793,IF(ISNUMBER(I812),I812,0),"")</f>
        <v/>
      </c>
      <c r="T812" s="906" t="str">
        <f>IF(T793,IF(ISNUMBER(J812),J812,0),"")</f>
        <v/>
      </c>
      <c r="U812" s="906" t="str">
        <f>IF(U793,IF(ISNUMBER(K812),K812,0),"")</f>
        <v/>
      </c>
      <c r="V812" s="906" t="str">
        <f>IF(V793,IF(ISNUMBER(L812),L812,0),"")</f>
        <v/>
      </c>
      <c r="W812" s="907" t="str">
        <f>IF(W793,IF(ISNUMBER(M812),M812,0),"")</f>
        <v/>
      </c>
      <c r="X812" s="911" t="str">
        <f>IF(S803,IF(ISNUMBER(N812),N812,0),"")</f>
        <v/>
      </c>
      <c r="Y812" s="715" t="b">
        <f>Y811</f>
        <v>1</v>
      </c>
      <c r="Z812" s="422"/>
      <c r="AA812" s="715" t="b">
        <f>AA811</f>
        <v>1</v>
      </c>
    </row>
    <row r="813" spans="1:27" s="701" customFormat="1" ht="13.5" thickBot="1" x14ac:dyDescent="0.25">
      <c r="A813" s="422"/>
      <c r="B813" s="398"/>
      <c r="C813" s="398"/>
      <c r="D813" s="425" t="s">
        <v>316</v>
      </c>
      <c r="E813" s="1493" t="str">
        <f>Translations!$B$691</f>
        <v>Emisje pośrednie</v>
      </c>
      <c r="F813" s="1493"/>
      <c r="G813" s="1493"/>
      <c r="H813" s="586" t="str">
        <f>EUconst_tCO2pa</f>
        <v>t CO2 / rok</v>
      </c>
      <c r="I813" s="587" t="str">
        <f t="shared" ref="I813:N813" si="16">IF(ISNUMBER(I811),I811*EUconst_ElBM,"")</f>
        <v/>
      </c>
      <c r="J813" s="587" t="str">
        <f t="shared" si="16"/>
        <v/>
      </c>
      <c r="K813" s="588" t="str">
        <f t="shared" si="16"/>
        <v/>
      </c>
      <c r="L813" s="587" t="str">
        <f t="shared" si="16"/>
        <v/>
      </c>
      <c r="M813" s="895" t="str">
        <f t="shared" si="16"/>
        <v/>
      </c>
      <c r="N813" s="898" t="str">
        <f t="shared" si="16"/>
        <v/>
      </c>
      <c r="O813" s="16"/>
      <c r="P813" s="912" t="str">
        <f>EUconst_CNTR_ELEXCH &amp; I793</f>
        <v>ELEXCH_</v>
      </c>
      <c r="Q813" s="913" t="str">
        <f>IF(SUM(S813:X813)&lt;&gt;0,SUM(S812:X812)/SUM(S813:X813),EUconst_NA)</f>
        <v>Nie dotyczy</v>
      </c>
      <c r="R813" s="1048" t="s">
        <v>326</v>
      </c>
      <c r="S813" s="908" t="str">
        <f>IF(S793,IF(COUNT(I812:I813)&gt;0,SUM(I812:I813),0),"")</f>
        <v/>
      </c>
      <c r="T813" s="909" t="str">
        <f>IF(T793,IF(COUNT(J812:J813)&gt;0,SUM(J812:J813),0),"")</f>
        <v/>
      </c>
      <c r="U813" s="909" t="str">
        <f>IF(U793,IF(COUNT(K812:K813)&gt;0,SUM(K812:K813),0),"")</f>
        <v/>
      </c>
      <c r="V813" s="909" t="str">
        <f>IF(V793,IF(COUNT(L812:L813)&gt;0,SUM(L812:L813),0),"")</f>
        <v/>
      </c>
      <c r="W813" s="910" t="str">
        <f>IF(W793,IF(COUNT(M812:M813)&gt;0,SUM(M812:M813),0),"")</f>
        <v/>
      </c>
      <c r="X813" s="716" t="str">
        <f>IF(S803,IF(COUNT(N812:N813)&gt;0,SUM(N812:N813),0),"")</f>
        <v/>
      </c>
      <c r="Y813" s="716" t="b">
        <f>Y812</f>
        <v>1</v>
      </c>
      <c r="Z813" s="422"/>
      <c r="AA813" s="716" t="b">
        <f>AA812</f>
        <v>1</v>
      </c>
    </row>
    <row r="814" spans="1:27" ht="5.0999999999999996" customHeight="1" x14ac:dyDescent="0.2">
      <c r="B814" s="207"/>
      <c r="C814" s="207"/>
      <c r="D814" s="207"/>
      <c r="E814" s="207"/>
      <c r="F814" s="207"/>
      <c r="G814" s="207"/>
      <c r="H814" s="207"/>
      <c r="I814" s="207"/>
      <c r="J814" s="207"/>
      <c r="K814" s="207"/>
      <c r="L814" s="207"/>
      <c r="M814" s="16"/>
      <c r="N814" s="16"/>
      <c r="O814" s="16"/>
      <c r="P814" s="1037"/>
      <c r="X814" s="422"/>
    </row>
    <row r="815" spans="1:27" x14ac:dyDescent="0.2">
      <c r="B815" s="207"/>
      <c r="C815" s="207"/>
      <c r="D815" s="14" t="s">
        <v>356</v>
      </c>
      <c r="E815" s="1375" t="str">
        <f>Translations!$B$692</f>
        <v>Ciepło wprowadzone z instalacji lub od podmiotów nieobjętych EU ETS:</v>
      </c>
      <c r="F815" s="1375"/>
      <c r="G815" s="1375"/>
      <c r="H815" s="1375"/>
      <c r="I815" s="1637"/>
      <c r="J815" s="1796" t="str">
        <f>IF(I793="","",HYPERLINK(Q815,EUconst_MsgGoOnIfNotRelevant))</f>
        <v/>
      </c>
      <c r="K815" s="1797"/>
      <c r="L815" s="1797"/>
      <c r="M815" s="1797"/>
      <c r="N815" s="1798"/>
      <c r="O815" s="16"/>
      <c r="P815" s="2" t="s">
        <v>199</v>
      </c>
      <c r="Q815" s="346" t="str">
        <f>"#"&amp;ADDRESS(ROW(D822),COLUMN(D822))</f>
        <v>#$D$822</v>
      </c>
      <c r="X815" s="422"/>
    </row>
    <row r="816" spans="1:27" ht="13.5" customHeight="1" thickBot="1" x14ac:dyDescent="0.25">
      <c r="B816" s="207"/>
      <c r="C816" s="207"/>
      <c r="D816" s="16"/>
      <c r="E816" s="1408"/>
      <c r="F816" s="1408"/>
      <c r="G816" s="1408"/>
      <c r="H816" s="1408"/>
      <c r="I816" s="1408"/>
      <c r="J816" s="1408"/>
      <c r="K816" s="1408"/>
      <c r="L816" s="1408"/>
      <c r="M816" s="1408"/>
      <c r="N816" s="1408"/>
      <c r="O816" s="16"/>
      <c r="P816" s="1037"/>
      <c r="R816" s="1037"/>
      <c r="S816" s="1037"/>
      <c r="Y816" s="422" t="s">
        <v>606</v>
      </c>
    </row>
    <row r="817" spans="2:27" ht="13.5" thickBot="1" x14ac:dyDescent="0.25">
      <c r="B817" s="20"/>
      <c r="C817" s="20"/>
      <c r="D817" s="14"/>
      <c r="E817" s="1430" t="str">
        <f>Translations!$B$686</f>
        <v>Parametr</v>
      </c>
      <c r="F817" s="1377"/>
      <c r="G817" s="1377"/>
      <c r="H817" s="34" t="str">
        <f>EUconst_Unit</f>
        <v>Jednostka</v>
      </c>
      <c r="I817" s="396">
        <f>I$66</f>
        <v>2014</v>
      </c>
      <c r="J817" s="396">
        <f>J$66</f>
        <v>2015</v>
      </c>
      <c r="K817" s="396">
        <f>K$66</f>
        <v>2016</v>
      </c>
      <c r="L817" s="396">
        <f>L$66</f>
        <v>2017</v>
      </c>
      <c r="M817" s="421">
        <f>M$66</f>
        <v>2018</v>
      </c>
      <c r="N817" s="888" t="str">
        <f>N808</f>
        <v/>
      </c>
      <c r="O817" s="16"/>
      <c r="Q817" s="45"/>
      <c r="R817" s="1037"/>
      <c r="S817" s="45">
        <f t="shared" ref="S817:X817" si="17">I817</f>
        <v>2014</v>
      </c>
      <c r="T817" s="45">
        <f t="shared" si="17"/>
        <v>2015</v>
      </c>
      <c r="U817" s="45">
        <f t="shared" si="17"/>
        <v>2016</v>
      </c>
      <c r="V817" s="45">
        <f t="shared" si="17"/>
        <v>2017</v>
      </c>
      <c r="W817" s="45">
        <f t="shared" si="17"/>
        <v>2018</v>
      </c>
      <c r="X817" s="422" t="str">
        <f t="shared" si="17"/>
        <v/>
      </c>
      <c r="Y817" s="749" t="b">
        <f>Y798</f>
        <v>1</v>
      </c>
      <c r="Z817" s="45"/>
      <c r="AA817" s="422" t="s">
        <v>272</v>
      </c>
    </row>
    <row r="818" spans="2:27" ht="13.5" thickBot="1" x14ac:dyDescent="0.25">
      <c r="B818" s="20"/>
      <c r="C818" s="20"/>
      <c r="D818" s="195" t="s">
        <v>2</v>
      </c>
      <c r="E818" s="1612" t="str">
        <f>Translations!$B$697</f>
        <v>Mierzalne ciepło wprowadzone z instalacji lub od podmiotów nieobjętych EU ETS:</v>
      </c>
      <c r="F818" s="1612"/>
      <c r="G818" s="1612"/>
      <c r="H818" s="48" t="str">
        <f>EUconst_TJpa</f>
        <v>TJ / rok</v>
      </c>
      <c r="I818" s="313"/>
      <c r="J818" s="313"/>
      <c r="K818" s="313"/>
      <c r="L818" s="313"/>
      <c r="M818" s="899"/>
      <c r="N818" s="902"/>
      <c r="O818" s="16"/>
      <c r="P818" s="116" t="str">
        <f>EUconst_CNTR_HAL&amp;EUconst_CNTR_nonETSMeasHeat</f>
        <v>HAL_mierzalne ciepło nieobjęte systemem EU ETS</v>
      </c>
      <c r="R818" s="1037"/>
      <c r="S818" s="442" t="str">
        <f>IF(S793,IF(ISNUMBER(I818),I818,0),"")</f>
        <v/>
      </c>
      <c r="T818" s="443" t="str">
        <f>IF(T793,IF(ISNUMBER(J818),J818,0),"")</f>
        <v/>
      </c>
      <c r="U818" s="443" t="str">
        <f>IF(U793,IF(ISNUMBER(K818),K818,0),"")</f>
        <v/>
      </c>
      <c r="V818" s="443" t="str">
        <f>IF(V793,IF(ISNUMBER(L818),L818,0),"")</f>
        <v/>
      </c>
      <c r="W818" s="444" t="str">
        <f>IF(W793,IF(ISNUMBER(M818),M818,0),"")</f>
        <v/>
      </c>
      <c r="X818" s="151" t="str">
        <f>IF(S803,IF(ISNUMBER(N818),N818,0),"")</f>
        <v/>
      </c>
      <c r="Y818" s="716" t="b">
        <f>Y817</f>
        <v>1</v>
      </c>
      <c r="AA818" s="646" t="b">
        <f>AND(CNTR_ExistSubInstEntries,I793="")</f>
        <v>1</v>
      </c>
    </row>
    <row r="819" spans="2:27" ht="25.5" customHeight="1" thickBot="1" x14ac:dyDescent="0.25">
      <c r="B819" s="20"/>
      <c r="C819" s="20"/>
      <c r="D819" s="195" t="s">
        <v>3</v>
      </c>
      <c r="E819" s="1618" t="str">
        <f>Translations!$B$698</f>
        <v>Weryfikacja spójności z arkuszem „E_Energy flows”:</v>
      </c>
      <c r="F819" s="1618"/>
      <c r="G819" s="1618"/>
      <c r="H819" s="27" t="s">
        <v>409</v>
      </c>
      <c r="I819" s="304" t="str">
        <f>IF(AND(ISNUMBER(I818),ISNUMBER(E_EnergyFlows!I$102)), I818/E_EnergyFlows!I$102*100,"")</f>
        <v/>
      </c>
      <c r="J819" s="304" t="str">
        <f>IF(AND(ISNUMBER(J818),ISNUMBER(E_EnergyFlows!J$102)), J818/E_EnergyFlows!J$102*100,"")</f>
        <v/>
      </c>
      <c r="K819" s="304" t="str">
        <f>IF(AND(ISNUMBER(K818),ISNUMBER(E_EnergyFlows!K$102)), K818/E_EnergyFlows!K$102*100,"")</f>
        <v/>
      </c>
      <c r="L819" s="304" t="str">
        <f>IF(AND(ISNUMBER(L818),ISNUMBER(E_EnergyFlows!L$102)), L818/E_EnergyFlows!L$102*100,"")</f>
        <v/>
      </c>
      <c r="M819" s="900" t="str">
        <f>IF(AND(ISNUMBER(M818),ISNUMBER(E_EnergyFlows!M$102)), M818/E_EnergyFlows!M$102*100,"")</f>
        <v/>
      </c>
      <c r="N819" s="147"/>
      <c r="O819" s="16"/>
      <c r="P819" s="164" t="str">
        <f>EUconst_CNTR_HEAT &amp; I793</f>
        <v>HEAT_</v>
      </c>
      <c r="Q819" s="302" t="str">
        <f>IF(COUNT(S818:X818)&gt;0,AVERAGE(S818:X818)*EUconst_HeatBMvalue,EUconst_NA)</f>
        <v>Nie dotyczy</v>
      </c>
      <c r="R819" s="1037"/>
      <c r="S819" s="1037"/>
      <c r="AA819" s="608"/>
    </row>
    <row r="820" spans="2:27" ht="12.75" customHeight="1" x14ac:dyDescent="0.2">
      <c r="B820" s="20"/>
      <c r="C820" s="20"/>
      <c r="D820" s="195" t="s">
        <v>4</v>
      </c>
      <c r="E820" s="1493" t="str">
        <f>Translations!$B$699</f>
        <v>Weryfikacja spójności z lit. k) ppkt (i):</v>
      </c>
      <c r="F820" s="1615"/>
      <c r="G820" s="1615"/>
      <c r="H820" s="30" t="s">
        <v>409</v>
      </c>
      <c r="I820" s="303" t="str">
        <f>IF(AND(I894&gt;0,ISNUMBER(I818)), I818/I894*100,"")</f>
        <v/>
      </c>
      <c r="J820" s="303" t="str">
        <f>IF(AND(J894&gt;0,ISNUMBER(J818)), J818/J894*100,"")</f>
        <v/>
      </c>
      <c r="K820" s="303" t="str">
        <f>IF(AND(K894&gt;0,ISNUMBER(K818)), K818/K894*100,"")</f>
        <v/>
      </c>
      <c r="L820" s="303" t="str">
        <f>IF(AND(L894&gt;0,ISNUMBER(L818)), L818/L894*100,"")</f>
        <v/>
      </c>
      <c r="M820" s="901" t="str">
        <f>IF(AND(M894&gt;0,ISNUMBER(M818)), M818/M894*100,"")</f>
        <v/>
      </c>
      <c r="N820" s="147"/>
      <c r="O820" s="16"/>
      <c r="R820" s="1037"/>
      <c r="S820" s="1037"/>
      <c r="AA820" s="608"/>
    </row>
    <row r="821" spans="2:27" ht="12.75" customHeight="1" x14ac:dyDescent="0.2">
      <c r="B821" s="20"/>
      <c r="C821" s="20"/>
      <c r="D821" s="20"/>
      <c r="E821" s="20"/>
      <c r="F821" s="20"/>
      <c r="G821" s="20"/>
      <c r="H821" s="20"/>
      <c r="I821" s="107"/>
      <c r="J821" s="20"/>
      <c r="K821" s="20"/>
      <c r="L821" s="20"/>
      <c r="M821" s="20"/>
      <c r="N821" s="20"/>
      <c r="O821" s="16"/>
      <c r="P821" s="139"/>
      <c r="R821" s="1037"/>
      <c r="S821" s="1037"/>
      <c r="AA821" s="608"/>
    </row>
    <row r="822" spans="2:27" ht="15" x14ac:dyDescent="0.2">
      <c r="B822" s="20"/>
      <c r="C822" s="1054"/>
      <c r="D822" s="1439" t="str">
        <f>Translations!$B$700</f>
        <v>Szczegółowe dane dotyczące produkcji</v>
      </c>
      <c r="E822" s="1370"/>
      <c r="F822" s="1370"/>
      <c r="G822" s="1370"/>
      <c r="H822" s="1370"/>
      <c r="I822" s="1370"/>
      <c r="J822" s="1370"/>
      <c r="K822" s="1370"/>
      <c r="L822" s="1370"/>
      <c r="M822" s="1370"/>
      <c r="N822" s="1370"/>
      <c r="O822" s="16"/>
      <c r="R822" s="1037"/>
      <c r="S822" s="1037"/>
      <c r="AA822" s="608"/>
    </row>
    <row r="823" spans="2:27" ht="5.0999999999999996" customHeight="1" x14ac:dyDescent="0.2">
      <c r="B823" s="207"/>
      <c r="C823" s="207"/>
      <c r="D823" s="207"/>
      <c r="E823" s="207"/>
      <c r="F823" s="207"/>
      <c r="G823" s="207"/>
      <c r="H823" s="207"/>
      <c r="I823" s="207"/>
      <c r="J823" s="207"/>
      <c r="K823" s="207"/>
      <c r="L823" s="207"/>
      <c r="M823" s="207"/>
      <c r="N823" s="207"/>
      <c r="O823" s="16"/>
      <c r="P823" s="1037"/>
      <c r="Q823" s="1037"/>
      <c r="R823" s="1037"/>
      <c r="S823" s="1037"/>
      <c r="AA823" s="608"/>
    </row>
    <row r="824" spans="2:27" x14ac:dyDescent="0.2">
      <c r="B824" s="207"/>
      <c r="C824" s="14"/>
      <c r="D824" s="14" t="s">
        <v>12</v>
      </c>
      <c r="E824" s="1375" t="str">
        <f>Translations!$B$701</f>
        <v>Identyfikacja produktów wchodzących w zakres tej podinstalacji objętej wskaźnikiem emisyjności dla produktów</v>
      </c>
      <c r="F824" s="1370"/>
      <c r="G824" s="1370"/>
      <c r="H824" s="1370"/>
      <c r="I824" s="1370"/>
      <c r="J824" s="1370"/>
      <c r="K824" s="1370"/>
      <c r="L824" s="1370"/>
      <c r="M824" s="1370"/>
      <c r="N824" s="1370"/>
      <c r="O824" s="16"/>
      <c r="P824" s="1037"/>
      <c r="R824" s="1037"/>
      <c r="S824" s="1037"/>
      <c r="AA824" s="608"/>
    </row>
    <row r="825" spans="2:27" x14ac:dyDescent="0.2">
      <c r="B825" s="207"/>
      <c r="C825" s="16"/>
      <c r="D825" s="16"/>
      <c r="E825" s="1408" t="str">
        <f>Translations!$B$704</f>
        <v>Wykaz kodów PRODCOM 2010 jest dostępny pod adresem:</v>
      </c>
      <c r="F825" s="1370"/>
      <c r="G825" s="1370"/>
      <c r="H825" s="1370"/>
      <c r="I825" s="1370"/>
      <c r="J825" s="1370"/>
      <c r="K825" s="1370"/>
      <c r="L825" s="1370"/>
      <c r="M825" s="1370"/>
      <c r="N825" s="1370"/>
      <c r="O825" s="16"/>
      <c r="P825" s="1037"/>
      <c r="R825" s="1037"/>
      <c r="S825" s="1037"/>
      <c r="AA825" s="608"/>
    </row>
    <row r="826" spans="2:27" x14ac:dyDescent="0.2">
      <c r="B826" s="207"/>
      <c r="C826" s="16"/>
      <c r="D826" s="16"/>
      <c r="E826" s="1795" t="str">
        <f>Translations!$B$705</f>
        <v>http://ec.europa.eu/eurostat/ramon/nomenclatures/index.cfm?TargetUrl=LST_CLS_DLD&amp;StrNom=PRD_2010&amp;StrLanguageCode=EN&amp;StrLayoutCode=HIERARCHIChttp://ec.europa.eu/eurostat/ramon/nomenclatures/index.cfm?TargetUrl=LST_CLS_DLD&amp;StrNom=PRD_2010&amp;StrLanguageCode=EN&amp;StrLayoutCode=HIERARCHIC</v>
      </c>
      <c r="F826" s="1663"/>
      <c r="G826" s="1663"/>
      <c r="H826" s="1663"/>
      <c r="I826" s="1663"/>
      <c r="J826" s="1663"/>
      <c r="K826" s="1663"/>
      <c r="L826" s="1663"/>
      <c r="M826" s="1663"/>
      <c r="N826" s="1663"/>
      <c r="O826" s="16"/>
      <c r="P826" s="1037"/>
      <c r="R826" s="1037"/>
      <c r="S826" s="1037"/>
      <c r="AA826" s="608"/>
    </row>
    <row r="827" spans="2:27" ht="5.0999999999999996" customHeight="1" x14ac:dyDescent="0.2">
      <c r="B827" s="207"/>
      <c r="C827" s="207"/>
      <c r="D827" s="207"/>
      <c r="E827" s="207"/>
      <c r="F827" s="207"/>
      <c r="G827" s="207"/>
      <c r="H827" s="207"/>
      <c r="I827" s="207"/>
      <c r="J827" s="207"/>
      <c r="K827" s="207"/>
      <c r="L827" s="207"/>
      <c r="M827" s="207"/>
      <c r="N827" s="207"/>
      <c r="O827" s="16"/>
      <c r="P827" s="1037"/>
      <c r="Q827" s="1037"/>
      <c r="R827" s="1037"/>
      <c r="S827" s="1037"/>
      <c r="AA827" s="608"/>
    </row>
    <row r="828" spans="2:27" x14ac:dyDescent="0.2">
      <c r="B828" s="207"/>
      <c r="C828" s="14"/>
      <c r="D828" s="14" t="s">
        <v>13</v>
      </c>
      <c r="E828" s="1375" t="str">
        <f>Translations!$B$706</f>
        <v>Poszczególne poziomy wytwarzanych produktów wchodzących w zakres tej podinstalacji objętej wskaźnikiem emisyjności dla produktów</v>
      </c>
      <c r="F828" s="1370"/>
      <c r="G828" s="1370"/>
      <c r="H828" s="1370"/>
      <c r="I828" s="1370"/>
      <c r="J828" s="1370"/>
      <c r="K828" s="1370"/>
      <c r="L828" s="1370"/>
      <c r="M828" s="1370"/>
      <c r="N828" s="1370"/>
      <c r="O828" s="16"/>
      <c r="P828" s="1037"/>
      <c r="R828" s="1037"/>
      <c r="S828" s="1037"/>
      <c r="AA828" s="608"/>
    </row>
    <row r="829" spans="2:27" ht="5.0999999999999996" customHeight="1" x14ac:dyDescent="0.2">
      <c r="B829" s="207"/>
      <c r="C829" s="207"/>
      <c r="D829" s="16"/>
      <c r="E829" s="17"/>
      <c r="F829" s="17"/>
      <c r="G829" s="17"/>
      <c r="H829" s="17"/>
      <c r="I829" s="17"/>
      <c r="J829" s="21"/>
      <c r="K829" s="21"/>
      <c r="L829" s="21"/>
      <c r="M829" s="16"/>
      <c r="N829" s="16"/>
      <c r="O829" s="16"/>
      <c r="P829" s="1037"/>
      <c r="R829" s="1037"/>
      <c r="S829" s="1037"/>
      <c r="AA829" s="608"/>
    </row>
    <row r="830" spans="2:27" ht="25.5" customHeight="1" x14ac:dyDescent="0.2">
      <c r="B830" s="20"/>
      <c r="C830" s="20"/>
      <c r="D830" s="344"/>
      <c r="E830" s="399" t="s">
        <v>386</v>
      </c>
      <c r="F830" s="1789" t="str">
        <f>Translations!$B$707</f>
        <v>Nazwa produktu lub grupy produktów</v>
      </c>
      <c r="G830" s="1790"/>
      <c r="H830" s="1055" t="str">
        <f>EUconst_Unit</f>
        <v>Jednostka</v>
      </c>
      <c r="I830" s="396">
        <f>I$1882</f>
        <v>2014</v>
      </c>
      <c r="J830" s="396">
        <f>J$1882</f>
        <v>2015</v>
      </c>
      <c r="K830" s="396">
        <f>K$1882</f>
        <v>2016</v>
      </c>
      <c r="L830" s="396">
        <f>L$1882</f>
        <v>2017</v>
      </c>
      <c r="M830" s="396">
        <f>M$1882</f>
        <v>2018</v>
      </c>
      <c r="N830" s="16"/>
      <c r="O830" s="16"/>
      <c r="R830" s="1037"/>
      <c r="S830" s="1037"/>
      <c r="AA830" s="608"/>
    </row>
    <row r="831" spans="2:27" x14ac:dyDescent="0.2">
      <c r="B831" s="20"/>
      <c r="C831" s="20"/>
      <c r="D831" s="37">
        <v>1</v>
      </c>
      <c r="E831" s="1245"/>
      <c r="F831" s="1791"/>
      <c r="G831" s="1792"/>
      <c r="H831" s="804"/>
      <c r="I831" s="472"/>
      <c r="J831" s="472"/>
      <c r="K831" s="472"/>
      <c r="L831" s="472"/>
      <c r="M831" s="472"/>
      <c r="N831" s="16"/>
      <c r="O831" s="16"/>
      <c r="R831" s="1037"/>
      <c r="S831" s="1037"/>
      <c r="AA831" s="345" t="b">
        <f>AA818</f>
        <v>1</v>
      </c>
    </row>
    <row r="832" spans="2:27" x14ac:dyDescent="0.2">
      <c r="B832" s="20"/>
      <c r="C832" s="20"/>
      <c r="D832" s="38">
        <f>D831+1</f>
        <v>2</v>
      </c>
      <c r="E832" s="1246"/>
      <c r="F832" s="1793"/>
      <c r="G832" s="1794"/>
      <c r="H832" s="564"/>
      <c r="I832" s="548"/>
      <c r="J832" s="548"/>
      <c r="K832" s="548"/>
      <c r="L832" s="548"/>
      <c r="M832" s="548"/>
      <c r="N832" s="16"/>
      <c r="O832" s="16"/>
      <c r="R832" s="1037"/>
      <c r="S832" s="1037"/>
      <c r="AA832" s="345" t="b">
        <f>AA831</f>
        <v>1</v>
      </c>
    </row>
    <row r="833" spans="2:27" x14ac:dyDescent="0.2">
      <c r="B833" s="20"/>
      <c r="C833" s="20"/>
      <c r="D833" s="38">
        <f t="shared" ref="D833:D840" si="18">D832+1</f>
        <v>3</v>
      </c>
      <c r="E833" s="1246"/>
      <c r="F833" s="1784"/>
      <c r="G833" s="1785"/>
      <c r="H833" s="564"/>
      <c r="I833" s="548"/>
      <c r="J833" s="548"/>
      <c r="K833" s="548"/>
      <c r="L833" s="548"/>
      <c r="M833" s="548"/>
      <c r="N833" s="16"/>
      <c r="O833" s="16"/>
      <c r="R833" s="1037"/>
      <c r="S833" s="1037"/>
      <c r="AA833" s="345" t="b">
        <f t="shared" ref="AA833:AA841" si="19">AA832</f>
        <v>1</v>
      </c>
    </row>
    <row r="834" spans="2:27" x14ac:dyDescent="0.2">
      <c r="B834" s="20"/>
      <c r="C834" s="20"/>
      <c r="D834" s="38">
        <f t="shared" si="18"/>
        <v>4</v>
      </c>
      <c r="E834" s="1246"/>
      <c r="F834" s="1784"/>
      <c r="G834" s="1785"/>
      <c r="H834" s="564"/>
      <c r="I834" s="548"/>
      <c r="J834" s="548"/>
      <c r="K834" s="548"/>
      <c r="L834" s="548"/>
      <c r="M834" s="548"/>
      <c r="N834" s="16"/>
      <c r="O834" s="16"/>
      <c r="R834" s="1037"/>
      <c r="S834" s="1037"/>
      <c r="AA834" s="345" t="b">
        <f t="shared" si="19"/>
        <v>1</v>
      </c>
    </row>
    <row r="835" spans="2:27" x14ac:dyDescent="0.2">
      <c r="B835" s="20"/>
      <c r="C835" s="20"/>
      <c r="D835" s="38">
        <f t="shared" si="18"/>
        <v>5</v>
      </c>
      <c r="E835" s="1246"/>
      <c r="F835" s="1784"/>
      <c r="G835" s="1785"/>
      <c r="H835" s="564"/>
      <c r="I835" s="548"/>
      <c r="J835" s="548"/>
      <c r="K835" s="548"/>
      <c r="L835" s="548"/>
      <c r="M835" s="548"/>
      <c r="N835" s="16"/>
      <c r="O835" s="16"/>
      <c r="R835" s="1037"/>
      <c r="S835" s="1037"/>
      <c r="AA835" s="345" t="b">
        <f t="shared" si="19"/>
        <v>1</v>
      </c>
    </row>
    <row r="836" spans="2:27" x14ac:dyDescent="0.2">
      <c r="B836" s="20"/>
      <c r="C836" s="20"/>
      <c r="D836" s="38">
        <f t="shared" si="18"/>
        <v>6</v>
      </c>
      <c r="E836" s="1246"/>
      <c r="F836" s="1784"/>
      <c r="G836" s="1785"/>
      <c r="H836" s="564"/>
      <c r="I836" s="548"/>
      <c r="J836" s="548"/>
      <c r="K836" s="548"/>
      <c r="L836" s="548"/>
      <c r="M836" s="548"/>
      <c r="N836" s="16"/>
      <c r="O836" s="16"/>
      <c r="R836" s="1037"/>
      <c r="S836" s="1037"/>
      <c r="AA836" s="345" t="b">
        <f t="shared" si="19"/>
        <v>1</v>
      </c>
    </row>
    <row r="837" spans="2:27" x14ac:dyDescent="0.2">
      <c r="B837" s="20"/>
      <c r="C837" s="20"/>
      <c r="D837" s="38">
        <f t="shared" si="18"/>
        <v>7</v>
      </c>
      <c r="E837" s="1246"/>
      <c r="F837" s="1784"/>
      <c r="G837" s="1785"/>
      <c r="H837" s="564"/>
      <c r="I837" s="548"/>
      <c r="J837" s="548"/>
      <c r="K837" s="548"/>
      <c r="L837" s="548"/>
      <c r="M837" s="548"/>
      <c r="N837" s="16"/>
      <c r="O837" s="16"/>
      <c r="R837" s="1037"/>
      <c r="S837" s="1037"/>
      <c r="AA837" s="345" t="b">
        <f t="shared" si="19"/>
        <v>1</v>
      </c>
    </row>
    <row r="838" spans="2:27" x14ac:dyDescent="0.2">
      <c r="B838" s="20"/>
      <c r="C838" s="20"/>
      <c r="D838" s="38">
        <f t="shared" si="18"/>
        <v>8</v>
      </c>
      <c r="E838" s="1246"/>
      <c r="F838" s="1784"/>
      <c r="G838" s="1785"/>
      <c r="H838" s="564"/>
      <c r="I838" s="548"/>
      <c r="J838" s="548"/>
      <c r="K838" s="548"/>
      <c r="L838" s="548"/>
      <c r="M838" s="548"/>
      <c r="N838" s="16"/>
      <c r="O838" s="16"/>
      <c r="R838" s="1037"/>
      <c r="S838" s="1037"/>
      <c r="AA838" s="345" t="b">
        <f t="shared" si="19"/>
        <v>1</v>
      </c>
    </row>
    <row r="839" spans="2:27" x14ac:dyDescent="0.2">
      <c r="B839" s="20"/>
      <c r="C839" s="20"/>
      <c r="D839" s="38">
        <f t="shared" si="18"/>
        <v>9</v>
      </c>
      <c r="E839" s="1246"/>
      <c r="F839" s="1784"/>
      <c r="G839" s="1785"/>
      <c r="H839" s="564"/>
      <c r="I839" s="548"/>
      <c r="J839" s="548"/>
      <c r="K839" s="548"/>
      <c r="L839" s="548"/>
      <c r="M839" s="548"/>
      <c r="N839" s="16"/>
      <c r="O839" s="16"/>
      <c r="R839" s="1037"/>
      <c r="S839" s="1037"/>
      <c r="AA839" s="345" t="b">
        <f t="shared" si="19"/>
        <v>1</v>
      </c>
    </row>
    <row r="840" spans="2:27" x14ac:dyDescent="0.2">
      <c r="B840" s="20"/>
      <c r="C840" s="20"/>
      <c r="D840" s="41">
        <f t="shared" si="18"/>
        <v>10</v>
      </c>
      <c r="E840" s="1247"/>
      <c r="F840" s="1786"/>
      <c r="G840" s="1787"/>
      <c r="H840" s="565"/>
      <c r="I840" s="446"/>
      <c r="J840" s="446"/>
      <c r="K840" s="446"/>
      <c r="L840" s="446"/>
      <c r="M840" s="446"/>
      <c r="N840" s="16"/>
      <c r="O840" s="16"/>
      <c r="R840" s="1037"/>
      <c r="S840" s="1037"/>
      <c r="AA840" s="345" t="b">
        <f t="shared" si="19"/>
        <v>1</v>
      </c>
    </row>
    <row r="841" spans="2:27" ht="12.75" customHeight="1" thickBot="1" x14ac:dyDescent="0.25">
      <c r="B841" s="20"/>
      <c r="C841" s="20"/>
      <c r="D841" s="97"/>
      <c r="E841" s="1788" t="str">
        <f>Translations!$B$708</f>
        <v>Suma poziomów produkcji</v>
      </c>
      <c r="F841" s="1788"/>
      <c r="G841" s="1788"/>
      <c r="H841" s="737"/>
      <c r="I841" s="327" t="str">
        <f>IF(COUNT(I831:I840)&gt;0,SUM(I831:I840),"")</f>
        <v/>
      </c>
      <c r="J841" s="327" t="str">
        <f>IF(COUNT(J831:J840)&gt;0,SUM(J831:J840),"")</f>
        <v/>
      </c>
      <c r="K841" s="327" t="str">
        <f>IF(COUNT(K831:K840)&gt;0,SUM(K831:K840),"")</f>
        <v/>
      </c>
      <c r="L841" s="327" t="str">
        <f>IF(COUNT(L831:L840)&gt;0,SUM(L831:L840),"")</f>
        <v/>
      </c>
      <c r="M841" s="327" t="str">
        <f>IF(COUNT(M831:M840)&gt;0,SUM(M831:M840),"")</f>
        <v/>
      </c>
      <c r="N841" s="16"/>
      <c r="O841" s="16"/>
      <c r="R841" s="1037"/>
      <c r="S841" s="1037"/>
      <c r="AA841" s="168" t="b">
        <f t="shared" si="19"/>
        <v>1</v>
      </c>
    </row>
    <row r="842" spans="2:27" ht="12.75" customHeight="1" thickBot="1" x14ac:dyDescent="0.25">
      <c r="B842" s="207"/>
      <c r="C842" s="207"/>
      <c r="D842" s="207"/>
      <c r="E842" s="207"/>
      <c r="F842" s="207"/>
      <c r="G842" s="207"/>
      <c r="H842" s="207"/>
      <c r="I842" s="207"/>
      <c r="J842" s="207"/>
      <c r="K842" s="207"/>
      <c r="L842" s="207"/>
      <c r="M842" s="16"/>
      <c r="N842" s="16"/>
      <c r="O842" s="16"/>
      <c r="P842" s="1037"/>
      <c r="R842" s="1037"/>
      <c r="S842" s="1037"/>
    </row>
    <row r="843" spans="2:27" ht="5.0999999999999996" customHeight="1" x14ac:dyDescent="0.2">
      <c r="B843" s="207"/>
      <c r="C843" s="1056"/>
      <c r="D843" s="1057"/>
      <c r="E843" s="1057"/>
      <c r="F843" s="1057"/>
      <c r="G843" s="1057"/>
      <c r="H843" s="1057"/>
      <c r="I843" s="1057"/>
      <c r="J843" s="1057"/>
      <c r="K843" s="1057"/>
      <c r="L843" s="1057"/>
      <c r="M843" s="1058"/>
      <c r="N843" s="1059"/>
      <c r="O843" s="16"/>
      <c r="P843" s="1037"/>
      <c r="R843" s="1037"/>
      <c r="S843" s="1037"/>
    </row>
    <row r="844" spans="2:27" ht="15" customHeight="1" x14ac:dyDescent="0.2">
      <c r="B844" s="20"/>
      <c r="C844" s="1060"/>
      <c r="D844" s="1776" t="str">
        <f>Translations!$B$709</f>
        <v>Dane wymagane do określenia współczynnika poprawy wskaźników zgodnie z art. 10a ust. 2 dyrektywy w sprawie EU ETS</v>
      </c>
      <c r="E844" s="1734"/>
      <c r="F844" s="1734"/>
      <c r="G844" s="1734"/>
      <c r="H844" s="1734"/>
      <c r="I844" s="1734"/>
      <c r="J844" s="1734"/>
      <c r="K844" s="1734"/>
      <c r="L844" s="1734"/>
      <c r="M844" s="1734"/>
      <c r="N844" s="1735"/>
      <c r="O844" s="16"/>
      <c r="R844" s="1037"/>
      <c r="S844" s="1037"/>
    </row>
    <row r="845" spans="2:27" ht="5.0999999999999996" customHeight="1" x14ac:dyDescent="0.2">
      <c r="B845" s="20"/>
      <c r="C845" s="460"/>
      <c r="D845" s="449"/>
      <c r="E845" s="449"/>
      <c r="F845" s="449"/>
      <c r="G845" s="449"/>
      <c r="H845" s="449"/>
      <c r="I845" s="449"/>
      <c r="J845" s="449"/>
      <c r="K845" s="449"/>
      <c r="L845" s="449"/>
      <c r="M845" s="449"/>
      <c r="N845" s="461"/>
      <c r="O845" s="16"/>
      <c r="R845" s="1037"/>
      <c r="S845" s="1037"/>
    </row>
    <row r="846" spans="2:27" ht="15" customHeight="1" x14ac:dyDescent="0.2">
      <c r="B846" s="20"/>
      <c r="C846" s="460"/>
      <c r="D846" s="1778" t="str">
        <f>EUconst_BMSubinst &amp; ":"</f>
        <v>Podinstalacja i wskaźnik emisyjności dla produktów:</v>
      </c>
      <c r="E846" s="1779"/>
      <c r="F846" s="1779"/>
      <c r="G846" s="1779"/>
      <c r="H846" s="1780"/>
      <c r="I846" s="1781" t="str">
        <f>I793</f>
        <v/>
      </c>
      <c r="J846" s="1666"/>
      <c r="K846" s="1666"/>
      <c r="L846" s="1666"/>
      <c r="M846" s="1666"/>
      <c r="N846" s="1782"/>
      <c r="O846" s="16"/>
      <c r="R846" s="1037"/>
      <c r="S846" s="1037"/>
    </row>
    <row r="847" spans="2:27" ht="5.0999999999999996" customHeight="1" x14ac:dyDescent="0.2">
      <c r="B847" s="20"/>
      <c r="C847" s="460"/>
      <c r="D847" s="449"/>
      <c r="E847" s="449"/>
      <c r="F847" s="449"/>
      <c r="G847" s="449"/>
      <c r="H847" s="449"/>
      <c r="I847" s="449"/>
      <c r="J847" s="449"/>
      <c r="K847" s="449"/>
      <c r="L847" s="449"/>
      <c r="M847" s="449"/>
      <c r="N847" s="461"/>
      <c r="O847" s="16"/>
      <c r="R847" s="1037"/>
      <c r="S847" s="1037"/>
    </row>
    <row r="848" spans="2:27" ht="15" customHeight="1" x14ac:dyDescent="0.2">
      <c r="B848" s="207"/>
      <c r="C848" s="1060"/>
      <c r="D848" s="1061"/>
      <c r="E848" s="1783" t="str">
        <f>Translations!$B$714</f>
        <v>Po dokonaniu poniższych wpisów emisje, które można przypisać, są obliczane w części K.III.2 arkusza podsumowania.</v>
      </c>
      <c r="F848" s="1783"/>
      <c r="G848" s="1783"/>
      <c r="H848" s="1783"/>
      <c r="I848" s="1783"/>
      <c r="J848" s="1783"/>
      <c r="K848" s="1783"/>
      <c r="L848" s="1783"/>
      <c r="M848" s="1783"/>
      <c r="N848" s="702"/>
      <c r="O848" s="16"/>
      <c r="P848" s="1037"/>
    </row>
    <row r="849" spans="2:27" ht="5.0999999999999996" customHeight="1" x14ac:dyDescent="0.2">
      <c r="B849" s="20"/>
      <c r="C849" s="460"/>
      <c r="D849" s="449"/>
      <c r="E849" s="449"/>
      <c r="F849" s="449"/>
      <c r="G849" s="449"/>
      <c r="H849" s="449"/>
      <c r="I849" s="449"/>
      <c r="J849" s="449"/>
      <c r="K849" s="449"/>
      <c r="L849" s="449"/>
      <c r="M849" s="449"/>
      <c r="N849" s="461"/>
      <c r="O849" s="16"/>
      <c r="R849" s="1037"/>
      <c r="S849" s="1037"/>
    </row>
    <row r="850" spans="2:27" ht="12.75" customHeight="1" x14ac:dyDescent="0.2">
      <c r="B850" s="207"/>
      <c r="C850" s="1060"/>
      <c r="D850" s="462" t="s">
        <v>87</v>
      </c>
      <c r="E850" s="1731" t="str">
        <f>Translations!$B$715</f>
        <v>Emisje, które można bezpośrednio przypisać (DirEm* (plan monitorowania strumieni materiałów wsadowych)) do tej podinstalacji</v>
      </c>
      <c r="F850" s="1734"/>
      <c r="G850" s="1734"/>
      <c r="H850" s="1734"/>
      <c r="I850" s="1734"/>
      <c r="J850" s="1734"/>
      <c r="K850" s="1734"/>
      <c r="L850" s="1734"/>
      <c r="M850" s="1734"/>
      <c r="N850" s="1735"/>
      <c r="O850" s="16"/>
      <c r="P850" s="1037"/>
      <c r="R850" s="1037"/>
      <c r="S850" s="1037"/>
    </row>
    <row r="851" spans="2:27" ht="12.75" customHeight="1" thickBot="1" x14ac:dyDescent="0.25">
      <c r="B851" s="207"/>
      <c r="C851" s="1060"/>
      <c r="D851" s="1061"/>
      <c r="E851" s="1745"/>
      <c r="F851" s="1745"/>
      <c r="G851" s="1745"/>
      <c r="H851" s="1745"/>
      <c r="I851" s="1745"/>
      <c r="J851" s="1745"/>
      <c r="K851" s="1745"/>
      <c r="L851" s="1745"/>
      <c r="M851" s="1745"/>
      <c r="N851" s="1746"/>
      <c r="O851" s="16"/>
      <c r="P851" s="1037"/>
      <c r="R851" s="1037"/>
    </row>
    <row r="852" spans="2:27" ht="12.75" customHeight="1" x14ac:dyDescent="0.2">
      <c r="B852" s="207"/>
      <c r="C852" s="1060"/>
      <c r="D852" s="462"/>
      <c r="E852" s="1757" t="str">
        <f>Translations!$B$725</f>
        <v>Emisje, które można bezpośrednio przypisać (DirEm*)</v>
      </c>
      <c r="F852" s="1758"/>
      <c r="G852" s="1758"/>
      <c r="H852" s="450" t="str">
        <f>EUconst_Unit</f>
        <v>Jednostka</v>
      </c>
      <c r="I852" s="451">
        <f>I$1882</f>
        <v>2014</v>
      </c>
      <c r="J852" s="451">
        <f>J$1882</f>
        <v>2015</v>
      </c>
      <c r="K852" s="451">
        <f>K$1882</f>
        <v>2016</v>
      </c>
      <c r="L852" s="451">
        <f>L$1882</f>
        <v>2017</v>
      </c>
      <c r="M852" s="451">
        <f>M$1882</f>
        <v>2018</v>
      </c>
      <c r="N852" s="665"/>
      <c r="O852" s="16"/>
      <c r="P852" s="1037"/>
      <c r="R852" s="1052"/>
      <c r="S852" s="814">
        <f>I852</f>
        <v>2014</v>
      </c>
      <c r="T852" s="814">
        <f>J852</f>
        <v>2015</v>
      </c>
      <c r="U852" s="814">
        <f>K852</f>
        <v>2016</v>
      </c>
      <c r="V852" s="814">
        <f>L852</f>
        <v>2017</v>
      </c>
      <c r="W852" s="815">
        <f>M852</f>
        <v>2018</v>
      </c>
    </row>
    <row r="853" spans="2:27" ht="12.75" customHeight="1" thickBot="1" x14ac:dyDescent="0.25">
      <c r="B853" s="207"/>
      <c r="C853" s="1060"/>
      <c r="D853" s="1061"/>
      <c r="E853" s="1762" t="str">
        <f>I793</f>
        <v/>
      </c>
      <c r="F853" s="1762"/>
      <c r="G853" s="1762"/>
      <c r="H853" s="452" t="str">
        <f>EUconst_tCO2epa</f>
        <v>t CO2e/rok</v>
      </c>
      <c r="I853" s="313"/>
      <c r="J853" s="313"/>
      <c r="K853" s="313"/>
      <c r="L853" s="313"/>
      <c r="M853" s="313"/>
      <c r="N853" s="665"/>
      <c r="O853" s="16"/>
      <c r="P853" s="1062" t="str">
        <f>EUconst_CNTR_Emissions &amp; I793</f>
        <v>DirEmissions_</v>
      </c>
      <c r="R853" s="1053" t="str">
        <f>EUconst_CNTR_AttributedEmissions &amp; I793</f>
        <v>AttrEmissions_</v>
      </c>
      <c r="S853" s="119" t="str">
        <f>IF(S793,SUM(I853),"")</f>
        <v/>
      </c>
      <c r="T853" s="119" t="str">
        <f>IF(T793,SUM(J853),"")</f>
        <v/>
      </c>
      <c r="U853" s="119" t="str">
        <f>IF(U793,SUM(K853),"")</f>
        <v/>
      </c>
      <c r="V853" s="119" t="str">
        <f>IF(V793,SUM(L853),"")</f>
        <v/>
      </c>
      <c r="W853" s="120" t="str">
        <f>IF(W793,SUM(M853),"")</f>
        <v/>
      </c>
    </row>
    <row r="854" spans="2:27" ht="12.75" customHeight="1" x14ac:dyDescent="0.2">
      <c r="B854" s="207"/>
      <c r="C854" s="1060"/>
      <c r="D854" s="1061"/>
      <c r="E854" s="1061"/>
      <c r="F854" s="1061"/>
      <c r="G854" s="1061"/>
      <c r="H854" s="1061"/>
      <c r="I854" s="1061"/>
      <c r="J854" s="1061"/>
      <c r="K854" s="1061"/>
      <c r="L854" s="1061"/>
      <c r="M854" s="1063"/>
      <c r="N854" s="665"/>
      <c r="O854" s="16"/>
      <c r="P854" s="1037"/>
      <c r="R854" s="1037"/>
    </row>
    <row r="855" spans="2:27" ht="12.75" customHeight="1" x14ac:dyDescent="0.2">
      <c r="B855" s="207"/>
      <c r="C855" s="1060"/>
      <c r="D855" s="462" t="s">
        <v>88</v>
      </c>
      <c r="E855" s="1760" t="str">
        <f>Translations!$B$726</f>
        <v>Wsad paliwa do tej podinstalacji oraz odpowiedni współczynnik emisji</v>
      </c>
      <c r="F855" s="1760"/>
      <c r="G855" s="1760"/>
      <c r="H855" s="1760"/>
      <c r="I855" s="1760"/>
      <c r="J855" s="1760"/>
      <c r="K855" s="1760"/>
      <c r="L855" s="1760"/>
      <c r="M855" s="1760"/>
      <c r="N855" s="1761"/>
      <c r="O855" s="16"/>
      <c r="P855" s="1037"/>
      <c r="Q855" s="1037"/>
      <c r="R855" s="1037"/>
    </row>
    <row r="856" spans="2:27" ht="12.75" customHeight="1" x14ac:dyDescent="0.2">
      <c r="B856" s="207"/>
      <c r="C856" s="1060"/>
      <c r="D856" s="462"/>
      <c r="E856" s="1757"/>
      <c r="F856" s="1758"/>
      <c r="G856" s="1758"/>
      <c r="H856" s="450" t="str">
        <f>EUconst_Unit</f>
        <v>Jednostka</v>
      </c>
      <c r="I856" s="451">
        <f>I$1882</f>
        <v>2014</v>
      </c>
      <c r="J856" s="451">
        <f>J$1882</f>
        <v>2015</v>
      </c>
      <c r="K856" s="451">
        <f>K$1882</f>
        <v>2016</v>
      </c>
      <c r="L856" s="451">
        <f>L$1882</f>
        <v>2017</v>
      </c>
      <c r="M856" s="451">
        <f>M$1882</f>
        <v>2018</v>
      </c>
      <c r="N856" s="665"/>
      <c r="O856" s="16"/>
      <c r="P856" s="1037"/>
      <c r="R856" s="1037"/>
    </row>
    <row r="857" spans="2:27" ht="12.75" customHeight="1" x14ac:dyDescent="0.2">
      <c r="B857" s="207"/>
      <c r="C857" s="1060"/>
      <c r="D857" s="699" t="s">
        <v>2</v>
      </c>
      <c r="E857" s="1739" t="str">
        <f>Translations!$B$731</f>
        <v>Wsad paliwa</v>
      </c>
      <c r="F857" s="1740"/>
      <c r="G857" s="1740"/>
      <c r="H857" s="453" t="str">
        <f>EUconst_TJpa</f>
        <v>TJ / rok</v>
      </c>
      <c r="I857" s="313"/>
      <c r="J857" s="313"/>
      <c r="K857" s="313"/>
      <c r="L857" s="313"/>
      <c r="M857" s="313"/>
      <c r="N857" s="702"/>
      <c r="O857" s="16"/>
      <c r="P857" s="1062" t="str">
        <f>EUconst_CNTR_FuelInput &amp; I793</f>
        <v>FuelInput_</v>
      </c>
      <c r="R857" s="1037"/>
    </row>
    <row r="858" spans="2:27" ht="12.75" customHeight="1" x14ac:dyDescent="0.2">
      <c r="B858" s="207"/>
      <c r="C858" s="1060"/>
      <c r="D858" s="699" t="s">
        <v>3</v>
      </c>
      <c r="E858" s="1772" t="str">
        <f>Translations!$B$732</f>
        <v>Ważony współczynnik emisji</v>
      </c>
      <c r="F858" s="1773"/>
      <c r="G858" s="1773"/>
      <c r="H858" s="569" t="str">
        <f>EUconst_tCO2pTJ</f>
        <v>t CO2 / TJ</v>
      </c>
      <c r="I858" s="323"/>
      <c r="J858" s="323"/>
      <c r="K858" s="323"/>
      <c r="L858" s="323"/>
      <c r="M858" s="323"/>
      <c r="N858" s="665"/>
      <c r="O858" s="16"/>
      <c r="P858" s="1062" t="str">
        <f>EUconst_CNTR_FuelEF &amp; I793</f>
        <v>FuelEF_</v>
      </c>
      <c r="R858" s="1037"/>
    </row>
    <row r="859" spans="2:27" ht="12.75" customHeight="1" x14ac:dyDescent="0.2">
      <c r="B859" s="207"/>
      <c r="C859" s="1060"/>
      <c r="D859" s="1061"/>
      <c r="E859" s="1061"/>
      <c r="F859" s="1061"/>
      <c r="G859" s="1061"/>
      <c r="H859" s="1061"/>
      <c r="I859" s="1061"/>
      <c r="J859" s="1061"/>
      <c r="K859" s="1061"/>
      <c r="L859" s="1061"/>
      <c r="M859" s="1063"/>
      <c r="N859" s="665"/>
      <c r="O859" s="16"/>
      <c r="P859" s="1037"/>
      <c r="R859" s="1037"/>
    </row>
    <row r="860" spans="2:27" ht="12.75" customHeight="1" thickBot="1" x14ac:dyDescent="0.25">
      <c r="B860" s="207"/>
      <c r="C860" s="1060"/>
      <c r="D860" s="462" t="s">
        <v>89</v>
      </c>
      <c r="E860" s="1760" t="str">
        <f>Translations!$B$733</f>
        <v>Dalsze wewnętrzne strumienie materiałów wsadowych wprowadzane do tej podinstalacji lub z niej wyprowadzane</v>
      </c>
      <c r="F860" s="1760"/>
      <c r="G860" s="1760"/>
      <c r="H860" s="1760"/>
      <c r="I860" s="1760"/>
      <c r="J860" s="1760"/>
      <c r="K860" s="1760"/>
      <c r="L860" s="1760"/>
      <c r="M860" s="1760"/>
      <c r="N860" s="1761"/>
      <c r="O860" s="16"/>
      <c r="P860" s="1037"/>
      <c r="Q860" s="1037"/>
      <c r="R860" s="1037"/>
    </row>
    <row r="861" spans="2:27" ht="12.75" customHeight="1" thickBot="1" x14ac:dyDescent="0.25">
      <c r="B861" s="207"/>
      <c r="C861" s="1060"/>
      <c r="D861" s="699" t="s">
        <v>2</v>
      </c>
      <c r="E861" s="1755" t="str">
        <f>Translations!$B$739</f>
        <v>Czy tej podinstalacji dotyczy więcej wprowadzonych lub wyprowadzonych wewnętrznych strumieni materiałów wsadowych?</v>
      </c>
      <c r="F861" s="1755"/>
      <c r="G861" s="1755"/>
      <c r="H861" s="1755"/>
      <c r="I861" s="1755"/>
      <c r="J861" s="1755"/>
      <c r="K861" s="1756"/>
      <c r="L861" s="517"/>
      <c r="M861" s="1253"/>
      <c r="N861" s="1254"/>
      <c r="O861" s="16"/>
      <c r="P861" s="1037"/>
      <c r="R861" s="1037"/>
      <c r="W861" s="1048" t="s">
        <v>414</v>
      </c>
      <c r="X861" s="1046" t="b">
        <f>IF(AND(I793&lt;&gt;"",ISBLANK(L861)),EUconst_Error&amp;"BM"&amp;C793,FALSE)</f>
        <v>0</v>
      </c>
    </row>
    <row r="862" spans="2:27" ht="5.0999999999999996" customHeight="1" thickBot="1" x14ac:dyDescent="0.25">
      <c r="B862" s="207"/>
      <c r="C862" s="1060"/>
      <c r="D862" s="1061"/>
      <c r="E862" s="1733"/>
      <c r="F862" s="1734"/>
      <c r="G862" s="1734"/>
      <c r="H862" s="1734"/>
      <c r="I862" s="1734"/>
      <c r="J862" s="1734"/>
      <c r="K862" s="1734"/>
      <c r="L862" s="1734"/>
      <c r="M862" s="1734"/>
      <c r="N862" s="1735"/>
      <c r="O862" s="16"/>
      <c r="P862" s="1037"/>
      <c r="R862" s="1037"/>
      <c r="AA862" s="422" t="s">
        <v>272</v>
      </c>
    </row>
    <row r="863" spans="2:27" ht="12.75" customHeight="1" x14ac:dyDescent="0.2">
      <c r="B863" s="207"/>
      <c r="C863" s="1060"/>
      <c r="D863" s="699" t="s">
        <v>3</v>
      </c>
      <c r="E863" s="1760" t="str">
        <f>Translations!$B$741</f>
        <v>Nazwa dalszych strumieni materiałów wsadowych – 1:</v>
      </c>
      <c r="F863" s="1760"/>
      <c r="G863" s="1760"/>
      <c r="H863" s="1760"/>
      <c r="I863" s="1763"/>
      <c r="J863" s="1764"/>
      <c r="K863" s="1764"/>
      <c r="L863" s="1764"/>
      <c r="M863" s="1765"/>
      <c r="N863" s="664"/>
      <c r="O863" s="16"/>
      <c r="P863" s="1037"/>
      <c r="R863" s="1037"/>
      <c r="AA863" s="646" t="b">
        <f>IF(I793&lt;&gt;"",AND(L861&lt;&gt;"",L861=FALSE),FALSE)</f>
        <v>0</v>
      </c>
    </row>
    <row r="864" spans="2:27" ht="5.0999999999999996" customHeight="1" x14ac:dyDescent="0.2">
      <c r="B864" s="207"/>
      <c r="C864" s="1060"/>
      <c r="D864" s="1061"/>
      <c r="E864" s="1256"/>
      <c r="F864" s="1253"/>
      <c r="G864" s="1253"/>
      <c r="H864" s="1253"/>
      <c r="I864" s="1253"/>
      <c r="J864" s="1253"/>
      <c r="K864" s="1253"/>
      <c r="L864" s="1253"/>
      <c r="M864" s="1253"/>
      <c r="N864" s="1254"/>
      <c r="O864" s="16"/>
      <c r="P864" s="1037"/>
      <c r="R864" s="1037"/>
      <c r="AA864" s="608"/>
    </row>
    <row r="865" spans="2:27" ht="12.75" customHeight="1" x14ac:dyDescent="0.2">
      <c r="B865" s="207"/>
      <c r="C865" s="1060"/>
      <c r="D865" s="1061"/>
      <c r="E865" s="1757" t="str">
        <f>Translations!$B$742</f>
        <v>Dalsze strumienie materiałów wsadowych – 1:</v>
      </c>
      <c r="F865" s="1758"/>
      <c r="G865" s="1758"/>
      <c r="H865" s="450" t="str">
        <f>EUconst_Unit</f>
        <v>Jednostka</v>
      </c>
      <c r="I865" s="451">
        <f>I$1882</f>
        <v>2014</v>
      </c>
      <c r="J865" s="451">
        <f>J$1882</f>
        <v>2015</v>
      </c>
      <c r="K865" s="451">
        <f>K$1882</f>
        <v>2016</v>
      </c>
      <c r="L865" s="451">
        <f>L$1882</f>
        <v>2017</v>
      </c>
      <c r="M865" s="451">
        <f>M$1882</f>
        <v>2018</v>
      </c>
      <c r="N865" s="665"/>
      <c r="O865" s="16"/>
      <c r="P865" s="1037"/>
      <c r="R865" s="1037"/>
      <c r="AA865" s="608"/>
    </row>
    <row r="866" spans="2:27" ht="12.75" customHeight="1" x14ac:dyDescent="0.2">
      <c r="B866" s="207"/>
      <c r="C866" s="1060"/>
      <c r="D866" s="699" t="s">
        <v>4</v>
      </c>
      <c r="E866" s="1766" t="str">
        <f>Translations!$B$743</f>
        <v>Ilość wprowadzona lub wyprowadzona</v>
      </c>
      <c r="F866" s="1767"/>
      <c r="G866" s="1767"/>
      <c r="H866" s="454" t="str">
        <f>EUconst_tpa</f>
        <v>t / rok</v>
      </c>
      <c r="I866" s="331"/>
      <c r="J866" s="331"/>
      <c r="K866" s="331"/>
      <c r="L866" s="331"/>
      <c r="M866" s="331"/>
      <c r="N866" s="665"/>
      <c r="O866" s="16"/>
      <c r="P866" s="1037"/>
      <c r="R866" s="1037"/>
      <c r="AA866" s="345" t="b">
        <f>AA863</f>
        <v>0</v>
      </c>
    </row>
    <row r="867" spans="2:27" ht="12.75" customHeight="1" x14ac:dyDescent="0.2">
      <c r="B867" s="207"/>
      <c r="C867" s="1060"/>
      <c r="D867" s="699" t="s">
        <v>6</v>
      </c>
      <c r="E867" s="1771" t="str">
        <f>Translations!$B$744</f>
        <v>Wartość opałowa netto (NCV) (jeśli dotyczy)</v>
      </c>
      <c r="F867" s="1771"/>
      <c r="G867" s="1771"/>
      <c r="H867" s="541" t="str">
        <f>EUconst_GJpt</f>
        <v>GJ / t</v>
      </c>
      <c r="I867" s="330"/>
      <c r="J867" s="330"/>
      <c r="K867" s="330"/>
      <c r="L867" s="330"/>
      <c r="M867" s="330"/>
      <c r="N867" s="665"/>
      <c r="O867" s="16"/>
      <c r="P867" s="1037"/>
      <c r="R867" s="1037"/>
      <c r="AA867" s="345" t="b">
        <f>AA866</f>
        <v>0</v>
      </c>
    </row>
    <row r="868" spans="2:27" ht="12.75" customHeight="1" thickBot="1" x14ac:dyDescent="0.25">
      <c r="B868" s="207"/>
      <c r="C868" s="1060"/>
      <c r="D868" s="699" t="s">
        <v>316</v>
      </c>
      <c r="E868" s="1771" t="str">
        <f>Translations!$B$745</f>
        <v>Zawartość węgla (% masy)</v>
      </c>
      <c r="F868" s="1771"/>
      <c r="G868" s="1771"/>
      <c r="H868" s="542" t="s">
        <v>355</v>
      </c>
      <c r="I868" s="330"/>
      <c r="J868" s="330"/>
      <c r="K868" s="330"/>
      <c r="L868" s="330"/>
      <c r="M868" s="330"/>
      <c r="N868" s="665"/>
      <c r="O868" s="16"/>
      <c r="P868" s="1037"/>
      <c r="R868" s="1037"/>
      <c r="AA868" s="345" t="b">
        <f>AA867</f>
        <v>0</v>
      </c>
    </row>
    <row r="869" spans="2:27" ht="12.75" customHeight="1" x14ac:dyDescent="0.2">
      <c r="B869" s="207"/>
      <c r="C869" s="1060"/>
      <c r="D869" s="699" t="s">
        <v>317</v>
      </c>
      <c r="E869" s="1744" t="str">
        <f>Translations!$B$746</f>
        <v>Zawartość biomasy (jako frakcja węgla)</v>
      </c>
      <c r="F869" s="1744"/>
      <c r="G869" s="1744"/>
      <c r="H869" s="473" t="s">
        <v>355</v>
      </c>
      <c r="I869" s="329"/>
      <c r="J869" s="329"/>
      <c r="K869" s="329"/>
      <c r="L869" s="329"/>
      <c r="M869" s="329"/>
      <c r="N869" s="665"/>
      <c r="O869" s="16"/>
      <c r="P869" s="1037"/>
      <c r="R869" s="1052"/>
      <c r="S869" s="814">
        <f>I865</f>
        <v>2014</v>
      </c>
      <c r="T869" s="814">
        <f>J865</f>
        <v>2015</v>
      </c>
      <c r="U869" s="814">
        <f>K865</f>
        <v>2016</v>
      </c>
      <c r="V869" s="814">
        <f>L865</f>
        <v>2017</v>
      </c>
      <c r="W869" s="815">
        <f>M865</f>
        <v>2018</v>
      </c>
      <c r="AA869" s="345" t="b">
        <f>AA868</f>
        <v>0</v>
      </c>
    </row>
    <row r="870" spans="2:27" ht="12.75" customHeight="1" thickBot="1" x14ac:dyDescent="0.25">
      <c r="B870" s="207"/>
      <c r="C870" s="1060"/>
      <c r="D870" s="699" t="s">
        <v>318</v>
      </c>
      <c r="E870" s="1767" t="str">
        <f>Translations!$B$747</f>
        <v>Emisje (kopalne, obliczone)</v>
      </c>
      <c r="F870" s="1767"/>
      <c r="G870" s="1767"/>
      <c r="H870" s="543" t="str">
        <f>EUconst_tCO2pa</f>
        <v>t CO2 / rok</v>
      </c>
      <c r="I870" s="325" t="str">
        <f>IF(AND(COUNT(I866:I869)&gt;0,I873=""),3.664*I866*(I868/100)*(1-I869/100),"")</f>
        <v/>
      </c>
      <c r="J870" s="325" t="str">
        <f>IF(AND(COUNT(J866:J869)&gt;0,J873=""),3.664*J866*(J868/100)*(1-J869/100),"")</f>
        <v/>
      </c>
      <c r="K870" s="325" t="str">
        <f>IF(AND(COUNT(K866:K869)&gt;0,K873=""),3.664*K866*(K868/100)*(1-K869/100),"")</f>
        <v/>
      </c>
      <c r="L870" s="325" t="str">
        <f>IF(AND(COUNT(L866:L869)&gt;0,L873=""),3.664*L866*(L868/100)*(1-L869/100),"")</f>
        <v/>
      </c>
      <c r="M870" s="325" t="str">
        <f>IF(AND(COUNT(M866:M869)&gt;0,M873=""),3.664*M866*(M868/100)*(1-M869/100),"")</f>
        <v/>
      </c>
      <c r="N870" s="665"/>
      <c r="O870" s="16"/>
      <c r="P870" s="1062" t="str">
        <f>EUconst_CNTR_EmissionsIntSource1 &amp; I793</f>
        <v>EmInternalSource1_</v>
      </c>
      <c r="R870" s="1053" t="str">
        <f>EUconst_CNTR_AttributedEmissions &amp; I793</f>
        <v>AttrEmissions_</v>
      </c>
      <c r="S870" s="119" t="str">
        <f>IF(S793,SUM(I870),"")</f>
        <v/>
      </c>
      <c r="T870" s="119" t="str">
        <f>IF(T793,SUM(J870),"")</f>
        <v/>
      </c>
      <c r="U870" s="119" t="str">
        <f>IF(U793,SUM(K870),"")</f>
        <v/>
      </c>
      <c r="V870" s="119" t="str">
        <f>IF(V793,SUM(L870),"")</f>
        <v/>
      </c>
      <c r="W870" s="120" t="str">
        <f>IF(W793,SUM(M870),"")</f>
        <v/>
      </c>
      <c r="AA870" s="608"/>
    </row>
    <row r="871" spans="2:27" ht="12.75" customHeight="1" x14ac:dyDescent="0.2">
      <c r="B871" s="207"/>
      <c r="C871" s="1060"/>
      <c r="D871" s="699" t="s">
        <v>319</v>
      </c>
      <c r="E871" s="1769" t="str">
        <f>Translations!$B$748</f>
        <v>Nota uzupełniająca: Emisje pochodzące z biomasy</v>
      </c>
      <c r="F871" s="1769"/>
      <c r="G871" s="1769"/>
      <c r="H871" s="544" t="str">
        <f>EUconst_tCO2pa</f>
        <v>t CO2 / rok</v>
      </c>
      <c r="I871" s="324" t="str">
        <f>IF(ISNUMBER(I870),3.664*I866*(I868/100)*(I869/100),"")</f>
        <v/>
      </c>
      <c r="J871" s="324" t="str">
        <f>IF(ISNUMBER(J870),3.664*J866*(J868/100)*(J869/100),"")</f>
        <v/>
      </c>
      <c r="K871" s="324" t="str">
        <f>IF(ISNUMBER(K870),3.664*K866*(K868/100)*(K869/100),"")</f>
        <v/>
      </c>
      <c r="L871" s="324" t="str">
        <f>IF(ISNUMBER(L870),3.664*L866*(L868/100)*(L869/100),"")</f>
        <v/>
      </c>
      <c r="M871" s="324" t="str">
        <f>IF(ISNUMBER(M870),3.664*M866*(M868/100)*(M869/100),"")</f>
        <v/>
      </c>
      <c r="N871" s="665"/>
      <c r="O871" s="16"/>
      <c r="P871" s="1037"/>
      <c r="R871" s="1037"/>
      <c r="AA871" s="608"/>
    </row>
    <row r="872" spans="2:27" ht="12.75" customHeight="1" x14ac:dyDescent="0.2">
      <c r="B872" s="207"/>
      <c r="C872" s="1060"/>
      <c r="D872" s="699" t="s">
        <v>320</v>
      </c>
      <c r="E872" s="1744" t="str">
        <f>Translations!$B$749</f>
        <v>Zawartość energii (obliczona)</v>
      </c>
      <c r="F872" s="1744"/>
      <c r="G872" s="1744"/>
      <c r="H872" s="545" t="str">
        <f>EUconst_TJpa</f>
        <v>TJ / rok</v>
      </c>
      <c r="I872" s="327" t="str">
        <f>IF(COUNT(I866:I867)=2,I866*I867/1000,"")</f>
        <v/>
      </c>
      <c r="J872" s="327" t="str">
        <f>IF(COUNT(J866:J867)=2,J866*J867/1000,"")</f>
        <v/>
      </c>
      <c r="K872" s="327" t="str">
        <f>IF(COUNT(K866:K867)=2,K866*K867/1000,"")</f>
        <v/>
      </c>
      <c r="L872" s="327" t="str">
        <f>IF(COUNT(L866:L867)=2,L866*L867/1000,"")</f>
        <v/>
      </c>
      <c r="M872" s="327" t="str">
        <f>IF(COUNT(M866:M867)=2,M866*M867/1000,"")</f>
        <v/>
      </c>
      <c r="N872" s="665"/>
      <c r="O872" s="16"/>
      <c r="P872" s="1037"/>
      <c r="R872" s="1037"/>
      <c r="AA872" s="608"/>
    </row>
    <row r="873" spans="2:27" ht="12.75" customHeight="1" x14ac:dyDescent="0.2">
      <c r="B873" s="207"/>
      <c r="C873" s="1060"/>
      <c r="D873" s="699" t="s">
        <v>16</v>
      </c>
      <c r="E873" s="1770" t="str">
        <f>Translations!$B$750</f>
        <v>Komunikaty o błędach (emisje)</v>
      </c>
      <c r="F873" s="1770"/>
      <c r="G873" s="1770"/>
      <c r="H873" s="546"/>
      <c r="I873" s="666" t="str">
        <f>IF(COUNT(I866,I868:I869)&gt;0,IF(COUNTIF(I867:I869,"&lt;0")&gt;0,EUconst_Negative,IF(COUNT(I866,I868:I869)&lt;3,EUconst_Incomplete,"")),"")</f>
        <v/>
      </c>
      <c r="J873" s="666" t="str">
        <f>IF(COUNT(J866,J868:J869)&gt;0,IF(COUNTIF(J867:J869,"&lt;0")&gt;0,EUconst_Negative,IF(COUNT(J866,J868:J869)&lt;3,EUconst_Incomplete,"")),"")</f>
        <v/>
      </c>
      <c r="K873" s="666" t="str">
        <f>IF(COUNT(K866,K868:K869)&gt;0,IF(COUNTIF(K867:K869,"&lt;0")&gt;0,EUconst_Negative,IF(COUNT(K866,K868:K869)&lt;3,EUconst_Incomplete,"")),"")</f>
        <v/>
      </c>
      <c r="L873" s="666" t="str">
        <f>IF(COUNT(L866,L868:L869)&gt;0,IF(COUNTIF(L867:L869,"&lt;0")&gt;0,EUconst_Negative,IF(COUNT(L866,L868:L869)&lt;3,EUconst_Incomplete,"")),"")</f>
        <v/>
      </c>
      <c r="M873" s="666" t="str">
        <f>IF(COUNT(M866,M868:M869)&gt;0,IF(COUNTIF(M867:M869,"&lt;0")&gt;0,EUconst_Negative,IF(COUNT(M866,M868:M869)&lt;3,EUconst_Incomplete,"")),"")</f>
        <v/>
      </c>
      <c r="N873" s="665"/>
      <c r="O873" s="16"/>
      <c r="P873" s="1037"/>
      <c r="R873" s="1037"/>
      <c r="AA873" s="608"/>
    </row>
    <row r="874" spans="2:27" ht="12.75" customHeight="1" x14ac:dyDescent="0.2">
      <c r="B874" s="207"/>
      <c r="C874" s="1060"/>
      <c r="D874" s="699"/>
      <c r="E874" s="1061"/>
      <c r="F874" s="1061"/>
      <c r="G874" s="1061"/>
      <c r="H874" s="1061"/>
      <c r="I874" s="1061"/>
      <c r="J874" s="1061"/>
      <c r="K874" s="1061"/>
      <c r="L874" s="1061"/>
      <c r="M874" s="1063"/>
      <c r="N874" s="665"/>
      <c r="O874" s="16"/>
      <c r="P874" s="1037"/>
      <c r="R874" s="1037"/>
      <c r="AA874" s="608"/>
    </row>
    <row r="875" spans="2:27" ht="12.75" customHeight="1" x14ac:dyDescent="0.2">
      <c r="B875" s="207"/>
      <c r="C875" s="1060"/>
      <c r="D875" s="699" t="s">
        <v>17</v>
      </c>
      <c r="E875" s="1760" t="str">
        <f>Translations!$B$751</f>
        <v>Nazwa dalszych strumieni materiałów wsadowych – 2:</v>
      </c>
      <c r="F875" s="1760"/>
      <c r="G875" s="1760"/>
      <c r="H875" s="1760"/>
      <c r="I875" s="1763"/>
      <c r="J875" s="1764"/>
      <c r="K875" s="1764"/>
      <c r="L875" s="1764"/>
      <c r="M875" s="1765"/>
      <c r="N875" s="1254"/>
      <c r="O875" s="16"/>
      <c r="P875" s="1037"/>
      <c r="R875" s="1037"/>
      <c r="AA875" s="345" t="b">
        <f>AA863</f>
        <v>0</v>
      </c>
    </row>
    <row r="876" spans="2:27" ht="5.0999999999999996" customHeight="1" x14ac:dyDescent="0.2">
      <c r="B876" s="207"/>
      <c r="C876" s="1060"/>
      <c r="D876" s="1061"/>
      <c r="E876" s="1256"/>
      <c r="F876" s="1253"/>
      <c r="G876" s="1253"/>
      <c r="H876" s="1253"/>
      <c r="I876" s="1253"/>
      <c r="J876" s="1253"/>
      <c r="K876" s="1253"/>
      <c r="L876" s="1253"/>
      <c r="M876" s="1253"/>
      <c r="N876" s="1254"/>
      <c r="O876" s="16"/>
      <c r="P876" s="1037"/>
      <c r="R876" s="1037"/>
      <c r="AA876" s="608"/>
    </row>
    <row r="877" spans="2:27" ht="12.75" customHeight="1" x14ac:dyDescent="0.2">
      <c r="B877" s="207"/>
      <c r="C877" s="1060"/>
      <c r="D877" s="699"/>
      <c r="E877" s="1757" t="str">
        <f>Translations!$B$752</f>
        <v>Dalsze strumienie materiałów wsadowych – 2:</v>
      </c>
      <c r="F877" s="1758"/>
      <c r="G877" s="1758"/>
      <c r="H877" s="450" t="str">
        <f>EUconst_Unit</f>
        <v>Jednostka</v>
      </c>
      <c r="I877" s="451">
        <f>I$1882</f>
        <v>2014</v>
      </c>
      <c r="J877" s="451">
        <f>J$1882</f>
        <v>2015</v>
      </c>
      <c r="K877" s="451">
        <f>K$1882</f>
        <v>2016</v>
      </c>
      <c r="L877" s="451">
        <f>L$1882</f>
        <v>2017</v>
      </c>
      <c r="M877" s="451">
        <f>M$1882</f>
        <v>2018</v>
      </c>
      <c r="N877" s="665"/>
      <c r="O877" s="16"/>
      <c r="P877" s="1037"/>
      <c r="R877" s="1037"/>
      <c r="AA877" s="608"/>
    </row>
    <row r="878" spans="2:27" ht="12.75" customHeight="1" x14ac:dyDescent="0.2">
      <c r="B878" s="207"/>
      <c r="C878" s="1060"/>
      <c r="D878" s="699" t="s">
        <v>18</v>
      </c>
      <c r="E878" s="1766" t="str">
        <f>Translations!$B$743</f>
        <v>Ilość wprowadzona lub wyprowadzona</v>
      </c>
      <c r="F878" s="1767"/>
      <c r="G878" s="1767"/>
      <c r="H878" s="454" t="str">
        <f>EUconst_tpa</f>
        <v>t / rok</v>
      </c>
      <c r="I878" s="331"/>
      <c r="J878" s="331"/>
      <c r="K878" s="331"/>
      <c r="L878" s="331"/>
      <c r="M878" s="331"/>
      <c r="N878" s="665"/>
      <c r="O878" s="16"/>
      <c r="P878" s="1037"/>
      <c r="R878" s="1037"/>
      <c r="AA878" s="345" t="b">
        <f>AA875</f>
        <v>0</v>
      </c>
    </row>
    <row r="879" spans="2:27" ht="12.75" customHeight="1" x14ac:dyDescent="0.2">
      <c r="B879" s="207"/>
      <c r="C879" s="1060"/>
      <c r="D879" s="699" t="s">
        <v>454</v>
      </c>
      <c r="E879" s="1771" t="str">
        <f>Translations!$B$744</f>
        <v>Wartość opałowa netto (NCV) (jeśli dotyczy)</v>
      </c>
      <c r="F879" s="1771"/>
      <c r="G879" s="1771"/>
      <c r="H879" s="541" t="str">
        <f>EUconst_GJpt</f>
        <v>GJ / t</v>
      </c>
      <c r="I879" s="330"/>
      <c r="J879" s="330"/>
      <c r="K879" s="330"/>
      <c r="L879" s="330"/>
      <c r="M879" s="330"/>
      <c r="N879" s="665"/>
      <c r="O879" s="16"/>
      <c r="P879" s="1037"/>
      <c r="R879" s="1037"/>
      <c r="AA879" s="345" t="b">
        <f>AA878</f>
        <v>0</v>
      </c>
    </row>
    <row r="880" spans="2:27" ht="12.75" customHeight="1" thickBot="1" x14ac:dyDescent="0.25">
      <c r="B880" s="207"/>
      <c r="C880" s="1060"/>
      <c r="D880" s="699" t="s">
        <v>455</v>
      </c>
      <c r="E880" s="1771" t="str">
        <f>Translations!$B$745</f>
        <v>Zawartość węgla (% masy)</v>
      </c>
      <c r="F880" s="1771"/>
      <c r="G880" s="1771"/>
      <c r="H880" s="542" t="s">
        <v>355</v>
      </c>
      <c r="I880" s="330"/>
      <c r="J880" s="330"/>
      <c r="K880" s="330"/>
      <c r="L880" s="330"/>
      <c r="M880" s="330"/>
      <c r="N880" s="665"/>
      <c r="O880" s="16"/>
      <c r="P880" s="1037"/>
      <c r="R880" s="1037"/>
      <c r="AA880" s="345" t="b">
        <f>AA879</f>
        <v>0</v>
      </c>
    </row>
    <row r="881" spans="2:27" ht="12.75" customHeight="1" thickBot="1" x14ac:dyDescent="0.25">
      <c r="B881" s="207"/>
      <c r="C881" s="1060"/>
      <c r="D881" s="699" t="s">
        <v>456</v>
      </c>
      <c r="E881" s="1744" t="str">
        <f>Translations!$B$746</f>
        <v>Zawartość biomasy (jako frakcja węgla)</v>
      </c>
      <c r="F881" s="1744"/>
      <c r="G881" s="1744"/>
      <c r="H881" s="473" t="s">
        <v>355</v>
      </c>
      <c r="I881" s="329"/>
      <c r="J881" s="329"/>
      <c r="K881" s="329"/>
      <c r="L881" s="329"/>
      <c r="M881" s="329"/>
      <c r="N881" s="665"/>
      <c r="O881" s="16"/>
      <c r="P881" s="1037"/>
      <c r="R881" s="1052"/>
      <c r="S881" s="814">
        <f>I877</f>
        <v>2014</v>
      </c>
      <c r="T881" s="814">
        <f>J877</f>
        <v>2015</v>
      </c>
      <c r="U881" s="814">
        <f>K877</f>
        <v>2016</v>
      </c>
      <c r="V881" s="814">
        <f>L877</f>
        <v>2017</v>
      </c>
      <c r="W881" s="815">
        <f>M877</f>
        <v>2018</v>
      </c>
      <c r="AA881" s="168" t="b">
        <f>AA880</f>
        <v>0</v>
      </c>
    </row>
    <row r="882" spans="2:27" ht="12.75" customHeight="1" thickBot="1" x14ac:dyDescent="0.25">
      <c r="B882" s="207"/>
      <c r="C882" s="1060"/>
      <c r="D882" s="699" t="s">
        <v>457</v>
      </c>
      <c r="E882" s="1767" t="str">
        <f>Translations!$B$747</f>
        <v>Emisje (kopalne, obliczone)</v>
      </c>
      <c r="F882" s="1767"/>
      <c r="G882" s="1767"/>
      <c r="H882" s="543" t="str">
        <f>EUconst_tCO2pa</f>
        <v>t CO2 / rok</v>
      </c>
      <c r="I882" s="325" t="str">
        <f>IF(AND(COUNT(I878:I881)&gt;0,I885=""),3.664*I878*(I880/100)*(1-I881/100),"")</f>
        <v/>
      </c>
      <c r="J882" s="325" t="str">
        <f>IF(AND(COUNT(J878:J881)&gt;0,J885=""),3.664*J878*(J880/100)*(1-J881/100),"")</f>
        <v/>
      </c>
      <c r="K882" s="325" t="str">
        <f>IF(AND(COUNT(K878:K881)&gt;0,K885=""),3.664*K878*(K880/100)*(1-K881/100),"")</f>
        <v/>
      </c>
      <c r="L882" s="325" t="str">
        <f>IF(AND(COUNT(L878:L881)&gt;0,L885=""),3.664*L878*(L880/100)*(1-L881/100),"")</f>
        <v/>
      </c>
      <c r="M882" s="325" t="str">
        <f>IF(AND(COUNT(M878:M881)&gt;0,M885=""),3.664*M878*(M880/100)*(1-M881/100),"")</f>
        <v/>
      </c>
      <c r="N882" s="665"/>
      <c r="O882" s="16"/>
      <c r="P882" s="1062" t="str">
        <f>EUconst_CNTR_EmissionsIntSource2 &amp; I793</f>
        <v>EmInternalSource2_</v>
      </c>
      <c r="R882" s="1053" t="str">
        <f>EUconst_CNTR_AttributedEmissions &amp; I793</f>
        <v>AttrEmissions_</v>
      </c>
      <c r="S882" s="119" t="str">
        <f>IF(S793,SUM(I882),"")</f>
        <v/>
      </c>
      <c r="T882" s="119" t="str">
        <f>IF(T793,SUM(J882),"")</f>
        <v/>
      </c>
      <c r="U882" s="119" t="str">
        <f>IF(U793,SUM(K882),"")</f>
        <v/>
      </c>
      <c r="V882" s="119" t="str">
        <f>IF(V793,SUM(L882),"")</f>
        <v/>
      </c>
      <c r="W882" s="120" t="str">
        <f>IF(W793,SUM(M882),"")</f>
        <v/>
      </c>
    </row>
    <row r="883" spans="2:27" ht="12.75" customHeight="1" x14ac:dyDescent="0.2">
      <c r="B883" s="207"/>
      <c r="C883" s="1060"/>
      <c r="D883" s="699" t="s">
        <v>458</v>
      </c>
      <c r="E883" s="1769" t="str">
        <f>Translations!$B$748</f>
        <v>Nota uzupełniająca: Emisje pochodzące z biomasy</v>
      </c>
      <c r="F883" s="1769"/>
      <c r="G883" s="1769"/>
      <c r="H883" s="544" t="str">
        <f>EUconst_tCO2pa</f>
        <v>t CO2 / rok</v>
      </c>
      <c r="I883" s="324" t="str">
        <f>IF(ISNUMBER(I882),3.664*I878*(I880/100)*(I881/100),"")</f>
        <v/>
      </c>
      <c r="J883" s="324" t="str">
        <f>IF(ISNUMBER(J882),3.664*J878*(J880/100)*(J881/100),"")</f>
        <v/>
      </c>
      <c r="K883" s="324" t="str">
        <f>IF(ISNUMBER(K882),3.664*K878*(K880/100)*(K881/100),"")</f>
        <v/>
      </c>
      <c r="L883" s="324" t="str">
        <f>IF(ISNUMBER(L882),3.664*L878*(L880/100)*(L881/100),"")</f>
        <v/>
      </c>
      <c r="M883" s="324" t="str">
        <f>IF(ISNUMBER(M882),3.664*M878*(M880/100)*(M881/100),"")</f>
        <v/>
      </c>
      <c r="N883" s="665"/>
      <c r="O883" s="16"/>
      <c r="P883" s="1037"/>
      <c r="R883" s="1037"/>
    </row>
    <row r="884" spans="2:27" ht="12.75" customHeight="1" x14ac:dyDescent="0.2">
      <c r="B884" s="207"/>
      <c r="C884" s="1060"/>
      <c r="D884" s="699" t="s">
        <v>459</v>
      </c>
      <c r="E884" s="1744" t="str">
        <f>Translations!$B$749</f>
        <v>Zawartość energii (obliczona)</v>
      </c>
      <c r="F884" s="1744"/>
      <c r="G884" s="1744"/>
      <c r="H884" s="545" t="str">
        <f>EUconst_TJpa</f>
        <v>TJ / rok</v>
      </c>
      <c r="I884" s="327" t="str">
        <f>IF(COUNT(I878:I879)=2,I878*I879/1000,"")</f>
        <v/>
      </c>
      <c r="J884" s="327" t="str">
        <f>IF(COUNT(J878:J879)=2,J878*J879/1000,"")</f>
        <v/>
      </c>
      <c r="K884" s="327" t="str">
        <f>IF(COUNT(K878:K879)=2,K878*K879/1000,"")</f>
        <v/>
      </c>
      <c r="L884" s="327" t="str">
        <f>IF(COUNT(L878:L879)=2,L878*L879/1000,"")</f>
        <v/>
      </c>
      <c r="M884" s="327" t="str">
        <f>IF(COUNT(M878:M879)=2,M878*M879/1000,"")</f>
        <v/>
      </c>
      <c r="N884" s="665"/>
      <c r="O884" s="16"/>
      <c r="P884" s="1037"/>
      <c r="R884" s="1037"/>
    </row>
    <row r="885" spans="2:27" ht="12.75" customHeight="1" x14ac:dyDescent="0.2">
      <c r="B885" s="207"/>
      <c r="C885" s="1060"/>
      <c r="D885" s="699" t="s">
        <v>455</v>
      </c>
      <c r="E885" s="1770" t="str">
        <f>Translations!$B$750</f>
        <v>Komunikaty o błędach (emisje)</v>
      </c>
      <c r="F885" s="1770"/>
      <c r="G885" s="1770"/>
      <c r="H885" s="546"/>
      <c r="I885" s="666" t="str">
        <f>IF(COUNT(I878,I880:I881)&gt;0,IF(COUNTIF(I879:I881,"&lt;0")&gt;0,EUconst_Negative,IF(COUNT(I878,I880:I881)&lt;3,EUconst_Incomplete,"")),"")</f>
        <v/>
      </c>
      <c r="J885" s="666" t="str">
        <f>IF(COUNT(J878,J880:J881)&gt;0,IF(COUNTIF(J879:J881,"&lt;0")&gt;0,EUconst_Negative,IF(COUNT(J878,J880:J881)&lt;3,EUconst_Incomplete,"")),"")</f>
        <v/>
      </c>
      <c r="K885" s="666" t="str">
        <f>IF(COUNT(K878,K880:K881)&gt;0,IF(COUNTIF(K879:K881,"&lt;0")&gt;0,EUconst_Negative,IF(COUNT(K878,K880:K881)&lt;3,EUconst_Incomplete,"")),"")</f>
        <v/>
      </c>
      <c r="L885" s="666" t="str">
        <f>IF(COUNT(L878,L880:L881)&gt;0,IF(COUNTIF(L879:L881,"&lt;0")&gt;0,EUconst_Negative,IF(COUNT(L878,L880:L881)&lt;3,EUconst_Incomplete,"")),"")</f>
        <v/>
      </c>
      <c r="M885" s="666" t="str">
        <f>IF(COUNT(M878,M880:M881)&gt;0,IF(COUNTIF(M879:M881,"&lt;0")&gt;0,EUconst_Negative,IF(COUNT(M878,M880:M881)&lt;3,EUconst_Incomplete,"")),"")</f>
        <v/>
      </c>
      <c r="N885" s="665"/>
      <c r="O885" s="16"/>
      <c r="P885" s="1037"/>
      <c r="R885" s="1037"/>
    </row>
    <row r="886" spans="2:27" ht="12.75" customHeight="1" x14ac:dyDescent="0.2">
      <c r="B886" s="207"/>
      <c r="C886" s="1060"/>
      <c r="D886" s="1061"/>
      <c r="E886" s="1061"/>
      <c r="F886" s="1061"/>
      <c r="G886" s="1061"/>
      <c r="H886" s="1061"/>
      <c r="I886" s="1061"/>
      <c r="J886" s="1061"/>
      <c r="K886" s="1061"/>
      <c r="L886" s="1061"/>
      <c r="M886" s="1063"/>
      <c r="N886" s="665"/>
      <c r="O886" s="16"/>
      <c r="P886" s="1037"/>
      <c r="R886" s="1037"/>
    </row>
    <row r="887" spans="2:27" ht="12.75" customHeight="1" thickBot="1" x14ac:dyDescent="0.25">
      <c r="B887" s="207"/>
      <c r="C887" s="1060"/>
      <c r="D887" s="462" t="s">
        <v>218</v>
      </c>
      <c r="E887" s="1731" t="str">
        <f>Translations!$B$753</f>
        <v>Ilość gazów cieplarnianych wprowadzonych lub wyprowadzonych w charakterze materiałów wsadowych</v>
      </c>
      <c r="F887" s="1734"/>
      <c r="G887" s="1734"/>
      <c r="H887" s="1734"/>
      <c r="I887" s="1734"/>
      <c r="J887" s="1734"/>
      <c r="K887" s="1734"/>
      <c r="L887" s="1734"/>
      <c r="M887" s="1734"/>
      <c r="N887" s="1735"/>
      <c r="O887" s="16"/>
      <c r="P887" s="1037"/>
      <c r="R887" s="1037"/>
    </row>
    <row r="888" spans="2:27" ht="12.75" customHeight="1" x14ac:dyDescent="0.2">
      <c r="B888" s="207"/>
      <c r="C888" s="1060"/>
      <c r="D888" s="462"/>
      <c r="E888" s="1757"/>
      <c r="F888" s="1758"/>
      <c r="G888" s="1758"/>
      <c r="H888" s="450" t="str">
        <f>EUconst_Unit</f>
        <v>Jednostka</v>
      </c>
      <c r="I888" s="451">
        <f>I$1882</f>
        <v>2014</v>
      </c>
      <c r="J888" s="451">
        <f>J$1882</f>
        <v>2015</v>
      </c>
      <c r="K888" s="451">
        <f>K$1882</f>
        <v>2016</v>
      </c>
      <c r="L888" s="451">
        <f>L$1882</f>
        <v>2017</v>
      </c>
      <c r="M888" s="451">
        <f>M$1882</f>
        <v>2018</v>
      </c>
      <c r="N888" s="665"/>
      <c r="O888" s="16"/>
      <c r="P888" s="1037"/>
      <c r="R888" s="1052"/>
      <c r="S888" s="814">
        <f>I888</f>
        <v>2014</v>
      </c>
      <c r="T888" s="814">
        <f>J888</f>
        <v>2015</v>
      </c>
      <c r="U888" s="814">
        <f>K888</f>
        <v>2016</v>
      </c>
      <c r="V888" s="814">
        <f>L888</f>
        <v>2017</v>
      </c>
      <c r="W888" s="815">
        <f>M888</f>
        <v>2018</v>
      </c>
    </row>
    <row r="889" spans="2:27" ht="12.75" customHeight="1" thickBot="1" x14ac:dyDescent="0.25">
      <c r="B889" s="207"/>
      <c r="C889" s="1060"/>
      <c r="D889" s="699"/>
      <c r="E889" s="1739" t="str">
        <f>Translations!$B$756</f>
        <v>Wprowadzone lub wyprowadzone gazy cieplarniane</v>
      </c>
      <c r="F889" s="1740"/>
      <c r="G889" s="1740"/>
      <c r="H889" s="453" t="str">
        <f>EUconst_tCO2epa</f>
        <v>t CO2e/rok</v>
      </c>
      <c r="I889" s="471"/>
      <c r="J889" s="471"/>
      <c r="K889" s="471"/>
      <c r="L889" s="471"/>
      <c r="M889" s="471"/>
      <c r="N889" s="1257"/>
      <c r="O889" s="16"/>
      <c r="P889" s="1062" t="str">
        <f>EUconst_CNTR_CO2Feedstock &amp; I793</f>
        <v>EmCO2Feedstock_</v>
      </c>
      <c r="R889" s="1053" t="str">
        <f>EUconst_CNTR_AttributedEmissions &amp; I793</f>
        <v>AttrEmissions_</v>
      </c>
      <c r="S889" s="119" t="str">
        <f>IF(S793,SUM(I889),"")</f>
        <v/>
      </c>
      <c r="T889" s="119" t="str">
        <f>IF(T793,SUM(J889),"")</f>
        <v/>
      </c>
      <c r="U889" s="119" t="str">
        <f>IF(U793,SUM(K889),"")</f>
        <v/>
      </c>
      <c r="V889" s="119" t="str">
        <f>IF(V793,SUM(L889),"")</f>
        <v/>
      </c>
      <c r="W889" s="120" t="str">
        <f>IF(W793,SUM(M889),"")</f>
        <v/>
      </c>
    </row>
    <row r="890" spans="2:27" ht="12.75" customHeight="1" x14ac:dyDescent="0.2">
      <c r="B890" s="207"/>
      <c r="C890" s="1060"/>
      <c r="D890" s="1061"/>
      <c r="E890" s="1061"/>
      <c r="F890" s="1061"/>
      <c r="G890" s="1061"/>
      <c r="H890" s="1061"/>
      <c r="I890" s="1061"/>
      <c r="J890" s="1061"/>
      <c r="K890" s="1061"/>
      <c r="L890" s="1061"/>
      <c r="M890" s="1063"/>
      <c r="N890" s="665"/>
      <c r="O890" s="16"/>
      <c r="P890" s="1037"/>
      <c r="R890" s="1037"/>
    </row>
    <row r="891" spans="2:27" ht="12.75" customHeight="1" x14ac:dyDescent="0.2">
      <c r="B891" s="207"/>
      <c r="C891" s="1060"/>
      <c r="D891" s="462" t="s">
        <v>219</v>
      </c>
      <c r="E891" s="1731" t="str">
        <f>Translations!$B$757</f>
        <v>Mierzalne ciepło wprowadzone do tej podinstalacji i z niej wyprowadzone</v>
      </c>
      <c r="F891" s="1734"/>
      <c r="G891" s="1734"/>
      <c r="H891" s="1734"/>
      <c r="I891" s="1734"/>
      <c r="J891" s="1734"/>
      <c r="K891" s="1734"/>
      <c r="L891" s="1734"/>
      <c r="M891" s="1734"/>
      <c r="N891" s="1735"/>
      <c r="O891" s="16"/>
      <c r="P891" s="1037"/>
      <c r="R891" s="1037"/>
    </row>
    <row r="892" spans="2:27" ht="12.75" customHeight="1" thickBot="1" x14ac:dyDescent="0.25">
      <c r="B892" s="207"/>
      <c r="C892" s="1060"/>
      <c r="D892" s="1061"/>
      <c r="E892" s="1674" t="str">
        <f>Translations!$B$762</f>
        <v>W celu przypisania emisji z kogeneracji (CHP) do wytwarzania ciepła należy zastosować „narzędzie dotyczące CHP” w części D.III. niniejszego formularza.</v>
      </c>
      <c r="F892" s="1674"/>
      <c r="G892" s="1674"/>
      <c r="H892" s="1674"/>
      <c r="I892" s="1674"/>
      <c r="J892" s="1674"/>
      <c r="K892" s="1674"/>
      <c r="L892" s="1674"/>
      <c r="M892" s="1674"/>
      <c r="N892" s="1257"/>
      <c r="O892" s="16"/>
      <c r="P892" s="1037"/>
    </row>
    <row r="893" spans="2:27" ht="12.75" customHeight="1" x14ac:dyDescent="0.2">
      <c r="B893" s="207"/>
      <c r="C893" s="1060"/>
      <c r="D893" s="1061"/>
      <c r="E893" s="1757" t="str">
        <f>Translations!$B$763</f>
        <v>Całkowite ciepło wprowadzone</v>
      </c>
      <c r="F893" s="1758"/>
      <c r="G893" s="1758"/>
      <c r="H893" s="450" t="str">
        <f>EUconst_Unit</f>
        <v>Jednostka</v>
      </c>
      <c r="I893" s="451">
        <f>I$1882</f>
        <v>2014</v>
      </c>
      <c r="J893" s="451">
        <f>J$1882</f>
        <v>2015</v>
      </c>
      <c r="K893" s="451">
        <f>K$1882</f>
        <v>2016</v>
      </c>
      <c r="L893" s="451">
        <f>L$1882</f>
        <v>2017</v>
      </c>
      <c r="M893" s="451">
        <f>M$1882</f>
        <v>2018</v>
      </c>
      <c r="N893" s="1257"/>
      <c r="O893" s="16"/>
      <c r="P893" s="1037"/>
      <c r="R893" s="1052"/>
      <c r="S893" s="814">
        <f>I893</f>
        <v>2014</v>
      </c>
      <c r="T893" s="814">
        <f>J893</f>
        <v>2015</v>
      </c>
      <c r="U893" s="814">
        <f>K893</f>
        <v>2016</v>
      </c>
      <c r="V893" s="814">
        <f>L893</f>
        <v>2017</v>
      </c>
      <c r="W893" s="815">
        <f>M893</f>
        <v>2018</v>
      </c>
    </row>
    <row r="894" spans="2:27" ht="12.75" customHeight="1" x14ac:dyDescent="0.2">
      <c r="B894" s="207"/>
      <c r="C894" s="1060"/>
      <c r="D894" s="699" t="s">
        <v>2</v>
      </c>
      <c r="E894" s="1739" t="str">
        <f>Translations!$B$764</f>
        <v>Ciepło wprowadzone netto</v>
      </c>
      <c r="F894" s="1740"/>
      <c r="G894" s="1740"/>
      <c r="H894" s="453" t="str">
        <f>EUconst_TJpa</f>
        <v>TJ / rok</v>
      </c>
      <c r="I894" s="471"/>
      <c r="J894" s="471"/>
      <c r="K894" s="471"/>
      <c r="L894" s="471"/>
      <c r="M894" s="471"/>
      <c r="N894" s="702"/>
      <c r="O894" s="16"/>
      <c r="P894" s="1062" t="str">
        <f>EUconst_CNTR_HeatImport &amp; I793</f>
        <v>HeatIm_</v>
      </c>
      <c r="R894" s="1064" t="str">
        <f>EUconst_ERR_AttrEmBMapplied &amp; I793</f>
        <v>ERR_AttrEmBM_ </v>
      </c>
      <c r="S894" s="116">
        <f>IF(AND(I894&lt;&gt;0,I895="",EUconst_StatusOfDataCollection=FALSE),1,0)</f>
        <v>0</v>
      </c>
      <c r="T894" s="116">
        <f>IF(AND(J894&lt;&gt;0,J895="",EUconst_StatusOfDataCollection=FALSE),1,0)</f>
        <v>0</v>
      </c>
      <c r="U894" s="116">
        <f>IF(AND(K894&lt;&gt;0,K895="",EUconst_StatusOfDataCollection=FALSE),1,0)</f>
        <v>0</v>
      </c>
      <c r="V894" s="116">
        <f>IF(AND(L894&lt;&gt;0,L895="",EUconst_StatusOfDataCollection=FALSE),1,0)</f>
        <v>0</v>
      </c>
      <c r="W894" s="117">
        <f>IF(AND(M894&lt;&gt;0,M895="",EUconst_StatusOfDataCollection=FALSE),1,0)</f>
        <v>0</v>
      </c>
      <c r="X894" s="45"/>
    </row>
    <row r="895" spans="2:27" ht="12.75" customHeight="1" thickBot="1" x14ac:dyDescent="0.25">
      <c r="B895" s="207"/>
      <c r="C895" s="1060"/>
      <c r="D895" s="699" t="s">
        <v>3</v>
      </c>
      <c r="E895" s="1739" t="str">
        <f>Translations!$B$765</f>
        <v>Właściwy współczynnik emisji (ciepło wprowadzone)</v>
      </c>
      <c r="F895" s="1740"/>
      <c r="G895" s="1740"/>
      <c r="H895" s="453" t="str">
        <f>EUconst_tCO2pTJ</f>
        <v>t CO2 / TJ</v>
      </c>
      <c r="I895" s="764"/>
      <c r="J895" s="764"/>
      <c r="K895" s="764"/>
      <c r="L895" s="764"/>
      <c r="M895" s="764"/>
      <c r="N895" s="665"/>
      <c r="O895" s="16"/>
      <c r="P895" s="1062" t="str">
        <f>EUconst_CNTR_HeatImportEF &amp; I793</f>
        <v>HeatImEF_</v>
      </c>
      <c r="R895" s="1053" t="str">
        <f>EUconst_CNTR_AttributedEmissions &amp; I793</f>
        <v>AttrEmissions_</v>
      </c>
      <c r="S895" s="119" t="str">
        <f>IF(S793,SUM(I894)*IF(ISNUMBER(I895),I895,EUconst_HeatBMvalue),"")</f>
        <v/>
      </c>
      <c r="T895" s="119" t="str">
        <f>IF(T793,SUM(J894)*IF(ISNUMBER(J895),J895,EUconst_HeatBMvalue),"")</f>
        <v/>
      </c>
      <c r="U895" s="119" t="str">
        <f>IF(U793,SUM(K894)*IF(ISNUMBER(K895),K895,EUconst_HeatBMvalue),"")</f>
        <v/>
      </c>
      <c r="V895" s="119" t="str">
        <f>IF(V793,SUM(L894)*IF(ISNUMBER(L895),L895,EUconst_HeatBMvalue),"")</f>
        <v/>
      </c>
      <c r="W895" s="120" t="str">
        <f>IF(W793,SUM(M894)*IF(ISNUMBER(M895),M895,EUconst_HeatBMvalue),"")</f>
        <v/>
      </c>
    </row>
    <row r="896" spans="2:27" ht="5.0999999999999996" customHeight="1" x14ac:dyDescent="0.2">
      <c r="B896" s="207"/>
      <c r="C896" s="1060"/>
      <c r="D896" s="1061"/>
      <c r="E896" s="1061"/>
      <c r="F896" s="1061"/>
      <c r="G896" s="1061"/>
      <c r="H896" s="1061"/>
      <c r="I896" s="1061"/>
      <c r="J896" s="1061"/>
      <c r="K896" s="1061"/>
      <c r="L896" s="1061"/>
      <c r="M896" s="1063"/>
      <c r="N896" s="665"/>
      <c r="O896" s="16"/>
      <c r="P896" s="1037"/>
      <c r="R896" s="1037"/>
      <c r="S896" s="1037"/>
    </row>
    <row r="897" spans="2:27" ht="12.75" customHeight="1" x14ac:dyDescent="0.2">
      <c r="B897" s="207"/>
      <c r="C897" s="1060"/>
      <c r="D897" s="1061"/>
      <c r="E897" s="1757" t="str">
        <f>Translations!$B$766</f>
        <v>Szczególne wprowadzenie ciepła</v>
      </c>
      <c r="F897" s="1757"/>
      <c r="G897" s="1757"/>
      <c r="H897" s="450" t="str">
        <f>EUconst_Unit</f>
        <v>Jednostka</v>
      </c>
      <c r="I897" s="451">
        <f>I$1882</f>
        <v>2014</v>
      </c>
      <c r="J897" s="451">
        <f>J$1882</f>
        <v>2015</v>
      </c>
      <c r="K897" s="451">
        <f>K$1882</f>
        <v>2016</v>
      </c>
      <c r="L897" s="451">
        <f>L$1882</f>
        <v>2017</v>
      </c>
      <c r="M897" s="451">
        <f>M$1882</f>
        <v>2018</v>
      </c>
      <c r="N897" s="1257"/>
      <c r="O897" s="16"/>
      <c r="P897" s="1037"/>
      <c r="R897" s="1037"/>
      <c r="S897" s="1037"/>
    </row>
    <row r="898" spans="2:27" ht="12.75" customHeight="1" x14ac:dyDescent="0.2">
      <c r="B898" s="207"/>
      <c r="C898" s="1060"/>
      <c r="D898" s="699" t="s">
        <v>4</v>
      </c>
      <c r="E898" s="1739" t="str">
        <f>Translations!$B$820</f>
        <v>Ciepło wprowadzone netto z masy celulozowej</v>
      </c>
      <c r="F898" s="1740"/>
      <c r="G898" s="1740"/>
      <c r="H898" s="453" t="str">
        <f>EUconst_TJpa</f>
        <v>TJ / rok</v>
      </c>
      <c r="I898" s="540"/>
      <c r="J898" s="540"/>
      <c r="K898" s="540"/>
      <c r="L898" s="540"/>
      <c r="M898" s="540"/>
      <c r="N898" s="702"/>
      <c r="O898" s="16"/>
      <c r="P898" s="1062" t="str">
        <f>EUconst_CNTR_HeatImportPulp &amp; I793</f>
        <v>HeatImPulp_</v>
      </c>
      <c r="R898" s="1037"/>
      <c r="S898" s="1037"/>
    </row>
    <row r="899" spans="2:27" ht="12.75" customHeight="1" x14ac:dyDescent="0.2">
      <c r="B899" s="207"/>
      <c r="C899" s="1060"/>
      <c r="D899" s="699" t="s">
        <v>6</v>
      </c>
      <c r="E899" s="1739" t="str">
        <f>Translations!$B$768</f>
        <v>Ciepło wprowadzone netto z podinstalacji wytwarzającej kwas azotowy</v>
      </c>
      <c r="F899" s="1740"/>
      <c r="G899" s="1740"/>
      <c r="H899" s="453" t="str">
        <f>EUconst_TJpa</f>
        <v>TJ / rok</v>
      </c>
      <c r="I899" s="471"/>
      <c r="J899" s="471"/>
      <c r="K899" s="471"/>
      <c r="L899" s="471"/>
      <c r="M899" s="471"/>
      <c r="N899" s="702"/>
      <c r="O899" s="16"/>
      <c r="P899" s="1062" t="str">
        <f>EUconst_CNTR_HeatImportNitric &amp; I793</f>
        <v>HeatImNitric_</v>
      </c>
      <c r="R899" s="1037"/>
      <c r="S899" s="1037"/>
    </row>
    <row r="900" spans="2:27" ht="5.0999999999999996" customHeight="1" thickBot="1" x14ac:dyDescent="0.25">
      <c r="B900" s="207"/>
      <c r="C900" s="1060"/>
      <c r="D900" s="1061"/>
      <c r="E900" s="1061"/>
      <c r="F900" s="1061"/>
      <c r="G900" s="1061"/>
      <c r="H900" s="1061"/>
      <c r="I900" s="1061"/>
      <c r="J900" s="1061"/>
      <c r="K900" s="1061"/>
      <c r="L900" s="1061"/>
      <c r="M900" s="1063"/>
      <c r="N900" s="665"/>
      <c r="O900" s="16"/>
      <c r="P900" s="1037"/>
      <c r="R900" s="1037"/>
      <c r="S900" s="1037"/>
    </row>
    <row r="901" spans="2:27" ht="12.75" customHeight="1" x14ac:dyDescent="0.2">
      <c r="B901" s="207"/>
      <c r="C901" s="1060"/>
      <c r="D901" s="1061"/>
      <c r="E901" s="1757" t="str">
        <f>Translations!$B$769</f>
        <v>Całkowite ciepło wyprowadzone</v>
      </c>
      <c r="F901" s="1757"/>
      <c r="G901" s="1757"/>
      <c r="H901" s="450" t="str">
        <f>EUconst_Unit</f>
        <v>Jednostka</v>
      </c>
      <c r="I901" s="451">
        <f>I$1882</f>
        <v>2014</v>
      </c>
      <c r="J901" s="451">
        <f>J$1882</f>
        <v>2015</v>
      </c>
      <c r="K901" s="451">
        <f>K$1882</f>
        <v>2016</v>
      </c>
      <c r="L901" s="451">
        <f>L$1882</f>
        <v>2017</v>
      </c>
      <c r="M901" s="451">
        <f>M$1882</f>
        <v>2018</v>
      </c>
      <c r="N901" s="1257"/>
      <c r="O901" s="16"/>
      <c r="P901" s="1037"/>
      <c r="R901" s="1052"/>
      <c r="S901" s="814">
        <f>I901</f>
        <v>2014</v>
      </c>
      <c r="T901" s="814">
        <f>J901</f>
        <v>2015</v>
      </c>
      <c r="U901" s="814">
        <f>K901</f>
        <v>2016</v>
      </c>
      <c r="V901" s="814">
        <f>L901</f>
        <v>2017</v>
      </c>
      <c r="W901" s="815">
        <f>M901</f>
        <v>2018</v>
      </c>
    </row>
    <row r="902" spans="2:27" ht="12.75" customHeight="1" x14ac:dyDescent="0.2">
      <c r="B902" s="207"/>
      <c r="C902" s="1060"/>
      <c r="D902" s="699" t="s">
        <v>316</v>
      </c>
      <c r="E902" s="1739" t="str">
        <f>Translations!$B$770</f>
        <v>Ciepło wyprowadzone netto</v>
      </c>
      <c r="F902" s="1740"/>
      <c r="G902" s="1740"/>
      <c r="H902" s="453" t="str">
        <f>EUconst_TJpa</f>
        <v>TJ / rok</v>
      </c>
      <c r="I902" s="471"/>
      <c r="J902" s="471"/>
      <c r="K902" s="471"/>
      <c r="L902" s="471"/>
      <c r="M902" s="471"/>
      <c r="N902" s="702"/>
      <c r="O902" s="16"/>
      <c r="P902" s="1062" t="str">
        <f>EUconst_CNTR_HeatExport &amp; I793</f>
        <v>HeatEx_</v>
      </c>
      <c r="R902" s="1064" t="str">
        <f>EUconst_ERR_AttrEmBMapplied &amp; I793</f>
        <v>ERR_AttrEmBM_ </v>
      </c>
      <c r="S902" s="116">
        <f>IF(AND(I902&lt;&gt;0,I903="",EUconst_StatusOfDataCollection=FALSE),1,0)</f>
        <v>0</v>
      </c>
      <c r="T902" s="116">
        <f>IF(AND(J902&lt;&gt;0,J903="",EUconst_StatusOfDataCollection=FALSE),1,0)</f>
        <v>0</v>
      </c>
      <c r="U902" s="116">
        <f>IF(AND(K902&lt;&gt;0,K903="",EUconst_StatusOfDataCollection=FALSE),1,0)</f>
        <v>0</v>
      </c>
      <c r="V902" s="116">
        <f>IF(AND(L902&lt;&gt;0,L903="",EUconst_StatusOfDataCollection=FALSE),1,0)</f>
        <v>0</v>
      </c>
      <c r="W902" s="117">
        <f>IF(AND(M902&lt;&gt;0,M903="",EUconst_StatusOfDataCollection=FALSE),1,0)</f>
        <v>0</v>
      </c>
    </row>
    <row r="903" spans="2:27" ht="12.75" customHeight="1" thickBot="1" x14ac:dyDescent="0.25">
      <c r="B903" s="207"/>
      <c r="C903" s="1060"/>
      <c r="D903" s="699" t="s">
        <v>317</v>
      </c>
      <c r="E903" s="1739" t="str">
        <f>Translations!$B$771</f>
        <v>Właściwy współczynnik emisji (ciepło wyprowadzone)</v>
      </c>
      <c r="F903" s="1740"/>
      <c r="G903" s="1740"/>
      <c r="H903" s="453" t="str">
        <f>EUconst_tCO2pTJ</f>
        <v>t CO2 / TJ</v>
      </c>
      <c r="I903" s="764"/>
      <c r="J903" s="764"/>
      <c r="K903" s="764"/>
      <c r="L903" s="764"/>
      <c r="M903" s="764"/>
      <c r="N903" s="665"/>
      <c r="O903" s="16"/>
      <c r="P903" s="1062" t="str">
        <f>EUconst_CNTR_HeatExportEF &amp; I793</f>
        <v>HeatExEF_</v>
      </c>
      <c r="R903" s="1053" t="str">
        <f>EUconst_CNTR_AttributedEmissions &amp; I793</f>
        <v>AttrEmissions_</v>
      </c>
      <c r="S903" s="119" t="str">
        <f>IF(S793,-SUM(I902)*IF(INDEX(EUconst_BMlistNumberOfBM,MATCH($I793,EUconst_BMlistNames,0))=39,0,IF(ISNUMBER(I903),I903,EUconst_HeatBMvalue)),"")</f>
        <v/>
      </c>
      <c r="T903" s="119" t="str">
        <f>IF(T793,-SUM(J902)*IF(INDEX(EUconst_BMlistNumberOfBM,MATCH($I793,EUconst_BMlistNames,0))=39,0,IF(ISNUMBER(J903),J903,EUconst_HeatBMvalue)),"")</f>
        <v/>
      </c>
      <c r="U903" s="119" t="str">
        <f>IF(U793,-SUM(K902)*IF(INDEX(EUconst_BMlistNumberOfBM,MATCH($I793,EUconst_BMlistNames,0))=39,0,IF(ISNUMBER(K903),K903,EUconst_HeatBMvalue)),"")</f>
        <v/>
      </c>
      <c r="V903" s="119" t="str">
        <f>IF(V793,-SUM(L902)*IF(INDEX(EUconst_BMlistNumberOfBM,MATCH($I793,EUconst_BMlistNames,0))=39,0,IF(ISNUMBER(L903),L903,EUconst_HeatBMvalue)),"")</f>
        <v/>
      </c>
      <c r="W903" s="120" t="str">
        <f>IF(W793,-SUM(M902)*IF(INDEX(EUconst_BMlistNumberOfBM,MATCH($I793,EUconst_BMlistNames,0))=39,0,IF(ISNUMBER(M903),M903,EUconst_HeatBMvalue)),"")</f>
        <v/>
      </c>
    </row>
    <row r="904" spans="2:27" ht="12.75" customHeight="1" x14ac:dyDescent="0.2">
      <c r="B904" s="207"/>
      <c r="C904" s="1060"/>
      <c r="D904" s="1061"/>
      <c r="E904" s="1061"/>
      <c r="F904" s="1061"/>
      <c r="G904" s="1061"/>
      <c r="H904" s="1061"/>
      <c r="I904" s="1061"/>
      <c r="J904" s="1061"/>
      <c r="K904" s="1061"/>
      <c r="L904" s="1061"/>
      <c r="M904" s="1063"/>
      <c r="N904" s="665"/>
      <c r="O904" s="16"/>
      <c r="P904" s="1037"/>
      <c r="R904" s="1037"/>
      <c r="S904" s="1037"/>
    </row>
    <row r="905" spans="2:27" ht="12.75" customHeight="1" x14ac:dyDescent="0.2">
      <c r="B905" s="207"/>
      <c r="C905" s="1060"/>
      <c r="D905" s="462" t="s">
        <v>220</v>
      </c>
      <c r="E905" s="1731" t="str">
        <f>Translations!$B$772</f>
        <v>Bilans gazów odlotowych dla tej podinstalacji</v>
      </c>
      <c r="F905" s="1734"/>
      <c r="G905" s="1734"/>
      <c r="H905" s="1734"/>
      <c r="I905" s="1734"/>
      <c r="J905" s="1734"/>
      <c r="K905" s="1734"/>
      <c r="L905" s="1734"/>
      <c r="M905" s="1734"/>
      <c r="N905" s="1735"/>
      <c r="O905" s="16"/>
      <c r="P905" s="1037"/>
      <c r="R905" s="1037"/>
      <c r="S905" s="1037"/>
    </row>
    <row r="906" spans="2:27" ht="5.0999999999999996" customHeight="1" thickBot="1" x14ac:dyDescent="0.25">
      <c r="B906" s="207"/>
      <c r="C906" s="1060"/>
      <c r="D906" s="1061"/>
      <c r="E906" s="1733"/>
      <c r="F906" s="1733"/>
      <c r="G906" s="1733"/>
      <c r="H906" s="1733"/>
      <c r="I906" s="1733"/>
      <c r="J906" s="1733"/>
      <c r="K906" s="1733"/>
      <c r="L906" s="1733"/>
      <c r="M906" s="1733"/>
      <c r="N906" s="1768"/>
      <c r="O906" s="16"/>
      <c r="P906" s="1037"/>
      <c r="R906" s="1037"/>
      <c r="S906" s="1037"/>
    </row>
    <row r="907" spans="2:27" ht="12.75" customHeight="1" thickBot="1" x14ac:dyDescent="0.25">
      <c r="B907" s="207"/>
      <c r="C907" s="1060"/>
      <c r="D907" s="699" t="s">
        <v>2</v>
      </c>
      <c r="E907" s="1741" t="str">
        <f>Translations!$B$773</f>
        <v>Czy gazy odlotowe dotyczą tej podinstalacji?</v>
      </c>
      <c r="F907" s="1741"/>
      <c r="G907" s="1741"/>
      <c r="H907" s="1741"/>
      <c r="I907" s="1741"/>
      <c r="J907" s="1741"/>
      <c r="K907" s="1742"/>
      <c r="L907" s="517"/>
      <c r="M907" s="1253"/>
      <c r="N907" s="1254"/>
      <c r="O907" s="16"/>
      <c r="P907" s="1037"/>
      <c r="R907" s="1037"/>
      <c r="W907" s="1048" t="s">
        <v>414</v>
      </c>
      <c r="X907" s="1046" t="b">
        <f>IF(AND(I793&lt;&gt;"",ISBLANK(L907)),EUconst_Error&amp;"BM"&amp;C793,FALSE)</f>
        <v>0</v>
      </c>
    </row>
    <row r="908" spans="2:27" ht="5.0999999999999996" customHeight="1" thickBot="1" x14ac:dyDescent="0.25">
      <c r="B908" s="207"/>
      <c r="C908" s="1060"/>
      <c r="D908" s="1061"/>
      <c r="E908" s="1733"/>
      <c r="F908" s="1734"/>
      <c r="G908" s="1734"/>
      <c r="H908" s="1734"/>
      <c r="I908" s="1734"/>
      <c r="J908" s="1734"/>
      <c r="K908" s="1734"/>
      <c r="L908" s="1734"/>
      <c r="M908" s="1734"/>
      <c r="N908" s="1735"/>
      <c r="O908" s="16"/>
      <c r="P908" s="1037"/>
      <c r="R908" s="1037"/>
      <c r="AA908" s="422" t="s">
        <v>272</v>
      </c>
    </row>
    <row r="909" spans="2:27" ht="12.75" customHeight="1" x14ac:dyDescent="0.2">
      <c r="B909" s="207"/>
      <c r="C909" s="1060"/>
      <c r="D909" s="699" t="s">
        <v>3</v>
      </c>
      <c r="E909" s="1760" t="str">
        <f>Translations!$B$775</f>
        <v>Rodzaje wytworzonych gazów odlotowych:</v>
      </c>
      <c r="F909" s="1760"/>
      <c r="G909" s="1760"/>
      <c r="H909" s="1760"/>
      <c r="I909" s="1763"/>
      <c r="J909" s="1764"/>
      <c r="K909" s="1764"/>
      <c r="L909" s="1764"/>
      <c r="M909" s="1765"/>
      <c r="N909" s="1254"/>
      <c r="O909" s="16"/>
      <c r="P909" s="1037"/>
      <c r="R909" s="1037"/>
      <c r="AA909" s="646" t="b">
        <f>IF(I793&lt;&gt;"",AND(L907&lt;&gt;"",L907=FALSE),FALSE)</f>
        <v>0</v>
      </c>
    </row>
    <row r="910" spans="2:27" ht="5.0999999999999996" customHeight="1" x14ac:dyDescent="0.2">
      <c r="B910" s="207"/>
      <c r="C910" s="1060"/>
      <c r="D910" s="1061"/>
      <c r="E910" s="1733"/>
      <c r="F910" s="1734"/>
      <c r="G910" s="1734"/>
      <c r="H910" s="1734"/>
      <c r="I910" s="1734"/>
      <c r="J910" s="1734"/>
      <c r="K910" s="1734"/>
      <c r="L910" s="1734"/>
      <c r="M910" s="1734"/>
      <c r="N910" s="1735"/>
      <c r="O910" s="16"/>
      <c r="P910" s="1037"/>
      <c r="R910" s="1037"/>
      <c r="S910" s="1037"/>
      <c r="AA910" s="608"/>
    </row>
    <row r="911" spans="2:27" ht="12.75" customHeight="1" x14ac:dyDescent="0.2">
      <c r="B911" s="207"/>
      <c r="C911" s="1060"/>
      <c r="D911" s="1061"/>
      <c r="E911" s="1757"/>
      <c r="F911" s="1758"/>
      <c r="G911" s="1758"/>
      <c r="H911" s="450" t="str">
        <f>EUconst_Unit</f>
        <v>Jednostka</v>
      </c>
      <c r="I911" s="451">
        <f>I$1882</f>
        <v>2014</v>
      </c>
      <c r="J911" s="451">
        <f>J$1882</f>
        <v>2015</v>
      </c>
      <c r="K911" s="451">
        <f>K$1882</f>
        <v>2016</v>
      </c>
      <c r="L911" s="451">
        <f>L$1882</f>
        <v>2017</v>
      </c>
      <c r="M911" s="451">
        <f>M$1882</f>
        <v>2018</v>
      </c>
      <c r="N911" s="1257"/>
      <c r="O911" s="16"/>
      <c r="P911" s="1037"/>
      <c r="R911" s="1037"/>
      <c r="S911" s="1037"/>
      <c r="AA911" s="608"/>
    </row>
    <row r="912" spans="2:27" ht="12.75" customHeight="1" x14ac:dyDescent="0.2">
      <c r="B912" s="207"/>
      <c r="C912" s="1060"/>
      <c r="D912" s="699" t="s">
        <v>4</v>
      </c>
      <c r="E912" s="1766" t="str">
        <f>Translations!$B$777</f>
        <v>Ilości wytworzone</v>
      </c>
      <c r="F912" s="1767"/>
      <c r="G912" s="1767"/>
      <c r="H912" s="231"/>
      <c r="I912" s="472"/>
      <c r="J912" s="472"/>
      <c r="K912" s="472"/>
      <c r="L912" s="472"/>
      <c r="M912" s="472"/>
      <c r="N912" s="1257"/>
      <c r="O912" s="16"/>
      <c r="P912" s="1037"/>
      <c r="R912" s="1037"/>
      <c r="S912" s="1037"/>
      <c r="AA912" s="345" t="b">
        <f>AA909</f>
        <v>0</v>
      </c>
    </row>
    <row r="913" spans="2:27" ht="12.75" customHeight="1" x14ac:dyDescent="0.2">
      <c r="B913" s="207"/>
      <c r="C913" s="1060"/>
      <c r="D913" s="699" t="s">
        <v>6</v>
      </c>
      <c r="E913" s="1743" t="str">
        <f>Translations!$B$470</f>
        <v>Wartość opałowa</v>
      </c>
      <c r="F913" s="1744"/>
      <c r="G913" s="1744"/>
      <c r="H913" s="56" t="str">
        <f>IF(ISBLANK(H912),EUconst_GJperUnit,INDEX(EUconst_GJperTorKNm3,MATCH(H912,EUconst_TonnesOrkNm3pa,0)))</f>
        <v>GJ / Jednostka</v>
      </c>
      <c r="I913" s="446"/>
      <c r="J913" s="446"/>
      <c r="K913" s="446"/>
      <c r="L913" s="446"/>
      <c r="M913" s="446"/>
      <c r="N913" s="1257"/>
      <c r="O913" s="16"/>
      <c r="R913" s="1037"/>
      <c r="S913" s="1037"/>
      <c r="T913" s="1037"/>
      <c r="U913" s="1037"/>
      <c r="V913" s="1037"/>
      <c r="W913" s="1037"/>
      <c r="AA913" s="345" t="b">
        <f>AA912</f>
        <v>0</v>
      </c>
    </row>
    <row r="914" spans="2:27" ht="12.75" customHeight="1" x14ac:dyDescent="0.2">
      <c r="B914" s="207"/>
      <c r="C914" s="1060"/>
      <c r="D914" s="699" t="s">
        <v>316</v>
      </c>
      <c r="E914" s="1739" t="str">
        <f>Translations!$B$778</f>
        <v>Gazy odlotowe wytworzone</v>
      </c>
      <c r="F914" s="1740"/>
      <c r="G914" s="1740"/>
      <c r="H914" s="453" t="str">
        <f>EUconst_TJpa</f>
        <v>TJ / rok</v>
      </c>
      <c r="I914" s="513" t="str">
        <f>IF(COUNT(I912:I913)=2,I912*I913/1000,"")</f>
        <v/>
      </c>
      <c r="J914" s="513" t="str">
        <f>IF(COUNT(J912:J913)=2,J912*J913/1000,"")</f>
        <v/>
      </c>
      <c r="K914" s="513" t="str">
        <f>IF(COUNT(K912:K913)=2,K912*K913/1000,"")</f>
        <v/>
      </c>
      <c r="L914" s="513" t="str">
        <f>IF(COUNT(L912:L913)=2,L912*L913/1000,"")</f>
        <v/>
      </c>
      <c r="M914" s="513" t="str">
        <f>IF(COUNT(M912:M913)=2,M912*M913/1000,"")</f>
        <v/>
      </c>
      <c r="N914" s="1257"/>
      <c r="O914" s="16"/>
      <c r="P914" s="1062" t="str">
        <f>EUconst_CNTR_WGProduced &amp; I793</f>
        <v>WasteGasProd_</v>
      </c>
      <c r="R914" s="1037"/>
      <c r="S914" s="1037"/>
      <c r="T914" s="1037"/>
      <c r="U914" s="1037"/>
      <c r="V914" s="1037"/>
      <c r="W914" s="1037"/>
      <c r="AA914" s="608"/>
    </row>
    <row r="915" spans="2:27" ht="12.75" customHeight="1" x14ac:dyDescent="0.2">
      <c r="B915" s="207"/>
      <c r="C915" s="1060"/>
      <c r="D915" s="699" t="s">
        <v>317</v>
      </c>
      <c r="E915" s="1739" t="str">
        <f>Translations!$B$779</f>
        <v>Właściwy współczynnik emisji (gazy odlotowe wytworzone)</v>
      </c>
      <c r="F915" s="1740"/>
      <c r="G915" s="1740"/>
      <c r="H915" s="453" t="str">
        <f>EUconst_tCO2pTJ</f>
        <v>t CO2 / TJ</v>
      </c>
      <c r="I915" s="471"/>
      <c r="J915" s="471"/>
      <c r="K915" s="471"/>
      <c r="L915" s="471"/>
      <c r="M915" s="471"/>
      <c r="N915" s="665"/>
      <c r="O915" s="16"/>
      <c r="P915" s="1062" t="str">
        <f>EUconst_CNTR_WGProducedEF &amp; I793</f>
        <v>WasteGasProdEF_</v>
      </c>
      <c r="R915" s="1037"/>
      <c r="S915" s="1037"/>
      <c r="T915" s="1037"/>
      <c r="U915" s="1037"/>
      <c r="V915" s="1037"/>
      <c r="W915" s="1037"/>
      <c r="AA915" s="345" t="b">
        <f>AA913</f>
        <v>0</v>
      </c>
    </row>
    <row r="916" spans="2:27" ht="12.75" customHeight="1" x14ac:dyDescent="0.2">
      <c r="B916" s="207"/>
      <c r="C916" s="1060"/>
      <c r="D916" s="1061"/>
      <c r="E916" s="1061"/>
      <c r="F916" s="1061"/>
      <c r="G916" s="1061"/>
      <c r="H916" s="1061"/>
      <c r="I916" s="1061"/>
      <c r="J916" s="1061"/>
      <c r="K916" s="1061"/>
      <c r="L916" s="1061"/>
      <c r="M916" s="1063"/>
      <c r="N916" s="665"/>
      <c r="O916" s="16"/>
      <c r="P916" s="1037"/>
      <c r="R916" s="1037"/>
      <c r="S916" s="1037"/>
      <c r="T916" s="1037"/>
      <c r="U916" s="1037"/>
      <c r="V916" s="1037"/>
      <c r="W916" s="1037"/>
      <c r="AA916" s="608"/>
    </row>
    <row r="917" spans="2:27" ht="12.75" customHeight="1" x14ac:dyDescent="0.2">
      <c r="B917" s="207"/>
      <c r="C917" s="1060"/>
      <c r="D917" s="699" t="s">
        <v>318</v>
      </c>
      <c r="E917" s="1760" t="str">
        <f>Translations!$B$780</f>
        <v>Rodzaje zużytych gazów odlotowych:</v>
      </c>
      <c r="F917" s="1760"/>
      <c r="G917" s="1760"/>
      <c r="H917" s="1760"/>
      <c r="I917" s="1763"/>
      <c r="J917" s="1764"/>
      <c r="K917" s="1764"/>
      <c r="L917" s="1764"/>
      <c r="M917" s="1765"/>
      <c r="N917" s="1254"/>
      <c r="O917" s="16"/>
      <c r="P917" s="1037"/>
      <c r="R917" s="1037"/>
      <c r="S917" s="1037"/>
      <c r="T917" s="1037"/>
      <c r="U917" s="1037"/>
      <c r="V917" s="1037"/>
      <c r="W917" s="1037"/>
      <c r="AA917" s="345" t="b">
        <f>AA915</f>
        <v>0</v>
      </c>
    </row>
    <row r="918" spans="2:27" ht="5.0999999999999996" customHeight="1" x14ac:dyDescent="0.2">
      <c r="B918" s="207"/>
      <c r="C918" s="1060"/>
      <c r="D918" s="699"/>
      <c r="E918" s="1733"/>
      <c r="F918" s="1734"/>
      <c r="G918" s="1734"/>
      <c r="H918" s="1734"/>
      <c r="I918" s="1734"/>
      <c r="J918" s="1734"/>
      <c r="K918" s="1734"/>
      <c r="L918" s="1734"/>
      <c r="M918" s="1734"/>
      <c r="N918" s="1735"/>
      <c r="O918" s="16"/>
      <c r="P918" s="1037"/>
      <c r="R918" s="1037"/>
      <c r="S918" s="1037"/>
      <c r="T918" s="1037"/>
      <c r="U918" s="1037"/>
      <c r="V918" s="1037"/>
      <c r="W918" s="1037"/>
      <c r="AA918" s="608"/>
    </row>
    <row r="919" spans="2:27" ht="12.75" customHeight="1" x14ac:dyDescent="0.2">
      <c r="B919" s="207"/>
      <c r="C919" s="1060"/>
      <c r="D919" s="1061"/>
      <c r="E919" s="1757"/>
      <c r="F919" s="1758"/>
      <c r="G919" s="1758"/>
      <c r="H919" s="450" t="str">
        <f>EUconst_Unit</f>
        <v>Jednostka</v>
      </c>
      <c r="I919" s="451">
        <f>I$1882</f>
        <v>2014</v>
      </c>
      <c r="J919" s="451">
        <f>J$1882</f>
        <v>2015</v>
      </c>
      <c r="K919" s="451">
        <f>K$1882</f>
        <v>2016</v>
      </c>
      <c r="L919" s="451">
        <f>L$1882</f>
        <v>2017</v>
      </c>
      <c r="M919" s="451">
        <f>M$1882</f>
        <v>2018</v>
      </c>
      <c r="N919" s="1257"/>
      <c r="O919" s="16"/>
      <c r="P919" s="1037"/>
      <c r="R919" s="1037"/>
      <c r="S919" s="1037"/>
      <c r="T919" s="1037"/>
      <c r="U919" s="1037"/>
      <c r="V919" s="1037"/>
      <c r="W919" s="1037"/>
      <c r="AA919" s="608"/>
    </row>
    <row r="920" spans="2:27" ht="12.75" customHeight="1" x14ac:dyDescent="0.2">
      <c r="B920" s="207"/>
      <c r="C920" s="1060"/>
      <c r="D920" s="699" t="s">
        <v>319</v>
      </c>
      <c r="E920" s="1766" t="str">
        <f>Translations!$B$782</f>
        <v>Ilości zużyte</v>
      </c>
      <c r="F920" s="1767"/>
      <c r="G920" s="1767"/>
      <c r="H920" s="231"/>
      <c r="I920" s="472"/>
      <c r="J920" s="472"/>
      <c r="K920" s="472"/>
      <c r="L920" s="472"/>
      <c r="M920" s="472"/>
      <c r="N920" s="1257"/>
      <c r="O920" s="16"/>
      <c r="P920" s="1037"/>
      <c r="R920" s="1037"/>
      <c r="S920" s="1037"/>
      <c r="T920" s="1037"/>
      <c r="U920" s="1037"/>
      <c r="V920" s="1037"/>
      <c r="W920" s="1037"/>
      <c r="AA920" s="345" t="b">
        <f>AA917</f>
        <v>0</v>
      </c>
    </row>
    <row r="921" spans="2:27" ht="12.75" customHeight="1" x14ac:dyDescent="0.2">
      <c r="B921" s="207"/>
      <c r="C921" s="1060"/>
      <c r="D921" s="699" t="s">
        <v>320</v>
      </c>
      <c r="E921" s="1743" t="str">
        <f>Translations!$B$470</f>
        <v>Wartość opałowa</v>
      </c>
      <c r="F921" s="1744"/>
      <c r="G921" s="1744"/>
      <c r="H921" s="56" t="str">
        <f>IF(ISBLANK(H920),EUconst_GJperUnit,INDEX(EUconst_GJperTorKNm3,MATCH(H920,EUconst_TonnesOrkNm3pa,0)))</f>
        <v>GJ / Jednostka</v>
      </c>
      <c r="I921" s="446"/>
      <c r="J921" s="446"/>
      <c r="K921" s="446"/>
      <c r="L921" s="446"/>
      <c r="M921" s="446"/>
      <c r="N921" s="1257"/>
      <c r="O921" s="16"/>
      <c r="R921" s="1037"/>
      <c r="S921" s="1037"/>
      <c r="T921" s="1037"/>
      <c r="U921" s="1037"/>
      <c r="V921" s="1037"/>
      <c r="W921" s="1037"/>
      <c r="AA921" s="345" t="b">
        <f>AA920</f>
        <v>0</v>
      </c>
    </row>
    <row r="922" spans="2:27" ht="12.75" customHeight="1" x14ac:dyDescent="0.2">
      <c r="B922" s="207"/>
      <c r="C922" s="1060"/>
      <c r="D922" s="699" t="s">
        <v>16</v>
      </c>
      <c r="E922" s="1739" t="str">
        <f>Translations!$B$783</f>
        <v>Gazy odlotowe zużyte</v>
      </c>
      <c r="F922" s="1740"/>
      <c r="G922" s="1740"/>
      <c r="H922" s="453" t="str">
        <f>EUconst_TJpa</f>
        <v>TJ / rok</v>
      </c>
      <c r="I922" s="513" t="str">
        <f>IF(COUNT(I920:I921)=2,I920*I921/1000,"")</f>
        <v/>
      </c>
      <c r="J922" s="513" t="str">
        <f>IF(COUNT(J920:J921)=2,J920*J921/1000,"")</f>
        <v/>
      </c>
      <c r="K922" s="513" t="str">
        <f>IF(COUNT(K920:K921)=2,K920*K921/1000,"")</f>
        <v/>
      </c>
      <c r="L922" s="513" t="str">
        <f>IF(COUNT(L920:L921)=2,L920*L921/1000,"")</f>
        <v/>
      </c>
      <c r="M922" s="513" t="str">
        <f>IF(COUNT(M920:M921)=2,M920*M921/1000,"")</f>
        <v/>
      </c>
      <c r="N922" s="1257"/>
      <c r="O922" s="16"/>
      <c r="P922" s="1062" t="str">
        <f>EUconst_CNTR_WGConsumed &amp; I793</f>
        <v>WasteGasCons_</v>
      </c>
      <c r="R922" s="1037"/>
      <c r="S922" s="1037"/>
      <c r="T922" s="1037"/>
      <c r="U922" s="1037"/>
      <c r="V922" s="1037"/>
      <c r="W922" s="1037"/>
      <c r="AA922" s="608"/>
    </row>
    <row r="923" spans="2:27" ht="12.75" customHeight="1" x14ac:dyDescent="0.2">
      <c r="B923" s="207"/>
      <c r="C923" s="1060"/>
      <c r="D923" s="699" t="s">
        <v>17</v>
      </c>
      <c r="E923" s="1739" t="str">
        <f>Translations!$B$784</f>
        <v>Właściwy współczynnik emisji (gazy odlotowe zużyte)</v>
      </c>
      <c r="F923" s="1740"/>
      <c r="G923" s="1740"/>
      <c r="H923" s="453" t="str">
        <f>EUconst_tCO2pTJ</f>
        <v>t CO2 / TJ</v>
      </c>
      <c r="I923" s="471"/>
      <c r="J923" s="471"/>
      <c r="K923" s="471"/>
      <c r="L923" s="471"/>
      <c r="M923" s="471"/>
      <c r="N923" s="665"/>
      <c r="O923" s="16"/>
      <c r="P923" s="1062" t="str">
        <f>EUconst_CNTR_WGConsumedEF &amp; I793</f>
        <v>WasteGasConsEF_</v>
      </c>
      <c r="R923" s="1037"/>
      <c r="S923" s="1037"/>
      <c r="T923" s="1037"/>
      <c r="U923" s="1037"/>
      <c r="V923" s="1037"/>
      <c r="W923" s="1037"/>
      <c r="AA923" s="345" t="b">
        <f>AA921</f>
        <v>0</v>
      </c>
    </row>
    <row r="924" spans="2:27" ht="12.75" customHeight="1" x14ac:dyDescent="0.2">
      <c r="B924" s="207"/>
      <c r="C924" s="1060"/>
      <c r="D924" s="1061"/>
      <c r="E924" s="1061"/>
      <c r="F924" s="1061"/>
      <c r="G924" s="1061"/>
      <c r="H924" s="1061"/>
      <c r="I924" s="1061"/>
      <c r="J924" s="1061"/>
      <c r="K924" s="1061"/>
      <c r="L924" s="1061"/>
      <c r="M924" s="1063"/>
      <c r="N924" s="665"/>
      <c r="O924" s="16"/>
      <c r="P924" s="1037"/>
      <c r="R924" s="1037"/>
      <c r="S924" s="1037"/>
      <c r="AA924" s="608"/>
    </row>
    <row r="925" spans="2:27" ht="12.75" customHeight="1" x14ac:dyDescent="0.2">
      <c r="B925" s="207"/>
      <c r="C925" s="1060"/>
      <c r="D925" s="699" t="s">
        <v>18</v>
      </c>
      <c r="E925" s="1760" t="str">
        <f>Translations!$B$785</f>
        <v>Rodzaje gazów odlotowych spalonych na pochodniach:</v>
      </c>
      <c r="F925" s="1760"/>
      <c r="G925" s="1760"/>
      <c r="H925" s="1760"/>
      <c r="I925" s="1763"/>
      <c r="J925" s="1764"/>
      <c r="K925" s="1764"/>
      <c r="L925" s="1764"/>
      <c r="M925" s="1765"/>
      <c r="N925" s="1254"/>
      <c r="O925" s="16"/>
      <c r="P925" s="1037"/>
      <c r="R925" s="1037"/>
      <c r="AA925" s="345" t="b">
        <f>AA915</f>
        <v>0</v>
      </c>
    </row>
    <row r="926" spans="2:27" ht="5.0999999999999996" customHeight="1" x14ac:dyDescent="0.2">
      <c r="B926" s="207"/>
      <c r="C926" s="1060"/>
      <c r="D926" s="699"/>
      <c r="E926" s="1733"/>
      <c r="F926" s="1734"/>
      <c r="G926" s="1734"/>
      <c r="H926" s="1734"/>
      <c r="I926" s="1734"/>
      <c r="J926" s="1734"/>
      <c r="K926" s="1734"/>
      <c r="L926" s="1734"/>
      <c r="M926" s="1734"/>
      <c r="N926" s="1735"/>
      <c r="O926" s="16"/>
      <c r="P926" s="1037"/>
      <c r="S926" s="1037"/>
      <c r="AA926" s="608"/>
    </row>
    <row r="927" spans="2:27" ht="12.75" customHeight="1" x14ac:dyDescent="0.2">
      <c r="B927" s="207"/>
      <c r="C927" s="1060"/>
      <c r="D927" s="1061"/>
      <c r="E927" s="1757"/>
      <c r="F927" s="1758"/>
      <c r="G927" s="1758"/>
      <c r="H927" s="450" t="str">
        <f>EUconst_Unit</f>
        <v>Jednostka</v>
      </c>
      <c r="I927" s="451">
        <f>I$1882</f>
        <v>2014</v>
      </c>
      <c r="J927" s="451">
        <f>J$1882</f>
        <v>2015</v>
      </c>
      <c r="K927" s="451">
        <f>K$1882</f>
        <v>2016</v>
      </c>
      <c r="L927" s="451">
        <f>L$1882</f>
        <v>2017</v>
      </c>
      <c r="M927" s="451">
        <f>M$1882</f>
        <v>2018</v>
      </c>
      <c r="N927" s="1257"/>
      <c r="O927" s="16"/>
      <c r="P927" s="1037"/>
      <c r="AA927" s="608"/>
    </row>
    <row r="928" spans="2:27" ht="12.75" customHeight="1" thickBot="1" x14ac:dyDescent="0.25">
      <c r="B928" s="207"/>
      <c r="C928" s="1060"/>
      <c r="D928" s="699" t="s">
        <v>454</v>
      </c>
      <c r="E928" s="1766" t="str">
        <f>Translations!$B$789</f>
        <v>Ilości spalone na pochodniach</v>
      </c>
      <c r="F928" s="1767"/>
      <c r="G928" s="1767"/>
      <c r="H928" s="231"/>
      <c r="I928" s="472"/>
      <c r="J928" s="472"/>
      <c r="K928" s="472"/>
      <c r="L928" s="472"/>
      <c r="M928" s="472"/>
      <c r="N928" s="1257"/>
      <c r="O928" s="16"/>
      <c r="P928" s="1037"/>
      <c r="R928" s="1037" t="s">
        <v>546</v>
      </c>
      <c r="AA928" s="345" t="b">
        <f>AA925</f>
        <v>0</v>
      </c>
    </row>
    <row r="929" spans="1:27" ht="12.75" customHeight="1" thickBot="1" x14ac:dyDescent="0.25">
      <c r="B929" s="207"/>
      <c r="C929" s="1060"/>
      <c r="D929" s="699" t="s">
        <v>455</v>
      </c>
      <c r="E929" s="1743" t="str">
        <f>Translations!$B$470</f>
        <v>Wartość opałowa</v>
      </c>
      <c r="F929" s="1744"/>
      <c r="G929" s="1744"/>
      <c r="H929" s="56" t="str">
        <f>IF(ISBLANK(H928),EUconst_GJperUnit,INDEX(EUconst_GJperTorKNm3,MATCH(H928,EUconst_TonnesOrkNm3pa,0)))</f>
        <v>GJ / Jednostka</v>
      </c>
      <c r="I929" s="446"/>
      <c r="J929" s="446"/>
      <c r="K929" s="446"/>
      <c r="L929" s="446"/>
      <c r="M929" s="446"/>
      <c r="N929" s="1257"/>
      <c r="O929" s="16"/>
      <c r="R929" s="712" t="s">
        <v>437</v>
      </c>
      <c r="S929" s="709">
        <f>I927</f>
        <v>2014</v>
      </c>
      <c r="T929" s="710">
        <f>J927</f>
        <v>2015</v>
      </c>
      <c r="U929" s="710">
        <f>K927</f>
        <v>2016</v>
      </c>
      <c r="V929" s="710">
        <f>L927</f>
        <v>2017</v>
      </c>
      <c r="W929" s="711">
        <f>M927</f>
        <v>2018</v>
      </c>
      <c r="AA929" s="345" t="b">
        <f>AA928</f>
        <v>0</v>
      </c>
    </row>
    <row r="930" spans="1:27" ht="12.75" customHeight="1" thickBot="1" x14ac:dyDescent="0.25">
      <c r="B930" s="207"/>
      <c r="C930" s="1060"/>
      <c r="D930" s="699" t="s">
        <v>456</v>
      </c>
      <c r="E930" s="1739" t="str">
        <f>Translations!$B$790</f>
        <v>Gazy odlotowe spalone na pochodniach</v>
      </c>
      <c r="F930" s="1740"/>
      <c r="G930" s="1740"/>
      <c r="H930" s="453" t="str">
        <f>EUconst_TJpa</f>
        <v>TJ / rok</v>
      </c>
      <c r="I930" s="513" t="str">
        <f>IF(COUNT(I928:I929)=2,I928*I929/1000,"")</f>
        <v/>
      </c>
      <c r="J930" s="513" t="str">
        <f>IF(COUNT(J928:J929)=2,J928*J929/1000,"")</f>
        <v/>
      </c>
      <c r="K930" s="513" t="str">
        <f>IF(COUNT(K928:K929)=2,K928*K929/1000,"")</f>
        <v/>
      </c>
      <c r="L930" s="513" t="str">
        <f>IF(COUNT(L928:L929)=2,L928*L929/1000,"")</f>
        <v/>
      </c>
      <c r="M930" s="513" t="str">
        <f>IF(COUNT(M928:M929)=2,M928*M929/1000,"")</f>
        <v/>
      </c>
      <c r="N930" s="1257"/>
      <c r="O930" s="16"/>
      <c r="P930" s="1062" t="str">
        <f>EUconst_CNTR_WGFlared &amp; I793</f>
        <v>WasteGasFlare_</v>
      </c>
      <c r="R930" s="347" t="str">
        <f>IF(COUNT(S930:W930)&gt;0,AVERAGE(S930:W930),"")</f>
        <v/>
      </c>
      <c r="S930" s="442" t="str">
        <f>IF(S793,IF(ISNUMBER(I930),I930,0),"")</f>
        <v/>
      </c>
      <c r="T930" s="443" t="str">
        <f>IF(T793,IF(ISNUMBER(J930),J930,0),"")</f>
        <v/>
      </c>
      <c r="U930" s="443" t="str">
        <f>IF(U793,IF(ISNUMBER(K930),K930,0),"")</f>
        <v/>
      </c>
      <c r="V930" s="443" t="str">
        <f>IF(V793,IF(ISNUMBER(L930),L930,0),"")</f>
        <v/>
      </c>
      <c r="W930" s="444" t="str">
        <f>IF(W793,IF(ISNUMBER(M930),M930,0),"")</f>
        <v/>
      </c>
      <c r="AA930" s="608"/>
    </row>
    <row r="931" spans="1:27" ht="12.75" customHeight="1" thickBot="1" x14ac:dyDescent="0.25">
      <c r="B931" s="207"/>
      <c r="C931" s="1060"/>
      <c r="D931" s="699" t="s">
        <v>457</v>
      </c>
      <c r="E931" s="1739" t="str">
        <f>Translations!$B$791</f>
        <v>Właściwy współczynnik emisji (gazy odlotowe spalone na pochodniach)</v>
      </c>
      <c r="F931" s="1740"/>
      <c r="G931" s="1740"/>
      <c r="H931" s="453" t="str">
        <f>EUconst_tCO2pTJ</f>
        <v>t CO2 / TJ</v>
      </c>
      <c r="I931" s="471"/>
      <c r="J931" s="471"/>
      <c r="K931" s="471"/>
      <c r="L931" s="471"/>
      <c r="M931" s="471"/>
      <c r="N931" s="665"/>
      <c r="O931" s="16"/>
      <c r="P931" s="1062" t="str">
        <f>EUconst_CNTR_WGFlaredEF &amp; I793</f>
        <v>WasteGasFlareEF_</v>
      </c>
      <c r="R931" s="854" t="str">
        <f>IF(COUNT(S931:W931)&gt;0,AVERAGE(S931:W931),"")</f>
        <v/>
      </c>
      <c r="S931" s="442" t="str">
        <f>IF(S793,SUM(I930)*SUM(I931),"")</f>
        <v/>
      </c>
      <c r="T931" s="443" t="str">
        <f>IF(T793,SUM(J930)*SUM(J931),"")</f>
        <v/>
      </c>
      <c r="U931" s="443" t="str">
        <f>IF(U793,SUM(K930)*SUM(K931),"")</f>
        <v/>
      </c>
      <c r="V931" s="443" t="str">
        <f>IF(V793,SUM(L930)*SUM(L931),"")</f>
        <v/>
      </c>
      <c r="W931" s="444" t="str">
        <f>IF(W793,SUM(M930)*SUM(M931),"")</f>
        <v/>
      </c>
      <c r="AA931" s="345" t="b">
        <f>AA929</f>
        <v>0</v>
      </c>
    </row>
    <row r="932" spans="1:27" ht="12.75" customHeight="1" x14ac:dyDescent="0.2">
      <c r="B932" s="207"/>
      <c r="C932" s="1060"/>
      <c r="D932" s="1061"/>
      <c r="E932" s="1061"/>
      <c r="F932" s="1061"/>
      <c r="G932" s="1061"/>
      <c r="H932" s="1061"/>
      <c r="I932" s="1061"/>
      <c r="J932" s="1061"/>
      <c r="K932" s="1061"/>
      <c r="L932" s="1061"/>
      <c r="M932" s="1063"/>
      <c r="N932" s="665"/>
      <c r="O932" s="16"/>
      <c r="P932" s="1037"/>
      <c r="R932" s="1037"/>
      <c r="S932" s="1037"/>
      <c r="AA932" s="608"/>
    </row>
    <row r="933" spans="1:27" ht="12.75" customHeight="1" x14ac:dyDescent="0.2">
      <c r="B933" s="207"/>
      <c r="C933" s="1060"/>
      <c r="D933" s="699" t="s">
        <v>458</v>
      </c>
      <c r="E933" s="1760" t="str">
        <f>Translations!$B$792</f>
        <v>Rodzaje gazów odlotowych wprowadzonych:</v>
      </c>
      <c r="F933" s="1760"/>
      <c r="G933" s="1760"/>
      <c r="H933" s="1760"/>
      <c r="I933" s="1763"/>
      <c r="J933" s="1764"/>
      <c r="K933" s="1764"/>
      <c r="L933" s="1764"/>
      <c r="M933" s="1765"/>
      <c r="N933" s="665"/>
      <c r="O933" s="16"/>
      <c r="P933" s="1037"/>
      <c r="R933" s="1037"/>
      <c r="AA933" s="345" t="b">
        <f>AA913</f>
        <v>0</v>
      </c>
    </row>
    <row r="934" spans="1:27" ht="5.0999999999999996" customHeight="1" x14ac:dyDescent="0.2">
      <c r="B934" s="207"/>
      <c r="C934" s="1060"/>
      <c r="D934" s="699"/>
      <c r="E934" s="1730"/>
      <c r="F934" s="1731"/>
      <c r="G934" s="1731"/>
      <c r="H934" s="1731"/>
      <c r="I934" s="1731"/>
      <c r="J934" s="1731"/>
      <c r="K934" s="1731"/>
      <c r="L934" s="1731"/>
      <c r="M934" s="1731"/>
      <c r="N934" s="1732"/>
      <c r="O934" s="16"/>
      <c r="P934" s="1037"/>
      <c r="R934" s="1037"/>
      <c r="S934" s="1037"/>
      <c r="AA934" s="608"/>
    </row>
    <row r="935" spans="1:27" ht="12.75" customHeight="1" x14ac:dyDescent="0.2">
      <c r="B935" s="207"/>
      <c r="C935" s="1060"/>
      <c r="D935" s="1061"/>
      <c r="E935" s="1757"/>
      <c r="F935" s="1758"/>
      <c r="G935" s="1758"/>
      <c r="H935" s="450" t="str">
        <f>EUconst_Unit</f>
        <v>Jednostka</v>
      </c>
      <c r="I935" s="451">
        <f>I$1882</f>
        <v>2014</v>
      </c>
      <c r="J935" s="451">
        <f>J$1882</f>
        <v>2015</v>
      </c>
      <c r="K935" s="451">
        <f>K$1882</f>
        <v>2016</v>
      </c>
      <c r="L935" s="451">
        <f>L$1882</f>
        <v>2017</v>
      </c>
      <c r="M935" s="451">
        <f>M$1882</f>
        <v>2018</v>
      </c>
      <c r="N935" s="1257"/>
      <c r="O935" s="16"/>
      <c r="P935" s="1037"/>
      <c r="R935" s="1037"/>
      <c r="S935" s="1037"/>
      <c r="AA935" s="608"/>
    </row>
    <row r="936" spans="1:27" ht="12.75" customHeight="1" thickBot="1" x14ac:dyDescent="0.25">
      <c r="B936" s="207"/>
      <c r="C936" s="1060"/>
      <c r="D936" s="699" t="s">
        <v>459</v>
      </c>
      <c r="E936" s="1766" t="str">
        <f>Translations!$B$795</f>
        <v>Ilości wprowadzone</v>
      </c>
      <c r="F936" s="1767"/>
      <c r="G936" s="1767"/>
      <c r="H936" s="231"/>
      <c r="I936" s="472"/>
      <c r="J936" s="472"/>
      <c r="K936" s="472"/>
      <c r="L936" s="472"/>
      <c r="M936" s="472"/>
      <c r="N936" s="1257"/>
      <c r="O936" s="16"/>
      <c r="P936" s="1037"/>
      <c r="R936" s="1037"/>
      <c r="S936" s="1037"/>
      <c r="AA936" s="345" t="b">
        <f>AA933</f>
        <v>0</v>
      </c>
    </row>
    <row r="937" spans="1:27" ht="12.75" customHeight="1" x14ac:dyDescent="0.2">
      <c r="B937" s="207"/>
      <c r="C937" s="1060"/>
      <c r="D937" s="699" t="s">
        <v>460</v>
      </c>
      <c r="E937" s="1743" t="str">
        <f>Translations!$B$470</f>
        <v>Wartość opałowa</v>
      </c>
      <c r="F937" s="1744"/>
      <c r="G937" s="1744"/>
      <c r="H937" s="56" t="str">
        <f>IF(ISBLANK(H936),EUconst_GJperUnit,INDEX(EUconst_GJperTorKNm3,MATCH(H936,EUconst_TonnesOrkNm3pa,0)))</f>
        <v>GJ / Jednostka</v>
      </c>
      <c r="I937" s="446"/>
      <c r="J937" s="446"/>
      <c r="K937" s="446"/>
      <c r="L937" s="446"/>
      <c r="M937" s="446"/>
      <c r="N937" s="1257"/>
      <c r="O937" s="16"/>
      <c r="P937" s="1065"/>
      <c r="R937" s="1052"/>
      <c r="S937" s="814">
        <f>I935</f>
        <v>2014</v>
      </c>
      <c r="T937" s="814">
        <f>J935</f>
        <v>2015</v>
      </c>
      <c r="U937" s="814">
        <f>K935</f>
        <v>2016</v>
      </c>
      <c r="V937" s="814">
        <f>L935</f>
        <v>2017</v>
      </c>
      <c r="W937" s="815">
        <f>M935</f>
        <v>2018</v>
      </c>
      <c r="AA937" s="345" t="b">
        <f>AA936</f>
        <v>0</v>
      </c>
    </row>
    <row r="938" spans="1:27" ht="12.75" customHeight="1" x14ac:dyDescent="0.2">
      <c r="B938" s="207"/>
      <c r="C938" s="1060"/>
      <c r="D938" s="699" t="s">
        <v>461</v>
      </c>
      <c r="E938" s="1739" t="str">
        <f>Translations!$B$796</f>
        <v>Gazy odlotowe wprowadzone</v>
      </c>
      <c r="F938" s="1740"/>
      <c r="G938" s="1740"/>
      <c r="H938" s="453" t="str">
        <f>EUconst_TJpa</f>
        <v>TJ / rok</v>
      </c>
      <c r="I938" s="433" t="str">
        <f>IF(COUNT(I936:I937)=2,I936*I937/1000,"")</f>
        <v/>
      </c>
      <c r="J938" s="433" t="str">
        <f>IF(COUNT(J936:J937)=2,J936*J937/1000,"")</f>
        <v/>
      </c>
      <c r="K938" s="433" t="str">
        <f>IF(COUNT(K936:K937)=2,K936*K937/1000,"")</f>
        <v/>
      </c>
      <c r="L938" s="433" t="str">
        <f>IF(COUNT(L936:L937)=2,L936*L937/1000,"")</f>
        <v/>
      </c>
      <c r="M938" s="433" t="str">
        <f>IF(COUNT(M936:M937)=2,M936*M937/1000,"")</f>
        <v/>
      </c>
      <c r="N938" s="1257"/>
      <c r="O938" s="16"/>
      <c r="P938" s="1062" t="str">
        <f>EUconst_CNTR_WGImport &amp; I793</f>
        <v>WasteGasIm_</v>
      </c>
      <c r="R938" s="1064" t="str">
        <f>EUconst_ERR_AttrEmBMapplied &amp; I793</f>
        <v>ERR_AttrEmBM_ </v>
      </c>
      <c r="S938" s="116">
        <f>IF(AND(I938&lt;&gt;"",EUconst_StatusOfDataCollection=FALSE),1,0)</f>
        <v>0</v>
      </c>
      <c r="T938" s="116">
        <f>IF(AND(J938&lt;&gt;"",EUconst_StatusOfDataCollection=FALSE),1,0)</f>
        <v>0</v>
      </c>
      <c r="U938" s="116">
        <f>IF(AND(K938&lt;&gt;"",EUconst_StatusOfDataCollection=FALSE),1,0)</f>
        <v>0</v>
      </c>
      <c r="V938" s="116">
        <f>IF(AND(L938&lt;&gt;"",EUconst_StatusOfDataCollection=FALSE),1,0)</f>
        <v>0</v>
      </c>
      <c r="W938" s="117">
        <f>IF(AND(M938&lt;&gt;"",EUconst_StatusOfDataCollection=FALSE),1,0)</f>
        <v>0</v>
      </c>
      <c r="AA938" s="608"/>
    </row>
    <row r="939" spans="1:27" s="701" customFormat="1" ht="12.75" customHeight="1" thickBot="1" x14ac:dyDescent="0.25">
      <c r="A939" s="422"/>
      <c r="B939" s="207"/>
      <c r="C939" s="1060"/>
      <c r="D939" s="699" t="s">
        <v>462</v>
      </c>
      <c r="E939" s="1739" t="str">
        <f>Translations!$B$797</f>
        <v>Właściwy współczynnik emisji (gazy odlotowe wprowadzone)</v>
      </c>
      <c r="F939" s="1739"/>
      <c r="G939" s="1739"/>
      <c r="H939" s="452" t="str">
        <f>EUconst_tCO2pTJ</f>
        <v>t CO2 / TJ</v>
      </c>
      <c r="I939" s="765"/>
      <c r="J939" s="765"/>
      <c r="K939" s="765"/>
      <c r="L939" s="765"/>
      <c r="M939" s="765"/>
      <c r="N939" s="665"/>
      <c r="O939" s="16"/>
      <c r="P939" s="1062" t="str">
        <f>EUconst_CNTR_WGImportEF &amp; I793</f>
        <v>WasteGasImEF_</v>
      </c>
      <c r="Q939" s="422"/>
      <c r="R939" s="1053" t="str">
        <f>EUconst_CNTR_AttributedEmissions &amp; I793</f>
        <v>AttrEmissions_</v>
      </c>
      <c r="S939" s="119" t="str">
        <f>IF(S793,SUM(I938)*EUconst_FuelBMvalue,"")</f>
        <v/>
      </c>
      <c r="T939" s="119" t="str">
        <f>IF(T793,SUM(J938)*EUconst_FuelBMvalue,"")</f>
        <v/>
      </c>
      <c r="U939" s="119" t="str">
        <f>IF(U793,SUM(K938)*EUconst_FuelBMvalue,"")</f>
        <v/>
      </c>
      <c r="V939" s="119" t="str">
        <f>IF(V793,SUM(L938)*EUconst_FuelBMvalue,"")</f>
        <v/>
      </c>
      <c r="W939" s="120" t="str">
        <f>IF(W793,SUM(M938)*EUconst_FuelBMvalue,"")</f>
        <v/>
      </c>
      <c r="X939" s="422"/>
      <c r="Y939" s="422"/>
      <c r="Z939" s="422"/>
      <c r="AA939" s="345" t="b">
        <f>AA937</f>
        <v>0</v>
      </c>
    </row>
    <row r="940" spans="1:27" ht="12.75" customHeight="1" x14ac:dyDescent="0.2">
      <c r="B940" s="207"/>
      <c r="C940" s="1060"/>
      <c r="D940" s="1061"/>
      <c r="E940" s="1061"/>
      <c r="F940" s="1061"/>
      <c r="G940" s="1061"/>
      <c r="H940" s="1061"/>
      <c r="I940" s="1061"/>
      <c r="J940" s="1061"/>
      <c r="K940" s="1061"/>
      <c r="L940" s="1061"/>
      <c r="M940" s="1063"/>
      <c r="N940" s="665"/>
      <c r="O940" s="16"/>
      <c r="P940" s="1037"/>
      <c r="R940" s="1037"/>
      <c r="S940" s="1037"/>
      <c r="AA940" s="608"/>
    </row>
    <row r="941" spans="1:27" ht="12.75" customHeight="1" x14ac:dyDescent="0.2">
      <c r="B941" s="207"/>
      <c r="C941" s="1060"/>
      <c r="D941" s="699" t="s">
        <v>463</v>
      </c>
      <c r="E941" s="1760" t="str">
        <f>Translations!$B$798</f>
        <v>Rodzaje wyprowadzonych gazów odlotowych:</v>
      </c>
      <c r="F941" s="1760"/>
      <c r="G941" s="1760"/>
      <c r="H941" s="1760"/>
      <c r="I941" s="1763"/>
      <c r="J941" s="1764"/>
      <c r="K941" s="1764"/>
      <c r="L941" s="1764"/>
      <c r="M941" s="1765"/>
      <c r="N941" s="1254"/>
      <c r="O941" s="16"/>
      <c r="P941" s="1037"/>
      <c r="R941" s="1037"/>
      <c r="AA941" s="345" t="b">
        <f>AA936</f>
        <v>0</v>
      </c>
    </row>
    <row r="942" spans="1:27" ht="5.0999999999999996" customHeight="1" x14ac:dyDescent="0.2">
      <c r="B942" s="207"/>
      <c r="C942" s="1060"/>
      <c r="D942" s="699"/>
      <c r="E942" s="1733"/>
      <c r="F942" s="1734"/>
      <c r="G942" s="1734"/>
      <c r="H942" s="1734"/>
      <c r="I942" s="1734"/>
      <c r="J942" s="1734"/>
      <c r="K942" s="1734"/>
      <c r="L942" s="1734"/>
      <c r="M942" s="1734"/>
      <c r="N942" s="1735"/>
      <c r="O942" s="16"/>
      <c r="P942" s="1037"/>
      <c r="R942" s="1037"/>
      <c r="S942" s="1037"/>
      <c r="AA942" s="608"/>
    </row>
    <row r="943" spans="1:27" ht="12.75" customHeight="1" x14ac:dyDescent="0.2">
      <c r="B943" s="207"/>
      <c r="C943" s="1060"/>
      <c r="D943" s="1061"/>
      <c r="E943" s="1757"/>
      <c r="F943" s="1758"/>
      <c r="G943" s="1758"/>
      <c r="H943" s="450" t="str">
        <f>EUconst_Unit</f>
        <v>Jednostka</v>
      </c>
      <c r="I943" s="451">
        <f>I$1882</f>
        <v>2014</v>
      </c>
      <c r="J943" s="451">
        <f>J$1882</f>
        <v>2015</v>
      </c>
      <c r="K943" s="451">
        <f>K$1882</f>
        <v>2016</v>
      </c>
      <c r="L943" s="451">
        <f>L$1882</f>
        <v>2017</v>
      </c>
      <c r="M943" s="451">
        <f>M$1882</f>
        <v>2018</v>
      </c>
      <c r="N943" s="1257"/>
      <c r="O943" s="16"/>
      <c r="P943" s="1037"/>
      <c r="R943" s="1037"/>
      <c r="S943" s="1037"/>
      <c r="AA943" s="608"/>
    </row>
    <row r="944" spans="1:27" ht="12.75" customHeight="1" x14ac:dyDescent="0.2">
      <c r="B944" s="207"/>
      <c r="C944" s="1060"/>
      <c r="D944" s="699" t="s">
        <v>464</v>
      </c>
      <c r="E944" s="1766" t="str">
        <f>Translations!$B$800</f>
        <v>Ilości wyprowadzone</v>
      </c>
      <c r="F944" s="1767"/>
      <c r="G944" s="1767"/>
      <c r="H944" s="231"/>
      <c r="I944" s="472"/>
      <c r="J944" s="472"/>
      <c r="K944" s="472"/>
      <c r="L944" s="472"/>
      <c r="M944" s="472"/>
      <c r="N944" s="1257"/>
      <c r="O944" s="16"/>
      <c r="P944" s="1037"/>
      <c r="R944" s="1037"/>
      <c r="S944" s="1037"/>
      <c r="AA944" s="345" t="b">
        <f>AA941</f>
        <v>0</v>
      </c>
    </row>
    <row r="945" spans="1:27" ht="12.75" customHeight="1" thickBot="1" x14ac:dyDescent="0.25">
      <c r="B945" s="207"/>
      <c r="C945" s="1060"/>
      <c r="D945" s="699" t="s">
        <v>643</v>
      </c>
      <c r="E945" s="1743" t="str">
        <f>Translations!$B$470</f>
        <v>Wartość opałowa</v>
      </c>
      <c r="F945" s="1744"/>
      <c r="G945" s="1744"/>
      <c r="H945" s="56" t="str">
        <f>IF(ISBLANK(H944),EUconst_GJperUnit,INDEX(EUconst_GJperTorKNm3,MATCH(H944,EUconst_TonnesOrkNm3pa,0)))</f>
        <v>GJ / Jednostka</v>
      </c>
      <c r="I945" s="446"/>
      <c r="J945" s="446"/>
      <c r="K945" s="446"/>
      <c r="L945" s="446"/>
      <c r="M945" s="446"/>
      <c r="N945" s="1257"/>
      <c r="O945" s="16"/>
      <c r="P945" s="1065"/>
      <c r="R945" s="1037"/>
      <c r="S945" s="1037"/>
      <c r="AA945" s="345" t="b">
        <f>AA944</f>
        <v>0</v>
      </c>
    </row>
    <row r="946" spans="1:27" ht="12.75" customHeight="1" x14ac:dyDescent="0.2">
      <c r="B946" s="207"/>
      <c r="C946" s="1060"/>
      <c r="D946" s="699" t="s">
        <v>644</v>
      </c>
      <c r="E946" s="1739" t="str">
        <f>Translations!$B$801</f>
        <v>Gazy odlotowe wyprowadzone</v>
      </c>
      <c r="F946" s="1740"/>
      <c r="G946" s="1740"/>
      <c r="H946" s="453" t="str">
        <f>EUconst_TJpa</f>
        <v>TJ / rok</v>
      </c>
      <c r="I946" s="433" t="str">
        <f>IF(COUNT(I944:I945)=2,I944*I945/1000,"")</f>
        <v/>
      </c>
      <c r="J946" s="433" t="str">
        <f>IF(COUNT(J944:J945)=2,J944*J945/1000,"")</f>
        <v/>
      </c>
      <c r="K946" s="433" t="str">
        <f>IF(COUNT(K944:K945)=2,K944*K945/1000,"")</f>
        <v/>
      </c>
      <c r="L946" s="433" t="str">
        <f>IF(COUNT(L944:L945)=2,L944*L945/1000,"")</f>
        <v/>
      </c>
      <c r="M946" s="433" t="str">
        <f>IF(COUNT(M944:M945)=2,M944*M945/1000,"")</f>
        <v/>
      </c>
      <c r="N946" s="702"/>
      <c r="O946" s="16"/>
      <c r="P946" s="1062" t="str">
        <f>EUconst_CNTR_WGExport &amp; I793</f>
        <v>WasteGasEx_</v>
      </c>
      <c r="R946" s="1052"/>
      <c r="S946" s="814">
        <f>I943</f>
        <v>2014</v>
      </c>
      <c r="T946" s="814">
        <f>J943</f>
        <v>2015</v>
      </c>
      <c r="U946" s="814">
        <f>K943</f>
        <v>2016</v>
      </c>
      <c r="V946" s="814">
        <f>L943</f>
        <v>2017</v>
      </c>
      <c r="W946" s="815">
        <f>M943</f>
        <v>2018</v>
      </c>
      <c r="AA946" s="608"/>
    </row>
    <row r="947" spans="1:27" s="701" customFormat="1" ht="12.75" customHeight="1" thickBot="1" x14ac:dyDescent="0.25">
      <c r="A947" s="422"/>
      <c r="B947" s="207"/>
      <c r="C947" s="1060"/>
      <c r="D947" s="699" t="s">
        <v>645</v>
      </c>
      <c r="E947" s="1739" t="str">
        <f>Translations!$B$802</f>
        <v>Właściwy współczynnik emisji (gazy odlotowe wyprowadzone)</v>
      </c>
      <c r="F947" s="1739"/>
      <c r="G947" s="1739"/>
      <c r="H947" s="452" t="str">
        <f>EUconst_tCO2pTJ</f>
        <v>t CO2 / TJ</v>
      </c>
      <c r="I947" s="765"/>
      <c r="J947" s="765"/>
      <c r="K947" s="765"/>
      <c r="L947" s="765"/>
      <c r="M947" s="765"/>
      <c r="N947" s="665"/>
      <c r="O947" s="16"/>
      <c r="P947" s="1062" t="str">
        <f>EUconst_CNTR_WGExportEF &amp; I793</f>
        <v>WasteGasExEF_</v>
      </c>
      <c r="Q947" s="422"/>
      <c r="R947" s="1053" t="str">
        <f>EUconst_CNTR_AttributedEmissions &amp; I793</f>
        <v>AttrEmissions_</v>
      </c>
      <c r="S947" s="119" t="str">
        <f>IF(S793,-SUM(I946)*EUconst_NGEFvalue*EUconst_WasteGasCorrFactor,"")</f>
        <v/>
      </c>
      <c r="T947" s="119" t="str">
        <f>IF(T793,-SUM(J946)*EUconst_NGEFvalue*EUconst_WasteGasCorrFactor,"")</f>
        <v/>
      </c>
      <c r="U947" s="119" t="str">
        <f>IF(U793,-SUM(K946)*EUconst_NGEFvalue*EUconst_WasteGasCorrFactor,"")</f>
        <v/>
      </c>
      <c r="V947" s="119" t="str">
        <f>IF(V793,-SUM(L946)*EUconst_NGEFvalue*EUconst_WasteGasCorrFactor,"")</f>
        <v/>
      </c>
      <c r="W947" s="120" t="str">
        <f>IF(W793,-SUM(M946)*EUconst_NGEFvalue*EUconst_WasteGasCorrFactor,"")</f>
        <v/>
      </c>
      <c r="X947" s="422"/>
      <c r="Y947" s="422"/>
      <c r="Z947" s="422"/>
      <c r="AA947" s="168" t="b">
        <f>AA945</f>
        <v>0</v>
      </c>
    </row>
    <row r="948" spans="1:27" ht="12.75" customHeight="1" x14ac:dyDescent="0.2">
      <c r="B948" s="207"/>
      <c r="C948" s="1060"/>
      <c r="D948" s="1061"/>
      <c r="E948" s="1061"/>
      <c r="F948" s="1061"/>
      <c r="G948" s="1061"/>
      <c r="H948" s="1061"/>
      <c r="I948" s="1061"/>
      <c r="J948" s="1061"/>
      <c r="K948" s="1061"/>
      <c r="L948" s="1061"/>
      <c r="M948" s="1063"/>
      <c r="N948" s="665"/>
      <c r="O948" s="16"/>
      <c r="P948" s="1037"/>
      <c r="R948" s="1037"/>
    </row>
    <row r="949" spans="1:27" ht="12.75" customHeight="1" thickBot="1" x14ac:dyDescent="0.25">
      <c r="B949" s="207"/>
      <c r="C949" s="1060"/>
      <c r="D949" s="462" t="s">
        <v>221</v>
      </c>
      <c r="E949" s="1731" t="str">
        <f>Translations!$B$420</f>
        <v>Wytwarzanie energii elektrycznej</v>
      </c>
      <c r="F949" s="1734"/>
      <c r="G949" s="1734"/>
      <c r="H949" s="1734"/>
      <c r="I949" s="1734"/>
      <c r="J949" s="1734"/>
      <c r="K949" s="1734"/>
      <c r="L949" s="1734"/>
      <c r="M949" s="1734"/>
      <c r="N949" s="1735"/>
      <c r="O949" s="16"/>
      <c r="P949" s="1037"/>
      <c r="R949" s="1037"/>
    </row>
    <row r="950" spans="1:27" ht="12.75" customHeight="1" x14ac:dyDescent="0.2">
      <c r="B950" s="207"/>
      <c r="C950" s="1060"/>
      <c r="D950" s="462"/>
      <c r="E950" s="1757"/>
      <c r="F950" s="1758"/>
      <c r="G950" s="1758"/>
      <c r="H950" s="450" t="str">
        <f>EUconst_Unit</f>
        <v>Jednostka</v>
      </c>
      <c r="I950" s="451">
        <f>I$1882</f>
        <v>2014</v>
      </c>
      <c r="J950" s="451">
        <f>J$1882</f>
        <v>2015</v>
      </c>
      <c r="K950" s="451">
        <f>K$1882</f>
        <v>2016</v>
      </c>
      <c r="L950" s="451">
        <f>L$1882</f>
        <v>2017</v>
      </c>
      <c r="M950" s="451">
        <f>M$1882</f>
        <v>2018</v>
      </c>
      <c r="N950" s="665"/>
      <c r="O950" s="16"/>
      <c r="P950" s="1037"/>
      <c r="R950" s="1052"/>
      <c r="S950" s="814">
        <f>I950</f>
        <v>2014</v>
      </c>
      <c r="T950" s="814">
        <f>J950</f>
        <v>2015</v>
      </c>
      <c r="U950" s="814">
        <f>K950</f>
        <v>2016</v>
      </c>
      <c r="V950" s="814">
        <f>L950</f>
        <v>2017</v>
      </c>
      <c r="W950" s="815">
        <f>M950</f>
        <v>2018</v>
      </c>
    </row>
    <row r="951" spans="1:27" ht="12.75" customHeight="1" thickBot="1" x14ac:dyDescent="0.25">
      <c r="B951" s="207"/>
      <c r="C951" s="1060"/>
      <c r="D951" s="699"/>
      <c r="E951" s="1739" t="str">
        <f>Translations!$B$805</f>
        <v>Energia elektryczna wytworzona</v>
      </c>
      <c r="F951" s="1740"/>
      <c r="G951" s="1740"/>
      <c r="H951" s="453" t="str">
        <f>EUconst_MWhpa</f>
        <v>MWh / rok</v>
      </c>
      <c r="I951" s="471"/>
      <c r="J951" s="471"/>
      <c r="K951" s="471"/>
      <c r="L951" s="471"/>
      <c r="M951" s="471"/>
      <c r="N951" s="1257"/>
      <c r="O951" s="16"/>
      <c r="P951" s="1062" t="str">
        <f>EUconst_CNTR_ElectricityExported &amp; I793</f>
        <v>ElecEx_</v>
      </c>
      <c r="R951" s="1053" t="str">
        <f>EUconst_CNTR_AttributedEmissions &amp; I793</f>
        <v>AttrEmissions_</v>
      </c>
      <c r="S951" s="119" t="str">
        <f>IF(S793,-SUM(I951)*EUconst_ElBM,"")</f>
        <v/>
      </c>
      <c r="T951" s="119" t="str">
        <f>IF(T793,-SUM(J951)*EUconst_ElBM,"")</f>
        <v/>
      </c>
      <c r="U951" s="119" t="str">
        <f>IF(U793,-SUM(K951)*EUconst_ElBM,"")</f>
        <v/>
      </c>
      <c r="V951" s="119" t="str">
        <f>IF(V793,-SUM(L951)*EUconst_ElBM,"")</f>
        <v/>
      </c>
      <c r="W951" s="120" t="str">
        <f>IF(W793,-SUM(M951)*EUconst_ElBM,"")</f>
        <v/>
      </c>
    </row>
    <row r="952" spans="1:27" ht="12.75" customHeight="1" x14ac:dyDescent="0.2">
      <c r="B952" s="207"/>
      <c r="C952" s="1060"/>
      <c r="D952" s="1061"/>
      <c r="E952" s="1061"/>
      <c r="F952" s="1061"/>
      <c r="G952" s="1061"/>
      <c r="H952" s="1061"/>
      <c r="I952" s="1061"/>
      <c r="J952" s="1061"/>
      <c r="K952" s="1061"/>
      <c r="L952" s="1061"/>
      <c r="M952" s="1063"/>
      <c r="N952" s="665"/>
      <c r="O952" s="16"/>
      <c r="P952" s="1037"/>
      <c r="R952" s="1037"/>
      <c r="S952" s="1037"/>
    </row>
    <row r="953" spans="1:27" ht="12.75" customHeight="1" thickBot="1" x14ac:dyDescent="0.25">
      <c r="B953" s="207"/>
      <c r="C953" s="1060"/>
      <c r="D953" s="462" t="s">
        <v>79</v>
      </c>
      <c r="E953" s="1760" t="str">
        <f>Translations!$B$806</f>
        <v>Całkowita ilość wyprodukowanej masy celulozowej</v>
      </c>
      <c r="F953" s="1760"/>
      <c r="G953" s="1760"/>
      <c r="H953" s="1760"/>
      <c r="I953" s="1760"/>
      <c r="J953" s="1760"/>
      <c r="K953" s="1760"/>
      <c r="L953" s="1760"/>
      <c r="M953" s="1760"/>
      <c r="N953" s="1761"/>
      <c r="O953" s="16"/>
      <c r="S953" s="1037"/>
    </row>
    <row r="954" spans="1:27" ht="12.75" customHeight="1" thickBot="1" x14ac:dyDescent="0.25">
      <c r="B954" s="207"/>
      <c r="C954" s="1060"/>
      <c r="D954" s="699"/>
      <c r="E954" s="1762" t="str">
        <f>IF(I793="","",IF(INDEX(EUconst_BMlistPulp,MATCH(I793,EUconst_BMlistNames,0)),I793,""))</f>
        <v/>
      </c>
      <c r="F954" s="1762"/>
      <c r="G954" s="1762"/>
      <c r="H954" s="453" t="str">
        <f>EUconst_Tons</f>
        <v>tony</v>
      </c>
      <c r="I954" s="471"/>
      <c r="J954" s="471"/>
      <c r="K954" s="471"/>
      <c r="L954" s="471"/>
      <c r="M954" s="471"/>
      <c r="N954" s="1257"/>
      <c r="O954" s="16"/>
      <c r="P954" s="1062" t="str">
        <f>EUconst_CNTR_HALPulpTotal &amp; I793</f>
        <v>HALPulpTotal_</v>
      </c>
      <c r="R954" s="1037"/>
      <c r="AA954" s="738" t="b">
        <f>IF(I793&lt;&gt;"",IF(INDEX(EUconst_BMlistPulp,MATCH(I793,EUconst_BMlistNames,0))=TRUE,FALSE,TRUE),FALSE)</f>
        <v>0</v>
      </c>
    </row>
    <row r="955" spans="1:27" ht="12.75" customHeight="1" x14ac:dyDescent="0.2">
      <c r="B955" s="207"/>
      <c r="C955" s="1060"/>
      <c r="D955" s="699"/>
      <c r="E955" s="699"/>
      <c r="F955" s="699"/>
      <c r="G955" s="699"/>
      <c r="H955" s="699"/>
      <c r="I955" s="699"/>
      <c r="J955" s="699"/>
      <c r="K955" s="699"/>
      <c r="L955" s="699"/>
      <c r="M955" s="699"/>
      <c r="N955" s="1257"/>
      <c r="O955" s="16"/>
      <c r="P955" s="1065"/>
      <c r="R955" s="1037"/>
      <c r="S955" s="1037"/>
    </row>
    <row r="956" spans="1:27" ht="12.75" customHeight="1" thickBot="1" x14ac:dyDescent="0.25">
      <c r="B956" s="207"/>
      <c r="C956" s="1060"/>
      <c r="D956" s="462" t="s">
        <v>333</v>
      </c>
      <c r="E956" s="1731" t="str">
        <f>Translations!$B$810</f>
        <v>Wprowadzanie lub wyprowadzanie produktów pośrednich objętych wskaźnikami emisyjności dla produktów</v>
      </c>
      <c r="F956" s="1734"/>
      <c r="G956" s="1734"/>
      <c r="H956" s="1734"/>
      <c r="I956" s="1734"/>
      <c r="J956" s="1734"/>
      <c r="K956" s="1734"/>
      <c r="L956" s="1734"/>
      <c r="M956" s="1734"/>
      <c r="N956" s="1735"/>
      <c r="O956" s="16"/>
      <c r="P956" s="1037"/>
      <c r="R956" s="1037"/>
      <c r="S956" s="1037"/>
    </row>
    <row r="957" spans="1:27" ht="12.75" customHeight="1" thickBot="1" x14ac:dyDescent="0.25">
      <c r="B957" s="20"/>
      <c r="C957" s="1060"/>
      <c r="D957" s="699" t="s">
        <v>2</v>
      </c>
      <c r="E957" s="1755" t="str">
        <f>Translations!$B$813</f>
        <v>Czy ma miejsce jakiekolwiek wprowadzanie lub wyprowadzanie produktów pośrednich objętych wskaźnikami emisyjności dla produktów?</v>
      </c>
      <c r="F957" s="1755"/>
      <c r="G957" s="1755"/>
      <c r="H957" s="1755"/>
      <c r="I957" s="1755"/>
      <c r="J957" s="1755"/>
      <c r="K957" s="1756"/>
      <c r="L957" s="517"/>
      <c r="M957" s="449"/>
      <c r="N957" s="702"/>
      <c r="O957" s="16"/>
      <c r="W957" s="1048" t="s">
        <v>414</v>
      </c>
      <c r="X957" s="1046" t="b">
        <f>IF(AND(I793&lt;&gt;"",ISBLANK(L957)),EUconst_Error&amp;"BM"&amp;C793,FALSE)</f>
        <v>0</v>
      </c>
    </row>
    <row r="958" spans="1:27" ht="5.0999999999999996" customHeight="1" x14ac:dyDescent="0.2">
      <c r="B958" s="207"/>
      <c r="C958" s="1060"/>
      <c r="D958" s="699"/>
      <c r="E958" s="699"/>
      <c r="F958" s="699"/>
      <c r="G958" s="699"/>
      <c r="H958" s="699"/>
      <c r="I958" s="699"/>
      <c r="J958" s="699"/>
      <c r="K958" s="699"/>
      <c r="L958" s="699"/>
      <c r="M958" s="699"/>
      <c r="N958" s="1257"/>
      <c r="O958" s="16"/>
      <c r="P958" s="1065"/>
      <c r="R958" s="1037"/>
      <c r="S958" s="1037"/>
    </row>
    <row r="959" spans="1:27" ht="12.75" customHeight="1" thickBot="1" x14ac:dyDescent="0.25">
      <c r="B959" s="207"/>
      <c r="C959" s="1060"/>
      <c r="D959" s="514"/>
      <c r="E959" s="1757" t="str">
        <f>Translations!$B$814</f>
        <v>Ilości wprowadzone:</v>
      </c>
      <c r="F959" s="1758"/>
      <c r="G959" s="1758"/>
      <c r="H959" s="515" t="str">
        <f>EUconst_Unit</f>
        <v>Jednostka</v>
      </c>
      <c r="I959" s="451">
        <f>I$1882</f>
        <v>2014</v>
      </c>
      <c r="J959" s="451">
        <f>J$1882</f>
        <v>2015</v>
      </c>
      <c r="K959" s="451">
        <f>K$1882</f>
        <v>2016</v>
      </c>
      <c r="L959" s="451">
        <f>L$1882</f>
        <v>2017</v>
      </c>
      <c r="M959" s="451">
        <f>M$1882</f>
        <v>2018</v>
      </c>
      <c r="N959" s="1257"/>
      <c r="O959" s="16"/>
      <c r="P959" s="1065"/>
      <c r="R959" s="1037"/>
      <c r="S959" s="1037"/>
      <c r="AA959" s="422" t="s">
        <v>272</v>
      </c>
    </row>
    <row r="960" spans="1:27" ht="12.75" customHeight="1" x14ac:dyDescent="0.2">
      <c r="B960" s="207"/>
      <c r="C960" s="1060"/>
      <c r="D960" s="516" t="s">
        <v>3</v>
      </c>
      <c r="E960" s="1759"/>
      <c r="F960" s="1759"/>
      <c r="G960" s="1759"/>
      <c r="H960" s="64" t="str">
        <f>IF(E960&lt;&gt;"",INDEX(EUconst_BMlistUnits,MATCH(E960,EUconst_BMlistNames,0)),EUconst_Tons)</f>
        <v>tony</v>
      </c>
      <c r="I960" s="318"/>
      <c r="J960" s="318"/>
      <c r="K960" s="318"/>
      <c r="L960" s="318"/>
      <c r="M960" s="318"/>
      <c r="N960" s="1257"/>
      <c r="O960" s="16"/>
      <c r="P960" s="1062" t="str">
        <f>EUconst_CNTR_IntermediateImport &amp; R960 &amp; "_" &amp; I793</f>
        <v>IntImp_1_</v>
      </c>
      <c r="R960" s="1062">
        <v>1</v>
      </c>
      <c r="S960" s="1037"/>
      <c r="AA960" s="646" t="b">
        <f>AND(NOT(ISBLANK(L957)),L957=FALSE)</f>
        <v>0</v>
      </c>
    </row>
    <row r="961" spans="2:27" ht="12.75" customHeight="1" x14ac:dyDescent="0.2">
      <c r="B961" s="207"/>
      <c r="C961" s="1060"/>
      <c r="D961" s="516" t="s">
        <v>4</v>
      </c>
      <c r="E961" s="1747"/>
      <c r="F961" s="1747"/>
      <c r="G961" s="1747"/>
      <c r="H961" s="56" t="str">
        <f>IF(E961&lt;&gt;"",INDEX(EUconst_BMlistUnits,MATCH(E961,EUconst_BMlistNames,0)),EUconst_Tons)</f>
        <v>tony</v>
      </c>
      <c r="I961" s="317"/>
      <c r="J961" s="317"/>
      <c r="K961" s="317"/>
      <c r="L961" s="317"/>
      <c r="M961" s="317"/>
      <c r="N961" s="1257"/>
      <c r="O961" s="16"/>
      <c r="P961" s="1062" t="str">
        <f>EUconst_CNTR_IntermediateImport &amp; R961 &amp; "_" &amp; I793</f>
        <v>IntImp_2_</v>
      </c>
      <c r="R961" s="1062">
        <v>2</v>
      </c>
      <c r="S961" s="1037"/>
      <c r="AA961" s="345" t="b">
        <f>AA960</f>
        <v>0</v>
      </c>
    </row>
    <row r="962" spans="2:27" ht="5.0999999999999996" customHeight="1" x14ac:dyDescent="0.2">
      <c r="B962" s="207"/>
      <c r="C962" s="1060"/>
      <c r="D962" s="699"/>
      <c r="E962" s="699"/>
      <c r="F962" s="699"/>
      <c r="G962" s="699"/>
      <c r="H962" s="699"/>
      <c r="I962" s="699"/>
      <c r="J962" s="699"/>
      <c r="K962" s="699"/>
      <c r="L962" s="699"/>
      <c r="M962" s="699"/>
      <c r="N962" s="1257"/>
      <c r="O962" s="16"/>
      <c r="P962" s="1065"/>
      <c r="R962" s="1037"/>
      <c r="S962" s="1037"/>
      <c r="AA962" s="608"/>
    </row>
    <row r="963" spans="2:27" ht="12.75" customHeight="1" x14ac:dyDescent="0.2">
      <c r="B963" s="207"/>
      <c r="C963" s="1060"/>
      <c r="D963" s="514"/>
      <c r="E963" s="1757" t="str">
        <f>Translations!$B$815</f>
        <v>Ilości wyprowadzone:</v>
      </c>
      <c r="F963" s="1758"/>
      <c r="G963" s="1758"/>
      <c r="H963" s="515" t="str">
        <f>EUconst_Unit</f>
        <v>Jednostka</v>
      </c>
      <c r="I963" s="451">
        <f>I$1882</f>
        <v>2014</v>
      </c>
      <c r="J963" s="451">
        <f>J$1882</f>
        <v>2015</v>
      </c>
      <c r="K963" s="451">
        <f>K$1882</f>
        <v>2016</v>
      </c>
      <c r="L963" s="451">
        <f>L$1882</f>
        <v>2017</v>
      </c>
      <c r="M963" s="451">
        <f>M$1882</f>
        <v>2018</v>
      </c>
      <c r="N963" s="1257"/>
      <c r="O963" s="16"/>
      <c r="P963" s="1065"/>
      <c r="R963" s="1037"/>
      <c r="S963" s="1037"/>
      <c r="AA963" s="608"/>
    </row>
    <row r="964" spans="2:27" ht="12.75" customHeight="1" x14ac:dyDescent="0.2">
      <c r="B964" s="207"/>
      <c r="C964" s="1060"/>
      <c r="D964" s="516" t="s">
        <v>6</v>
      </c>
      <c r="E964" s="1759"/>
      <c r="F964" s="1759"/>
      <c r="G964" s="1759"/>
      <c r="H964" s="64" t="str">
        <f>IF(E964&lt;&gt;"",INDEX(EUconst_BMlistUnits,MATCH(E964,EUconst_BMlistNames,0)),EUconst_Tons)</f>
        <v>tony</v>
      </c>
      <c r="I964" s="318"/>
      <c r="J964" s="318"/>
      <c r="K964" s="318"/>
      <c r="L964" s="318"/>
      <c r="M964" s="318"/>
      <c r="N964" s="1257"/>
      <c r="O964" s="16"/>
      <c r="P964" s="1062" t="str">
        <f>EUconst_CNTR_IntermediateExport &amp; R960 &amp; "_" &amp; I793</f>
        <v>IntExp_1_</v>
      </c>
      <c r="R964" s="1062">
        <v>1</v>
      </c>
      <c r="S964" s="1037"/>
      <c r="U964" s="512"/>
      <c r="V964" s="512"/>
      <c r="AA964" s="345" t="b">
        <f>AA960</f>
        <v>0</v>
      </c>
    </row>
    <row r="965" spans="2:27" ht="12.75" customHeight="1" x14ac:dyDescent="0.2">
      <c r="B965" s="207"/>
      <c r="C965" s="1060"/>
      <c r="D965" s="516" t="s">
        <v>316</v>
      </c>
      <c r="E965" s="1747"/>
      <c r="F965" s="1747"/>
      <c r="G965" s="1747"/>
      <c r="H965" s="56" t="str">
        <f>IF(E965&lt;&gt;"",INDEX(EUconst_BMlistUnits,MATCH(E965,EUconst_BMlistNames,0)),EUconst_Tons)</f>
        <v>tony</v>
      </c>
      <c r="I965" s="317"/>
      <c r="J965" s="317"/>
      <c r="K965" s="317"/>
      <c r="L965" s="317"/>
      <c r="M965" s="317"/>
      <c r="N965" s="1257"/>
      <c r="O965" s="16"/>
      <c r="P965" s="1062" t="str">
        <f>EUconst_CNTR_IntermediateExport &amp; R965 &amp; "_" &amp; I793</f>
        <v>IntExp_2_</v>
      </c>
      <c r="R965" s="1062">
        <v>2</v>
      </c>
      <c r="S965" s="1037"/>
      <c r="U965" s="512"/>
      <c r="V965" s="512"/>
      <c r="AA965" s="345" t="b">
        <f>AA960</f>
        <v>0</v>
      </c>
    </row>
    <row r="966" spans="2:27" ht="5.0999999999999996" customHeight="1" x14ac:dyDescent="0.2">
      <c r="B966" s="207"/>
      <c r="C966" s="1060"/>
      <c r="D966" s="699"/>
      <c r="E966" s="699"/>
      <c r="F966" s="699"/>
      <c r="G966" s="699"/>
      <c r="H966" s="699"/>
      <c r="I966" s="699"/>
      <c r="J966" s="699"/>
      <c r="K966" s="699"/>
      <c r="L966" s="699"/>
      <c r="M966" s="699"/>
      <c r="N966" s="1257"/>
      <c r="O966" s="16"/>
      <c r="P966" s="1065"/>
      <c r="R966" s="1037"/>
      <c r="S966" s="1037"/>
      <c r="U966" s="512"/>
      <c r="V966" s="512"/>
      <c r="AA966" s="608"/>
    </row>
    <row r="967" spans="2:27" ht="12.75" customHeight="1" x14ac:dyDescent="0.2">
      <c r="B967" s="207"/>
      <c r="C967" s="1060"/>
      <c r="D967" s="516" t="s">
        <v>317</v>
      </c>
      <c r="E967" s="1748" t="str">
        <f>Translations!$B$816</f>
        <v>Opis produktów pośrednich wprowadzonych lub wyprowadzonych</v>
      </c>
      <c r="F967" s="1748"/>
      <c r="G967" s="1748"/>
      <c r="H967" s="1748"/>
      <c r="I967" s="1748"/>
      <c r="J967" s="1748"/>
      <c r="K967" s="1748"/>
      <c r="L967" s="1748"/>
      <c r="M967" s="1748"/>
      <c r="N967" s="1257"/>
      <c r="O967" s="16"/>
      <c r="P967" s="1065"/>
      <c r="R967" s="1037"/>
      <c r="S967" s="1037"/>
      <c r="U967" s="512"/>
      <c r="V967" s="512"/>
      <c r="AA967" s="608"/>
    </row>
    <row r="968" spans="2:27" ht="12.75" customHeight="1" x14ac:dyDescent="0.2">
      <c r="B968" s="207"/>
      <c r="C968" s="1060"/>
      <c r="D968" s="699"/>
      <c r="E968" s="1749"/>
      <c r="F968" s="1750"/>
      <c r="G968" s="1750"/>
      <c r="H968" s="1750"/>
      <c r="I968" s="1750"/>
      <c r="J968" s="1750"/>
      <c r="K968" s="1750"/>
      <c r="L968" s="1750"/>
      <c r="M968" s="1751"/>
      <c r="N968" s="1257"/>
      <c r="O968" s="16"/>
      <c r="P968" s="1065"/>
      <c r="R968" s="1037"/>
      <c r="S968" s="1037"/>
      <c r="U968" s="512"/>
      <c r="V968" s="512"/>
      <c r="AA968" s="345" t="b">
        <f>AA960</f>
        <v>0</v>
      </c>
    </row>
    <row r="969" spans="2:27" ht="12.75" customHeight="1" thickBot="1" x14ac:dyDescent="0.25">
      <c r="B969" s="207"/>
      <c r="C969" s="1060"/>
      <c r="D969" s="699"/>
      <c r="E969" s="1752"/>
      <c r="F969" s="1753"/>
      <c r="G969" s="1753"/>
      <c r="H969" s="1753"/>
      <c r="I969" s="1753"/>
      <c r="J969" s="1753"/>
      <c r="K969" s="1753"/>
      <c r="L969" s="1753"/>
      <c r="M969" s="1754"/>
      <c r="N969" s="1257"/>
      <c r="O969" s="16"/>
      <c r="P969" s="1065"/>
      <c r="R969" s="1037"/>
      <c r="S969" s="1037"/>
      <c r="U969" s="512"/>
      <c r="V969" s="512"/>
      <c r="AA969" s="168" t="b">
        <f>AA960</f>
        <v>0</v>
      </c>
    </row>
    <row r="970" spans="2:27" ht="12.75" customHeight="1" thickBot="1" x14ac:dyDescent="0.25">
      <c r="B970" s="207"/>
      <c r="C970" s="1066"/>
      <c r="D970" s="1067"/>
      <c r="E970" s="1067"/>
      <c r="F970" s="1067"/>
      <c r="G970" s="1067"/>
      <c r="H970" s="1067"/>
      <c r="I970" s="1067"/>
      <c r="J970" s="1067"/>
      <c r="K970" s="1067"/>
      <c r="L970" s="1067"/>
      <c r="M970" s="1068"/>
      <c r="N970" s="1069"/>
      <c r="O970" s="16"/>
      <c r="P970" s="1037"/>
      <c r="R970" s="1037"/>
      <c r="S970" s="1037"/>
    </row>
    <row r="971" spans="2:27" ht="13.5" thickBot="1" x14ac:dyDescent="0.25">
      <c r="B971" s="20"/>
      <c r="C971" s="20"/>
      <c r="D971" s="20"/>
      <c r="E971" s="20"/>
      <c r="F971" s="20"/>
      <c r="G971" s="20"/>
      <c r="H971" s="20"/>
      <c r="I971" s="20"/>
      <c r="J971" s="20"/>
      <c r="K971" s="20"/>
      <c r="L971" s="20"/>
      <c r="M971" s="20"/>
      <c r="N971" s="20"/>
      <c r="O971" s="16"/>
      <c r="P971" s="346" t="str">
        <f>IF(OR(AND(CNTR_ExistProductSubEntries=FALSE,P793=1),AND(I793&lt;&gt;"",COUNTIF(P972:$P$1876,"PRINT")=0)),"PRINT","")</f>
        <v/>
      </c>
      <c r="Q971" s="422" t="s">
        <v>498</v>
      </c>
      <c r="R971" s="1037"/>
      <c r="S971" s="1037"/>
    </row>
    <row r="972" spans="2:27" ht="5.0999999999999996" customHeight="1" thickBot="1" x14ac:dyDescent="0.25">
      <c r="B972" s="20"/>
      <c r="C972" s="1070"/>
      <c r="D972" s="1070"/>
      <c r="E972" s="1070"/>
      <c r="F972" s="1070"/>
      <c r="G972" s="1070"/>
      <c r="H972" s="1070"/>
      <c r="I972" s="1070"/>
      <c r="J972" s="1070"/>
      <c r="K972" s="1070"/>
      <c r="L972" s="1070"/>
      <c r="M972" s="1070"/>
      <c r="N972" s="1070"/>
      <c r="O972" s="16"/>
      <c r="R972" s="1037"/>
      <c r="S972" s="1037"/>
    </row>
    <row r="973" spans="2:27" ht="15.75" thickBot="1" x14ac:dyDescent="0.25">
      <c r="B973" s="207"/>
      <c r="C973" s="1047">
        <f>C793+1</f>
        <v>6</v>
      </c>
      <c r="D973" s="1439" t="str">
        <f>EUconst_BMSubinst &amp; ":"</f>
        <v>Podinstalacja i wskaźnik emisyjności dla produktów:</v>
      </c>
      <c r="E973" s="1370"/>
      <c r="F973" s="1370"/>
      <c r="G973" s="1370"/>
      <c r="H973" s="1432"/>
      <c r="I973" s="1781" t="str">
        <f>IF(INDEX(CNTR_SubInstListIsProdBM,$C973),INDEX(CNTR_SubInstListNames,$C973),"")</f>
        <v/>
      </c>
      <c r="J973" s="1666"/>
      <c r="K973" s="1666"/>
      <c r="L973" s="1666"/>
      <c r="M973" s="1666"/>
      <c r="N973" s="1383"/>
      <c r="O973" s="16"/>
      <c r="P973" s="346">
        <f>C973</f>
        <v>6</v>
      </c>
      <c r="Q973" s="1048" t="s">
        <v>234</v>
      </c>
      <c r="R973" s="1049" t="str">
        <f>IF(I973="","",INDEX(CNTR_SubInstStartDate,MATCH($I973,CNTR_SubInstListNames,0)))</f>
        <v/>
      </c>
      <c r="S973" s="1050" t="b">
        <f>IF($I973="",FALSE,AND(I$1885, IF($R973&lt;DATE($L$1882,1,1),YEAR($R973)&lt;=I$1882,YEAR($R973-1)&lt;I$1882) ) )</f>
        <v>0</v>
      </c>
      <c r="T973" s="1050" t="b">
        <f>IF($I973="",FALSE,AND(J$1885, IF($R973&lt;DATE($L$1882,1,1),YEAR($R973)&lt;=J$1882,YEAR($R973-1)&lt;J$1882) ) )</f>
        <v>0</v>
      </c>
      <c r="U973" s="1050" t="b">
        <f>IF($I973="",FALSE,AND(K$1885, IF($R973&lt;DATE($L$1882,1,1),YEAR($R973)&lt;=K$1882,YEAR($R973-1)&lt;K$1882) ) )</f>
        <v>0</v>
      </c>
      <c r="V973" s="1050" t="b">
        <f>IF($I973="",FALSE,AND(L$1885, IF($R973&lt;DATE($L$1882,1,1),YEAR($R973)&lt;=L$1882,YEAR($R973-1)&lt;L$1882) ) )</f>
        <v>0</v>
      </c>
      <c r="W973" s="1050" t="b">
        <f>IF($I973="",FALSE,AND(M$1885, IF($R973&lt;DATE($L$1882,1,1),YEAR($R973)&lt;=M$1882,YEAR($R973-1)&lt;M$1882) ) )</f>
        <v>0</v>
      </c>
      <c r="Z973" s="736" t="s">
        <v>550</v>
      </c>
      <c r="AA973" s="738" t="b">
        <f>AND(CNTR_ExistSubInstEntries,I973="")</f>
        <v>1</v>
      </c>
    </row>
    <row r="974" spans="2:27" ht="5.0999999999999996" customHeight="1" x14ac:dyDescent="0.2">
      <c r="B974" s="207"/>
      <c r="C974" s="207"/>
      <c r="D974" s="207"/>
      <c r="E974" s="207"/>
      <c r="F974" s="207"/>
      <c r="G974" s="207"/>
      <c r="H974" s="207"/>
      <c r="I974" s="207"/>
      <c r="J974" s="207"/>
      <c r="K974" s="207"/>
      <c r="L974" s="207"/>
      <c r="M974" s="16"/>
      <c r="N974" s="16"/>
      <c r="O974" s="16"/>
      <c r="P974" s="1037"/>
      <c r="R974" s="1037"/>
      <c r="S974" s="1037"/>
    </row>
    <row r="975" spans="2:27" ht="12.75" customHeight="1" x14ac:dyDescent="0.2">
      <c r="B975" s="207"/>
      <c r="C975" s="207"/>
      <c r="D975" s="207"/>
      <c r="E975" s="1622" t="str">
        <f>CONCATENATE(EUconst_MsgSeeFirst," (F.I.1)")</f>
        <v>Szczegółowe instrukcje dotyczące wprowadzania danych w tym narzędziu znajdują się w pierwszej kopii tego narzędzia.  (F.I.1)</v>
      </c>
      <c r="F975" s="1622"/>
      <c r="G975" s="1622"/>
      <c r="H975" s="1622"/>
      <c r="I975" s="1622"/>
      <c r="J975" s="1622"/>
      <c r="K975" s="1622"/>
      <c r="L975" s="1622"/>
      <c r="M975" s="1622"/>
      <c r="N975" s="1622"/>
      <c r="O975" s="16"/>
      <c r="P975" s="1037"/>
      <c r="R975" s="1037"/>
      <c r="S975" s="1037"/>
    </row>
    <row r="976" spans="2:27" ht="5.0999999999999996" customHeight="1" x14ac:dyDescent="0.2">
      <c r="B976" s="207"/>
      <c r="C976" s="207"/>
      <c r="D976" s="207"/>
      <c r="E976" s="207"/>
      <c r="F976" s="207"/>
      <c r="G976" s="207"/>
      <c r="H976" s="207"/>
      <c r="I976" s="207"/>
      <c r="J976" s="207"/>
      <c r="K976" s="207"/>
      <c r="L976" s="207"/>
      <c r="M976" s="16"/>
      <c r="N976" s="16"/>
      <c r="O976" s="16"/>
      <c r="P976" s="1037"/>
      <c r="R976" s="1037"/>
      <c r="S976" s="1037"/>
    </row>
    <row r="977" spans="1:27" ht="13.5" thickBot="1" x14ac:dyDescent="0.25">
      <c r="B977" s="207"/>
      <c r="C977" s="207"/>
      <c r="D977" s="14" t="s">
        <v>173</v>
      </c>
      <c r="E977" s="1375" t="str">
        <f>Translations!$B$670</f>
        <v>Historyczne poziomy działalności</v>
      </c>
      <c r="F977" s="1370"/>
      <c r="G977" s="1370"/>
      <c r="H977" s="1370"/>
      <c r="I977" s="1370"/>
      <c r="J977" s="1370"/>
      <c r="K977" s="1370"/>
      <c r="L977" s="1370"/>
      <c r="M977" s="1370"/>
      <c r="N977" s="1370"/>
      <c r="O977" s="16"/>
      <c r="P977" s="1037"/>
      <c r="R977" s="1037"/>
      <c r="S977" s="1037"/>
    </row>
    <row r="978" spans="1:27" ht="13.5" customHeight="1" thickBot="1" x14ac:dyDescent="0.25">
      <c r="B978" s="20"/>
      <c r="C978" s="20"/>
      <c r="D978" s="14"/>
      <c r="E978" s="1430" t="str">
        <f>Translations!$B$676</f>
        <v>Roczne poziomy działalności:</v>
      </c>
      <c r="F978" s="1430"/>
      <c r="G978" s="1430"/>
      <c r="H978" s="34" t="str">
        <f>EUconst_Unit</f>
        <v>Jednostka</v>
      </c>
      <c r="I978" s="396">
        <f>I$1882</f>
        <v>2014</v>
      </c>
      <c r="J978" s="396">
        <f>J$1882</f>
        <v>2015</v>
      </c>
      <c r="K978" s="396">
        <f>K$1882</f>
        <v>2016</v>
      </c>
      <c r="L978" s="396">
        <f>L$1882</f>
        <v>2017</v>
      </c>
      <c r="M978" s="421">
        <f>M$1882</f>
        <v>2018</v>
      </c>
      <c r="N978" s="888" t="str">
        <f>IF(I973="","",IF(S983,YEAR(R973)+1,""))</f>
        <v/>
      </c>
      <c r="O978" s="16"/>
      <c r="P978" s="1037"/>
      <c r="Q978" s="424" t="s">
        <v>432</v>
      </c>
      <c r="R978" s="276"/>
      <c r="S978" s="276"/>
      <c r="T978" s="276"/>
      <c r="U978" s="276"/>
      <c r="V978" s="276"/>
      <c r="W978" s="277"/>
      <c r="Y978" s="788" t="b">
        <f>IF(CNTR_ExistSubInstEntries,IF(I973&lt;&gt;"",NOT(S983),TRUE),FALSE)</f>
        <v>1</v>
      </c>
      <c r="AA978" s="422" t="s">
        <v>272</v>
      </c>
    </row>
    <row r="979" spans="1:27" ht="13.5" thickBot="1" x14ac:dyDescent="0.25">
      <c r="B979" s="20"/>
      <c r="C979" s="20"/>
      <c r="D979" s="195" t="s">
        <v>2</v>
      </c>
      <c r="E979" s="1801" t="str">
        <f>I973</f>
        <v/>
      </c>
      <c r="F979" s="1801"/>
      <c r="G979" s="1801"/>
      <c r="H979" s="98" t="str">
        <f>IF(INDEX(CNTR_SubInstListIsProdBM,$C973),INDEX(CNTR_SubInstListHALUnit,$C973),EUconst_Tons)</f>
        <v>tony</v>
      </c>
      <c r="I979" s="591"/>
      <c r="J979" s="591"/>
      <c r="K979" s="591"/>
      <c r="L979" s="591"/>
      <c r="M979" s="886"/>
      <c r="N979" s="889"/>
      <c r="O979" s="16"/>
      <c r="P979" s="164" t="s">
        <v>237</v>
      </c>
      <c r="Q979" s="1238" t="s">
        <v>2190</v>
      </c>
      <c r="R979" s="187" t="s">
        <v>437</v>
      </c>
      <c r="S979" s="442">
        <f>I978</f>
        <v>2014</v>
      </c>
      <c r="T979" s="443">
        <f>J978</f>
        <v>2015</v>
      </c>
      <c r="U979" s="443">
        <f>K978</f>
        <v>2016</v>
      </c>
      <c r="V979" s="443">
        <f>L978</f>
        <v>2017</v>
      </c>
      <c r="W979" s="444">
        <f>M978</f>
        <v>2018</v>
      </c>
      <c r="Y979" s="963" t="b">
        <f>IF(CNTR_ExistSubInstEntries,IF(AND(I973&lt;&gt;"",N980=""),NOT(S983),TRUE),FALSE)</f>
        <v>1</v>
      </c>
      <c r="Z979" s="422"/>
      <c r="AA979" s="646" t="b">
        <f>IF(CNTR_ExistSubInstEntries,AND(I973&lt;&gt;"",Q983),FALSE)</f>
        <v>0</v>
      </c>
    </row>
    <row r="980" spans="1:27" ht="13.5" thickBot="1" x14ac:dyDescent="0.25">
      <c r="B980" s="20"/>
      <c r="C980" s="20"/>
      <c r="D980" s="195" t="s">
        <v>3</v>
      </c>
      <c r="E980" s="1801" t="str">
        <f>Translations!$B$677</f>
        <v>Z arkusza „H_SpecialBM”:</v>
      </c>
      <c r="F980" s="1801"/>
      <c r="G980" s="1801"/>
      <c r="H980" s="98" t="str">
        <f>H979</f>
        <v>tony</v>
      </c>
      <c r="I980" s="321" t="str">
        <f>IF($I973="","",IF($Q983,SUMIF(H_SpecialBM!$P$9:$P$384,$P980,H_SpecialBM!I$9:I$384),""))</f>
        <v/>
      </c>
      <c r="J980" s="321" t="str">
        <f>IF($I973="","",IF($Q983,SUMIF(H_SpecialBM!$P$9:$P$384,$P980,H_SpecialBM!J$9:J$384),""))</f>
        <v/>
      </c>
      <c r="K980" s="321" t="str">
        <f>IF($I973="","",IF($Q983,SUMIF(H_SpecialBM!$P$9:$P$384,$P980,H_SpecialBM!K$9:K$384),""))</f>
        <v/>
      </c>
      <c r="L980" s="321" t="str">
        <f>IF($I973="","",IF($Q983,SUMIF(H_SpecialBM!$P$9:$P$384,$P980,H_SpecialBM!L$9:L$384),""))</f>
        <v/>
      </c>
      <c r="M980" s="887" t="str">
        <f>IF($I973="","",IF($Q983,SUMIF(H_SpecialBM!$P$9:$P$384,$P980,H_SpecialBM!M$9:M$384),""))</f>
        <v/>
      </c>
      <c r="N980" s="890" t="str">
        <f>IF($I973="","",IF(AND($Q983,$S983),SUMIF(H_SpecialBM!$P$9:$P$384,$P980,H_SpecialBM!N$9:N$384),""))</f>
        <v/>
      </c>
      <c r="O980" s="16"/>
      <c r="P980" s="1051" t="str">
        <f>EUconst_CNTR_HALspecial&amp;I973</f>
        <v>HALspecial_</v>
      </c>
      <c r="Q980" s="179" t="str">
        <f>IF(COUNT($U980:$V980)&gt;0,SUM($U980:$V980),"")</f>
        <v/>
      </c>
      <c r="R980" s="439" t="str">
        <f>IF(COUNT(S980:W980)&gt;0,AVERAGE(S980:W980),"")</f>
        <v/>
      </c>
      <c r="S980" s="440" t="str">
        <f>IF(S973,IF(ISNUMBER(I980),I980,""),"")</f>
        <v/>
      </c>
      <c r="T980" s="441" t="str">
        <f>IF(T973,IF(ISNUMBER(J980),J980,""),"")</f>
        <v/>
      </c>
      <c r="U980" s="441" t="str">
        <f>IF(U973,IF(ISNUMBER(K980),K980,""),"")</f>
        <v/>
      </c>
      <c r="V980" s="441" t="str">
        <f>IF(V973,IF(ISNUMBER(L980),L980,""),"")</f>
        <v/>
      </c>
      <c r="W980" s="439" t="str">
        <f>IF(W973,IF(ISNUMBER(M980),M980,""),"")</f>
        <v/>
      </c>
      <c r="Y980" s="777" t="b">
        <f>OR(Y978,AA980)</f>
        <v>1</v>
      </c>
      <c r="AA980" s="723" t="b">
        <f>Q983=FALSE</f>
        <v>0</v>
      </c>
    </row>
    <row r="981" spans="1:27" ht="13.5" thickBot="1" x14ac:dyDescent="0.25">
      <c r="B981" s="20"/>
      <c r="C981" s="20"/>
      <c r="D981" s="195" t="s">
        <v>4</v>
      </c>
      <c r="E981" s="1801" t="str">
        <f>Translations!$B$678</f>
        <v>Wartości użyte do obliczenia:</v>
      </c>
      <c r="F981" s="1801"/>
      <c r="G981" s="1801"/>
      <c r="H981" s="98" t="str">
        <f>H980</f>
        <v>tony</v>
      </c>
      <c r="I981" s="321" t="str">
        <f>IF($I973="","",IF($Q983=TRUE,IF(ISNUMBER(I980),I980,0),IF(ISNUMBER(I979),I979,0)))</f>
        <v/>
      </c>
      <c r="J981" s="321" t="str">
        <f>IF($I973="","",IF($Q983=TRUE,IF(ISNUMBER(J980),J980,0),IF(ISNUMBER(J979),J979,0)))</f>
        <v/>
      </c>
      <c r="K981" s="321" t="str">
        <f>IF($I973="","",IF($Q983=TRUE,IF(ISNUMBER(K980),K980,0),IF(ISNUMBER(K979),K979,0)))</f>
        <v/>
      </c>
      <c r="L981" s="321" t="str">
        <f>IF($I973="","",IF($Q983=TRUE,IF(ISNUMBER(L980),L980,0),IF(ISNUMBER(L979),L979,0)))</f>
        <v/>
      </c>
      <c r="M981" s="887" t="str">
        <f>IF($I973="","",IF($Q983=TRUE,IF(ISNUMBER(M980),M980,0),IF(ISNUMBER(M979),M979,0)))</f>
        <v/>
      </c>
      <c r="N981" s="890" t="str">
        <f>IF($I973="","",IF(S983,IF($Q983=TRUE,IF(ISNUMBER(N980),N980,0),IF(ISNUMBER(N979),N979,0)),""))</f>
        <v/>
      </c>
      <c r="O981" s="16"/>
      <c r="P981" s="1051" t="str">
        <f>EUconst_CNTR_HAL&amp;I973</f>
        <v>HAL_</v>
      </c>
      <c r="Q981" s="168" t="str">
        <f>IF(COUNT($U981:$V981)&gt;0,SUM($U981:$V981),"")</f>
        <v/>
      </c>
      <c r="R981" s="120" t="str">
        <f>IF(COUNT(S981:W981)&gt;0,AVERAGE(S981:W981),"")</f>
        <v/>
      </c>
      <c r="S981" s="118" t="str">
        <f>IF(S973,IF(ISNUMBER(I981),I981,""),"")</f>
        <v/>
      </c>
      <c r="T981" s="119" t="str">
        <f>IF(T973,IF(ISNUMBER(J981),J981,""),"")</f>
        <v/>
      </c>
      <c r="U981" s="119" t="str">
        <f>IF(U973,IF(ISNUMBER(K981),K981,""),"")</f>
        <v/>
      </c>
      <c r="V981" s="119" t="str">
        <f>IF(V973,IF(ISNUMBER(L981),L981,""),"")</f>
        <v/>
      </c>
      <c r="W981" s="120" t="str">
        <f>IF(W973,IF(ISNUMBER(M981),M981,""),"")</f>
        <v/>
      </c>
      <c r="Y981" s="168" t="b">
        <f>Y978</f>
        <v>1</v>
      </c>
    </row>
    <row r="982" spans="1:27" ht="5.0999999999999996" customHeight="1" x14ac:dyDescent="0.2">
      <c r="B982" s="207"/>
      <c r="C982" s="207"/>
      <c r="D982" s="207"/>
      <c r="E982" s="207"/>
      <c r="F982" s="207"/>
      <c r="G982" s="207"/>
      <c r="H982" s="207"/>
      <c r="I982" s="207"/>
      <c r="J982" s="207"/>
      <c r="K982" s="207"/>
      <c r="L982" s="207"/>
      <c r="M982" s="16"/>
      <c r="N982" s="16"/>
      <c r="O982" s="16"/>
      <c r="P982" s="1037"/>
      <c r="R982" s="1037"/>
      <c r="S982" s="1037"/>
    </row>
    <row r="983" spans="1:27" x14ac:dyDescent="0.2">
      <c r="B983" s="207"/>
      <c r="C983" s="207"/>
      <c r="D983" s="14" t="s">
        <v>353</v>
      </c>
      <c r="E983" s="1375" t="str">
        <f>Translations!$B$679</f>
        <v>Szczególne wymogi w zakresie raportowania:</v>
      </c>
      <c r="F983" s="1375"/>
      <c r="G983" s="1637"/>
      <c r="H983" s="1796" t="str">
        <f>IF(I973="","",HYPERLINK(INDEX(EUconst_BMlistSpecialJumpTable,MATCH(I973,EUconst_BMlistNames,0)),INDEX(EUconst_BMlistSpecialReporting,MATCH(I973,EUconst_BMlistNames,0))))</f>
        <v/>
      </c>
      <c r="I983" s="1802"/>
      <c r="J983" s="1802"/>
      <c r="K983" s="1802"/>
      <c r="L983" s="1802"/>
      <c r="M983" s="1802"/>
      <c r="N983" s="1803"/>
      <c r="O983" s="16"/>
      <c r="P983" s="1048" t="s">
        <v>38</v>
      </c>
      <c r="Q983" s="116" t="str">
        <f>IF(I973="","",IF(AND(INDEX(EUconst_BMlistSpecialJumpTable,MATCH(I973,EUconst_BMlistNames,0))&lt;&gt;"",MATCH(I973,EUconst_BMlistNames,0)&lt;&gt;47),TRUE,FALSE))</f>
        <v/>
      </c>
      <c r="R983" s="1048" t="s">
        <v>598</v>
      </c>
      <c r="S983" s="116" t="b">
        <f>IF(I973="",FALSE,INDEX(CNTR_SubInstLess1Year,MATCH(I973,CNTR_SubInstListNames,0)))</f>
        <v>0</v>
      </c>
    </row>
    <row r="984" spans="1:27" ht="12.75" customHeight="1" x14ac:dyDescent="0.2">
      <c r="B984" s="207"/>
      <c r="C984" s="207"/>
      <c r="D984" s="207"/>
      <c r="E984" s="207"/>
      <c r="F984" s="207"/>
      <c r="G984" s="207"/>
      <c r="H984" s="207"/>
      <c r="I984" s="207"/>
      <c r="J984" s="207"/>
      <c r="K984" s="207"/>
      <c r="L984" s="207"/>
      <c r="M984" s="207"/>
      <c r="N984" s="207"/>
      <c r="O984" s="16"/>
      <c r="P984" s="1037"/>
      <c r="R984" s="1037"/>
      <c r="S984" s="1037"/>
    </row>
    <row r="985" spans="1:27" ht="15" customHeight="1" x14ac:dyDescent="0.2">
      <c r="B985" s="20"/>
      <c r="C985" s="208"/>
      <c r="D985" s="1439" t="str">
        <f>Translations!$B$681</f>
        <v>Dodatkowe współczynniki korygujące</v>
      </c>
      <c r="E985" s="1370"/>
      <c r="F985" s="1370"/>
      <c r="G985" s="1370"/>
      <c r="H985" s="1370"/>
      <c r="I985" s="1370"/>
      <c r="J985" s="1370"/>
      <c r="K985" s="1370"/>
      <c r="L985" s="1370"/>
      <c r="M985" s="1370"/>
      <c r="N985" s="1370"/>
      <c r="O985" s="16"/>
      <c r="R985" s="1037"/>
      <c r="S985" s="1037"/>
    </row>
    <row r="986" spans="1:27" ht="5.0999999999999996" customHeight="1" x14ac:dyDescent="0.2">
      <c r="B986" s="207"/>
      <c r="C986" s="207"/>
      <c r="D986" s="207"/>
      <c r="E986" s="207"/>
      <c r="F986" s="207"/>
      <c r="G986" s="207"/>
      <c r="H986" s="207"/>
      <c r="I986" s="207"/>
      <c r="J986" s="207"/>
      <c r="K986" s="207"/>
      <c r="L986" s="207"/>
      <c r="M986" s="207"/>
      <c r="N986" s="207"/>
      <c r="O986" s="16"/>
      <c r="P986" s="1037"/>
      <c r="R986" s="1037"/>
      <c r="S986" s="1037"/>
    </row>
    <row r="987" spans="1:27" ht="13.5" thickBot="1" x14ac:dyDescent="0.25">
      <c r="B987" s="20"/>
      <c r="C987" s="20"/>
      <c r="D987" s="14" t="s">
        <v>11</v>
      </c>
      <c r="E987" s="1375" t="str">
        <f>Translations!$B$682</f>
        <v>Zamienność paliw i energii elektrycznej:</v>
      </c>
      <c r="F987" s="1370"/>
      <c r="G987" s="1370"/>
      <c r="H987" s="1370"/>
      <c r="I987" s="1432"/>
      <c r="J987" s="1796" t="str">
        <f>IF(I973="","",IF(INDEX(EUconst_BMlistElExchangability,MATCH(I973,EUconst_BMlistNames,0))=TRUE,"",HYPERLINK(Q987,EUconst_MsgGoOn)))</f>
        <v/>
      </c>
      <c r="K987" s="1797"/>
      <c r="L987" s="1797"/>
      <c r="M987" s="1797"/>
      <c r="N987" s="1798"/>
      <c r="O987" s="16"/>
      <c r="P987" s="2" t="s">
        <v>199</v>
      </c>
      <c r="Q987" s="346" t="str">
        <f>"#"&amp;ADDRESS(ROW(D995),COLUMN(D995))</f>
        <v>#$D$995</v>
      </c>
      <c r="R987" s="1037"/>
      <c r="S987" s="1037"/>
    </row>
    <row r="988" spans="1:27" s="701" customFormat="1" ht="13.5" thickBot="1" x14ac:dyDescent="0.25">
      <c r="A988" s="422"/>
      <c r="B988" s="398"/>
      <c r="C988" s="398"/>
      <c r="D988" s="14"/>
      <c r="E988" s="1430" t="str">
        <f>Translations!$B$686</f>
        <v>Parametr</v>
      </c>
      <c r="F988" s="1377"/>
      <c r="G988" s="1377"/>
      <c r="H988" s="34" t="str">
        <f>EUconst_Unit</f>
        <v>Jednostka</v>
      </c>
      <c r="I988" s="396">
        <f>I$66</f>
        <v>2014</v>
      </c>
      <c r="J988" s="396">
        <f>J$66</f>
        <v>2015</v>
      </c>
      <c r="K988" s="396">
        <f>K$66</f>
        <v>2016</v>
      </c>
      <c r="L988" s="396">
        <f>L$66</f>
        <v>2017</v>
      </c>
      <c r="M988" s="421">
        <f>M$66</f>
        <v>2018</v>
      </c>
      <c r="N988" s="888" t="str">
        <f>IF(AA989=FALSE,N978,"")</f>
        <v/>
      </c>
      <c r="O988" s="16"/>
      <c r="P988" s="422"/>
      <c r="Q988" s="422"/>
      <c r="R988" s="1037"/>
      <c r="S988" s="1037"/>
      <c r="T988" s="1037"/>
      <c r="U988" s="1037"/>
      <c r="V988" s="1037"/>
      <c r="W988" s="1037"/>
      <c r="X988" s="1037"/>
      <c r="Y988" s="788" t="b">
        <f>OR(Y978,AA989)</f>
        <v>1</v>
      </c>
      <c r="Z988" s="422"/>
      <c r="AA988" s="1037" t="s">
        <v>381</v>
      </c>
    </row>
    <row r="989" spans="1:27" s="701" customFormat="1" ht="13.5" thickBot="1" x14ac:dyDescent="0.25">
      <c r="A989" s="422"/>
      <c r="B989" s="398"/>
      <c r="C989" s="398"/>
      <c r="D989" s="425" t="s">
        <v>2</v>
      </c>
      <c r="E989" s="1569" t="str">
        <f>Translations!$B$687</f>
        <v>Emisje bezpośrednie</v>
      </c>
      <c r="F989" s="1569"/>
      <c r="G989" s="1569"/>
      <c r="H989" s="581" t="str">
        <f>EUconst_tCO2pa</f>
        <v>t CO2 / rok</v>
      </c>
      <c r="I989" s="818"/>
      <c r="J989" s="818"/>
      <c r="K989" s="819"/>
      <c r="L989" s="818"/>
      <c r="M989" s="891"/>
      <c r="N989" s="903"/>
      <c r="O989" s="16"/>
      <c r="P989" s="422"/>
      <c r="Q989" s="422"/>
      <c r="R989" s="1037"/>
      <c r="S989" s="1037"/>
      <c r="T989" s="1037"/>
      <c r="U989" s="1037"/>
      <c r="V989" s="1037"/>
      <c r="W989" s="1037"/>
      <c r="X989" s="1037"/>
      <c r="Y989" s="715" t="b">
        <f>Y988</f>
        <v>1</v>
      </c>
      <c r="Z989" s="422"/>
      <c r="AA989" s="788" t="b">
        <f>IF(CNTR_ExistSubInstEntries,IF(I973&lt;&gt;"",IF(INDEX(EUconst_BMlistElExchangability,MATCH(I973,EUconst_BMlistNames,0)),FALSE,TRUE),TRUE),FALSE)</f>
        <v>1</v>
      </c>
    </row>
    <row r="990" spans="1:27" s="701" customFormat="1" x14ac:dyDescent="0.2">
      <c r="A990" s="422"/>
      <c r="B990" s="398"/>
      <c r="C990" s="398"/>
      <c r="D990" s="425" t="s">
        <v>3</v>
      </c>
      <c r="E990" s="1482" t="str">
        <f>Translations!$B$688</f>
        <v>Ciepło wprowadzone netto</v>
      </c>
      <c r="F990" s="1482"/>
      <c r="G990" s="1482"/>
      <c r="H990" s="584" t="str">
        <f>EUconst_TJpa</f>
        <v>TJ / rok</v>
      </c>
      <c r="I990" s="585" t="str">
        <f>IF($I973&lt;&gt;"",IF(INDEX(EUconst_BMlistElExchangability,MATCH($I973,EUconst_BMlistNames,0)),SUM(I1074),""),"")</f>
        <v/>
      </c>
      <c r="J990" s="585" t="str">
        <f>IF($I973&lt;&gt;"",IF(INDEX(EUconst_BMlistElExchangability,MATCH($I973,EUconst_BMlistNames,0)),SUM(J1074),""),"")</f>
        <v/>
      </c>
      <c r="K990" s="585" t="str">
        <f>IF($I973&lt;&gt;"",IF(INDEX(EUconst_BMlistElExchangability,MATCH($I973,EUconst_BMlistNames,0)),SUM(K1074),""),"")</f>
        <v/>
      </c>
      <c r="L990" s="585" t="str">
        <f>IF($I973&lt;&gt;"",IF(INDEX(EUconst_BMlistElExchangability,MATCH($I973,EUconst_BMlistNames,0)),SUM(L1074),""),"")</f>
        <v/>
      </c>
      <c r="M990" s="892" t="str">
        <f>IF($I973&lt;&gt;"",IF(INDEX(EUconst_BMlistElExchangability,MATCH($I973,EUconst_BMlistNames,0)),SUM(M1074),""),"")</f>
        <v/>
      </c>
      <c r="N990" s="904"/>
      <c r="O990" s="16"/>
      <c r="P990" s="422"/>
      <c r="Q990" s="422"/>
      <c r="R990" s="1052"/>
      <c r="S990" s="814">
        <f>I988</f>
        <v>2014</v>
      </c>
      <c r="T990" s="814">
        <f>J988</f>
        <v>2015</v>
      </c>
      <c r="U990" s="814">
        <f>K988</f>
        <v>2016</v>
      </c>
      <c r="V990" s="814">
        <f>L988</f>
        <v>2017</v>
      </c>
      <c r="W990" s="815">
        <f>M988</f>
        <v>2018</v>
      </c>
      <c r="X990" s="422"/>
      <c r="Y990" s="715" t="b">
        <f>Y989</f>
        <v>1</v>
      </c>
      <c r="Z990" s="422"/>
      <c r="AA990" s="715" t="b">
        <f>AA989</f>
        <v>1</v>
      </c>
    </row>
    <row r="991" spans="1:27" s="701" customFormat="1" ht="12.75" customHeight="1" thickBot="1" x14ac:dyDescent="0.25">
      <c r="A991" s="422"/>
      <c r="B991" s="398"/>
      <c r="C991" s="398"/>
      <c r="D991" s="425" t="s">
        <v>4</v>
      </c>
      <c r="E991" s="1799" t="str">
        <f>Translations!$B$689</f>
        <v>Odpowiednie zużycie energii elektrycznej</v>
      </c>
      <c r="F991" s="1800"/>
      <c r="G991" s="1800"/>
      <c r="H991" s="611" t="str">
        <f>EUconst_MWhpa</f>
        <v>MWh / rok</v>
      </c>
      <c r="I991" s="612"/>
      <c r="J991" s="612"/>
      <c r="K991" s="612"/>
      <c r="L991" s="612"/>
      <c r="M991" s="893"/>
      <c r="N991" s="896"/>
      <c r="O991" s="16"/>
      <c r="P991" s="185" t="str">
        <f>EUconst_CNTR_HAL&amp;EUconst_CNTR_ELEXCH</f>
        <v>HAL_ELEXCH_</v>
      </c>
      <c r="Q991" s="185" t="str">
        <f>EUconst_CNTR_HAL&amp;EUconst_CNTR_ELEXCH &amp; I973</f>
        <v>HAL_ELEXCH_</v>
      </c>
      <c r="R991" s="1053" t="str">
        <f>EUconst_CNTR_AttributedEmissions &amp; I973</f>
        <v>AttrEmissions_</v>
      </c>
      <c r="S991" s="119" t="str">
        <f>IF(S973,SUM(I991)*EUconst_ElBM,"")</f>
        <v/>
      </c>
      <c r="T991" s="119" t="str">
        <f>IF(T973,SUM(J991)*EUconst_ElBM,"")</f>
        <v/>
      </c>
      <c r="U991" s="119" t="str">
        <f>IF(U973,SUM(K991)*EUconst_ElBM,"")</f>
        <v/>
      </c>
      <c r="V991" s="119" t="str">
        <f>IF(V973,SUM(L991)*EUconst_ElBM,"")</f>
        <v/>
      </c>
      <c r="W991" s="120" t="str">
        <f>IF(W973,SUM(M991)*EUconst_ElBM,"")</f>
        <v/>
      </c>
      <c r="X991" s="422" t="str">
        <f>N988</f>
        <v/>
      </c>
      <c r="Y991" s="715" t="b">
        <f>Y990</f>
        <v>1</v>
      </c>
      <c r="Z991" s="422"/>
      <c r="AA991" s="715" t="b">
        <f>AA990</f>
        <v>1</v>
      </c>
    </row>
    <row r="992" spans="1:27" s="701" customFormat="1" ht="13.5" thickBot="1" x14ac:dyDescent="0.25">
      <c r="A992" s="422"/>
      <c r="B992" s="398"/>
      <c r="C992" s="398"/>
      <c r="D992" s="425" t="s">
        <v>6</v>
      </c>
      <c r="E992" s="1569" t="str">
        <f>Translations!$B$690</f>
        <v>Całkowite emisje bezpośrednie</v>
      </c>
      <c r="F992" s="1569"/>
      <c r="G992" s="1569"/>
      <c r="H992" s="581" t="str">
        <f>EUconst_tCO2pa</f>
        <v>t CO2 / rok</v>
      </c>
      <c r="I992" s="582" t="str">
        <f>IF(ISNUMBER(I989),I989+SUM(I990)*EUconst_HeatBMvalue,"")</f>
        <v/>
      </c>
      <c r="J992" s="582" t="str">
        <f>IF(ISNUMBER(J989),J989+SUM(J990)*EUconst_HeatBMvalue,"")</f>
        <v/>
      </c>
      <c r="K992" s="583" t="str">
        <f>IF(ISNUMBER(K989),K989+SUM(K990)*EUconst_HeatBMvalue,"")</f>
        <v/>
      </c>
      <c r="L992" s="582" t="str">
        <f>IF(ISNUMBER(L989),L989+SUM(L990)*EUconst_HeatBMvalue,"")</f>
        <v/>
      </c>
      <c r="M992" s="894" t="str">
        <f>IF(ISNUMBER(M989),M989+SUM(M990)*EUconst_HeatBMvalue,"")</f>
        <v/>
      </c>
      <c r="N992" s="897" t="str">
        <f>IF(AND(S983,ISNUMBER(N989)),N989+SUM(N990)*EUconst_HeatBMvalue,"")</f>
        <v/>
      </c>
      <c r="O992" s="16"/>
      <c r="P992" s="422"/>
      <c r="Q992" s="422"/>
      <c r="R992" s="1048" t="s">
        <v>557</v>
      </c>
      <c r="S992" s="905" t="str">
        <f>IF(S973,IF(ISNUMBER(I992),I992,0),"")</f>
        <v/>
      </c>
      <c r="T992" s="906" t="str">
        <f>IF(T973,IF(ISNUMBER(J992),J992,0),"")</f>
        <v/>
      </c>
      <c r="U992" s="906" t="str">
        <f>IF(U973,IF(ISNUMBER(K992),K992,0),"")</f>
        <v/>
      </c>
      <c r="V992" s="906" t="str">
        <f>IF(V973,IF(ISNUMBER(L992),L992,0),"")</f>
        <v/>
      </c>
      <c r="W992" s="907" t="str">
        <f>IF(W973,IF(ISNUMBER(M992),M992,0),"")</f>
        <v/>
      </c>
      <c r="X992" s="911" t="str">
        <f>IF(S983,IF(ISNUMBER(N992),N992,0),"")</f>
        <v/>
      </c>
      <c r="Y992" s="715" t="b">
        <f>Y991</f>
        <v>1</v>
      </c>
      <c r="Z992" s="422"/>
      <c r="AA992" s="715" t="b">
        <f>AA991</f>
        <v>1</v>
      </c>
    </row>
    <row r="993" spans="1:27" s="701" customFormat="1" ht="13.5" thickBot="1" x14ac:dyDescent="0.25">
      <c r="A993" s="422"/>
      <c r="B993" s="398"/>
      <c r="C993" s="398"/>
      <c r="D993" s="425" t="s">
        <v>316</v>
      </c>
      <c r="E993" s="1493" t="str">
        <f>Translations!$B$691</f>
        <v>Emisje pośrednie</v>
      </c>
      <c r="F993" s="1493"/>
      <c r="G993" s="1493"/>
      <c r="H993" s="586" t="str">
        <f>EUconst_tCO2pa</f>
        <v>t CO2 / rok</v>
      </c>
      <c r="I993" s="587" t="str">
        <f t="shared" ref="I993:N993" si="20">IF(ISNUMBER(I991),I991*EUconst_ElBM,"")</f>
        <v/>
      </c>
      <c r="J993" s="587" t="str">
        <f t="shared" si="20"/>
        <v/>
      </c>
      <c r="K993" s="588" t="str">
        <f t="shared" si="20"/>
        <v/>
      </c>
      <c r="L993" s="587" t="str">
        <f t="shared" si="20"/>
        <v/>
      </c>
      <c r="M993" s="895" t="str">
        <f t="shared" si="20"/>
        <v/>
      </c>
      <c r="N993" s="898" t="str">
        <f t="shared" si="20"/>
        <v/>
      </c>
      <c r="O993" s="16"/>
      <c r="P993" s="912" t="str">
        <f>EUconst_CNTR_ELEXCH &amp; I973</f>
        <v>ELEXCH_</v>
      </c>
      <c r="Q993" s="913" t="str">
        <f>IF(SUM(S993:X993)&lt;&gt;0,SUM(S992:X992)/SUM(S993:X993),EUconst_NA)</f>
        <v>Nie dotyczy</v>
      </c>
      <c r="R993" s="1048" t="s">
        <v>326</v>
      </c>
      <c r="S993" s="908" t="str">
        <f>IF(S973,IF(COUNT(I992:I993)&gt;0,SUM(I992:I993),0),"")</f>
        <v/>
      </c>
      <c r="T993" s="909" t="str">
        <f>IF(T973,IF(COUNT(J992:J993)&gt;0,SUM(J992:J993),0),"")</f>
        <v/>
      </c>
      <c r="U993" s="909" t="str">
        <f>IF(U973,IF(COUNT(K992:K993)&gt;0,SUM(K992:K993),0),"")</f>
        <v/>
      </c>
      <c r="V993" s="909" t="str">
        <f>IF(V973,IF(COUNT(L992:L993)&gt;0,SUM(L992:L993),0),"")</f>
        <v/>
      </c>
      <c r="W993" s="910" t="str">
        <f>IF(W973,IF(COUNT(M992:M993)&gt;0,SUM(M992:M993),0),"")</f>
        <v/>
      </c>
      <c r="X993" s="716" t="str">
        <f>IF(S983,IF(COUNT(N992:N993)&gt;0,SUM(N992:N993),0),"")</f>
        <v/>
      </c>
      <c r="Y993" s="716" t="b">
        <f>Y992</f>
        <v>1</v>
      </c>
      <c r="Z993" s="422"/>
      <c r="AA993" s="716" t="b">
        <f>AA992</f>
        <v>1</v>
      </c>
    </row>
    <row r="994" spans="1:27" ht="5.0999999999999996" customHeight="1" x14ac:dyDescent="0.2">
      <c r="B994" s="207"/>
      <c r="C994" s="207"/>
      <c r="D994" s="207"/>
      <c r="E994" s="207"/>
      <c r="F994" s="207"/>
      <c r="G994" s="207"/>
      <c r="H994" s="207"/>
      <c r="I994" s="207"/>
      <c r="J994" s="207"/>
      <c r="K994" s="207"/>
      <c r="L994" s="207"/>
      <c r="M994" s="16"/>
      <c r="N994" s="16"/>
      <c r="O994" s="16"/>
      <c r="P994" s="1037"/>
      <c r="X994" s="422"/>
    </row>
    <row r="995" spans="1:27" x14ac:dyDescent="0.2">
      <c r="B995" s="207"/>
      <c r="C995" s="207"/>
      <c r="D995" s="14" t="s">
        <v>356</v>
      </c>
      <c r="E995" s="1375" t="str">
        <f>Translations!$B$692</f>
        <v>Ciepło wprowadzone z instalacji lub od podmiotów nieobjętych EU ETS:</v>
      </c>
      <c r="F995" s="1375"/>
      <c r="G995" s="1375"/>
      <c r="H995" s="1375"/>
      <c r="I995" s="1637"/>
      <c r="J995" s="1796" t="str">
        <f>IF(I973="","",HYPERLINK(Q995,EUconst_MsgGoOnIfNotRelevant))</f>
        <v/>
      </c>
      <c r="K995" s="1797"/>
      <c r="L995" s="1797"/>
      <c r="M995" s="1797"/>
      <c r="N995" s="1798"/>
      <c r="O995" s="16"/>
      <c r="P995" s="2" t="s">
        <v>199</v>
      </c>
      <c r="Q995" s="346" t="str">
        <f>"#"&amp;ADDRESS(ROW(D1002),COLUMN(D1002))</f>
        <v>#$D$1002</v>
      </c>
      <c r="X995" s="422"/>
    </row>
    <row r="996" spans="1:27" ht="13.5" customHeight="1" thickBot="1" x14ac:dyDescent="0.25">
      <c r="B996" s="207"/>
      <c r="C996" s="207"/>
      <c r="D996" s="16"/>
      <c r="E996" s="1408"/>
      <c r="F996" s="1408"/>
      <c r="G996" s="1408"/>
      <c r="H996" s="1408"/>
      <c r="I996" s="1408"/>
      <c r="J996" s="1408"/>
      <c r="K996" s="1408"/>
      <c r="L996" s="1408"/>
      <c r="M996" s="1408"/>
      <c r="N996" s="1408"/>
      <c r="O996" s="16"/>
      <c r="P996" s="1037"/>
      <c r="R996" s="1037"/>
      <c r="S996" s="1037"/>
      <c r="Y996" s="422" t="s">
        <v>606</v>
      </c>
    </row>
    <row r="997" spans="1:27" ht="13.5" thickBot="1" x14ac:dyDescent="0.25">
      <c r="B997" s="20"/>
      <c r="C997" s="20"/>
      <c r="D997" s="14"/>
      <c r="E997" s="1430" t="str">
        <f>Translations!$B$686</f>
        <v>Parametr</v>
      </c>
      <c r="F997" s="1377"/>
      <c r="G997" s="1377"/>
      <c r="H997" s="34" t="str">
        <f>EUconst_Unit</f>
        <v>Jednostka</v>
      </c>
      <c r="I997" s="396">
        <f>I$66</f>
        <v>2014</v>
      </c>
      <c r="J997" s="396">
        <f>J$66</f>
        <v>2015</v>
      </c>
      <c r="K997" s="396">
        <f>K$66</f>
        <v>2016</v>
      </c>
      <c r="L997" s="396">
        <f>L$66</f>
        <v>2017</v>
      </c>
      <c r="M997" s="421">
        <f>M$66</f>
        <v>2018</v>
      </c>
      <c r="N997" s="888" t="str">
        <f>N988</f>
        <v/>
      </c>
      <c r="O997" s="16"/>
      <c r="Q997" s="45"/>
      <c r="R997" s="1037"/>
      <c r="S997" s="45">
        <f t="shared" ref="S997:X997" si="21">I997</f>
        <v>2014</v>
      </c>
      <c r="T997" s="45">
        <f t="shared" si="21"/>
        <v>2015</v>
      </c>
      <c r="U997" s="45">
        <f t="shared" si="21"/>
        <v>2016</v>
      </c>
      <c r="V997" s="45">
        <f t="shared" si="21"/>
        <v>2017</v>
      </c>
      <c r="W997" s="45">
        <f t="shared" si="21"/>
        <v>2018</v>
      </c>
      <c r="X997" s="422" t="str">
        <f t="shared" si="21"/>
        <v/>
      </c>
      <c r="Y997" s="749" t="b">
        <f>Y978</f>
        <v>1</v>
      </c>
      <c r="Z997" s="45"/>
      <c r="AA997" s="422" t="s">
        <v>272</v>
      </c>
    </row>
    <row r="998" spans="1:27" ht="13.5" thickBot="1" x14ac:dyDescent="0.25">
      <c r="B998" s="20"/>
      <c r="C998" s="20"/>
      <c r="D998" s="195" t="s">
        <v>2</v>
      </c>
      <c r="E998" s="1612" t="str">
        <f>Translations!$B$697</f>
        <v>Mierzalne ciepło wprowadzone z instalacji lub od podmiotów nieobjętych EU ETS:</v>
      </c>
      <c r="F998" s="1612"/>
      <c r="G998" s="1612"/>
      <c r="H998" s="48" t="str">
        <f>EUconst_TJpa</f>
        <v>TJ / rok</v>
      </c>
      <c r="I998" s="313"/>
      <c r="J998" s="313"/>
      <c r="K998" s="313"/>
      <c r="L998" s="313"/>
      <c r="M998" s="899"/>
      <c r="N998" s="902"/>
      <c r="O998" s="16"/>
      <c r="P998" s="116" t="str">
        <f>EUconst_CNTR_HAL&amp;EUconst_CNTR_nonETSMeasHeat</f>
        <v>HAL_mierzalne ciepło nieobjęte systemem EU ETS</v>
      </c>
      <c r="R998" s="1037"/>
      <c r="S998" s="442" t="str">
        <f>IF(S973,IF(ISNUMBER(I998),I998,0),"")</f>
        <v/>
      </c>
      <c r="T998" s="443" t="str">
        <f>IF(T973,IF(ISNUMBER(J998),J998,0),"")</f>
        <v/>
      </c>
      <c r="U998" s="443" t="str">
        <f>IF(U973,IF(ISNUMBER(K998),K998,0),"")</f>
        <v/>
      </c>
      <c r="V998" s="443" t="str">
        <f>IF(V973,IF(ISNUMBER(L998),L998,0),"")</f>
        <v/>
      </c>
      <c r="W998" s="444" t="str">
        <f>IF(W973,IF(ISNUMBER(M998),M998,0),"")</f>
        <v/>
      </c>
      <c r="X998" s="151" t="str">
        <f>IF(S983,IF(ISNUMBER(N998),N998,0),"")</f>
        <v/>
      </c>
      <c r="Y998" s="716" t="b">
        <f>Y997</f>
        <v>1</v>
      </c>
      <c r="AA998" s="646" t="b">
        <f>AND(CNTR_ExistSubInstEntries,I973="")</f>
        <v>1</v>
      </c>
    </row>
    <row r="999" spans="1:27" ht="25.5" customHeight="1" thickBot="1" x14ac:dyDescent="0.25">
      <c r="B999" s="20"/>
      <c r="C999" s="20"/>
      <c r="D999" s="195" t="s">
        <v>3</v>
      </c>
      <c r="E999" s="1618" t="str">
        <f>Translations!$B$698</f>
        <v>Weryfikacja spójności z arkuszem „E_Energy flows”:</v>
      </c>
      <c r="F999" s="1618"/>
      <c r="G999" s="1618"/>
      <c r="H999" s="27" t="s">
        <v>409</v>
      </c>
      <c r="I999" s="304" t="str">
        <f>IF(AND(ISNUMBER(I998),ISNUMBER(E_EnergyFlows!I$102)), I998/E_EnergyFlows!I$102*100,"")</f>
        <v/>
      </c>
      <c r="J999" s="304" t="str">
        <f>IF(AND(ISNUMBER(J998),ISNUMBER(E_EnergyFlows!J$102)), J998/E_EnergyFlows!J$102*100,"")</f>
        <v/>
      </c>
      <c r="K999" s="304" t="str">
        <f>IF(AND(ISNUMBER(K998),ISNUMBER(E_EnergyFlows!K$102)), K998/E_EnergyFlows!K$102*100,"")</f>
        <v/>
      </c>
      <c r="L999" s="304" t="str">
        <f>IF(AND(ISNUMBER(L998),ISNUMBER(E_EnergyFlows!L$102)), L998/E_EnergyFlows!L$102*100,"")</f>
        <v/>
      </c>
      <c r="M999" s="900" t="str">
        <f>IF(AND(ISNUMBER(M998),ISNUMBER(E_EnergyFlows!M$102)), M998/E_EnergyFlows!M$102*100,"")</f>
        <v/>
      </c>
      <c r="N999" s="147"/>
      <c r="O999" s="16"/>
      <c r="P999" s="164" t="str">
        <f>EUconst_CNTR_HEAT &amp; I973</f>
        <v>HEAT_</v>
      </c>
      <c r="Q999" s="302" t="str">
        <f>IF(COUNT(S998:X998)&gt;0,AVERAGE(S998:X998)*EUconst_HeatBMvalue,EUconst_NA)</f>
        <v>Nie dotyczy</v>
      </c>
      <c r="R999" s="1037"/>
      <c r="S999" s="1037"/>
      <c r="AA999" s="608"/>
    </row>
    <row r="1000" spans="1:27" ht="12.75" customHeight="1" x14ac:dyDescent="0.2">
      <c r="B1000" s="20"/>
      <c r="C1000" s="20"/>
      <c r="D1000" s="195" t="s">
        <v>4</v>
      </c>
      <c r="E1000" s="1493" t="str">
        <f>Translations!$B$699</f>
        <v>Weryfikacja spójności z lit. k) ppkt (i):</v>
      </c>
      <c r="F1000" s="1615"/>
      <c r="G1000" s="1615"/>
      <c r="H1000" s="30" t="s">
        <v>409</v>
      </c>
      <c r="I1000" s="303" t="str">
        <f>IF(AND(I1074&gt;0,ISNUMBER(I998)), I998/I1074*100,"")</f>
        <v/>
      </c>
      <c r="J1000" s="303" t="str">
        <f>IF(AND(J1074&gt;0,ISNUMBER(J998)), J998/J1074*100,"")</f>
        <v/>
      </c>
      <c r="K1000" s="303" t="str">
        <f>IF(AND(K1074&gt;0,ISNUMBER(K998)), K998/K1074*100,"")</f>
        <v/>
      </c>
      <c r="L1000" s="303" t="str">
        <f>IF(AND(L1074&gt;0,ISNUMBER(L998)), L998/L1074*100,"")</f>
        <v/>
      </c>
      <c r="M1000" s="901" t="str">
        <f>IF(AND(M1074&gt;0,ISNUMBER(M998)), M998/M1074*100,"")</f>
        <v/>
      </c>
      <c r="N1000" s="147"/>
      <c r="O1000" s="16"/>
      <c r="R1000" s="1037"/>
      <c r="S1000" s="1037"/>
      <c r="AA1000" s="608"/>
    </row>
    <row r="1001" spans="1:27" ht="12.75" customHeight="1" x14ac:dyDescent="0.2">
      <c r="B1001" s="20"/>
      <c r="C1001" s="20"/>
      <c r="D1001" s="20"/>
      <c r="E1001" s="20"/>
      <c r="F1001" s="20"/>
      <c r="G1001" s="20"/>
      <c r="H1001" s="20"/>
      <c r="I1001" s="107"/>
      <c r="J1001" s="20"/>
      <c r="K1001" s="20"/>
      <c r="L1001" s="20"/>
      <c r="M1001" s="20"/>
      <c r="N1001" s="20"/>
      <c r="O1001" s="16"/>
      <c r="P1001" s="139"/>
      <c r="R1001" s="1037"/>
      <c r="S1001" s="1037"/>
      <c r="AA1001" s="608"/>
    </row>
    <row r="1002" spans="1:27" ht="15" x14ac:dyDescent="0.2">
      <c r="B1002" s="20"/>
      <c r="C1002" s="1054"/>
      <c r="D1002" s="1439" t="str">
        <f>Translations!$B$700</f>
        <v>Szczegółowe dane dotyczące produkcji</v>
      </c>
      <c r="E1002" s="1370"/>
      <c r="F1002" s="1370"/>
      <c r="G1002" s="1370"/>
      <c r="H1002" s="1370"/>
      <c r="I1002" s="1370"/>
      <c r="J1002" s="1370"/>
      <c r="K1002" s="1370"/>
      <c r="L1002" s="1370"/>
      <c r="M1002" s="1370"/>
      <c r="N1002" s="1370"/>
      <c r="O1002" s="16"/>
      <c r="R1002" s="1037"/>
      <c r="S1002" s="1037"/>
      <c r="AA1002" s="608"/>
    </row>
    <row r="1003" spans="1:27" ht="5.0999999999999996" customHeight="1" x14ac:dyDescent="0.2">
      <c r="B1003" s="207"/>
      <c r="C1003" s="207"/>
      <c r="D1003" s="207"/>
      <c r="E1003" s="207"/>
      <c r="F1003" s="207"/>
      <c r="G1003" s="207"/>
      <c r="H1003" s="207"/>
      <c r="I1003" s="207"/>
      <c r="J1003" s="207"/>
      <c r="K1003" s="207"/>
      <c r="L1003" s="207"/>
      <c r="M1003" s="207"/>
      <c r="N1003" s="207"/>
      <c r="O1003" s="16"/>
      <c r="P1003" s="1037"/>
      <c r="Q1003" s="1037"/>
      <c r="R1003" s="1037"/>
      <c r="S1003" s="1037"/>
      <c r="AA1003" s="608"/>
    </row>
    <row r="1004" spans="1:27" x14ac:dyDescent="0.2">
      <c r="B1004" s="207"/>
      <c r="C1004" s="14"/>
      <c r="D1004" s="14" t="s">
        <v>12</v>
      </c>
      <c r="E1004" s="1375" t="str">
        <f>Translations!$B$701</f>
        <v>Identyfikacja produktów wchodzących w zakres tej podinstalacji objętej wskaźnikiem emisyjności dla produktów</v>
      </c>
      <c r="F1004" s="1370"/>
      <c r="G1004" s="1370"/>
      <c r="H1004" s="1370"/>
      <c r="I1004" s="1370"/>
      <c r="J1004" s="1370"/>
      <c r="K1004" s="1370"/>
      <c r="L1004" s="1370"/>
      <c r="M1004" s="1370"/>
      <c r="N1004" s="1370"/>
      <c r="O1004" s="16"/>
      <c r="P1004" s="1037"/>
      <c r="R1004" s="1037"/>
      <c r="S1004" s="1037"/>
      <c r="AA1004" s="608"/>
    </row>
    <row r="1005" spans="1:27" x14ac:dyDescent="0.2">
      <c r="B1005" s="207"/>
      <c r="C1005" s="16"/>
      <c r="D1005" s="16"/>
      <c r="E1005" s="1408" t="str">
        <f>Translations!$B$704</f>
        <v>Wykaz kodów PRODCOM 2010 jest dostępny pod adresem:</v>
      </c>
      <c r="F1005" s="1370"/>
      <c r="G1005" s="1370"/>
      <c r="H1005" s="1370"/>
      <c r="I1005" s="1370"/>
      <c r="J1005" s="1370"/>
      <c r="K1005" s="1370"/>
      <c r="L1005" s="1370"/>
      <c r="M1005" s="1370"/>
      <c r="N1005" s="1370"/>
      <c r="O1005" s="16"/>
      <c r="P1005" s="1037"/>
      <c r="R1005" s="1037"/>
      <c r="S1005" s="1037"/>
      <c r="AA1005" s="608"/>
    </row>
    <row r="1006" spans="1:27" x14ac:dyDescent="0.2">
      <c r="B1006" s="207"/>
      <c r="C1006" s="16"/>
      <c r="D1006" s="16"/>
      <c r="E1006" s="1795" t="str">
        <f>Translations!$B$705</f>
        <v>http://ec.europa.eu/eurostat/ramon/nomenclatures/index.cfm?TargetUrl=LST_CLS_DLD&amp;StrNom=PRD_2010&amp;StrLanguageCode=EN&amp;StrLayoutCode=HIERARCHIChttp://ec.europa.eu/eurostat/ramon/nomenclatures/index.cfm?TargetUrl=LST_CLS_DLD&amp;StrNom=PRD_2010&amp;StrLanguageCode=EN&amp;StrLayoutCode=HIERARCHIC</v>
      </c>
      <c r="F1006" s="1663"/>
      <c r="G1006" s="1663"/>
      <c r="H1006" s="1663"/>
      <c r="I1006" s="1663"/>
      <c r="J1006" s="1663"/>
      <c r="K1006" s="1663"/>
      <c r="L1006" s="1663"/>
      <c r="M1006" s="1663"/>
      <c r="N1006" s="1663"/>
      <c r="O1006" s="16"/>
      <c r="P1006" s="1037"/>
      <c r="R1006" s="1037"/>
      <c r="S1006" s="1037"/>
      <c r="AA1006" s="608"/>
    </row>
    <row r="1007" spans="1:27" ht="5.0999999999999996" customHeight="1" x14ac:dyDescent="0.2">
      <c r="B1007" s="207"/>
      <c r="C1007" s="207"/>
      <c r="D1007" s="207"/>
      <c r="E1007" s="207"/>
      <c r="F1007" s="207"/>
      <c r="G1007" s="207"/>
      <c r="H1007" s="207"/>
      <c r="I1007" s="207"/>
      <c r="J1007" s="207"/>
      <c r="K1007" s="207"/>
      <c r="L1007" s="207"/>
      <c r="M1007" s="207"/>
      <c r="N1007" s="207"/>
      <c r="O1007" s="16"/>
      <c r="P1007" s="1037"/>
      <c r="Q1007" s="1037"/>
      <c r="R1007" s="1037"/>
      <c r="S1007" s="1037"/>
      <c r="AA1007" s="608"/>
    </row>
    <row r="1008" spans="1:27" x14ac:dyDescent="0.2">
      <c r="B1008" s="207"/>
      <c r="C1008" s="14"/>
      <c r="D1008" s="14" t="s">
        <v>13</v>
      </c>
      <c r="E1008" s="1375" t="str">
        <f>Translations!$B$706</f>
        <v>Poszczególne poziomy wytwarzanych produktów wchodzących w zakres tej podinstalacji objętej wskaźnikiem emisyjności dla produktów</v>
      </c>
      <c r="F1008" s="1370"/>
      <c r="G1008" s="1370"/>
      <c r="H1008" s="1370"/>
      <c r="I1008" s="1370"/>
      <c r="J1008" s="1370"/>
      <c r="K1008" s="1370"/>
      <c r="L1008" s="1370"/>
      <c r="M1008" s="1370"/>
      <c r="N1008" s="1370"/>
      <c r="O1008" s="16"/>
      <c r="P1008" s="1037"/>
      <c r="R1008" s="1037"/>
      <c r="S1008" s="1037"/>
      <c r="AA1008" s="608"/>
    </row>
    <row r="1009" spans="2:27" ht="5.0999999999999996" customHeight="1" x14ac:dyDescent="0.2">
      <c r="B1009" s="207"/>
      <c r="C1009" s="207"/>
      <c r="D1009" s="16"/>
      <c r="E1009" s="17"/>
      <c r="F1009" s="17"/>
      <c r="G1009" s="17"/>
      <c r="H1009" s="17"/>
      <c r="I1009" s="17"/>
      <c r="J1009" s="21"/>
      <c r="K1009" s="21"/>
      <c r="L1009" s="21"/>
      <c r="M1009" s="16"/>
      <c r="N1009" s="16"/>
      <c r="O1009" s="16"/>
      <c r="P1009" s="1037"/>
      <c r="R1009" s="1037"/>
      <c r="S1009" s="1037"/>
      <c r="AA1009" s="608"/>
    </row>
    <row r="1010" spans="2:27" ht="25.5" customHeight="1" x14ac:dyDescent="0.2">
      <c r="B1010" s="20"/>
      <c r="C1010" s="20"/>
      <c r="D1010" s="344"/>
      <c r="E1010" s="399" t="s">
        <v>386</v>
      </c>
      <c r="F1010" s="1789" t="str">
        <f>Translations!$B$707</f>
        <v>Nazwa produktu lub grupy produktów</v>
      </c>
      <c r="G1010" s="1790"/>
      <c r="H1010" s="1055" t="str">
        <f>EUconst_Unit</f>
        <v>Jednostka</v>
      </c>
      <c r="I1010" s="396">
        <f>I$1882</f>
        <v>2014</v>
      </c>
      <c r="J1010" s="396">
        <f>J$1882</f>
        <v>2015</v>
      </c>
      <c r="K1010" s="396">
        <f>K$1882</f>
        <v>2016</v>
      </c>
      <c r="L1010" s="396">
        <f>L$1882</f>
        <v>2017</v>
      </c>
      <c r="M1010" s="396">
        <f>M$1882</f>
        <v>2018</v>
      </c>
      <c r="N1010" s="16"/>
      <c r="O1010" s="16"/>
      <c r="R1010" s="1037"/>
      <c r="S1010" s="1037"/>
      <c r="AA1010" s="608"/>
    </row>
    <row r="1011" spans="2:27" x14ac:dyDescent="0.2">
      <c r="B1011" s="20"/>
      <c r="C1011" s="20"/>
      <c r="D1011" s="37">
        <v>1</v>
      </c>
      <c r="E1011" s="1245"/>
      <c r="F1011" s="1791"/>
      <c r="G1011" s="1792"/>
      <c r="H1011" s="804"/>
      <c r="I1011" s="472"/>
      <c r="J1011" s="472"/>
      <c r="K1011" s="472"/>
      <c r="L1011" s="472"/>
      <c r="M1011" s="472"/>
      <c r="N1011" s="16"/>
      <c r="O1011" s="16"/>
      <c r="R1011" s="1037"/>
      <c r="S1011" s="1037"/>
      <c r="AA1011" s="345" t="b">
        <f>AA998</f>
        <v>1</v>
      </c>
    </row>
    <row r="1012" spans="2:27" x14ac:dyDescent="0.2">
      <c r="B1012" s="20"/>
      <c r="C1012" s="20"/>
      <c r="D1012" s="38">
        <f>D1011+1</f>
        <v>2</v>
      </c>
      <c r="E1012" s="1246"/>
      <c r="F1012" s="1793"/>
      <c r="G1012" s="1794"/>
      <c r="H1012" s="564"/>
      <c r="I1012" s="548"/>
      <c r="J1012" s="548"/>
      <c r="K1012" s="548"/>
      <c r="L1012" s="548"/>
      <c r="M1012" s="548"/>
      <c r="N1012" s="16"/>
      <c r="O1012" s="16"/>
      <c r="R1012" s="1037"/>
      <c r="S1012" s="1037"/>
      <c r="AA1012" s="345" t="b">
        <f>AA1011</f>
        <v>1</v>
      </c>
    </row>
    <row r="1013" spans="2:27" x14ac:dyDescent="0.2">
      <c r="B1013" s="20"/>
      <c r="C1013" s="20"/>
      <c r="D1013" s="38">
        <f t="shared" ref="D1013:D1020" si="22">D1012+1</f>
        <v>3</v>
      </c>
      <c r="E1013" s="1246"/>
      <c r="F1013" s="1784"/>
      <c r="G1013" s="1785"/>
      <c r="H1013" s="564"/>
      <c r="I1013" s="548"/>
      <c r="J1013" s="548"/>
      <c r="K1013" s="548"/>
      <c r="L1013" s="548"/>
      <c r="M1013" s="548"/>
      <c r="N1013" s="16"/>
      <c r="O1013" s="16"/>
      <c r="R1013" s="1037"/>
      <c r="S1013" s="1037"/>
      <c r="AA1013" s="345" t="b">
        <f t="shared" ref="AA1013:AA1021" si="23">AA1012</f>
        <v>1</v>
      </c>
    </row>
    <row r="1014" spans="2:27" x14ac:dyDescent="0.2">
      <c r="B1014" s="20"/>
      <c r="C1014" s="20"/>
      <c r="D1014" s="38">
        <f t="shared" si="22"/>
        <v>4</v>
      </c>
      <c r="E1014" s="1246"/>
      <c r="F1014" s="1784"/>
      <c r="G1014" s="1785"/>
      <c r="H1014" s="564"/>
      <c r="I1014" s="548"/>
      <c r="J1014" s="548"/>
      <c r="K1014" s="548"/>
      <c r="L1014" s="548"/>
      <c r="M1014" s="548"/>
      <c r="N1014" s="16"/>
      <c r="O1014" s="16"/>
      <c r="R1014" s="1037"/>
      <c r="S1014" s="1037"/>
      <c r="AA1014" s="345" t="b">
        <f t="shared" si="23"/>
        <v>1</v>
      </c>
    </row>
    <row r="1015" spans="2:27" x14ac:dyDescent="0.2">
      <c r="B1015" s="20"/>
      <c r="C1015" s="20"/>
      <c r="D1015" s="38">
        <f t="shared" si="22"/>
        <v>5</v>
      </c>
      <c r="E1015" s="1246"/>
      <c r="F1015" s="1784"/>
      <c r="G1015" s="1785"/>
      <c r="H1015" s="564"/>
      <c r="I1015" s="548"/>
      <c r="J1015" s="548"/>
      <c r="K1015" s="548"/>
      <c r="L1015" s="548"/>
      <c r="M1015" s="548"/>
      <c r="N1015" s="16"/>
      <c r="O1015" s="16"/>
      <c r="R1015" s="1037"/>
      <c r="S1015" s="1037"/>
      <c r="AA1015" s="345" t="b">
        <f t="shared" si="23"/>
        <v>1</v>
      </c>
    </row>
    <row r="1016" spans="2:27" x14ac:dyDescent="0.2">
      <c r="B1016" s="20"/>
      <c r="C1016" s="20"/>
      <c r="D1016" s="38">
        <f t="shared" si="22"/>
        <v>6</v>
      </c>
      <c r="E1016" s="1246"/>
      <c r="F1016" s="1784"/>
      <c r="G1016" s="1785"/>
      <c r="H1016" s="564"/>
      <c r="I1016" s="548"/>
      <c r="J1016" s="548"/>
      <c r="K1016" s="548"/>
      <c r="L1016" s="548"/>
      <c r="M1016" s="548"/>
      <c r="N1016" s="16"/>
      <c r="O1016" s="16"/>
      <c r="R1016" s="1037"/>
      <c r="S1016" s="1037"/>
      <c r="AA1016" s="345" t="b">
        <f t="shared" si="23"/>
        <v>1</v>
      </c>
    </row>
    <row r="1017" spans="2:27" x14ac:dyDescent="0.2">
      <c r="B1017" s="20"/>
      <c r="C1017" s="20"/>
      <c r="D1017" s="38">
        <f t="shared" si="22"/>
        <v>7</v>
      </c>
      <c r="E1017" s="1246"/>
      <c r="F1017" s="1784"/>
      <c r="G1017" s="1785"/>
      <c r="H1017" s="564"/>
      <c r="I1017" s="548"/>
      <c r="J1017" s="548"/>
      <c r="K1017" s="548"/>
      <c r="L1017" s="548"/>
      <c r="M1017" s="548"/>
      <c r="N1017" s="16"/>
      <c r="O1017" s="16"/>
      <c r="R1017" s="1037"/>
      <c r="S1017" s="1037"/>
      <c r="AA1017" s="345" t="b">
        <f t="shared" si="23"/>
        <v>1</v>
      </c>
    </row>
    <row r="1018" spans="2:27" x14ac:dyDescent="0.2">
      <c r="B1018" s="20"/>
      <c r="C1018" s="20"/>
      <c r="D1018" s="38">
        <f t="shared" si="22"/>
        <v>8</v>
      </c>
      <c r="E1018" s="1246"/>
      <c r="F1018" s="1784"/>
      <c r="G1018" s="1785"/>
      <c r="H1018" s="564"/>
      <c r="I1018" s="548"/>
      <c r="J1018" s="548"/>
      <c r="K1018" s="548"/>
      <c r="L1018" s="548"/>
      <c r="M1018" s="548"/>
      <c r="N1018" s="16"/>
      <c r="O1018" s="16"/>
      <c r="R1018" s="1037"/>
      <c r="S1018" s="1037"/>
      <c r="AA1018" s="345" t="b">
        <f t="shared" si="23"/>
        <v>1</v>
      </c>
    </row>
    <row r="1019" spans="2:27" x14ac:dyDescent="0.2">
      <c r="B1019" s="20"/>
      <c r="C1019" s="20"/>
      <c r="D1019" s="38">
        <f t="shared" si="22"/>
        <v>9</v>
      </c>
      <c r="E1019" s="1246"/>
      <c r="F1019" s="1784"/>
      <c r="G1019" s="1785"/>
      <c r="H1019" s="564"/>
      <c r="I1019" s="548"/>
      <c r="J1019" s="548"/>
      <c r="K1019" s="548"/>
      <c r="L1019" s="548"/>
      <c r="M1019" s="548"/>
      <c r="N1019" s="16"/>
      <c r="O1019" s="16"/>
      <c r="R1019" s="1037"/>
      <c r="S1019" s="1037"/>
      <c r="AA1019" s="345" t="b">
        <f t="shared" si="23"/>
        <v>1</v>
      </c>
    </row>
    <row r="1020" spans="2:27" x14ac:dyDescent="0.2">
      <c r="B1020" s="20"/>
      <c r="C1020" s="20"/>
      <c r="D1020" s="41">
        <f t="shared" si="22"/>
        <v>10</v>
      </c>
      <c r="E1020" s="1247"/>
      <c r="F1020" s="1786"/>
      <c r="G1020" s="1787"/>
      <c r="H1020" s="565"/>
      <c r="I1020" s="446"/>
      <c r="J1020" s="446"/>
      <c r="K1020" s="446"/>
      <c r="L1020" s="446"/>
      <c r="M1020" s="446"/>
      <c r="N1020" s="16"/>
      <c r="O1020" s="16"/>
      <c r="R1020" s="1037"/>
      <c r="S1020" s="1037"/>
      <c r="AA1020" s="345" t="b">
        <f t="shared" si="23"/>
        <v>1</v>
      </c>
    </row>
    <row r="1021" spans="2:27" ht="12.75" customHeight="1" thickBot="1" x14ac:dyDescent="0.25">
      <c r="B1021" s="20"/>
      <c r="C1021" s="20"/>
      <c r="D1021" s="97"/>
      <c r="E1021" s="1788" t="str">
        <f>Translations!$B$708</f>
        <v>Suma poziomów produkcji</v>
      </c>
      <c r="F1021" s="1788"/>
      <c r="G1021" s="1788"/>
      <c r="H1021" s="737"/>
      <c r="I1021" s="327" t="str">
        <f>IF(COUNT(I1011:I1020)&gt;0,SUM(I1011:I1020),"")</f>
        <v/>
      </c>
      <c r="J1021" s="327" t="str">
        <f>IF(COUNT(J1011:J1020)&gt;0,SUM(J1011:J1020),"")</f>
        <v/>
      </c>
      <c r="K1021" s="327" t="str">
        <f>IF(COUNT(K1011:K1020)&gt;0,SUM(K1011:K1020),"")</f>
        <v/>
      </c>
      <c r="L1021" s="327" t="str">
        <f>IF(COUNT(L1011:L1020)&gt;0,SUM(L1011:L1020),"")</f>
        <v/>
      </c>
      <c r="M1021" s="327" t="str">
        <f>IF(COUNT(M1011:M1020)&gt;0,SUM(M1011:M1020),"")</f>
        <v/>
      </c>
      <c r="N1021" s="16"/>
      <c r="O1021" s="16"/>
      <c r="R1021" s="1037"/>
      <c r="S1021" s="1037"/>
      <c r="AA1021" s="168" t="b">
        <f t="shared" si="23"/>
        <v>1</v>
      </c>
    </row>
    <row r="1022" spans="2:27" ht="12.75" customHeight="1" thickBot="1" x14ac:dyDescent="0.25">
      <c r="B1022" s="207"/>
      <c r="C1022" s="207"/>
      <c r="D1022" s="207"/>
      <c r="E1022" s="207"/>
      <c r="F1022" s="207"/>
      <c r="G1022" s="207"/>
      <c r="H1022" s="207"/>
      <c r="I1022" s="207"/>
      <c r="J1022" s="207"/>
      <c r="K1022" s="207"/>
      <c r="L1022" s="207"/>
      <c r="M1022" s="16"/>
      <c r="N1022" s="16"/>
      <c r="O1022" s="16"/>
      <c r="P1022" s="1037"/>
      <c r="R1022" s="1037"/>
      <c r="S1022" s="1037"/>
    </row>
    <row r="1023" spans="2:27" ht="5.0999999999999996" customHeight="1" x14ac:dyDescent="0.2">
      <c r="B1023" s="207"/>
      <c r="C1023" s="1056"/>
      <c r="D1023" s="1057"/>
      <c r="E1023" s="1057"/>
      <c r="F1023" s="1057"/>
      <c r="G1023" s="1057"/>
      <c r="H1023" s="1057"/>
      <c r="I1023" s="1057"/>
      <c r="J1023" s="1057"/>
      <c r="K1023" s="1057"/>
      <c r="L1023" s="1057"/>
      <c r="M1023" s="1058"/>
      <c r="N1023" s="1059"/>
      <c r="O1023" s="16"/>
      <c r="P1023" s="1037"/>
      <c r="R1023" s="1037"/>
      <c r="S1023" s="1037"/>
    </row>
    <row r="1024" spans="2:27" ht="15" customHeight="1" x14ac:dyDescent="0.2">
      <c r="B1024" s="20"/>
      <c r="C1024" s="1060"/>
      <c r="D1024" s="1776" t="str">
        <f>Translations!$B$709</f>
        <v>Dane wymagane do określenia współczynnika poprawy wskaźników zgodnie z art. 10a ust. 2 dyrektywy w sprawie EU ETS</v>
      </c>
      <c r="E1024" s="1734"/>
      <c r="F1024" s="1734"/>
      <c r="G1024" s="1734"/>
      <c r="H1024" s="1734"/>
      <c r="I1024" s="1734"/>
      <c r="J1024" s="1734"/>
      <c r="K1024" s="1734"/>
      <c r="L1024" s="1734"/>
      <c r="M1024" s="1734"/>
      <c r="N1024" s="1735"/>
      <c r="O1024" s="16"/>
      <c r="R1024" s="1037"/>
      <c r="S1024" s="1037"/>
    </row>
    <row r="1025" spans="2:23" ht="5.0999999999999996" customHeight="1" x14ac:dyDescent="0.2">
      <c r="B1025" s="20"/>
      <c r="C1025" s="460"/>
      <c r="D1025" s="449"/>
      <c r="E1025" s="449"/>
      <c r="F1025" s="449"/>
      <c r="G1025" s="449"/>
      <c r="H1025" s="449"/>
      <c r="I1025" s="449"/>
      <c r="J1025" s="449"/>
      <c r="K1025" s="449"/>
      <c r="L1025" s="449"/>
      <c r="M1025" s="449"/>
      <c r="N1025" s="461"/>
      <c r="O1025" s="16"/>
      <c r="R1025" s="1037"/>
      <c r="S1025" s="1037"/>
    </row>
    <row r="1026" spans="2:23" ht="15" customHeight="1" x14ac:dyDescent="0.2">
      <c r="B1026" s="20"/>
      <c r="C1026" s="460"/>
      <c r="D1026" s="1778" t="str">
        <f>EUconst_BMSubinst &amp; ":"</f>
        <v>Podinstalacja i wskaźnik emisyjności dla produktów:</v>
      </c>
      <c r="E1026" s="1779"/>
      <c r="F1026" s="1779"/>
      <c r="G1026" s="1779"/>
      <c r="H1026" s="1780"/>
      <c r="I1026" s="1781" t="str">
        <f>I973</f>
        <v/>
      </c>
      <c r="J1026" s="1666"/>
      <c r="K1026" s="1666"/>
      <c r="L1026" s="1666"/>
      <c r="M1026" s="1666"/>
      <c r="N1026" s="1782"/>
      <c r="O1026" s="16"/>
      <c r="R1026" s="1037"/>
      <c r="S1026" s="1037"/>
    </row>
    <row r="1027" spans="2:23" ht="5.0999999999999996" customHeight="1" x14ac:dyDescent="0.2">
      <c r="B1027" s="20"/>
      <c r="C1027" s="460"/>
      <c r="D1027" s="449"/>
      <c r="E1027" s="449"/>
      <c r="F1027" s="449"/>
      <c r="G1027" s="449"/>
      <c r="H1027" s="449"/>
      <c r="I1027" s="449"/>
      <c r="J1027" s="449"/>
      <c r="K1027" s="449"/>
      <c r="L1027" s="449"/>
      <c r="M1027" s="449"/>
      <c r="N1027" s="461"/>
      <c r="O1027" s="16"/>
      <c r="R1027" s="1037"/>
      <c r="S1027" s="1037"/>
    </row>
    <row r="1028" spans="2:23" ht="15" customHeight="1" x14ac:dyDescent="0.2">
      <c r="B1028" s="207"/>
      <c r="C1028" s="1060"/>
      <c r="D1028" s="1061"/>
      <c r="E1028" s="1783" t="str">
        <f>Translations!$B$714</f>
        <v>Po dokonaniu poniższych wpisów emisje, które można przypisać, są obliczane w części K.III.2 arkusza podsumowania.</v>
      </c>
      <c r="F1028" s="1783"/>
      <c r="G1028" s="1783"/>
      <c r="H1028" s="1783"/>
      <c r="I1028" s="1783"/>
      <c r="J1028" s="1783"/>
      <c r="K1028" s="1783"/>
      <c r="L1028" s="1783"/>
      <c r="M1028" s="1783"/>
      <c r="N1028" s="702"/>
      <c r="O1028" s="16"/>
      <c r="P1028" s="1037"/>
    </row>
    <row r="1029" spans="2:23" ht="5.0999999999999996" customHeight="1" x14ac:dyDescent="0.2">
      <c r="B1029" s="20"/>
      <c r="C1029" s="460"/>
      <c r="D1029" s="449"/>
      <c r="E1029" s="449"/>
      <c r="F1029" s="449"/>
      <c r="G1029" s="449"/>
      <c r="H1029" s="449"/>
      <c r="I1029" s="449"/>
      <c r="J1029" s="449"/>
      <c r="K1029" s="449"/>
      <c r="L1029" s="449"/>
      <c r="M1029" s="449"/>
      <c r="N1029" s="461"/>
      <c r="O1029" s="16"/>
      <c r="R1029" s="1037"/>
      <c r="S1029" s="1037"/>
    </row>
    <row r="1030" spans="2:23" ht="12.75" customHeight="1" x14ac:dyDescent="0.2">
      <c r="B1030" s="207"/>
      <c r="C1030" s="1060"/>
      <c r="D1030" s="462" t="s">
        <v>87</v>
      </c>
      <c r="E1030" s="1731" t="str">
        <f>Translations!$B$715</f>
        <v>Emisje, które można bezpośrednio przypisać (DirEm* (plan monitorowania strumieni materiałów wsadowych)) do tej podinstalacji</v>
      </c>
      <c r="F1030" s="1734"/>
      <c r="G1030" s="1734"/>
      <c r="H1030" s="1734"/>
      <c r="I1030" s="1734"/>
      <c r="J1030" s="1734"/>
      <c r="K1030" s="1734"/>
      <c r="L1030" s="1734"/>
      <c r="M1030" s="1734"/>
      <c r="N1030" s="1735"/>
      <c r="O1030" s="16"/>
      <c r="P1030" s="1037"/>
      <c r="R1030" s="1037"/>
      <c r="S1030" s="1037"/>
    </row>
    <row r="1031" spans="2:23" ht="12.75" customHeight="1" thickBot="1" x14ac:dyDescent="0.25">
      <c r="B1031" s="207"/>
      <c r="C1031" s="1060"/>
      <c r="D1031" s="1061"/>
      <c r="E1031" s="1745"/>
      <c r="F1031" s="1745"/>
      <c r="G1031" s="1745"/>
      <c r="H1031" s="1745"/>
      <c r="I1031" s="1745"/>
      <c r="J1031" s="1745"/>
      <c r="K1031" s="1745"/>
      <c r="L1031" s="1745"/>
      <c r="M1031" s="1745"/>
      <c r="N1031" s="1746"/>
      <c r="O1031" s="16"/>
      <c r="P1031" s="1037"/>
      <c r="R1031" s="1037"/>
    </row>
    <row r="1032" spans="2:23" ht="12.75" customHeight="1" x14ac:dyDescent="0.2">
      <c r="B1032" s="207"/>
      <c r="C1032" s="1060"/>
      <c r="D1032" s="462"/>
      <c r="E1032" s="1757" t="str">
        <f>Translations!$B$725</f>
        <v>Emisje, które można bezpośrednio przypisać (DirEm*)</v>
      </c>
      <c r="F1032" s="1758"/>
      <c r="G1032" s="1758"/>
      <c r="H1032" s="450" t="str">
        <f>EUconst_Unit</f>
        <v>Jednostka</v>
      </c>
      <c r="I1032" s="451">
        <f>I$1882</f>
        <v>2014</v>
      </c>
      <c r="J1032" s="451">
        <f>J$1882</f>
        <v>2015</v>
      </c>
      <c r="K1032" s="451">
        <f>K$1882</f>
        <v>2016</v>
      </c>
      <c r="L1032" s="451">
        <f>L$1882</f>
        <v>2017</v>
      </c>
      <c r="M1032" s="451">
        <f>M$1882</f>
        <v>2018</v>
      </c>
      <c r="N1032" s="665"/>
      <c r="O1032" s="16"/>
      <c r="P1032" s="1037"/>
      <c r="R1032" s="1052"/>
      <c r="S1032" s="814">
        <f>I1032</f>
        <v>2014</v>
      </c>
      <c r="T1032" s="814">
        <f>J1032</f>
        <v>2015</v>
      </c>
      <c r="U1032" s="814">
        <f>K1032</f>
        <v>2016</v>
      </c>
      <c r="V1032" s="814">
        <f>L1032</f>
        <v>2017</v>
      </c>
      <c r="W1032" s="815">
        <f>M1032</f>
        <v>2018</v>
      </c>
    </row>
    <row r="1033" spans="2:23" ht="12.75" customHeight="1" thickBot="1" x14ac:dyDescent="0.25">
      <c r="B1033" s="207"/>
      <c r="C1033" s="1060"/>
      <c r="D1033" s="1061"/>
      <c r="E1033" s="1762" t="str">
        <f>I973</f>
        <v/>
      </c>
      <c r="F1033" s="1762"/>
      <c r="G1033" s="1762"/>
      <c r="H1033" s="452" t="str">
        <f>EUconst_tCO2epa</f>
        <v>t CO2e/rok</v>
      </c>
      <c r="I1033" s="313"/>
      <c r="J1033" s="313"/>
      <c r="K1033" s="313"/>
      <c r="L1033" s="313"/>
      <c r="M1033" s="313"/>
      <c r="N1033" s="665"/>
      <c r="O1033" s="16"/>
      <c r="P1033" s="1062" t="str">
        <f>EUconst_CNTR_Emissions &amp; I973</f>
        <v>DirEmissions_</v>
      </c>
      <c r="R1033" s="1053" t="str">
        <f>EUconst_CNTR_AttributedEmissions &amp; I973</f>
        <v>AttrEmissions_</v>
      </c>
      <c r="S1033" s="119" t="str">
        <f>IF(S973,SUM(I1033),"")</f>
        <v/>
      </c>
      <c r="T1033" s="119" t="str">
        <f>IF(T973,SUM(J1033),"")</f>
        <v/>
      </c>
      <c r="U1033" s="119" t="str">
        <f>IF(U973,SUM(K1033),"")</f>
        <v/>
      </c>
      <c r="V1033" s="119" t="str">
        <f>IF(V973,SUM(L1033),"")</f>
        <v/>
      </c>
      <c r="W1033" s="120" t="str">
        <f>IF(W973,SUM(M1033),"")</f>
        <v/>
      </c>
    </row>
    <row r="1034" spans="2:23" ht="12.75" customHeight="1" x14ac:dyDescent="0.2">
      <c r="B1034" s="207"/>
      <c r="C1034" s="1060"/>
      <c r="D1034" s="1061"/>
      <c r="E1034" s="1061"/>
      <c r="F1034" s="1061"/>
      <c r="G1034" s="1061"/>
      <c r="H1034" s="1061"/>
      <c r="I1034" s="1061"/>
      <c r="J1034" s="1061"/>
      <c r="K1034" s="1061"/>
      <c r="L1034" s="1061"/>
      <c r="M1034" s="1063"/>
      <c r="N1034" s="665"/>
      <c r="O1034" s="16"/>
      <c r="P1034" s="1037"/>
      <c r="R1034" s="1037"/>
    </row>
    <row r="1035" spans="2:23" ht="12.75" customHeight="1" x14ac:dyDescent="0.2">
      <c r="B1035" s="207"/>
      <c r="C1035" s="1060"/>
      <c r="D1035" s="462" t="s">
        <v>88</v>
      </c>
      <c r="E1035" s="1760" t="str">
        <f>Translations!$B$726</f>
        <v>Wsad paliwa do tej podinstalacji oraz odpowiedni współczynnik emisji</v>
      </c>
      <c r="F1035" s="1760"/>
      <c r="G1035" s="1760"/>
      <c r="H1035" s="1760"/>
      <c r="I1035" s="1760"/>
      <c r="J1035" s="1760"/>
      <c r="K1035" s="1760"/>
      <c r="L1035" s="1760"/>
      <c r="M1035" s="1760"/>
      <c r="N1035" s="1761"/>
      <c r="O1035" s="16"/>
      <c r="P1035" s="1037"/>
      <c r="Q1035" s="1037"/>
      <c r="R1035" s="1037"/>
    </row>
    <row r="1036" spans="2:23" ht="12.75" customHeight="1" x14ac:dyDescent="0.2">
      <c r="B1036" s="207"/>
      <c r="C1036" s="1060"/>
      <c r="D1036" s="462"/>
      <c r="E1036" s="1757"/>
      <c r="F1036" s="1758"/>
      <c r="G1036" s="1758"/>
      <c r="H1036" s="450" t="str">
        <f>EUconst_Unit</f>
        <v>Jednostka</v>
      </c>
      <c r="I1036" s="451">
        <f>I$1882</f>
        <v>2014</v>
      </c>
      <c r="J1036" s="451">
        <f>J$1882</f>
        <v>2015</v>
      </c>
      <c r="K1036" s="451">
        <f>K$1882</f>
        <v>2016</v>
      </c>
      <c r="L1036" s="451">
        <f>L$1882</f>
        <v>2017</v>
      </c>
      <c r="M1036" s="451">
        <f>M$1882</f>
        <v>2018</v>
      </c>
      <c r="N1036" s="665"/>
      <c r="O1036" s="16"/>
      <c r="P1036" s="1037"/>
      <c r="R1036" s="1037"/>
    </row>
    <row r="1037" spans="2:23" ht="12.75" customHeight="1" x14ac:dyDescent="0.2">
      <c r="B1037" s="207"/>
      <c r="C1037" s="1060"/>
      <c r="D1037" s="699" t="s">
        <v>2</v>
      </c>
      <c r="E1037" s="1739" t="str">
        <f>Translations!$B$731</f>
        <v>Wsad paliwa</v>
      </c>
      <c r="F1037" s="1740"/>
      <c r="G1037" s="1740"/>
      <c r="H1037" s="453" t="str">
        <f>EUconst_TJpa</f>
        <v>TJ / rok</v>
      </c>
      <c r="I1037" s="313"/>
      <c r="J1037" s="313"/>
      <c r="K1037" s="313"/>
      <c r="L1037" s="313"/>
      <c r="M1037" s="313"/>
      <c r="N1037" s="702"/>
      <c r="O1037" s="16"/>
      <c r="P1037" s="1062" t="str">
        <f>EUconst_CNTR_FuelInput &amp; I973</f>
        <v>FuelInput_</v>
      </c>
      <c r="R1037" s="1037"/>
    </row>
    <row r="1038" spans="2:23" ht="12.75" customHeight="1" x14ac:dyDescent="0.2">
      <c r="B1038" s="207"/>
      <c r="C1038" s="1060"/>
      <c r="D1038" s="699" t="s">
        <v>3</v>
      </c>
      <c r="E1038" s="1772" t="str">
        <f>Translations!$B$732</f>
        <v>Ważony współczynnik emisji</v>
      </c>
      <c r="F1038" s="1773"/>
      <c r="G1038" s="1773"/>
      <c r="H1038" s="569" t="str">
        <f>EUconst_tCO2pTJ</f>
        <v>t CO2 / TJ</v>
      </c>
      <c r="I1038" s="323"/>
      <c r="J1038" s="323"/>
      <c r="K1038" s="323"/>
      <c r="L1038" s="323"/>
      <c r="M1038" s="323"/>
      <c r="N1038" s="665"/>
      <c r="O1038" s="16"/>
      <c r="P1038" s="1062" t="str">
        <f>EUconst_CNTR_FuelEF &amp; I973</f>
        <v>FuelEF_</v>
      </c>
      <c r="R1038" s="1037"/>
    </row>
    <row r="1039" spans="2:23" ht="12.75" customHeight="1" x14ac:dyDescent="0.2">
      <c r="B1039" s="207"/>
      <c r="C1039" s="1060"/>
      <c r="D1039" s="1061"/>
      <c r="E1039" s="1061"/>
      <c r="F1039" s="1061"/>
      <c r="G1039" s="1061"/>
      <c r="H1039" s="1061"/>
      <c r="I1039" s="1061"/>
      <c r="J1039" s="1061"/>
      <c r="K1039" s="1061"/>
      <c r="L1039" s="1061"/>
      <c r="M1039" s="1063"/>
      <c r="N1039" s="665"/>
      <c r="O1039" s="16"/>
      <c r="P1039" s="1037"/>
      <c r="R1039" s="1037"/>
    </row>
    <row r="1040" spans="2:23" ht="12.75" customHeight="1" thickBot="1" x14ac:dyDescent="0.25">
      <c r="B1040" s="207"/>
      <c r="C1040" s="1060"/>
      <c r="D1040" s="462" t="s">
        <v>89</v>
      </c>
      <c r="E1040" s="1760" t="str">
        <f>Translations!$B$733</f>
        <v>Dalsze wewnętrzne strumienie materiałów wsadowych wprowadzane do tej podinstalacji lub z niej wyprowadzane</v>
      </c>
      <c r="F1040" s="1760"/>
      <c r="G1040" s="1760"/>
      <c r="H1040" s="1760"/>
      <c r="I1040" s="1760"/>
      <c r="J1040" s="1760"/>
      <c r="K1040" s="1760"/>
      <c r="L1040" s="1760"/>
      <c r="M1040" s="1760"/>
      <c r="N1040" s="1761"/>
      <c r="O1040" s="16"/>
      <c r="P1040" s="1037"/>
      <c r="Q1040" s="1037"/>
      <c r="R1040" s="1037"/>
    </row>
    <row r="1041" spans="2:27" ht="12.75" customHeight="1" thickBot="1" x14ac:dyDescent="0.25">
      <c r="B1041" s="207"/>
      <c r="C1041" s="1060"/>
      <c r="D1041" s="699" t="s">
        <v>2</v>
      </c>
      <c r="E1041" s="1755" t="str">
        <f>Translations!$B$739</f>
        <v>Czy tej podinstalacji dotyczy więcej wprowadzonych lub wyprowadzonych wewnętrznych strumieni materiałów wsadowych?</v>
      </c>
      <c r="F1041" s="1755"/>
      <c r="G1041" s="1755"/>
      <c r="H1041" s="1755"/>
      <c r="I1041" s="1755"/>
      <c r="J1041" s="1755"/>
      <c r="K1041" s="1756"/>
      <c r="L1041" s="517"/>
      <c r="M1041" s="1253"/>
      <c r="N1041" s="1254"/>
      <c r="O1041" s="16"/>
      <c r="P1041" s="1037"/>
      <c r="R1041" s="1037"/>
      <c r="W1041" s="1048" t="s">
        <v>414</v>
      </c>
      <c r="X1041" s="1046" t="b">
        <f>IF(AND(I973&lt;&gt;"",ISBLANK(L1041)),EUconst_Error&amp;"BM"&amp;C973,FALSE)</f>
        <v>0</v>
      </c>
    </row>
    <row r="1042" spans="2:27" ht="5.0999999999999996" customHeight="1" thickBot="1" x14ac:dyDescent="0.25">
      <c r="B1042" s="207"/>
      <c r="C1042" s="1060"/>
      <c r="D1042" s="1061"/>
      <c r="E1042" s="1733"/>
      <c r="F1042" s="1734"/>
      <c r="G1042" s="1734"/>
      <c r="H1042" s="1734"/>
      <c r="I1042" s="1734"/>
      <c r="J1042" s="1734"/>
      <c r="K1042" s="1734"/>
      <c r="L1042" s="1734"/>
      <c r="M1042" s="1734"/>
      <c r="N1042" s="1735"/>
      <c r="O1042" s="16"/>
      <c r="P1042" s="1037"/>
      <c r="R1042" s="1037"/>
      <c r="AA1042" s="422" t="s">
        <v>272</v>
      </c>
    </row>
    <row r="1043" spans="2:27" ht="12.75" customHeight="1" x14ac:dyDescent="0.2">
      <c r="B1043" s="207"/>
      <c r="C1043" s="1060"/>
      <c r="D1043" s="699" t="s">
        <v>3</v>
      </c>
      <c r="E1043" s="1760" t="str">
        <f>Translations!$B$741</f>
        <v>Nazwa dalszych strumieni materiałów wsadowych – 1:</v>
      </c>
      <c r="F1043" s="1760"/>
      <c r="G1043" s="1760"/>
      <c r="H1043" s="1760"/>
      <c r="I1043" s="1763"/>
      <c r="J1043" s="1764"/>
      <c r="K1043" s="1764"/>
      <c r="L1043" s="1764"/>
      <c r="M1043" s="1765"/>
      <c r="N1043" s="664"/>
      <c r="O1043" s="16"/>
      <c r="P1043" s="1037"/>
      <c r="R1043" s="1037"/>
      <c r="AA1043" s="646" t="b">
        <f>IF(I973&lt;&gt;"",AND(L1041&lt;&gt;"",L1041=FALSE),FALSE)</f>
        <v>0</v>
      </c>
    </row>
    <row r="1044" spans="2:27" ht="5.0999999999999996" customHeight="1" x14ac:dyDescent="0.2">
      <c r="B1044" s="207"/>
      <c r="C1044" s="1060"/>
      <c r="D1044" s="1061"/>
      <c r="E1044" s="1256"/>
      <c r="F1044" s="1253"/>
      <c r="G1044" s="1253"/>
      <c r="H1044" s="1253"/>
      <c r="I1044" s="1253"/>
      <c r="J1044" s="1253"/>
      <c r="K1044" s="1253"/>
      <c r="L1044" s="1253"/>
      <c r="M1044" s="1253"/>
      <c r="N1044" s="1254"/>
      <c r="O1044" s="16"/>
      <c r="P1044" s="1037"/>
      <c r="R1044" s="1037"/>
      <c r="AA1044" s="608"/>
    </row>
    <row r="1045" spans="2:27" ht="12.75" customHeight="1" x14ac:dyDescent="0.2">
      <c r="B1045" s="207"/>
      <c r="C1045" s="1060"/>
      <c r="D1045" s="1061"/>
      <c r="E1045" s="1757" t="str">
        <f>Translations!$B$742</f>
        <v>Dalsze strumienie materiałów wsadowych – 1:</v>
      </c>
      <c r="F1045" s="1758"/>
      <c r="G1045" s="1758"/>
      <c r="H1045" s="450" t="str">
        <f>EUconst_Unit</f>
        <v>Jednostka</v>
      </c>
      <c r="I1045" s="451">
        <f>I$1882</f>
        <v>2014</v>
      </c>
      <c r="J1045" s="451">
        <f>J$1882</f>
        <v>2015</v>
      </c>
      <c r="K1045" s="451">
        <f>K$1882</f>
        <v>2016</v>
      </c>
      <c r="L1045" s="451">
        <f>L$1882</f>
        <v>2017</v>
      </c>
      <c r="M1045" s="451">
        <f>M$1882</f>
        <v>2018</v>
      </c>
      <c r="N1045" s="665"/>
      <c r="O1045" s="16"/>
      <c r="P1045" s="1037"/>
      <c r="R1045" s="1037"/>
      <c r="AA1045" s="608"/>
    </row>
    <row r="1046" spans="2:27" ht="12.75" customHeight="1" x14ac:dyDescent="0.2">
      <c r="B1046" s="207"/>
      <c r="C1046" s="1060"/>
      <c r="D1046" s="699" t="s">
        <v>4</v>
      </c>
      <c r="E1046" s="1766" t="str">
        <f>Translations!$B$743</f>
        <v>Ilość wprowadzona lub wyprowadzona</v>
      </c>
      <c r="F1046" s="1767"/>
      <c r="G1046" s="1767"/>
      <c r="H1046" s="454" t="str">
        <f>EUconst_tpa</f>
        <v>t / rok</v>
      </c>
      <c r="I1046" s="331"/>
      <c r="J1046" s="331"/>
      <c r="K1046" s="331"/>
      <c r="L1046" s="331"/>
      <c r="M1046" s="331"/>
      <c r="N1046" s="665"/>
      <c r="O1046" s="16"/>
      <c r="P1046" s="1037"/>
      <c r="R1046" s="1037"/>
      <c r="AA1046" s="345" t="b">
        <f>AA1043</f>
        <v>0</v>
      </c>
    </row>
    <row r="1047" spans="2:27" ht="12.75" customHeight="1" x14ac:dyDescent="0.2">
      <c r="B1047" s="207"/>
      <c r="C1047" s="1060"/>
      <c r="D1047" s="699" t="s">
        <v>6</v>
      </c>
      <c r="E1047" s="1771" t="str">
        <f>Translations!$B$744</f>
        <v>Wartość opałowa netto (NCV) (jeśli dotyczy)</v>
      </c>
      <c r="F1047" s="1771"/>
      <c r="G1047" s="1771"/>
      <c r="H1047" s="541" t="str">
        <f>EUconst_GJpt</f>
        <v>GJ / t</v>
      </c>
      <c r="I1047" s="330"/>
      <c r="J1047" s="330"/>
      <c r="K1047" s="330"/>
      <c r="L1047" s="330"/>
      <c r="M1047" s="330"/>
      <c r="N1047" s="665"/>
      <c r="O1047" s="16"/>
      <c r="P1047" s="1037"/>
      <c r="R1047" s="1037"/>
      <c r="AA1047" s="345" t="b">
        <f>AA1046</f>
        <v>0</v>
      </c>
    </row>
    <row r="1048" spans="2:27" ht="12.75" customHeight="1" thickBot="1" x14ac:dyDescent="0.25">
      <c r="B1048" s="207"/>
      <c r="C1048" s="1060"/>
      <c r="D1048" s="699" t="s">
        <v>316</v>
      </c>
      <c r="E1048" s="1771" t="str">
        <f>Translations!$B$745</f>
        <v>Zawartość węgla (% masy)</v>
      </c>
      <c r="F1048" s="1771"/>
      <c r="G1048" s="1771"/>
      <c r="H1048" s="542" t="s">
        <v>355</v>
      </c>
      <c r="I1048" s="330"/>
      <c r="J1048" s="330"/>
      <c r="K1048" s="330"/>
      <c r="L1048" s="330"/>
      <c r="M1048" s="330"/>
      <c r="N1048" s="665"/>
      <c r="O1048" s="16"/>
      <c r="P1048" s="1037"/>
      <c r="R1048" s="1037"/>
      <c r="AA1048" s="345" t="b">
        <f>AA1047</f>
        <v>0</v>
      </c>
    </row>
    <row r="1049" spans="2:27" ht="12.75" customHeight="1" x14ac:dyDescent="0.2">
      <c r="B1049" s="207"/>
      <c r="C1049" s="1060"/>
      <c r="D1049" s="699" t="s">
        <v>317</v>
      </c>
      <c r="E1049" s="1744" t="str">
        <f>Translations!$B$746</f>
        <v>Zawartość biomasy (jako frakcja węgla)</v>
      </c>
      <c r="F1049" s="1744"/>
      <c r="G1049" s="1744"/>
      <c r="H1049" s="473" t="s">
        <v>355</v>
      </c>
      <c r="I1049" s="329"/>
      <c r="J1049" s="329"/>
      <c r="K1049" s="329"/>
      <c r="L1049" s="329"/>
      <c r="M1049" s="329"/>
      <c r="N1049" s="665"/>
      <c r="O1049" s="16"/>
      <c r="P1049" s="1037"/>
      <c r="R1049" s="1052"/>
      <c r="S1049" s="814">
        <f>I1045</f>
        <v>2014</v>
      </c>
      <c r="T1049" s="814">
        <f>J1045</f>
        <v>2015</v>
      </c>
      <c r="U1049" s="814">
        <f>K1045</f>
        <v>2016</v>
      </c>
      <c r="V1049" s="814">
        <f>L1045</f>
        <v>2017</v>
      </c>
      <c r="W1049" s="815">
        <f>M1045</f>
        <v>2018</v>
      </c>
      <c r="AA1049" s="345" t="b">
        <f>AA1048</f>
        <v>0</v>
      </c>
    </row>
    <row r="1050" spans="2:27" ht="12.75" customHeight="1" thickBot="1" x14ac:dyDescent="0.25">
      <c r="B1050" s="207"/>
      <c r="C1050" s="1060"/>
      <c r="D1050" s="699" t="s">
        <v>318</v>
      </c>
      <c r="E1050" s="1767" t="str">
        <f>Translations!$B$747</f>
        <v>Emisje (kopalne, obliczone)</v>
      </c>
      <c r="F1050" s="1767"/>
      <c r="G1050" s="1767"/>
      <c r="H1050" s="543" t="str">
        <f>EUconst_tCO2pa</f>
        <v>t CO2 / rok</v>
      </c>
      <c r="I1050" s="325" t="str">
        <f>IF(AND(COUNT(I1046:I1049)&gt;0,I1053=""),3.664*I1046*(I1048/100)*(1-I1049/100),"")</f>
        <v/>
      </c>
      <c r="J1050" s="325" t="str">
        <f>IF(AND(COUNT(J1046:J1049)&gt;0,J1053=""),3.664*J1046*(J1048/100)*(1-J1049/100),"")</f>
        <v/>
      </c>
      <c r="K1050" s="325" t="str">
        <f>IF(AND(COUNT(K1046:K1049)&gt;0,K1053=""),3.664*K1046*(K1048/100)*(1-K1049/100),"")</f>
        <v/>
      </c>
      <c r="L1050" s="325" t="str">
        <f>IF(AND(COUNT(L1046:L1049)&gt;0,L1053=""),3.664*L1046*(L1048/100)*(1-L1049/100),"")</f>
        <v/>
      </c>
      <c r="M1050" s="325" t="str">
        <f>IF(AND(COUNT(M1046:M1049)&gt;0,M1053=""),3.664*M1046*(M1048/100)*(1-M1049/100),"")</f>
        <v/>
      </c>
      <c r="N1050" s="665"/>
      <c r="O1050" s="16"/>
      <c r="P1050" s="1062" t="str">
        <f>EUconst_CNTR_EmissionsIntSource1 &amp; I973</f>
        <v>EmInternalSource1_</v>
      </c>
      <c r="R1050" s="1053" t="str">
        <f>EUconst_CNTR_AttributedEmissions &amp; I973</f>
        <v>AttrEmissions_</v>
      </c>
      <c r="S1050" s="119" t="str">
        <f>IF(S973,SUM(I1050),"")</f>
        <v/>
      </c>
      <c r="T1050" s="119" t="str">
        <f>IF(T973,SUM(J1050),"")</f>
        <v/>
      </c>
      <c r="U1050" s="119" t="str">
        <f>IF(U973,SUM(K1050),"")</f>
        <v/>
      </c>
      <c r="V1050" s="119" t="str">
        <f>IF(V973,SUM(L1050),"")</f>
        <v/>
      </c>
      <c r="W1050" s="120" t="str">
        <f>IF(W973,SUM(M1050),"")</f>
        <v/>
      </c>
      <c r="AA1050" s="608"/>
    </row>
    <row r="1051" spans="2:27" ht="12.75" customHeight="1" x14ac:dyDescent="0.2">
      <c r="B1051" s="207"/>
      <c r="C1051" s="1060"/>
      <c r="D1051" s="699" t="s">
        <v>319</v>
      </c>
      <c r="E1051" s="1769" t="str">
        <f>Translations!$B$748</f>
        <v>Nota uzupełniająca: Emisje pochodzące z biomasy</v>
      </c>
      <c r="F1051" s="1769"/>
      <c r="G1051" s="1769"/>
      <c r="H1051" s="544" t="str">
        <f>EUconst_tCO2pa</f>
        <v>t CO2 / rok</v>
      </c>
      <c r="I1051" s="324" t="str">
        <f>IF(ISNUMBER(I1050),3.664*I1046*(I1048/100)*(I1049/100),"")</f>
        <v/>
      </c>
      <c r="J1051" s="324" t="str">
        <f>IF(ISNUMBER(J1050),3.664*J1046*(J1048/100)*(J1049/100),"")</f>
        <v/>
      </c>
      <c r="K1051" s="324" t="str">
        <f>IF(ISNUMBER(K1050),3.664*K1046*(K1048/100)*(K1049/100),"")</f>
        <v/>
      </c>
      <c r="L1051" s="324" t="str">
        <f>IF(ISNUMBER(L1050),3.664*L1046*(L1048/100)*(L1049/100),"")</f>
        <v/>
      </c>
      <c r="M1051" s="324" t="str">
        <f>IF(ISNUMBER(M1050),3.664*M1046*(M1048/100)*(M1049/100),"")</f>
        <v/>
      </c>
      <c r="N1051" s="665"/>
      <c r="O1051" s="16"/>
      <c r="P1051" s="1037"/>
      <c r="R1051" s="1037"/>
      <c r="AA1051" s="608"/>
    </row>
    <row r="1052" spans="2:27" ht="12.75" customHeight="1" x14ac:dyDescent="0.2">
      <c r="B1052" s="207"/>
      <c r="C1052" s="1060"/>
      <c r="D1052" s="699" t="s">
        <v>320</v>
      </c>
      <c r="E1052" s="1744" t="str">
        <f>Translations!$B$749</f>
        <v>Zawartość energii (obliczona)</v>
      </c>
      <c r="F1052" s="1744"/>
      <c r="G1052" s="1744"/>
      <c r="H1052" s="545" t="str">
        <f>EUconst_TJpa</f>
        <v>TJ / rok</v>
      </c>
      <c r="I1052" s="327" t="str">
        <f>IF(COUNT(I1046:I1047)=2,I1046*I1047/1000,"")</f>
        <v/>
      </c>
      <c r="J1052" s="327" t="str">
        <f>IF(COUNT(J1046:J1047)=2,J1046*J1047/1000,"")</f>
        <v/>
      </c>
      <c r="K1052" s="327" t="str">
        <f>IF(COUNT(K1046:K1047)=2,K1046*K1047/1000,"")</f>
        <v/>
      </c>
      <c r="L1052" s="327" t="str">
        <f>IF(COUNT(L1046:L1047)=2,L1046*L1047/1000,"")</f>
        <v/>
      </c>
      <c r="M1052" s="327" t="str">
        <f>IF(COUNT(M1046:M1047)=2,M1046*M1047/1000,"")</f>
        <v/>
      </c>
      <c r="N1052" s="665"/>
      <c r="O1052" s="16"/>
      <c r="P1052" s="1037"/>
      <c r="R1052" s="1037"/>
      <c r="AA1052" s="608"/>
    </row>
    <row r="1053" spans="2:27" ht="12.75" customHeight="1" x14ac:dyDescent="0.2">
      <c r="B1053" s="207"/>
      <c r="C1053" s="1060"/>
      <c r="D1053" s="699" t="s">
        <v>16</v>
      </c>
      <c r="E1053" s="1770" t="str">
        <f>Translations!$B$750</f>
        <v>Komunikaty o błędach (emisje)</v>
      </c>
      <c r="F1053" s="1770"/>
      <c r="G1053" s="1770"/>
      <c r="H1053" s="546"/>
      <c r="I1053" s="666" t="str">
        <f>IF(COUNT(I1046,I1048:I1049)&gt;0,IF(COUNTIF(I1047:I1049,"&lt;0")&gt;0,EUconst_Negative,IF(COUNT(I1046,I1048:I1049)&lt;3,EUconst_Incomplete,"")),"")</f>
        <v/>
      </c>
      <c r="J1053" s="666" t="str">
        <f>IF(COUNT(J1046,J1048:J1049)&gt;0,IF(COUNTIF(J1047:J1049,"&lt;0")&gt;0,EUconst_Negative,IF(COUNT(J1046,J1048:J1049)&lt;3,EUconst_Incomplete,"")),"")</f>
        <v/>
      </c>
      <c r="K1053" s="666" t="str">
        <f>IF(COUNT(K1046,K1048:K1049)&gt;0,IF(COUNTIF(K1047:K1049,"&lt;0")&gt;0,EUconst_Negative,IF(COUNT(K1046,K1048:K1049)&lt;3,EUconst_Incomplete,"")),"")</f>
        <v/>
      </c>
      <c r="L1053" s="666" t="str">
        <f>IF(COUNT(L1046,L1048:L1049)&gt;0,IF(COUNTIF(L1047:L1049,"&lt;0")&gt;0,EUconst_Negative,IF(COUNT(L1046,L1048:L1049)&lt;3,EUconst_Incomplete,"")),"")</f>
        <v/>
      </c>
      <c r="M1053" s="666" t="str">
        <f>IF(COUNT(M1046,M1048:M1049)&gt;0,IF(COUNTIF(M1047:M1049,"&lt;0")&gt;0,EUconst_Negative,IF(COUNT(M1046,M1048:M1049)&lt;3,EUconst_Incomplete,"")),"")</f>
        <v/>
      </c>
      <c r="N1053" s="665"/>
      <c r="O1053" s="16"/>
      <c r="P1053" s="1037"/>
      <c r="R1053" s="1037"/>
      <c r="AA1053" s="608"/>
    </row>
    <row r="1054" spans="2:27" ht="12.75" customHeight="1" x14ac:dyDescent="0.2">
      <c r="B1054" s="207"/>
      <c r="C1054" s="1060"/>
      <c r="D1054" s="699"/>
      <c r="E1054" s="1061"/>
      <c r="F1054" s="1061"/>
      <c r="G1054" s="1061"/>
      <c r="H1054" s="1061"/>
      <c r="I1054" s="1061"/>
      <c r="J1054" s="1061"/>
      <c r="K1054" s="1061"/>
      <c r="L1054" s="1061"/>
      <c r="M1054" s="1063"/>
      <c r="N1054" s="665"/>
      <c r="O1054" s="16"/>
      <c r="P1054" s="1037"/>
      <c r="R1054" s="1037"/>
      <c r="AA1054" s="608"/>
    </row>
    <row r="1055" spans="2:27" ht="12.75" customHeight="1" x14ac:dyDescent="0.2">
      <c r="B1055" s="207"/>
      <c r="C1055" s="1060"/>
      <c r="D1055" s="699" t="s">
        <v>17</v>
      </c>
      <c r="E1055" s="1760" t="str">
        <f>Translations!$B$751</f>
        <v>Nazwa dalszych strumieni materiałów wsadowych – 2:</v>
      </c>
      <c r="F1055" s="1760"/>
      <c r="G1055" s="1760"/>
      <c r="H1055" s="1760"/>
      <c r="I1055" s="1763"/>
      <c r="J1055" s="1764"/>
      <c r="K1055" s="1764"/>
      <c r="L1055" s="1764"/>
      <c r="M1055" s="1765"/>
      <c r="N1055" s="1254"/>
      <c r="O1055" s="16"/>
      <c r="P1055" s="1037"/>
      <c r="R1055" s="1037"/>
      <c r="AA1055" s="345" t="b">
        <f>AA1043</f>
        <v>0</v>
      </c>
    </row>
    <row r="1056" spans="2:27" ht="5.0999999999999996" customHeight="1" x14ac:dyDescent="0.2">
      <c r="B1056" s="207"/>
      <c r="C1056" s="1060"/>
      <c r="D1056" s="1061"/>
      <c r="E1056" s="1256"/>
      <c r="F1056" s="1253"/>
      <c r="G1056" s="1253"/>
      <c r="H1056" s="1253"/>
      <c r="I1056" s="1253"/>
      <c r="J1056" s="1253"/>
      <c r="K1056" s="1253"/>
      <c r="L1056" s="1253"/>
      <c r="M1056" s="1253"/>
      <c r="N1056" s="1254"/>
      <c r="O1056" s="16"/>
      <c r="P1056" s="1037"/>
      <c r="R1056" s="1037"/>
      <c r="AA1056" s="608"/>
    </row>
    <row r="1057" spans="2:27" ht="12.75" customHeight="1" x14ac:dyDescent="0.2">
      <c r="B1057" s="207"/>
      <c r="C1057" s="1060"/>
      <c r="D1057" s="699"/>
      <c r="E1057" s="1757" t="str">
        <f>Translations!$B$752</f>
        <v>Dalsze strumienie materiałów wsadowych – 2:</v>
      </c>
      <c r="F1057" s="1758"/>
      <c r="G1057" s="1758"/>
      <c r="H1057" s="450" t="str">
        <f>EUconst_Unit</f>
        <v>Jednostka</v>
      </c>
      <c r="I1057" s="451">
        <f>I$1882</f>
        <v>2014</v>
      </c>
      <c r="J1057" s="451">
        <f>J$1882</f>
        <v>2015</v>
      </c>
      <c r="K1057" s="451">
        <f>K$1882</f>
        <v>2016</v>
      </c>
      <c r="L1057" s="451">
        <f>L$1882</f>
        <v>2017</v>
      </c>
      <c r="M1057" s="451">
        <f>M$1882</f>
        <v>2018</v>
      </c>
      <c r="N1057" s="665"/>
      <c r="O1057" s="16"/>
      <c r="P1057" s="1037"/>
      <c r="R1057" s="1037"/>
      <c r="AA1057" s="608"/>
    </row>
    <row r="1058" spans="2:27" ht="12.75" customHeight="1" x14ac:dyDescent="0.2">
      <c r="B1058" s="207"/>
      <c r="C1058" s="1060"/>
      <c r="D1058" s="699" t="s">
        <v>18</v>
      </c>
      <c r="E1058" s="1766" t="str">
        <f>Translations!$B$743</f>
        <v>Ilość wprowadzona lub wyprowadzona</v>
      </c>
      <c r="F1058" s="1767"/>
      <c r="G1058" s="1767"/>
      <c r="H1058" s="454" t="str">
        <f>EUconst_tpa</f>
        <v>t / rok</v>
      </c>
      <c r="I1058" s="331"/>
      <c r="J1058" s="331"/>
      <c r="K1058" s="331"/>
      <c r="L1058" s="331"/>
      <c r="M1058" s="331"/>
      <c r="N1058" s="665"/>
      <c r="O1058" s="16"/>
      <c r="P1058" s="1037"/>
      <c r="R1058" s="1037"/>
      <c r="AA1058" s="345" t="b">
        <f>AA1055</f>
        <v>0</v>
      </c>
    </row>
    <row r="1059" spans="2:27" ht="12.75" customHeight="1" x14ac:dyDescent="0.2">
      <c r="B1059" s="207"/>
      <c r="C1059" s="1060"/>
      <c r="D1059" s="699" t="s">
        <v>454</v>
      </c>
      <c r="E1059" s="1771" t="str">
        <f>Translations!$B$744</f>
        <v>Wartość opałowa netto (NCV) (jeśli dotyczy)</v>
      </c>
      <c r="F1059" s="1771"/>
      <c r="G1059" s="1771"/>
      <c r="H1059" s="541" t="str">
        <f>EUconst_GJpt</f>
        <v>GJ / t</v>
      </c>
      <c r="I1059" s="330"/>
      <c r="J1059" s="330"/>
      <c r="K1059" s="330"/>
      <c r="L1059" s="330"/>
      <c r="M1059" s="330"/>
      <c r="N1059" s="665"/>
      <c r="O1059" s="16"/>
      <c r="P1059" s="1037"/>
      <c r="R1059" s="1037"/>
      <c r="AA1059" s="345" t="b">
        <f>AA1058</f>
        <v>0</v>
      </c>
    </row>
    <row r="1060" spans="2:27" ht="12.75" customHeight="1" thickBot="1" x14ac:dyDescent="0.25">
      <c r="B1060" s="207"/>
      <c r="C1060" s="1060"/>
      <c r="D1060" s="699" t="s">
        <v>455</v>
      </c>
      <c r="E1060" s="1771" t="str">
        <f>Translations!$B$745</f>
        <v>Zawartość węgla (% masy)</v>
      </c>
      <c r="F1060" s="1771"/>
      <c r="G1060" s="1771"/>
      <c r="H1060" s="542" t="s">
        <v>355</v>
      </c>
      <c r="I1060" s="330"/>
      <c r="J1060" s="330"/>
      <c r="K1060" s="330"/>
      <c r="L1060" s="330"/>
      <c r="M1060" s="330"/>
      <c r="N1060" s="665"/>
      <c r="O1060" s="16"/>
      <c r="P1060" s="1037"/>
      <c r="R1060" s="1037"/>
      <c r="AA1060" s="345" t="b">
        <f>AA1059</f>
        <v>0</v>
      </c>
    </row>
    <row r="1061" spans="2:27" ht="12.75" customHeight="1" thickBot="1" x14ac:dyDescent="0.25">
      <c r="B1061" s="207"/>
      <c r="C1061" s="1060"/>
      <c r="D1061" s="699" t="s">
        <v>456</v>
      </c>
      <c r="E1061" s="1744" t="str">
        <f>Translations!$B$746</f>
        <v>Zawartość biomasy (jako frakcja węgla)</v>
      </c>
      <c r="F1061" s="1744"/>
      <c r="G1061" s="1744"/>
      <c r="H1061" s="473" t="s">
        <v>355</v>
      </c>
      <c r="I1061" s="329"/>
      <c r="J1061" s="329"/>
      <c r="K1061" s="329"/>
      <c r="L1061" s="329"/>
      <c r="M1061" s="329"/>
      <c r="N1061" s="665"/>
      <c r="O1061" s="16"/>
      <c r="P1061" s="1037"/>
      <c r="R1061" s="1052"/>
      <c r="S1061" s="814">
        <f>I1057</f>
        <v>2014</v>
      </c>
      <c r="T1061" s="814">
        <f>J1057</f>
        <v>2015</v>
      </c>
      <c r="U1061" s="814">
        <f>K1057</f>
        <v>2016</v>
      </c>
      <c r="V1061" s="814">
        <f>L1057</f>
        <v>2017</v>
      </c>
      <c r="W1061" s="815">
        <f>M1057</f>
        <v>2018</v>
      </c>
      <c r="AA1061" s="168" t="b">
        <f>AA1060</f>
        <v>0</v>
      </c>
    </row>
    <row r="1062" spans="2:27" ht="12.75" customHeight="1" thickBot="1" x14ac:dyDescent="0.25">
      <c r="B1062" s="207"/>
      <c r="C1062" s="1060"/>
      <c r="D1062" s="699" t="s">
        <v>457</v>
      </c>
      <c r="E1062" s="1767" t="str">
        <f>Translations!$B$747</f>
        <v>Emisje (kopalne, obliczone)</v>
      </c>
      <c r="F1062" s="1767"/>
      <c r="G1062" s="1767"/>
      <c r="H1062" s="543" t="str">
        <f>EUconst_tCO2pa</f>
        <v>t CO2 / rok</v>
      </c>
      <c r="I1062" s="325" t="str">
        <f>IF(AND(COUNT(I1058:I1061)&gt;0,I1065=""),3.664*I1058*(I1060/100)*(1-I1061/100),"")</f>
        <v/>
      </c>
      <c r="J1062" s="325" t="str">
        <f>IF(AND(COUNT(J1058:J1061)&gt;0,J1065=""),3.664*J1058*(J1060/100)*(1-J1061/100),"")</f>
        <v/>
      </c>
      <c r="K1062" s="325" t="str">
        <f>IF(AND(COUNT(K1058:K1061)&gt;0,K1065=""),3.664*K1058*(K1060/100)*(1-K1061/100),"")</f>
        <v/>
      </c>
      <c r="L1062" s="325" t="str">
        <f>IF(AND(COUNT(L1058:L1061)&gt;0,L1065=""),3.664*L1058*(L1060/100)*(1-L1061/100),"")</f>
        <v/>
      </c>
      <c r="M1062" s="325" t="str">
        <f>IF(AND(COUNT(M1058:M1061)&gt;0,M1065=""),3.664*M1058*(M1060/100)*(1-M1061/100),"")</f>
        <v/>
      </c>
      <c r="N1062" s="665"/>
      <c r="O1062" s="16"/>
      <c r="P1062" s="1062" t="str">
        <f>EUconst_CNTR_EmissionsIntSource2 &amp; I973</f>
        <v>EmInternalSource2_</v>
      </c>
      <c r="R1062" s="1053" t="str">
        <f>EUconst_CNTR_AttributedEmissions &amp; I973</f>
        <v>AttrEmissions_</v>
      </c>
      <c r="S1062" s="119" t="str">
        <f>IF(S973,SUM(I1062),"")</f>
        <v/>
      </c>
      <c r="T1062" s="119" t="str">
        <f>IF(T973,SUM(J1062),"")</f>
        <v/>
      </c>
      <c r="U1062" s="119" t="str">
        <f>IF(U973,SUM(K1062),"")</f>
        <v/>
      </c>
      <c r="V1062" s="119" t="str">
        <f>IF(V973,SUM(L1062),"")</f>
        <v/>
      </c>
      <c r="W1062" s="120" t="str">
        <f>IF(W973,SUM(M1062),"")</f>
        <v/>
      </c>
    </row>
    <row r="1063" spans="2:27" ht="12.75" customHeight="1" x14ac:dyDescent="0.2">
      <c r="B1063" s="207"/>
      <c r="C1063" s="1060"/>
      <c r="D1063" s="699" t="s">
        <v>458</v>
      </c>
      <c r="E1063" s="1769" t="str">
        <f>Translations!$B$748</f>
        <v>Nota uzupełniająca: Emisje pochodzące z biomasy</v>
      </c>
      <c r="F1063" s="1769"/>
      <c r="G1063" s="1769"/>
      <c r="H1063" s="544" t="str">
        <f>EUconst_tCO2pa</f>
        <v>t CO2 / rok</v>
      </c>
      <c r="I1063" s="324" t="str">
        <f>IF(ISNUMBER(I1062),3.664*I1058*(I1060/100)*(I1061/100),"")</f>
        <v/>
      </c>
      <c r="J1063" s="324" t="str">
        <f>IF(ISNUMBER(J1062),3.664*J1058*(J1060/100)*(J1061/100),"")</f>
        <v/>
      </c>
      <c r="K1063" s="324" t="str">
        <f>IF(ISNUMBER(K1062),3.664*K1058*(K1060/100)*(K1061/100),"")</f>
        <v/>
      </c>
      <c r="L1063" s="324" t="str">
        <f>IF(ISNUMBER(L1062),3.664*L1058*(L1060/100)*(L1061/100),"")</f>
        <v/>
      </c>
      <c r="M1063" s="324" t="str">
        <f>IF(ISNUMBER(M1062),3.664*M1058*(M1060/100)*(M1061/100),"")</f>
        <v/>
      </c>
      <c r="N1063" s="665"/>
      <c r="O1063" s="16"/>
      <c r="P1063" s="1037"/>
      <c r="R1063" s="1037"/>
    </row>
    <row r="1064" spans="2:27" ht="12.75" customHeight="1" x14ac:dyDescent="0.2">
      <c r="B1064" s="207"/>
      <c r="C1064" s="1060"/>
      <c r="D1064" s="699" t="s">
        <v>459</v>
      </c>
      <c r="E1064" s="1744" t="str">
        <f>Translations!$B$749</f>
        <v>Zawartość energii (obliczona)</v>
      </c>
      <c r="F1064" s="1744"/>
      <c r="G1064" s="1744"/>
      <c r="H1064" s="545" t="str">
        <f>EUconst_TJpa</f>
        <v>TJ / rok</v>
      </c>
      <c r="I1064" s="327" t="str">
        <f>IF(COUNT(I1058:I1059)=2,I1058*I1059/1000,"")</f>
        <v/>
      </c>
      <c r="J1064" s="327" t="str">
        <f>IF(COUNT(J1058:J1059)=2,J1058*J1059/1000,"")</f>
        <v/>
      </c>
      <c r="K1064" s="327" t="str">
        <f>IF(COUNT(K1058:K1059)=2,K1058*K1059/1000,"")</f>
        <v/>
      </c>
      <c r="L1064" s="327" t="str">
        <f>IF(COUNT(L1058:L1059)=2,L1058*L1059/1000,"")</f>
        <v/>
      </c>
      <c r="M1064" s="327" t="str">
        <f>IF(COUNT(M1058:M1059)=2,M1058*M1059/1000,"")</f>
        <v/>
      </c>
      <c r="N1064" s="665"/>
      <c r="O1064" s="16"/>
      <c r="P1064" s="1037"/>
      <c r="R1064" s="1037"/>
    </row>
    <row r="1065" spans="2:27" ht="12.75" customHeight="1" x14ac:dyDescent="0.2">
      <c r="B1065" s="207"/>
      <c r="C1065" s="1060"/>
      <c r="D1065" s="699" t="s">
        <v>455</v>
      </c>
      <c r="E1065" s="1770" t="str">
        <f>Translations!$B$750</f>
        <v>Komunikaty o błędach (emisje)</v>
      </c>
      <c r="F1065" s="1770"/>
      <c r="G1065" s="1770"/>
      <c r="H1065" s="546"/>
      <c r="I1065" s="666" t="str">
        <f>IF(COUNT(I1058,I1060:I1061)&gt;0,IF(COUNTIF(I1059:I1061,"&lt;0")&gt;0,EUconst_Negative,IF(COUNT(I1058,I1060:I1061)&lt;3,EUconst_Incomplete,"")),"")</f>
        <v/>
      </c>
      <c r="J1065" s="666" t="str">
        <f>IF(COUNT(J1058,J1060:J1061)&gt;0,IF(COUNTIF(J1059:J1061,"&lt;0")&gt;0,EUconst_Negative,IF(COUNT(J1058,J1060:J1061)&lt;3,EUconst_Incomplete,"")),"")</f>
        <v/>
      </c>
      <c r="K1065" s="666" t="str">
        <f>IF(COUNT(K1058,K1060:K1061)&gt;0,IF(COUNTIF(K1059:K1061,"&lt;0")&gt;0,EUconst_Negative,IF(COUNT(K1058,K1060:K1061)&lt;3,EUconst_Incomplete,"")),"")</f>
        <v/>
      </c>
      <c r="L1065" s="666" t="str">
        <f>IF(COUNT(L1058,L1060:L1061)&gt;0,IF(COUNTIF(L1059:L1061,"&lt;0")&gt;0,EUconst_Negative,IF(COUNT(L1058,L1060:L1061)&lt;3,EUconst_Incomplete,"")),"")</f>
        <v/>
      </c>
      <c r="M1065" s="666" t="str">
        <f>IF(COUNT(M1058,M1060:M1061)&gt;0,IF(COUNTIF(M1059:M1061,"&lt;0")&gt;0,EUconst_Negative,IF(COUNT(M1058,M1060:M1061)&lt;3,EUconst_Incomplete,"")),"")</f>
        <v/>
      </c>
      <c r="N1065" s="665"/>
      <c r="O1065" s="16"/>
      <c r="P1065" s="1037"/>
      <c r="R1065" s="1037"/>
    </row>
    <row r="1066" spans="2:27" ht="12.75" customHeight="1" x14ac:dyDescent="0.2">
      <c r="B1066" s="207"/>
      <c r="C1066" s="1060"/>
      <c r="D1066" s="1061"/>
      <c r="E1066" s="1061"/>
      <c r="F1066" s="1061"/>
      <c r="G1066" s="1061"/>
      <c r="H1066" s="1061"/>
      <c r="I1066" s="1061"/>
      <c r="J1066" s="1061"/>
      <c r="K1066" s="1061"/>
      <c r="L1066" s="1061"/>
      <c r="M1066" s="1063"/>
      <c r="N1066" s="665"/>
      <c r="O1066" s="16"/>
      <c r="P1066" s="1037"/>
      <c r="R1066" s="1037"/>
    </row>
    <row r="1067" spans="2:27" ht="12.75" customHeight="1" thickBot="1" x14ac:dyDescent="0.25">
      <c r="B1067" s="207"/>
      <c r="C1067" s="1060"/>
      <c r="D1067" s="462" t="s">
        <v>218</v>
      </c>
      <c r="E1067" s="1731" t="str">
        <f>Translations!$B$753</f>
        <v>Ilość gazów cieplarnianych wprowadzonych lub wyprowadzonych w charakterze materiałów wsadowych</v>
      </c>
      <c r="F1067" s="1734"/>
      <c r="G1067" s="1734"/>
      <c r="H1067" s="1734"/>
      <c r="I1067" s="1734"/>
      <c r="J1067" s="1734"/>
      <c r="K1067" s="1734"/>
      <c r="L1067" s="1734"/>
      <c r="M1067" s="1734"/>
      <c r="N1067" s="1735"/>
      <c r="O1067" s="16"/>
      <c r="P1067" s="1037"/>
      <c r="R1067" s="1037"/>
    </row>
    <row r="1068" spans="2:27" ht="12.75" customHeight="1" x14ac:dyDescent="0.2">
      <c r="B1068" s="207"/>
      <c r="C1068" s="1060"/>
      <c r="D1068" s="462"/>
      <c r="E1068" s="1757"/>
      <c r="F1068" s="1758"/>
      <c r="G1068" s="1758"/>
      <c r="H1068" s="450" t="str">
        <f>EUconst_Unit</f>
        <v>Jednostka</v>
      </c>
      <c r="I1068" s="451">
        <f>I$1882</f>
        <v>2014</v>
      </c>
      <c r="J1068" s="451">
        <f>J$1882</f>
        <v>2015</v>
      </c>
      <c r="K1068" s="451">
        <f>K$1882</f>
        <v>2016</v>
      </c>
      <c r="L1068" s="451">
        <f>L$1882</f>
        <v>2017</v>
      </c>
      <c r="M1068" s="451">
        <f>M$1882</f>
        <v>2018</v>
      </c>
      <c r="N1068" s="665"/>
      <c r="O1068" s="16"/>
      <c r="P1068" s="1037"/>
      <c r="R1068" s="1052"/>
      <c r="S1068" s="814">
        <f>I1068</f>
        <v>2014</v>
      </c>
      <c r="T1068" s="814">
        <f>J1068</f>
        <v>2015</v>
      </c>
      <c r="U1068" s="814">
        <f>K1068</f>
        <v>2016</v>
      </c>
      <c r="V1068" s="814">
        <f>L1068</f>
        <v>2017</v>
      </c>
      <c r="W1068" s="815">
        <f>M1068</f>
        <v>2018</v>
      </c>
    </row>
    <row r="1069" spans="2:27" ht="12.75" customHeight="1" thickBot="1" x14ac:dyDescent="0.25">
      <c r="B1069" s="207"/>
      <c r="C1069" s="1060"/>
      <c r="D1069" s="699"/>
      <c r="E1069" s="1739" t="str">
        <f>Translations!$B$756</f>
        <v>Wprowadzone lub wyprowadzone gazy cieplarniane</v>
      </c>
      <c r="F1069" s="1740"/>
      <c r="G1069" s="1740"/>
      <c r="H1069" s="453" t="str">
        <f>EUconst_tCO2epa</f>
        <v>t CO2e/rok</v>
      </c>
      <c r="I1069" s="471"/>
      <c r="J1069" s="471"/>
      <c r="K1069" s="471"/>
      <c r="L1069" s="471"/>
      <c r="M1069" s="471"/>
      <c r="N1069" s="1257"/>
      <c r="O1069" s="16"/>
      <c r="P1069" s="1062" t="str">
        <f>EUconst_CNTR_CO2Feedstock &amp; I973</f>
        <v>EmCO2Feedstock_</v>
      </c>
      <c r="R1069" s="1053" t="str">
        <f>EUconst_CNTR_AttributedEmissions &amp; I973</f>
        <v>AttrEmissions_</v>
      </c>
      <c r="S1069" s="119" t="str">
        <f>IF(S973,SUM(I1069),"")</f>
        <v/>
      </c>
      <c r="T1069" s="119" t="str">
        <f>IF(T973,SUM(J1069),"")</f>
        <v/>
      </c>
      <c r="U1069" s="119" t="str">
        <f>IF(U973,SUM(K1069),"")</f>
        <v/>
      </c>
      <c r="V1069" s="119" t="str">
        <f>IF(V973,SUM(L1069),"")</f>
        <v/>
      </c>
      <c r="W1069" s="120" t="str">
        <f>IF(W973,SUM(M1069),"")</f>
        <v/>
      </c>
    </row>
    <row r="1070" spans="2:27" ht="12.75" customHeight="1" x14ac:dyDescent="0.2">
      <c r="B1070" s="207"/>
      <c r="C1070" s="1060"/>
      <c r="D1070" s="1061"/>
      <c r="E1070" s="1061"/>
      <c r="F1070" s="1061"/>
      <c r="G1070" s="1061"/>
      <c r="H1070" s="1061"/>
      <c r="I1070" s="1061"/>
      <c r="J1070" s="1061"/>
      <c r="K1070" s="1061"/>
      <c r="L1070" s="1061"/>
      <c r="M1070" s="1063"/>
      <c r="N1070" s="665"/>
      <c r="O1070" s="16"/>
      <c r="P1070" s="1037"/>
      <c r="R1070" s="1037"/>
    </row>
    <row r="1071" spans="2:27" ht="12.75" customHeight="1" x14ac:dyDescent="0.2">
      <c r="B1071" s="207"/>
      <c r="C1071" s="1060"/>
      <c r="D1071" s="462" t="s">
        <v>219</v>
      </c>
      <c r="E1071" s="1731" t="str">
        <f>Translations!$B$757</f>
        <v>Mierzalne ciepło wprowadzone do tej podinstalacji i z niej wyprowadzone</v>
      </c>
      <c r="F1071" s="1734"/>
      <c r="G1071" s="1734"/>
      <c r="H1071" s="1734"/>
      <c r="I1071" s="1734"/>
      <c r="J1071" s="1734"/>
      <c r="K1071" s="1734"/>
      <c r="L1071" s="1734"/>
      <c r="M1071" s="1734"/>
      <c r="N1071" s="1735"/>
      <c r="O1071" s="16"/>
      <c r="P1071" s="1037"/>
      <c r="R1071" s="1037"/>
    </row>
    <row r="1072" spans="2:27" ht="12.75" customHeight="1" thickBot="1" x14ac:dyDescent="0.25">
      <c r="B1072" s="207"/>
      <c r="C1072" s="1060"/>
      <c r="D1072" s="1061"/>
      <c r="E1072" s="1674" t="str">
        <f>Translations!$B$762</f>
        <v>W celu przypisania emisji z kogeneracji (CHP) do wytwarzania ciepła należy zastosować „narzędzie dotyczące CHP” w części D.III. niniejszego formularza.</v>
      </c>
      <c r="F1072" s="1674"/>
      <c r="G1072" s="1674"/>
      <c r="H1072" s="1674"/>
      <c r="I1072" s="1674"/>
      <c r="J1072" s="1674"/>
      <c r="K1072" s="1674"/>
      <c r="L1072" s="1674"/>
      <c r="M1072" s="1674"/>
      <c r="N1072" s="1257"/>
      <c r="O1072" s="16"/>
      <c r="P1072" s="1037"/>
    </row>
    <row r="1073" spans="2:27" ht="12.75" customHeight="1" x14ac:dyDescent="0.2">
      <c r="B1073" s="207"/>
      <c r="C1073" s="1060"/>
      <c r="D1073" s="1061"/>
      <c r="E1073" s="1757" t="str">
        <f>Translations!$B$763</f>
        <v>Całkowite ciepło wprowadzone</v>
      </c>
      <c r="F1073" s="1758"/>
      <c r="G1073" s="1758"/>
      <c r="H1073" s="450" t="str">
        <f>EUconst_Unit</f>
        <v>Jednostka</v>
      </c>
      <c r="I1073" s="451">
        <f>I$1882</f>
        <v>2014</v>
      </c>
      <c r="J1073" s="451">
        <f>J$1882</f>
        <v>2015</v>
      </c>
      <c r="K1073" s="451">
        <f>K$1882</f>
        <v>2016</v>
      </c>
      <c r="L1073" s="451">
        <f>L$1882</f>
        <v>2017</v>
      </c>
      <c r="M1073" s="451">
        <f>M$1882</f>
        <v>2018</v>
      </c>
      <c r="N1073" s="1257"/>
      <c r="O1073" s="16"/>
      <c r="P1073" s="1037"/>
      <c r="R1073" s="1052"/>
      <c r="S1073" s="814">
        <f>I1073</f>
        <v>2014</v>
      </c>
      <c r="T1073" s="814">
        <f>J1073</f>
        <v>2015</v>
      </c>
      <c r="U1073" s="814">
        <f>K1073</f>
        <v>2016</v>
      </c>
      <c r="V1073" s="814">
        <f>L1073</f>
        <v>2017</v>
      </c>
      <c r="W1073" s="815">
        <f>M1073</f>
        <v>2018</v>
      </c>
    </row>
    <row r="1074" spans="2:27" ht="12.75" customHeight="1" x14ac:dyDescent="0.2">
      <c r="B1074" s="207"/>
      <c r="C1074" s="1060"/>
      <c r="D1074" s="699" t="s">
        <v>2</v>
      </c>
      <c r="E1074" s="1739" t="str">
        <f>Translations!$B$764</f>
        <v>Ciepło wprowadzone netto</v>
      </c>
      <c r="F1074" s="1740"/>
      <c r="G1074" s="1740"/>
      <c r="H1074" s="453" t="str">
        <f>EUconst_TJpa</f>
        <v>TJ / rok</v>
      </c>
      <c r="I1074" s="471"/>
      <c r="J1074" s="471"/>
      <c r="K1074" s="471"/>
      <c r="L1074" s="471"/>
      <c r="M1074" s="471"/>
      <c r="N1074" s="702"/>
      <c r="O1074" s="16"/>
      <c r="P1074" s="1062" t="str">
        <f>EUconst_CNTR_HeatImport &amp; I973</f>
        <v>HeatIm_</v>
      </c>
      <c r="R1074" s="1064" t="str">
        <f>EUconst_ERR_AttrEmBMapplied &amp; I973</f>
        <v>ERR_AttrEmBM_ </v>
      </c>
      <c r="S1074" s="116">
        <f>IF(AND(I1074&lt;&gt;0,I1075="",EUconst_StatusOfDataCollection=FALSE),1,0)</f>
        <v>0</v>
      </c>
      <c r="T1074" s="116">
        <f>IF(AND(J1074&lt;&gt;0,J1075="",EUconst_StatusOfDataCollection=FALSE),1,0)</f>
        <v>0</v>
      </c>
      <c r="U1074" s="116">
        <f>IF(AND(K1074&lt;&gt;0,K1075="",EUconst_StatusOfDataCollection=FALSE),1,0)</f>
        <v>0</v>
      </c>
      <c r="V1074" s="116">
        <f>IF(AND(L1074&lt;&gt;0,L1075="",EUconst_StatusOfDataCollection=FALSE),1,0)</f>
        <v>0</v>
      </c>
      <c r="W1074" s="117">
        <f>IF(AND(M1074&lt;&gt;0,M1075="",EUconst_StatusOfDataCollection=FALSE),1,0)</f>
        <v>0</v>
      </c>
      <c r="X1074" s="45"/>
    </row>
    <row r="1075" spans="2:27" ht="12.75" customHeight="1" thickBot="1" x14ac:dyDescent="0.25">
      <c r="B1075" s="207"/>
      <c r="C1075" s="1060"/>
      <c r="D1075" s="699" t="s">
        <v>3</v>
      </c>
      <c r="E1075" s="1739" t="str">
        <f>Translations!$B$765</f>
        <v>Właściwy współczynnik emisji (ciepło wprowadzone)</v>
      </c>
      <c r="F1075" s="1740"/>
      <c r="G1075" s="1740"/>
      <c r="H1075" s="453" t="str">
        <f>EUconst_tCO2pTJ</f>
        <v>t CO2 / TJ</v>
      </c>
      <c r="I1075" s="764"/>
      <c r="J1075" s="764"/>
      <c r="K1075" s="764"/>
      <c r="L1075" s="764"/>
      <c r="M1075" s="764"/>
      <c r="N1075" s="665"/>
      <c r="O1075" s="16"/>
      <c r="P1075" s="1062" t="str">
        <f>EUconst_CNTR_HeatImportEF &amp; I973</f>
        <v>HeatImEF_</v>
      </c>
      <c r="R1075" s="1053" t="str">
        <f>EUconst_CNTR_AttributedEmissions &amp; I973</f>
        <v>AttrEmissions_</v>
      </c>
      <c r="S1075" s="119" t="str">
        <f>IF(S973,SUM(I1074)*IF(ISNUMBER(I1075),I1075,EUconst_HeatBMvalue),"")</f>
        <v/>
      </c>
      <c r="T1075" s="119" t="str">
        <f>IF(T973,SUM(J1074)*IF(ISNUMBER(J1075),J1075,EUconst_HeatBMvalue),"")</f>
        <v/>
      </c>
      <c r="U1075" s="119" t="str">
        <f>IF(U973,SUM(K1074)*IF(ISNUMBER(K1075),K1075,EUconst_HeatBMvalue),"")</f>
        <v/>
      </c>
      <c r="V1075" s="119" t="str">
        <f>IF(V973,SUM(L1074)*IF(ISNUMBER(L1075),L1075,EUconst_HeatBMvalue),"")</f>
        <v/>
      </c>
      <c r="W1075" s="120" t="str">
        <f>IF(W973,SUM(M1074)*IF(ISNUMBER(M1075),M1075,EUconst_HeatBMvalue),"")</f>
        <v/>
      </c>
    </row>
    <row r="1076" spans="2:27" ht="5.0999999999999996" customHeight="1" x14ac:dyDescent="0.2">
      <c r="B1076" s="207"/>
      <c r="C1076" s="1060"/>
      <c r="D1076" s="1061"/>
      <c r="E1076" s="1061"/>
      <c r="F1076" s="1061"/>
      <c r="G1076" s="1061"/>
      <c r="H1076" s="1061"/>
      <c r="I1076" s="1061"/>
      <c r="J1076" s="1061"/>
      <c r="K1076" s="1061"/>
      <c r="L1076" s="1061"/>
      <c r="M1076" s="1063"/>
      <c r="N1076" s="665"/>
      <c r="O1076" s="16"/>
      <c r="P1076" s="1037"/>
      <c r="R1076" s="1037"/>
      <c r="S1076" s="1037"/>
    </row>
    <row r="1077" spans="2:27" ht="12.75" customHeight="1" x14ac:dyDescent="0.2">
      <c r="B1077" s="207"/>
      <c r="C1077" s="1060"/>
      <c r="D1077" s="1061"/>
      <c r="E1077" s="1757" t="str">
        <f>Translations!$B$766</f>
        <v>Szczególne wprowadzenie ciepła</v>
      </c>
      <c r="F1077" s="1757"/>
      <c r="G1077" s="1757"/>
      <c r="H1077" s="450" t="str">
        <f>EUconst_Unit</f>
        <v>Jednostka</v>
      </c>
      <c r="I1077" s="451">
        <f>I$1882</f>
        <v>2014</v>
      </c>
      <c r="J1077" s="451">
        <f>J$1882</f>
        <v>2015</v>
      </c>
      <c r="K1077" s="451">
        <f>K$1882</f>
        <v>2016</v>
      </c>
      <c r="L1077" s="451">
        <f>L$1882</f>
        <v>2017</v>
      </c>
      <c r="M1077" s="451">
        <f>M$1882</f>
        <v>2018</v>
      </c>
      <c r="N1077" s="1257"/>
      <c r="O1077" s="16"/>
      <c r="P1077" s="1037"/>
      <c r="R1077" s="1037"/>
      <c r="S1077" s="1037"/>
    </row>
    <row r="1078" spans="2:27" ht="12.75" customHeight="1" x14ac:dyDescent="0.2">
      <c r="B1078" s="207"/>
      <c r="C1078" s="1060"/>
      <c r="D1078" s="699" t="s">
        <v>4</v>
      </c>
      <c r="E1078" s="1739" t="str">
        <f>Translations!$B$820</f>
        <v>Ciepło wprowadzone netto z masy celulozowej</v>
      </c>
      <c r="F1078" s="1740"/>
      <c r="G1078" s="1740"/>
      <c r="H1078" s="453" t="str">
        <f>EUconst_TJpa</f>
        <v>TJ / rok</v>
      </c>
      <c r="I1078" s="540"/>
      <c r="J1078" s="540"/>
      <c r="K1078" s="540"/>
      <c r="L1078" s="540"/>
      <c r="M1078" s="540"/>
      <c r="N1078" s="702"/>
      <c r="O1078" s="16"/>
      <c r="P1078" s="1062" t="str">
        <f>EUconst_CNTR_HeatImportPulp &amp; I973</f>
        <v>HeatImPulp_</v>
      </c>
      <c r="R1078" s="1037"/>
      <c r="S1078" s="1037"/>
    </row>
    <row r="1079" spans="2:27" ht="12.75" customHeight="1" x14ac:dyDescent="0.2">
      <c r="B1079" s="207"/>
      <c r="C1079" s="1060"/>
      <c r="D1079" s="699" t="s">
        <v>6</v>
      </c>
      <c r="E1079" s="1739" t="str">
        <f>Translations!$B$768</f>
        <v>Ciepło wprowadzone netto z podinstalacji wytwarzającej kwas azotowy</v>
      </c>
      <c r="F1079" s="1740"/>
      <c r="G1079" s="1740"/>
      <c r="H1079" s="453" t="str">
        <f>EUconst_TJpa</f>
        <v>TJ / rok</v>
      </c>
      <c r="I1079" s="471"/>
      <c r="J1079" s="471"/>
      <c r="K1079" s="471"/>
      <c r="L1079" s="471"/>
      <c r="M1079" s="471"/>
      <c r="N1079" s="702"/>
      <c r="O1079" s="16"/>
      <c r="P1079" s="1062" t="str">
        <f>EUconst_CNTR_HeatImportNitric &amp; I973</f>
        <v>HeatImNitric_</v>
      </c>
      <c r="R1079" s="1037"/>
      <c r="S1079" s="1037"/>
    </row>
    <row r="1080" spans="2:27" ht="5.0999999999999996" customHeight="1" thickBot="1" x14ac:dyDescent="0.25">
      <c r="B1080" s="207"/>
      <c r="C1080" s="1060"/>
      <c r="D1080" s="1061"/>
      <c r="E1080" s="1061"/>
      <c r="F1080" s="1061"/>
      <c r="G1080" s="1061"/>
      <c r="H1080" s="1061"/>
      <c r="I1080" s="1061"/>
      <c r="J1080" s="1061"/>
      <c r="K1080" s="1061"/>
      <c r="L1080" s="1061"/>
      <c r="M1080" s="1063"/>
      <c r="N1080" s="665"/>
      <c r="O1080" s="16"/>
      <c r="P1080" s="1037"/>
      <c r="R1080" s="1037"/>
      <c r="S1080" s="1037"/>
    </row>
    <row r="1081" spans="2:27" ht="12.75" customHeight="1" x14ac:dyDescent="0.2">
      <c r="B1081" s="207"/>
      <c r="C1081" s="1060"/>
      <c r="D1081" s="1061"/>
      <c r="E1081" s="1757" t="str">
        <f>Translations!$B$769</f>
        <v>Całkowite ciepło wyprowadzone</v>
      </c>
      <c r="F1081" s="1757"/>
      <c r="G1081" s="1757"/>
      <c r="H1081" s="450" t="str">
        <f>EUconst_Unit</f>
        <v>Jednostka</v>
      </c>
      <c r="I1081" s="451">
        <f>I$1882</f>
        <v>2014</v>
      </c>
      <c r="J1081" s="451">
        <f>J$1882</f>
        <v>2015</v>
      </c>
      <c r="K1081" s="451">
        <f>K$1882</f>
        <v>2016</v>
      </c>
      <c r="L1081" s="451">
        <f>L$1882</f>
        <v>2017</v>
      </c>
      <c r="M1081" s="451">
        <f>M$1882</f>
        <v>2018</v>
      </c>
      <c r="N1081" s="1257"/>
      <c r="O1081" s="16"/>
      <c r="P1081" s="1037"/>
      <c r="R1081" s="1052"/>
      <c r="S1081" s="814">
        <f>I1081</f>
        <v>2014</v>
      </c>
      <c r="T1081" s="814">
        <f>J1081</f>
        <v>2015</v>
      </c>
      <c r="U1081" s="814">
        <f>K1081</f>
        <v>2016</v>
      </c>
      <c r="V1081" s="814">
        <f>L1081</f>
        <v>2017</v>
      </c>
      <c r="W1081" s="815">
        <f>M1081</f>
        <v>2018</v>
      </c>
    </row>
    <row r="1082" spans="2:27" ht="12.75" customHeight="1" x14ac:dyDescent="0.2">
      <c r="B1082" s="207"/>
      <c r="C1082" s="1060"/>
      <c r="D1082" s="699" t="s">
        <v>316</v>
      </c>
      <c r="E1082" s="1739" t="str">
        <f>Translations!$B$770</f>
        <v>Ciepło wyprowadzone netto</v>
      </c>
      <c r="F1082" s="1740"/>
      <c r="G1082" s="1740"/>
      <c r="H1082" s="453" t="str">
        <f>EUconst_TJpa</f>
        <v>TJ / rok</v>
      </c>
      <c r="I1082" s="471"/>
      <c r="J1082" s="471"/>
      <c r="K1082" s="471"/>
      <c r="L1082" s="471"/>
      <c r="M1082" s="471"/>
      <c r="N1082" s="702"/>
      <c r="O1082" s="16"/>
      <c r="P1082" s="1062" t="str">
        <f>EUconst_CNTR_HeatExport &amp; I973</f>
        <v>HeatEx_</v>
      </c>
      <c r="R1082" s="1064" t="str">
        <f>EUconst_ERR_AttrEmBMapplied &amp; I973</f>
        <v>ERR_AttrEmBM_ </v>
      </c>
      <c r="S1082" s="116">
        <f>IF(AND(I1082&lt;&gt;0,I1083="",EUconst_StatusOfDataCollection=FALSE),1,0)</f>
        <v>0</v>
      </c>
      <c r="T1082" s="116">
        <f>IF(AND(J1082&lt;&gt;0,J1083="",EUconst_StatusOfDataCollection=FALSE),1,0)</f>
        <v>0</v>
      </c>
      <c r="U1082" s="116">
        <f>IF(AND(K1082&lt;&gt;0,K1083="",EUconst_StatusOfDataCollection=FALSE),1,0)</f>
        <v>0</v>
      </c>
      <c r="V1082" s="116">
        <f>IF(AND(L1082&lt;&gt;0,L1083="",EUconst_StatusOfDataCollection=FALSE),1,0)</f>
        <v>0</v>
      </c>
      <c r="W1082" s="117">
        <f>IF(AND(M1082&lt;&gt;0,M1083="",EUconst_StatusOfDataCollection=FALSE),1,0)</f>
        <v>0</v>
      </c>
    </row>
    <row r="1083" spans="2:27" ht="12.75" customHeight="1" thickBot="1" x14ac:dyDescent="0.25">
      <c r="B1083" s="207"/>
      <c r="C1083" s="1060"/>
      <c r="D1083" s="699" t="s">
        <v>317</v>
      </c>
      <c r="E1083" s="1739" t="str">
        <f>Translations!$B$771</f>
        <v>Właściwy współczynnik emisji (ciepło wyprowadzone)</v>
      </c>
      <c r="F1083" s="1740"/>
      <c r="G1083" s="1740"/>
      <c r="H1083" s="453" t="str">
        <f>EUconst_tCO2pTJ</f>
        <v>t CO2 / TJ</v>
      </c>
      <c r="I1083" s="764"/>
      <c r="J1083" s="764"/>
      <c r="K1083" s="764"/>
      <c r="L1083" s="764"/>
      <c r="M1083" s="764"/>
      <c r="N1083" s="665"/>
      <c r="O1083" s="16"/>
      <c r="P1083" s="1062" t="str">
        <f>EUconst_CNTR_HeatExportEF &amp; I973</f>
        <v>HeatExEF_</v>
      </c>
      <c r="R1083" s="1053" t="str">
        <f>EUconst_CNTR_AttributedEmissions &amp; I973</f>
        <v>AttrEmissions_</v>
      </c>
      <c r="S1083" s="119" t="str">
        <f>IF(S973,-SUM(I1082)*IF(INDEX(EUconst_BMlistNumberOfBM,MATCH($I973,EUconst_BMlistNames,0))=39,0,IF(ISNUMBER(I1083),I1083,EUconst_HeatBMvalue)),"")</f>
        <v/>
      </c>
      <c r="T1083" s="119" t="str">
        <f>IF(T973,-SUM(J1082)*IF(INDEX(EUconst_BMlistNumberOfBM,MATCH($I973,EUconst_BMlistNames,0))=39,0,IF(ISNUMBER(J1083),J1083,EUconst_HeatBMvalue)),"")</f>
        <v/>
      </c>
      <c r="U1083" s="119" t="str">
        <f>IF(U973,-SUM(K1082)*IF(INDEX(EUconst_BMlistNumberOfBM,MATCH($I973,EUconst_BMlistNames,0))=39,0,IF(ISNUMBER(K1083),K1083,EUconst_HeatBMvalue)),"")</f>
        <v/>
      </c>
      <c r="V1083" s="119" t="str">
        <f>IF(V973,-SUM(L1082)*IF(INDEX(EUconst_BMlistNumberOfBM,MATCH($I973,EUconst_BMlistNames,0))=39,0,IF(ISNUMBER(L1083),L1083,EUconst_HeatBMvalue)),"")</f>
        <v/>
      </c>
      <c r="W1083" s="120" t="str">
        <f>IF(W973,-SUM(M1082)*IF(INDEX(EUconst_BMlistNumberOfBM,MATCH($I973,EUconst_BMlistNames,0))=39,0,IF(ISNUMBER(M1083),M1083,EUconst_HeatBMvalue)),"")</f>
        <v/>
      </c>
    </row>
    <row r="1084" spans="2:27" ht="12.75" customHeight="1" x14ac:dyDescent="0.2">
      <c r="B1084" s="207"/>
      <c r="C1084" s="1060"/>
      <c r="D1084" s="1061"/>
      <c r="E1084" s="1061"/>
      <c r="F1084" s="1061"/>
      <c r="G1084" s="1061"/>
      <c r="H1084" s="1061"/>
      <c r="I1084" s="1061"/>
      <c r="J1084" s="1061"/>
      <c r="K1084" s="1061"/>
      <c r="L1084" s="1061"/>
      <c r="M1084" s="1063"/>
      <c r="N1084" s="665"/>
      <c r="O1084" s="16"/>
      <c r="P1084" s="1037"/>
      <c r="R1084" s="1037"/>
      <c r="S1084" s="1037"/>
    </row>
    <row r="1085" spans="2:27" ht="12.75" customHeight="1" x14ac:dyDescent="0.2">
      <c r="B1085" s="207"/>
      <c r="C1085" s="1060"/>
      <c r="D1085" s="462" t="s">
        <v>220</v>
      </c>
      <c r="E1085" s="1731" t="str">
        <f>Translations!$B$772</f>
        <v>Bilans gazów odlotowych dla tej podinstalacji</v>
      </c>
      <c r="F1085" s="1734"/>
      <c r="G1085" s="1734"/>
      <c r="H1085" s="1734"/>
      <c r="I1085" s="1734"/>
      <c r="J1085" s="1734"/>
      <c r="K1085" s="1734"/>
      <c r="L1085" s="1734"/>
      <c r="M1085" s="1734"/>
      <c r="N1085" s="1735"/>
      <c r="O1085" s="16"/>
      <c r="P1085" s="1037"/>
      <c r="R1085" s="1037"/>
      <c r="S1085" s="1037"/>
    </row>
    <row r="1086" spans="2:27" ht="5.0999999999999996" customHeight="1" thickBot="1" x14ac:dyDescent="0.25">
      <c r="B1086" s="207"/>
      <c r="C1086" s="1060"/>
      <c r="D1086" s="1061"/>
      <c r="E1086" s="1733"/>
      <c r="F1086" s="1733"/>
      <c r="G1086" s="1733"/>
      <c r="H1086" s="1733"/>
      <c r="I1086" s="1733"/>
      <c r="J1086" s="1733"/>
      <c r="K1086" s="1733"/>
      <c r="L1086" s="1733"/>
      <c r="M1086" s="1733"/>
      <c r="N1086" s="1768"/>
      <c r="O1086" s="16"/>
      <c r="P1086" s="1037"/>
      <c r="R1086" s="1037"/>
      <c r="S1086" s="1037"/>
    </row>
    <row r="1087" spans="2:27" ht="12.75" customHeight="1" thickBot="1" x14ac:dyDescent="0.25">
      <c r="B1087" s="207"/>
      <c r="C1087" s="1060"/>
      <c r="D1087" s="699" t="s">
        <v>2</v>
      </c>
      <c r="E1087" s="1741" t="str">
        <f>Translations!$B$773</f>
        <v>Czy gazy odlotowe dotyczą tej podinstalacji?</v>
      </c>
      <c r="F1087" s="1741"/>
      <c r="G1087" s="1741"/>
      <c r="H1087" s="1741"/>
      <c r="I1087" s="1741"/>
      <c r="J1087" s="1741"/>
      <c r="K1087" s="1742"/>
      <c r="L1087" s="517"/>
      <c r="M1087" s="1253"/>
      <c r="N1087" s="1254"/>
      <c r="O1087" s="16"/>
      <c r="P1087" s="1037"/>
      <c r="R1087" s="1037"/>
      <c r="W1087" s="1048" t="s">
        <v>414</v>
      </c>
      <c r="X1087" s="1046" t="b">
        <f>IF(AND(I973&lt;&gt;"",ISBLANK(L1087)),EUconst_Error&amp;"BM"&amp;C973,FALSE)</f>
        <v>0</v>
      </c>
    </row>
    <row r="1088" spans="2:27" ht="5.0999999999999996" customHeight="1" thickBot="1" x14ac:dyDescent="0.25">
      <c r="B1088" s="207"/>
      <c r="C1088" s="1060"/>
      <c r="D1088" s="1061"/>
      <c r="E1088" s="1733"/>
      <c r="F1088" s="1734"/>
      <c r="G1088" s="1734"/>
      <c r="H1088" s="1734"/>
      <c r="I1088" s="1734"/>
      <c r="J1088" s="1734"/>
      <c r="K1088" s="1734"/>
      <c r="L1088" s="1734"/>
      <c r="M1088" s="1734"/>
      <c r="N1088" s="1735"/>
      <c r="O1088" s="16"/>
      <c r="P1088" s="1037"/>
      <c r="R1088" s="1037"/>
      <c r="AA1088" s="422" t="s">
        <v>272</v>
      </c>
    </row>
    <row r="1089" spans="2:27" ht="12.75" customHeight="1" x14ac:dyDescent="0.2">
      <c r="B1089" s="207"/>
      <c r="C1089" s="1060"/>
      <c r="D1089" s="699" t="s">
        <v>3</v>
      </c>
      <c r="E1089" s="1760" t="str">
        <f>Translations!$B$775</f>
        <v>Rodzaje wytworzonych gazów odlotowych:</v>
      </c>
      <c r="F1089" s="1760"/>
      <c r="G1089" s="1760"/>
      <c r="H1089" s="1760"/>
      <c r="I1089" s="1763"/>
      <c r="J1089" s="1764"/>
      <c r="K1089" s="1764"/>
      <c r="L1089" s="1764"/>
      <c r="M1089" s="1765"/>
      <c r="N1089" s="1254"/>
      <c r="O1089" s="16"/>
      <c r="P1089" s="1037"/>
      <c r="R1089" s="1037"/>
      <c r="AA1089" s="646" t="b">
        <f>IF(I973&lt;&gt;"",AND(L1087&lt;&gt;"",L1087=FALSE),FALSE)</f>
        <v>0</v>
      </c>
    </row>
    <row r="1090" spans="2:27" ht="5.0999999999999996" customHeight="1" x14ac:dyDescent="0.2">
      <c r="B1090" s="207"/>
      <c r="C1090" s="1060"/>
      <c r="D1090" s="1061"/>
      <c r="E1090" s="1733"/>
      <c r="F1090" s="1734"/>
      <c r="G1090" s="1734"/>
      <c r="H1090" s="1734"/>
      <c r="I1090" s="1734"/>
      <c r="J1090" s="1734"/>
      <c r="K1090" s="1734"/>
      <c r="L1090" s="1734"/>
      <c r="M1090" s="1734"/>
      <c r="N1090" s="1735"/>
      <c r="O1090" s="16"/>
      <c r="P1090" s="1037"/>
      <c r="R1090" s="1037"/>
      <c r="S1090" s="1037"/>
      <c r="AA1090" s="608"/>
    </row>
    <row r="1091" spans="2:27" ht="12.75" customHeight="1" x14ac:dyDescent="0.2">
      <c r="B1091" s="207"/>
      <c r="C1091" s="1060"/>
      <c r="D1091" s="1061"/>
      <c r="E1091" s="1757"/>
      <c r="F1091" s="1758"/>
      <c r="G1091" s="1758"/>
      <c r="H1091" s="450" t="str">
        <f>EUconst_Unit</f>
        <v>Jednostka</v>
      </c>
      <c r="I1091" s="451">
        <f>I$1882</f>
        <v>2014</v>
      </c>
      <c r="J1091" s="451">
        <f>J$1882</f>
        <v>2015</v>
      </c>
      <c r="K1091" s="451">
        <f>K$1882</f>
        <v>2016</v>
      </c>
      <c r="L1091" s="451">
        <f>L$1882</f>
        <v>2017</v>
      </c>
      <c r="M1091" s="451">
        <f>M$1882</f>
        <v>2018</v>
      </c>
      <c r="N1091" s="1257"/>
      <c r="O1091" s="16"/>
      <c r="P1091" s="1037"/>
      <c r="R1091" s="1037"/>
      <c r="S1091" s="1037"/>
      <c r="AA1091" s="608"/>
    </row>
    <row r="1092" spans="2:27" ht="12.75" customHeight="1" x14ac:dyDescent="0.2">
      <c r="B1092" s="207"/>
      <c r="C1092" s="1060"/>
      <c r="D1092" s="699" t="s">
        <v>4</v>
      </c>
      <c r="E1092" s="1766" t="str">
        <f>Translations!$B$777</f>
        <v>Ilości wytworzone</v>
      </c>
      <c r="F1092" s="1767"/>
      <c r="G1092" s="1767"/>
      <c r="H1092" s="231"/>
      <c r="I1092" s="472"/>
      <c r="J1092" s="472"/>
      <c r="K1092" s="472"/>
      <c r="L1092" s="472"/>
      <c r="M1092" s="472"/>
      <c r="N1092" s="1257"/>
      <c r="O1092" s="16"/>
      <c r="P1092" s="1037"/>
      <c r="R1092" s="1037"/>
      <c r="S1092" s="1037"/>
      <c r="AA1092" s="345" t="b">
        <f>AA1089</f>
        <v>0</v>
      </c>
    </row>
    <row r="1093" spans="2:27" ht="12.75" customHeight="1" x14ac:dyDescent="0.2">
      <c r="B1093" s="207"/>
      <c r="C1093" s="1060"/>
      <c r="D1093" s="699" t="s">
        <v>6</v>
      </c>
      <c r="E1093" s="1743" t="str">
        <f>Translations!$B$470</f>
        <v>Wartość opałowa</v>
      </c>
      <c r="F1093" s="1744"/>
      <c r="G1093" s="1744"/>
      <c r="H1093" s="56" t="str">
        <f>IF(ISBLANK(H1092),EUconst_GJperUnit,INDEX(EUconst_GJperTorKNm3,MATCH(H1092,EUconst_TonnesOrkNm3pa,0)))</f>
        <v>GJ / Jednostka</v>
      </c>
      <c r="I1093" s="446"/>
      <c r="J1093" s="446"/>
      <c r="K1093" s="446"/>
      <c r="L1093" s="446"/>
      <c r="M1093" s="446"/>
      <c r="N1093" s="1257"/>
      <c r="O1093" s="16"/>
      <c r="R1093" s="1037"/>
      <c r="S1093" s="1037"/>
      <c r="T1093" s="1037"/>
      <c r="U1093" s="1037"/>
      <c r="V1093" s="1037"/>
      <c r="W1093" s="1037"/>
      <c r="AA1093" s="345" t="b">
        <f>AA1092</f>
        <v>0</v>
      </c>
    </row>
    <row r="1094" spans="2:27" ht="12.75" customHeight="1" x14ac:dyDescent="0.2">
      <c r="B1094" s="207"/>
      <c r="C1094" s="1060"/>
      <c r="D1094" s="699" t="s">
        <v>316</v>
      </c>
      <c r="E1094" s="1739" t="str">
        <f>Translations!$B$778</f>
        <v>Gazy odlotowe wytworzone</v>
      </c>
      <c r="F1094" s="1740"/>
      <c r="G1094" s="1740"/>
      <c r="H1094" s="453" t="str">
        <f>EUconst_TJpa</f>
        <v>TJ / rok</v>
      </c>
      <c r="I1094" s="513" t="str">
        <f>IF(COUNT(I1092:I1093)=2,I1092*I1093/1000,"")</f>
        <v/>
      </c>
      <c r="J1094" s="513" t="str">
        <f>IF(COUNT(J1092:J1093)=2,J1092*J1093/1000,"")</f>
        <v/>
      </c>
      <c r="K1094" s="513" t="str">
        <f>IF(COUNT(K1092:K1093)=2,K1092*K1093/1000,"")</f>
        <v/>
      </c>
      <c r="L1094" s="513" t="str">
        <f>IF(COUNT(L1092:L1093)=2,L1092*L1093/1000,"")</f>
        <v/>
      </c>
      <c r="M1094" s="513" t="str">
        <f>IF(COUNT(M1092:M1093)=2,M1092*M1093/1000,"")</f>
        <v/>
      </c>
      <c r="N1094" s="1257"/>
      <c r="O1094" s="16"/>
      <c r="P1094" s="1062" t="str">
        <f>EUconst_CNTR_WGProduced &amp; I973</f>
        <v>WasteGasProd_</v>
      </c>
      <c r="R1094" s="1037"/>
      <c r="S1094" s="1037"/>
      <c r="T1094" s="1037"/>
      <c r="U1094" s="1037"/>
      <c r="V1094" s="1037"/>
      <c r="W1094" s="1037"/>
      <c r="AA1094" s="608"/>
    </row>
    <row r="1095" spans="2:27" ht="12.75" customHeight="1" x14ac:dyDescent="0.2">
      <c r="B1095" s="207"/>
      <c r="C1095" s="1060"/>
      <c r="D1095" s="699" t="s">
        <v>317</v>
      </c>
      <c r="E1095" s="1739" t="str">
        <f>Translations!$B$779</f>
        <v>Właściwy współczynnik emisji (gazy odlotowe wytworzone)</v>
      </c>
      <c r="F1095" s="1740"/>
      <c r="G1095" s="1740"/>
      <c r="H1095" s="453" t="str">
        <f>EUconst_tCO2pTJ</f>
        <v>t CO2 / TJ</v>
      </c>
      <c r="I1095" s="471"/>
      <c r="J1095" s="471"/>
      <c r="K1095" s="471"/>
      <c r="L1095" s="471"/>
      <c r="M1095" s="471"/>
      <c r="N1095" s="665"/>
      <c r="O1095" s="16"/>
      <c r="P1095" s="1062" t="str">
        <f>EUconst_CNTR_WGProducedEF &amp; I973</f>
        <v>WasteGasProdEF_</v>
      </c>
      <c r="R1095" s="1037"/>
      <c r="S1095" s="1037"/>
      <c r="T1095" s="1037"/>
      <c r="U1095" s="1037"/>
      <c r="V1095" s="1037"/>
      <c r="W1095" s="1037"/>
      <c r="AA1095" s="345" t="b">
        <f>AA1093</f>
        <v>0</v>
      </c>
    </row>
    <row r="1096" spans="2:27" ht="12.75" customHeight="1" x14ac:dyDescent="0.2">
      <c r="B1096" s="207"/>
      <c r="C1096" s="1060"/>
      <c r="D1096" s="1061"/>
      <c r="E1096" s="1061"/>
      <c r="F1096" s="1061"/>
      <c r="G1096" s="1061"/>
      <c r="H1096" s="1061"/>
      <c r="I1096" s="1061"/>
      <c r="J1096" s="1061"/>
      <c r="K1096" s="1061"/>
      <c r="L1096" s="1061"/>
      <c r="M1096" s="1063"/>
      <c r="N1096" s="665"/>
      <c r="O1096" s="16"/>
      <c r="P1096" s="1037"/>
      <c r="R1096" s="1037"/>
      <c r="S1096" s="1037"/>
      <c r="T1096" s="1037"/>
      <c r="U1096" s="1037"/>
      <c r="V1096" s="1037"/>
      <c r="W1096" s="1037"/>
      <c r="AA1096" s="608"/>
    </row>
    <row r="1097" spans="2:27" ht="12.75" customHeight="1" x14ac:dyDescent="0.2">
      <c r="B1097" s="207"/>
      <c r="C1097" s="1060"/>
      <c r="D1097" s="699" t="s">
        <v>318</v>
      </c>
      <c r="E1097" s="1760" t="str">
        <f>Translations!$B$780</f>
        <v>Rodzaje zużytych gazów odlotowych:</v>
      </c>
      <c r="F1097" s="1760"/>
      <c r="G1097" s="1760"/>
      <c r="H1097" s="1760"/>
      <c r="I1097" s="1763"/>
      <c r="J1097" s="1764"/>
      <c r="K1097" s="1764"/>
      <c r="L1097" s="1764"/>
      <c r="M1097" s="1765"/>
      <c r="N1097" s="1254"/>
      <c r="O1097" s="16"/>
      <c r="P1097" s="1037"/>
      <c r="R1097" s="1037"/>
      <c r="S1097" s="1037"/>
      <c r="T1097" s="1037"/>
      <c r="U1097" s="1037"/>
      <c r="V1097" s="1037"/>
      <c r="W1097" s="1037"/>
      <c r="AA1097" s="345" t="b">
        <f>AA1095</f>
        <v>0</v>
      </c>
    </row>
    <row r="1098" spans="2:27" ht="5.0999999999999996" customHeight="1" x14ac:dyDescent="0.2">
      <c r="B1098" s="207"/>
      <c r="C1098" s="1060"/>
      <c r="D1098" s="699"/>
      <c r="E1098" s="1733"/>
      <c r="F1098" s="1734"/>
      <c r="G1098" s="1734"/>
      <c r="H1098" s="1734"/>
      <c r="I1098" s="1734"/>
      <c r="J1098" s="1734"/>
      <c r="K1098" s="1734"/>
      <c r="L1098" s="1734"/>
      <c r="M1098" s="1734"/>
      <c r="N1098" s="1735"/>
      <c r="O1098" s="16"/>
      <c r="P1098" s="1037"/>
      <c r="R1098" s="1037"/>
      <c r="S1098" s="1037"/>
      <c r="T1098" s="1037"/>
      <c r="U1098" s="1037"/>
      <c r="V1098" s="1037"/>
      <c r="W1098" s="1037"/>
      <c r="AA1098" s="608"/>
    </row>
    <row r="1099" spans="2:27" ht="12.75" customHeight="1" x14ac:dyDescent="0.2">
      <c r="B1099" s="207"/>
      <c r="C1099" s="1060"/>
      <c r="D1099" s="1061"/>
      <c r="E1099" s="1757"/>
      <c r="F1099" s="1758"/>
      <c r="G1099" s="1758"/>
      <c r="H1099" s="450" t="str">
        <f>EUconst_Unit</f>
        <v>Jednostka</v>
      </c>
      <c r="I1099" s="451">
        <f>I$1882</f>
        <v>2014</v>
      </c>
      <c r="J1099" s="451">
        <f>J$1882</f>
        <v>2015</v>
      </c>
      <c r="K1099" s="451">
        <f>K$1882</f>
        <v>2016</v>
      </c>
      <c r="L1099" s="451">
        <f>L$1882</f>
        <v>2017</v>
      </c>
      <c r="M1099" s="451">
        <f>M$1882</f>
        <v>2018</v>
      </c>
      <c r="N1099" s="1257"/>
      <c r="O1099" s="16"/>
      <c r="P1099" s="1037"/>
      <c r="R1099" s="1037"/>
      <c r="S1099" s="1037"/>
      <c r="T1099" s="1037"/>
      <c r="U1099" s="1037"/>
      <c r="V1099" s="1037"/>
      <c r="W1099" s="1037"/>
      <c r="AA1099" s="608"/>
    </row>
    <row r="1100" spans="2:27" ht="12.75" customHeight="1" x14ac:dyDescent="0.2">
      <c r="B1100" s="207"/>
      <c r="C1100" s="1060"/>
      <c r="D1100" s="699" t="s">
        <v>319</v>
      </c>
      <c r="E1100" s="1766" t="str">
        <f>Translations!$B$782</f>
        <v>Ilości zużyte</v>
      </c>
      <c r="F1100" s="1767"/>
      <c r="G1100" s="1767"/>
      <c r="H1100" s="231"/>
      <c r="I1100" s="472"/>
      <c r="J1100" s="472"/>
      <c r="K1100" s="472"/>
      <c r="L1100" s="472"/>
      <c r="M1100" s="472"/>
      <c r="N1100" s="1257"/>
      <c r="O1100" s="16"/>
      <c r="P1100" s="1037"/>
      <c r="R1100" s="1037"/>
      <c r="S1100" s="1037"/>
      <c r="T1100" s="1037"/>
      <c r="U1100" s="1037"/>
      <c r="V1100" s="1037"/>
      <c r="W1100" s="1037"/>
      <c r="AA1100" s="345" t="b">
        <f>AA1097</f>
        <v>0</v>
      </c>
    </row>
    <row r="1101" spans="2:27" ht="12.75" customHeight="1" x14ac:dyDescent="0.2">
      <c r="B1101" s="207"/>
      <c r="C1101" s="1060"/>
      <c r="D1101" s="699" t="s">
        <v>320</v>
      </c>
      <c r="E1101" s="1743" t="str">
        <f>Translations!$B$470</f>
        <v>Wartość opałowa</v>
      </c>
      <c r="F1101" s="1744"/>
      <c r="G1101" s="1744"/>
      <c r="H1101" s="56" t="str">
        <f>IF(ISBLANK(H1100),EUconst_GJperUnit,INDEX(EUconst_GJperTorKNm3,MATCH(H1100,EUconst_TonnesOrkNm3pa,0)))</f>
        <v>GJ / Jednostka</v>
      </c>
      <c r="I1101" s="446"/>
      <c r="J1101" s="446"/>
      <c r="K1101" s="446"/>
      <c r="L1101" s="446"/>
      <c r="M1101" s="446"/>
      <c r="N1101" s="1257"/>
      <c r="O1101" s="16"/>
      <c r="R1101" s="1037"/>
      <c r="S1101" s="1037"/>
      <c r="T1101" s="1037"/>
      <c r="U1101" s="1037"/>
      <c r="V1101" s="1037"/>
      <c r="W1101" s="1037"/>
      <c r="AA1101" s="345" t="b">
        <f>AA1100</f>
        <v>0</v>
      </c>
    </row>
    <row r="1102" spans="2:27" ht="12.75" customHeight="1" x14ac:dyDescent="0.2">
      <c r="B1102" s="207"/>
      <c r="C1102" s="1060"/>
      <c r="D1102" s="699" t="s">
        <v>16</v>
      </c>
      <c r="E1102" s="1739" t="str">
        <f>Translations!$B$783</f>
        <v>Gazy odlotowe zużyte</v>
      </c>
      <c r="F1102" s="1740"/>
      <c r="G1102" s="1740"/>
      <c r="H1102" s="453" t="str">
        <f>EUconst_TJpa</f>
        <v>TJ / rok</v>
      </c>
      <c r="I1102" s="513" t="str">
        <f>IF(COUNT(I1100:I1101)=2,I1100*I1101/1000,"")</f>
        <v/>
      </c>
      <c r="J1102" s="513" t="str">
        <f>IF(COUNT(J1100:J1101)=2,J1100*J1101/1000,"")</f>
        <v/>
      </c>
      <c r="K1102" s="513" t="str">
        <f>IF(COUNT(K1100:K1101)=2,K1100*K1101/1000,"")</f>
        <v/>
      </c>
      <c r="L1102" s="513" t="str">
        <f>IF(COUNT(L1100:L1101)=2,L1100*L1101/1000,"")</f>
        <v/>
      </c>
      <c r="M1102" s="513" t="str">
        <f>IF(COUNT(M1100:M1101)=2,M1100*M1101/1000,"")</f>
        <v/>
      </c>
      <c r="N1102" s="1257"/>
      <c r="O1102" s="16"/>
      <c r="P1102" s="1062" t="str">
        <f>EUconst_CNTR_WGConsumed &amp; I973</f>
        <v>WasteGasCons_</v>
      </c>
      <c r="R1102" s="1037"/>
      <c r="S1102" s="1037"/>
      <c r="T1102" s="1037"/>
      <c r="U1102" s="1037"/>
      <c r="V1102" s="1037"/>
      <c r="W1102" s="1037"/>
      <c r="AA1102" s="608"/>
    </row>
    <row r="1103" spans="2:27" ht="12.75" customHeight="1" x14ac:dyDescent="0.2">
      <c r="B1103" s="207"/>
      <c r="C1103" s="1060"/>
      <c r="D1103" s="699" t="s">
        <v>17</v>
      </c>
      <c r="E1103" s="1739" t="str">
        <f>Translations!$B$784</f>
        <v>Właściwy współczynnik emisji (gazy odlotowe zużyte)</v>
      </c>
      <c r="F1103" s="1740"/>
      <c r="G1103" s="1740"/>
      <c r="H1103" s="453" t="str">
        <f>EUconst_tCO2pTJ</f>
        <v>t CO2 / TJ</v>
      </c>
      <c r="I1103" s="471"/>
      <c r="J1103" s="471"/>
      <c r="K1103" s="471"/>
      <c r="L1103" s="471"/>
      <c r="M1103" s="471"/>
      <c r="N1103" s="665"/>
      <c r="O1103" s="16"/>
      <c r="P1103" s="1062" t="str">
        <f>EUconst_CNTR_WGConsumedEF &amp; I973</f>
        <v>WasteGasConsEF_</v>
      </c>
      <c r="R1103" s="1037"/>
      <c r="S1103" s="1037"/>
      <c r="T1103" s="1037"/>
      <c r="U1103" s="1037"/>
      <c r="V1103" s="1037"/>
      <c r="W1103" s="1037"/>
      <c r="AA1103" s="345" t="b">
        <f>AA1101</f>
        <v>0</v>
      </c>
    </row>
    <row r="1104" spans="2:27" ht="12.75" customHeight="1" x14ac:dyDescent="0.2">
      <c r="B1104" s="207"/>
      <c r="C1104" s="1060"/>
      <c r="D1104" s="1061"/>
      <c r="E1104" s="1061"/>
      <c r="F1104" s="1061"/>
      <c r="G1104" s="1061"/>
      <c r="H1104" s="1061"/>
      <c r="I1104" s="1061"/>
      <c r="J1104" s="1061"/>
      <c r="K1104" s="1061"/>
      <c r="L1104" s="1061"/>
      <c r="M1104" s="1063"/>
      <c r="N1104" s="665"/>
      <c r="O1104" s="16"/>
      <c r="P1104" s="1037"/>
      <c r="R1104" s="1037"/>
      <c r="S1104" s="1037"/>
      <c r="AA1104" s="608"/>
    </row>
    <row r="1105" spans="1:27" ht="12.75" customHeight="1" x14ac:dyDescent="0.2">
      <c r="B1105" s="207"/>
      <c r="C1105" s="1060"/>
      <c r="D1105" s="699" t="s">
        <v>18</v>
      </c>
      <c r="E1105" s="1760" t="str">
        <f>Translations!$B$785</f>
        <v>Rodzaje gazów odlotowych spalonych na pochodniach:</v>
      </c>
      <c r="F1105" s="1760"/>
      <c r="G1105" s="1760"/>
      <c r="H1105" s="1760"/>
      <c r="I1105" s="1763"/>
      <c r="J1105" s="1764"/>
      <c r="K1105" s="1764"/>
      <c r="L1105" s="1764"/>
      <c r="M1105" s="1765"/>
      <c r="N1105" s="1254"/>
      <c r="O1105" s="16"/>
      <c r="P1105" s="1037"/>
      <c r="R1105" s="1037"/>
      <c r="AA1105" s="345" t="b">
        <f>AA1095</f>
        <v>0</v>
      </c>
    </row>
    <row r="1106" spans="1:27" ht="5.0999999999999996" customHeight="1" x14ac:dyDescent="0.2">
      <c r="B1106" s="207"/>
      <c r="C1106" s="1060"/>
      <c r="D1106" s="699"/>
      <c r="E1106" s="1733"/>
      <c r="F1106" s="1734"/>
      <c r="G1106" s="1734"/>
      <c r="H1106" s="1734"/>
      <c r="I1106" s="1734"/>
      <c r="J1106" s="1734"/>
      <c r="K1106" s="1734"/>
      <c r="L1106" s="1734"/>
      <c r="M1106" s="1734"/>
      <c r="N1106" s="1735"/>
      <c r="O1106" s="16"/>
      <c r="P1106" s="1037"/>
      <c r="S1106" s="1037"/>
      <c r="AA1106" s="608"/>
    </row>
    <row r="1107" spans="1:27" ht="12.75" customHeight="1" x14ac:dyDescent="0.2">
      <c r="B1107" s="207"/>
      <c r="C1107" s="1060"/>
      <c r="D1107" s="1061"/>
      <c r="E1107" s="1757"/>
      <c r="F1107" s="1758"/>
      <c r="G1107" s="1758"/>
      <c r="H1107" s="450" t="str">
        <f>EUconst_Unit</f>
        <v>Jednostka</v>
      </c>
      <c r="I1107" s="451">
        <f>I$1882</f>
        <v>2014</v>
      </c>
      <c r="J1107" s="451">
        <f>J$1882</f>
        <v>2015</v>
      </c>
      <c r="K1107" s="451">
        <f>K$1882</f>
        <v>2016</v>
      </c>
      <c r="L1107" s="451">
        <f>L$1882</f>
        <v>2017</v>
      </c>
      <c r="M1107" s="451">
        <f>M$1882</f>
        <v>2018</v>
      </c>
      <c r="N1107" s="1257"/>
      <c r="O1107" s="16"/>
      <c r="P1107" s="1037"/>
      <c r="AA1107" s="608"/>
    </row>
    <row r="1108" spans="1:27" ht="12.75" customHeight="1" thickBot="1" x14ac:dyDescent="0.25">
      <c r="B1108" s="207"/>
      <c r="C1108" s="1060"/>
      <c r="D1108" s="699" t="s">
        <v>454</v>
      </c>
      <c r="E1108" s="1766" t="str">
        <f>Translations!$B$789</f>
        <v>Ilości spalone na pochodniach</v>
      </c>
      <c r="F1108" s="1767"/>
      <c r="G1108" s="1767"/>
      <c r="H1108" s="231"/>
      <c r="I1108" s="472"/>
      <c r="J1108" s="472"/>
      <c r="K1108" s="472"/>
      <c r="L1108" s="472"/>
      <c r="M1108" s="472"/>
      <c r="N1108" s="1257"/>
      <c r="O1108" s="16"/>
      <c r="P1108" s="1037"/>
      <c r="R1108" s="1037" t="s">
        <v>546</v>
      </c>
      <c r="AA1108" s="345" t="b">
        <f>AA1105</f>
        <v>0</v>
      </c>
    </row>
    <row r="1109" spans="1:27" ht="12.75" customHeight="1" thickBot="1" x14ac:dyDescent="0.25">
      <c r="B1109" s="207"/>
      <c r="C1109" s="1060"/>
      <c r="D1109" s="699" t="s">
        <v>455</v>
      </c>
      <c r="E1109" s="1743" t="str">
        <f>Translations!$B$470</f>
        <v>Wartość opałowa</v>
      </c>
      <c r="F1109" s="1744"/>
      <c r="G1109" s="1744"/>
      <c r="H1109" s="56" t="str">
        <f>IF(ISBLANK(H1108),EUconst_GJperUnit,INDEX(EUconst_GJperTorKNm3,MATCH(H1108,EUconst_TonnesOrkNm3pa,0)))</f>
        <v>GJ / Jednostka</v>
      </c>
      <c r="I1109" s="446"/>
      <c r="J1109" s="446"/>
      <c r="K1109" s="446"/>
      <c r="L1109" s="446"/>
      <c r="M1109" s="446"/>
      <c r="N1109" s="1257"/>
      <c r="O1109" s="16"/>
      <c r="R1109" s="712" t="s">
        <v>437</v>
      </c>
      <c r="S1109" s="709">
        <f>I1107</f>
        <v>2014</v>
      </c>
      <c r="T1109" s="710">
        <f>J1107</f>
        <v>2015</v>
      </c>
      <c r="U1109" s="710">
        <f>K1107</f>
        <v>2016</v>
      </c>
      <c r="V1109" s="710">
        <f>L1107</f>
        <v>2017</v>
      </c>
      <c r="W1109" s="711">
        <f>M1107</f>
        <v>2018</v>
      </c>
      <c r="AA1109" s="345" t="b">
        <f>AA1108</f>
        <v>0</v>
      </c>
    </row>
    <row r="1110" spans="1:27" ht="12.75" customHeight="1" thickBot="1" x14ac:dyDescent="0.25">
      <c r="B1110" s="207"/>
      <c r="C1110" s="1060"/>
      <c r="D1110" s="699" t="s">
        <v>456</v>
      </c>
      <c r="E1110" s="1739" t="str">
        <f>Translations!$B$790</f>
        <v>Gazy odlotowe spalone na pochodniach</v>
      </c>
      <c r="F1110" s="1740"/>
      <c r="G1110" s="1740"/>
      <c r="H1110" s="453" t="str">
        <f>EUconst_TJpa</f>
        <v>TJ / rok</v>
      </c>
      <c r="I1110" s="513" t="str">
        <f>IF(COUNT(I1108:I1109)=2,I1108*I1109/1000,"")</f>
        <v/>
      </c>
      <c r="J1110" s="513" t="str">
        <f>IF(COUNT(J1108:J1109)=2,J1108*J1109/1000,"")</f>
        <v/>
      </c>
      <c r="K1110" s="513" t="str">
        <f>IF(COUNT(K1108:K1109)=2,K1108*K1109/1000,"")</f>
        <v/>
      </c>
      <c r="L1110" s="513" t="str">
        <f>IF(COUNT(L1108:L1109)=2,L1108*L1109/1000,"")</f>
        <v/>
      </c>
      <c r="M1110" s="513" t="str">
        <f>IF(COUNT(M1108:M1109)=2,M1108*M1109/1000,"")</f>
        <v/>
      </c>
      <c r="N1110" s="1257"/>
      <c r="O1110" s="16"/>
      <c r="P1110" s="1062" t="str">
        <f>EUconst_CNTR_WGFlared &amp; I973</f>
        <v>WasteGasFlare_</v>
      </c>
      <c r="R1110" s="347" t="str">
        <f>IF(COUNT(S1110:W1110)&gt;0,AVERAGE(S1110:W1110),"")</f>
        <v/>
      </c>
      <c r="S1110" s="442" t="str">
        <f>IF(S973,IF(ISNUMBER(I1110),I1110,0),"")</f>
        <v/>
      </c>
      <c r="T1110" s="443" t="str">
        <f>IF(T973,IF(ISNUMBER(J1110),J1110,0),"")</f>
        <v/>
      </c>
      <c r="U1110" s="443" t="str">
        <f>IF(U973,IF(ISNUMBER(K1110),K1110,0),"")</f>
        <v/>
      </c>
      <c r="V1110" s="443" t="str">
        <f>IF(V973,IF(ISNUMBER(L1110),L1110,0),"")</f>
        <v/>
      </c>
      <c r="W1110" s="444" t="str">
        <f>IF(W973,IF(ISNUMBER(M1110),M1110,0),"")</f>
        <v/>
      </c>
      <c r="AA1110" s="608"/>
    </row>
    <row r="1111" spans="1:27" ht="12.75" customHeight="1" thickBot="1" x14ac:dyDescent="0.25">
      <c r="B1111" s="207"/>
      <c r="C1111" s="1060"/>
      <c r="D1111" s="699" t="s">
        <v>457</v>
      </c>
      <c r="E1111" s="1739" t="str">
        <f>Translations!$B$791</f>
        <v>Właściwy współczynnik emisji (gazy odlotowe spalone na pochodniach)</v>
      </c>
      <c r="F1111" s="1740"/>
      <c r="G1111" s="1740"/>
      <c r="H1111" s="453" t="str">
        <f>EUconst_tCO2pTJ</f>
        <v>t CO2 / TJ</v>
      </c>
      <c r="I1111" s="471"/>
      <c r="J1111" s="471"/>
      <c r="K1111" s="471"/>
      <c r="L1111" s="471"/>
      <c r="M1111" s="471"/>
      <c r="N1111" s="665"/>
      <c r="O1111" s="16"/>
      <c r="P1111" s="1062" t="str">
        <f>EUconst_CNTR_WGFlaredEF &amp; I973</f>
        <v>WasteGasFlareEF_</v>
      </c>
      <c r="R1111" s="854" t="str">
        <f>IF(COUNT(S1111:W1111)&gt;0,AVERAGE(S1111:W1111),"")</f>
        <v/>
      </c>
      <c r="S1111" s="442" t="str">
        <f>IF(S973,SUM(I1110)*SUM(I1111),"")</f>
        <v/>
      </c>
      <c r="T1111" s="443" t="str">
        <f>IF(T973,SUM(J1110)*SUM(J1111),"")</f>
        <v/>
      </c>
      <c r="U1111" s="443" t="str">
        <f>IF(U973,SUM(K1110)*SUM(K1111),"")</f>
        <v/>
      </c>
      <c r="V1111" s="443" t="str">
        <f>IF(V973,SUM(L1110)*SUM(L1111),"")</f>
        <v/>
      </c>
      <c r="W1111" s="444" t="str">
        <f>IF(W973,SUM(M1110)*SUM(M1111),"")</f>
        <v/>
      </c>
      <c r="AA1111" s="345" t="b">
        <f>AA1109</f>
        <v>0</v>
      </c>
    </row>
    <row r="1112" spans="1:27" ht="12.75" customHeight="1" x14ac:dyDescent="0.2">
      <c r="B1112" s="207"/>
      <c r="C1112" s="1060"/>
      <c r="D1112" s="1061"/>
      <c r="E1112" s="1061"/>
      <c r="F1112" s="1061"/>
      <c r="G1112" s="1061"/>
      <c r="H1112" s="1061"/>
      <c r="I1112" s="1061"/>
      <c r="J1112" s="1061"/>
      <c r="K1112" s="1061"/>
      <c r="L1112" s="1061"/>
      <c r="M1112" s="1063"/>
      <c r="N1112" s="665"/>
      <c r="O1112" s="16"/>
      <c r="P1112" s="1037"/>
      <c r="R1112" s="1037"/>
      <c r="S1112" s="1037"/>
      <c r="AA1112" s="608"/>
    </row>
    <row r="1113" spans="1:27" ht="12.75" customHeight="1" x14ac:dyDescent="0.2">
      <c r="B1113" s="207"/>
      <c r="C1113" s="1060"/>
      <c r="D1113" s="699" t="s">
        <v>458</v>
      </c>
      <c r="E1113" s="1760" t="str">
        <f>Translations!$B$792</f>
        <v>Rodzaje gazów odlotowych wprowadzonych:</v>
      </c>
      <c r="F1113" s="1760"/>
      <c r="G1113" s="1760"/>
      <c r="H1113" s="1760"/>
      <c r="I1113" s="1763"/>
      <c r="J1113" s="1764"/>
      <c r="K1113" s="1764"/>
      <c r="L1113" s="1764"/>
      <c r="M1113" s="1765"/>
      <c r="N1113" s="665"/>
      <c r="O1113" s="16"/>
      <c r="P1113" s="1037"/>
      <c r="R1113" s="1037"/>
      <c r="AA1113" s="345" t="b">
        <f>AA1093</f>
        <v>0</v>
      </c>
    </row>
    <row r="1114" spans="1:27" ht="5.0999999999999996" customHeight="1" x14ac:dyDescent="0.2">
      <c r="B1114" s="207"/>
      <c r="C1114" s="1060"/>
      <c r="D1114" s="699"/>
      <c r="E1114" s="1730"/>
      <c r="F1114" s="1731"/>
      <c r="G1114" s="1731"/>
      <c r="H1114" s="1731"/>
      <c r="I1114" s="1731"/>
      <c r="J1114" s="1731"/>
      <c r="K1114" s="1731"/>
      <c r="L1114" s="1731"/>
      <c r="M1114" s="1731"/>
      <c r="N1114" s="1732"/>
      <c r="O1114" s="16"/>
      <c r="P1114" s="1037"/>
      <c r="R1114" s="1037"/>
      <c r="S1114" s="1037"/>
      <c r="AA1114" s="608"/>
    </row>
    <row r="1115" spans="1:27" ht="12.75" customHeight="1" x14ac:dyDescent="0.2">
      <c r="B1115" s="207"/>
      <c r="C1115" s="1060"/>
      <c r="D1115" s="1061"/>
      <c r="E1115" s="1757"/>
      <c r="F1115" s="1758"/>
      <c r="G1115" s="1758"/>
      <c r="H1115" s="450" t="str">
        <f>EUconst_Unit</f>
        <v>Jednostka</v>
      </c>
      <c r="I1115" s="451">
        <f>I$1882</f>
        <v>2014</v>
      </c>
      <c r="J1115" s="451">
        <f>J$1882</f>
        <v>2015</v>
      </c>
      <c r="K1115" s="451">
        <f>K$1882</f>
        <v>2016</v>
      </c>
      <c r="L1115" s="451">
        <f>L$1882</f>
        <v>2017</v>
      </c>
      <c r="M1115" s="451">
        <f>M$1882</f>
        <v>2018</v>
      </c>
      <c r="N1115" s="1257"/>
      <c r="O1115" s="16"/>
      <c r="P1115" s="1037"/>
      <c r="R1115" s="1037"/>
      <c r="S1115" s="1037"/>
      <c r="AA1115" s="608"/>
    </row>
    <row r="1116" spans="1:27" ht="12.75" customHeight="1" thickBot="1" x14ac:dyDescent="0.25">
      <c r="B1116" s="207"/>
      <c r="C1116" s="1060"/>
      <c r="D1116" s="699" t="s">
        <v>459</v>
      </c>
      <c r="E1116" s="1766" t="str">
        <f>Translations!$B$795</f>
        <v>Ilości wprowadzone</v>
      </c>
      <c r="F1116" s="1767"/>
      <c r="G1116" s="1767"/>
      <c r="H1116" s="231"/>
      <c r="I1116" s="472"/>
      <c r="J1116" s="472"/>
      <c r="K1116" s="472"/>
      <c r="L1116" s="472"/>
      <c r="M1116" s="472"/>
      <c r="N1116" s="1257"/>
      <c r="O1116" s="16"/>
      <c r="P1116" s="1037"/>
      <c r="R1116" s="1037"/>
      <c r="S1116" s="1037"/>
      <c r="AA1116" s="345" t="b">
        <f>AA1113</f>
        <v>0</v>
      </c>
    </row>
    <row r="1117" spans="1:27" ht="12.75" customHeight="1" x14ac:dyDescent="0.2">
      <c r="B1117" s="207"/>
      <c r="C1117" s="1060"/>
      <c r="D1117" s="699" t="s">
        <v>460</v>
      </c>
      <c r="E1117" s="1743" t="str">
        <f>Translations!$B$470</f>
        <v>Wartość opałowa</v>
      </c>
      <c r="F1117" s="1744"/>
      <c r="G1117" s="1744"/>
      <c r="H1117" s="56" t="str">
        <f>IF(ISBLANK(H1116),EUconst_GJperUnit,INDEX(EUconst_GJperTorKNm3,MATCH(H1116,EUconst_TonnesOrkNm3pa,0)))</f>
        <v>GJ / Jednostka</v>
      </c>
      <c r="I1117" s="446"/>
      <c r="J1117" s="446"/>
      <c r="K1117" s="446"/>
      <c r="L1117" s="446"/>
      <c r="M1117" s="446"/>
      <c r="N1117" s="1257"/>
      <c r="O1117" s="16"/>
      <c r="P1117" s="1065"/>
      <c r="R1117" s="1052"/>
      <c r="S1117" s="814">
        <f>I1115</f>
        <v>2014</v>
      </c>
      <c r="T1117" s="814">
        <f>J1115</f>
        <v>2015</v>
      </c>
      <c r="U1117" s="814">
        <f>K1115</f>
        <v>2016</v>
      </c>
      <c r="V1117" s="814">
        <f>L1115</f>
        <v>2017</v>
      </c>
      <c r="W1117" s="815">
        <f>M1115</f>
        <v>2018</v>
      </c>
      <c r="AA1117" s="345" t="b">
        <f>AA1116</f>
        <v>0</v>
      </c>
    </row>
    <row r="1118" spans="1:27" ht="12.75" customHeight="1" x14ac:dyDescent="0.2">
      <c r="B1118" s="207"/>
      <c r="C1118" s="1060"/>
      <c r="D1118" s="699" t="s">
        <v>461</v>
      </c>
      <c r="E1118" s="1739" t="str">
        <f>Translations!$B$796</f>
        <v>Gazy odlotowe wprowadzone</v>
      </c>
      <c r="F1118" s="1740"/>
      <c r="G1118" s="1740"/>
      <c r="H1118" s="453" t="str">
        <f>EUconst_TJpa</f>
        <v>TJ / rok</v>
      </c>
      <c r="I1118" s="433" t="str">
        <f>IF(COUNT(I1116:I1117)=2,I1116*I1117/1000,"")</f>
        <v/>
      </c>
      <c r="J1118" s="433" t="str">
        <f>IF(COUNT(J1116:J1117)=2,J1116*J1117/1000,"")</f>
        <v/>
      </c>
      <c r="K1118" s="433" t="str">
        <f>IF(COUNT(K1116:K1117)=2,K1116*K1117/1000,"")</f>
        <v/>
      </c>
      <c r="L1118" s="433" t="str">
        <f>IF(COUNT(L1116:L1117)=2,L1116*L1117/1000,"")</f>
        <v/>
      </c>
      <c r="M1118" s="433" t="str">
        <f>IF(COUNT(M1116:M1117)=2,M1116*M1117/1000,"")</f>
        <v/>
      </c>
      <c r="N1118" s="1257"/>
      <c r="O1118" s="16"/>
      <c r="P1118" s="1062" t="str">
        <f>EUconst_CNTR_WGImport &amp; I973</f>
        <v>WasteGasIm_</v>
      </c>
      <c r="R1118" s="1064" t="str">
        <f>EUconst_ERR_AttrEmBMapplied &amp; I973</f>
        <v>ERR_AttrEmBM_ </v>
      </c>
      <c r="S1118" s="116">
        <f>IF(AND(I1118&lt;&gt;"",EUconst_StatusOfDataCollection=FALSE),1,0)</f>
        <v>0</v>
      </c>
      <c r="T1118" s="116">
        <f>IF(AND(J1118&lt;&gt;"",EUconst_StatusOfDataCollection=FALSE),1,0)</f>
        <v>0</v>
      </c>
      <c r="U1118" s="116">
        <f>IF(AND(K1118&lt;&gt;"",EUconst_StatusOfDataCollection=FALSE),1,0)</f>
        <v>0</v>
      </c>
      <c r="V1118" s="116">
        <f>IF(AND(L1118&lt;&gt;"",EUconst_StatusOfDataCollection=FALSE),1,0)</f>
        <v>0</v>
      </c>
      <c r="W1118" s="117">
        <f>IF(AND(M1118&lt;&gt;"",EUconst_StatusOfDataCollection=FALSE),1,0)</f>
        <v>0</v>
      </c>
      <c r="AA1118" s="608"/>
    </row>
    <row r="1119" spans="1:27" s="701" customFormat="1" ht="12.75" customHeight="1" thickBot="1" x14ac:dyDescent="0.25">
      <c r="A1119" s="422"/>
      <c r="B1119" s="207"/>
      <c r="C1119" s="1060"/>
      <c r="D1119" s="699" t="s">
        <v>462</v>
      </c>
      <c r="E1119" s="1739" t="str">
        <f>Translations!$B$797</f>
        <v>Właściwy współczynnik emisji (gazy odlotowe wprowadzone)</v>
      </c>
      <c r="F1119" s="1739"/>
      <c r="G1119" s="1739"/>
      <c r="H1119" s="452" t="str">
        <f>EUconst_tCO2pTJ</f>
        <v>t CO2 / TJ</v>
      </c>
      <c r="I1119" s="765"/>
      <c r="J1119" s="765"/>
      <c r="K1119" s="765"/>
      <c r="L1119" s="765"/>
      <c r="M1119" s="765"/>
      <c r="N1119" s="665"/>
      <c r="O1119" s="16"/>
      <c r="P1119" s="1062" t="str">
        <f>EUconst_CNTR_WGImportEF &amp; I973</f>
        <v>WasteGasImEF_</v>
      </c>
      <c r="Q1119" s="422"/>
      <c r="R1119" s="1053" t="str">
        <f>EUconst_CNTR_AttributedEmissions &amp; I973</f>
        <v>AttrEmissions_</v>
      </c>
      <c r="S1119" s="119" t="str">
        <f>IF(S973,SUM(I1118)*EUconst_FuelBMvalue,"")</f>
        <v/>
      </c>
      <c r="T1119" s="119" t="str">
        <f>IF(T973,SUM(J1118)*EUconst_FuelBMvalue,"")</f>
        <v/>
      </c>
      <c r="U1119" s="119" t="str">
        <f>IF(U973,SUM(K1118)*EUconst_FuelBMvalue,"")</f>
        <v/>
      </c>
      <c r="V1119" s="119" t="str">
        <f>IF(V973,SUM(L1118)*EUconst_FuelBMvalue,"")</f>
        <v/>
      </c>
      <c r="W1119" s="120" t="str">
        <f>IF(W973,SUM(M1118)*EUconst_FuelBMvalue,"")</f>
        <v/>
      </c>
      <c r="X1119" s="422"/>
      <c r="Y1119" s="422"/>
      <c r="Z1119" s="422"/>
      <c r="AA1119" s="345" t="b">
        <f>AA1117</f>
        <v>0</v>
      </c>
    </row>
    <row r="1120" spans="1:27" ht="12.75" customHeight="1" x14ac:dyDescent="0.2">
      <c r="B1120" s="207"/>
      <c r="C1120" s="1060"/>
      <c r="D1120" s="1061"/>
      <c r="E1120" s="1061"/>
      <c r="F1120" s="1061"/>
      <c r="G1120" s="1061"/>
      <c r="H1120" s="1061"/>
      <c r="I1120" s="1061"/>
      <c r="J1120" s="1061"/>
      <c r="K1120" s="1061"/>
      <c r="L1120" s="1061"/>
      <c r="M1120" s="1063"/>
      <c r="N1120" s="665"/>
      <c r="O1120" s="16"/>
      <c r="P1120" s="1037"/>
      <c r="R1120" s="1037"/>
      <c r="S1120" s="1037"/>
      <c r="AA1120" s="608"/>
    </row>
    <row r="1121" spans="1:27" ht="12.75" customHeight="1" x14ac:dyDescent="0.2">
      <c r="B1121" s="207"/>
      <c r="C1121" s="1060"/>
      <c r="D1121" s="699" t="s">
        <v>463</v>
      </c>
      <c r="E1121" s="1760" t="str">
        <f>Translations!$B$798</f>
        <v>Rodzaje wyprowadzonych gazów odlotowych:</v>
      </c>
      <c r="F1121" s="1760"/>
      <c r="G1121" s="1760"/>
      <c r="H1121" s="1760"/>
      <c r="I1121" s="1763"/>
      <c r="J1121" s="1764"/>
      <c r="K1121" s="1764"/>
      <c r="L1121" s="1764"/>
      <c r="M1121" s="1765"/>
      <c r="N1121" s="1254"/>
      <c r="O1121" s="16"/>
      <c r="P1121" s="1037"/>
      <c r="R1121" s="1037"/>
      <c r="AA1121" s="345" t="b">
        <f>AA1116</f>
        <v>0</v>
      </c>
    </row>
    <row r="1122" spans="1:27" ht="5.0999999999999996" customHeight="1" x14ac:dyDescent="0.2">
      <c r="B1122" s="207"/>
      <c r="C1122" s="1060"/>
      <c r="D1122" s="699"/>
      <c r="E1122" s="1733"/>
      <c r="F1122" s="1734"/>
      <c r="G1122" s="1734"/>
      <c r="H1122" s="1734"/>
      <c r="I1122" s="1734"/>
      <c r="J1122" s="1734"/>
      <c r="K1122" s="1734"/>
      <c r="L1122" s="1734"/>
      <c r="M1122" s="1734"/>
      <c r="N1122" s="1735"/>
      <c r="O1122" s="16"/>
      <c r="P1122" s="1037"/>
      <c r="R1122" s="1037"/>
      <c r="S1122" s="1037"/>
      <c r="AA1122" s="608"/>
    </row>
    <row r="1123" spans="1:27" ht="12.75" customHeight="1" x14ac:dyDescent="0.2">
      <c r="B1123" s="207"/>
      <c r="C1123" s="1060"/>
      <c r="D1123" s="1061"/>
      <c r="E1123" s="1757"/>
      <c r="F1123" s="1758"/>
      <c r="G1123" s="1758"/>
      <c r="H1123" s="450" t="str">
        <f>EUconst_Unit</f>
        <v>Jednostka</v>
      </c>
      <c r="I1123" s="451">
        <f>I$1882</f>
        <v>2014</v>
      </c>
      <c r="J1123" s="451">
        <f>J$1882</f>
        <v>2015</v>
      </c>
      <c r="K1123" s="451">
        <f>K$1882</f>
        <v>2016</v>
      </c>
      <c r="L1123" s="451">
        <f>L$1882</f>
        <v>2017</v>
      </c>
      <c r="M1123" s="451">
        <f>M$1882</f>
        <v>2018</v>
      </c>
      <c r="N1123" s="1257"/>
      <c r="O1123" s="16"/>
      <c r="P1123" s="1037"/>
      <c r="R1123" s="1037"/>
      <c r="S1123" s="1037"/>
      <c r="AA1123" s="608"/>
    </row>
    <row r="1124" spans="1:27" ht="12.75" customHeight="1" x14ac:dyDescent="0.2">
      <c r="B1124" s="207"/>
      <c r="C1124" s="1060"/>
      <c r="D1124" s="699" t="s">
        <v>464</v>
      </c>
      <c r="E1124" s="1766" t="str">
        <f>Translations!$B$800</f>
        <v>Ilości wyprowadzone</v>
      </c>
      <c r="F1124" s="1767"/>
      <c r="G1124" s="1767"/>
      <c r="H1124" s="231"/>
      <c r="I1124" s="472"/>
      <c r="J1124" s="472"/>
      <c r="K1124" s="472"/>
      <c r="L1124" s="472"/>
      <c r="M1124" s="472"/>
      <c r="N1124" s="1257"/>
      <c r="O1124" s="16"/>
      <c r="P1124" s="1037"/>
      <c r="R1124" s="1037"/>
      <c r="S1124" s="1037"/>
      <c r="AA1124" s="345" t="b">
        <f>AA1121</f>
        <v>0</v>
      </c>
    </row>
    <row r="1125" spans="1:27" ht="12.75" customHeight="1" thickBot="1" x14ac:dyDescent="0.25">
      <c r="B1125" s="207"/>
      <c r="C1125" s="1060"/>
      <c r="D1125" s="699" t="s">
        <v>643</v>
      </c>
      <c r="E1125" s="1743" t="str">
        <f>Translations!$B$470</f>
        <v>Wartość opałowa</v>
      </c>
      <c r="F1125" s="1744"/>
      <c r="G1125" s="1744"/>
      <c r="H1125" s="56" t="str">
        <f>IF(ISBLANK(H1124),EUconst_GJperUnit,INDEX(EUconst_GJperTorKNm3,MATCH(H1124,EUconst_TonnesOrkNm3pa,0)))</f>
        <v>GJ / Jednostka</v>
      </c>
      <c r="I1125" s="446"/>
      <c r="J1125" s="446"/>
      <c r="K1125" s="446"/>
      <c r="L1125" s="446"/>
      <c r="M1125" s="446"/>
      <c r="N1125" s="1257"/>
      <c r="O1125" s="16"/>
      <c r="P1125" s="1065"/>
      <c r="R1125" s="1037"/>
      <c r="S1125" s="1037"/>
      <c r="AA1125" s="345" t="b">
        <f>AA1124</f>
        <v>0</v>
      </c>
    </row>
    <row r="1126" spans="1:27" ht="12.75" customHeight="1" x14ac:dyDescent="0.2">
      <c r="B1126" s="207"/>
      <c r="C1126" s="1060"/>
      <c r="D1126" s="699" t="s">
        <v>644</v>
      </c>
      <c r="E1126" s="1739" t="str">
        <f>Translations!$B$801</f>
        <v>Gazy odlotowe wyprowadzone</v>
      </c>
      <c r="F1126" s="1740"/>
      <c r="G1126" s="1740"/>
      <c r="H1126" s="453" t="str">
        <f>EUconst_TJpa</f>
        <v>TJ / rok</v>
      </c>
      <c r="I1126" s="433" t="str">
        <f>IF(COUNT(I1124:I1125)=2,I1124*I1125/1000,"")</f>
        <v/>
      </c>
      <c r="J1126" s="433" t="str">
        <f>IF(COUNT(J1124:J1125)=2,J1124*J1125/1000,"")</f>
        <v/>
      </c>
      <c r="K1126" s="433" t="str">
        <f>IF(COUNT(K1124:K1125)=2,K1124*K1125/1000,"")</f>
        <v/>
      </c>
      <c r="L1126" s="433" t="str">
        <f>IF(COUNT(L1124:L1125)=2,L1124*L1125/1000,"")</f>
        <v/>
      </c>
      <c r="M1126" s="433" t="str">
        <f>IF(COUNT(M1124:M1125)=2,M1124*M1125/1000,"")</f>
        <v/>
      </c>
      <c r="N1126" s="702"/>
      <c r="O1126" s="16"/>
      <c r="P1126" s="1062" t="str">
        <f>EUconst_CNTR_WGExport &amp; I973</f>
        <v>WasteGasEx_</v>
      </c>
      <c r="R1126" s="1052"/>
      <c r="S1126" s="814">
        <f>I1123</f>
        <v>2014</v>
      </c>
      <c r="T1126" s="814">
        <f>J1123</f>
        <v>2015</v>
      </c>
      <c r="U1126" s="814">
        <f>K1123</f>
        <v>2016</v>
      </c>
      <c r="V1126" s="814">
        <f>L1123</f>
        <v>2017</v>
      </c>
      <c r="W1126" s="815">
        <f>M1123</f>
        <v>2018</v>
      </c>
      <c r="AA1126" s="608"/>
    </row>
    <row r="1127" spans="1:27" s="701" customFormat="1" ht="12.75" customHeight="1" thickBot="1" x14ac:dyDescent="0.25">
      <c r="A1127" s="422"/>
      <c r="B1127" s="207"/>
      <c r="C1127" s="1060"/>
      <c r="D1127" s="699" t="s">
        <v>645</v>
      </c>
      <c r="E1127" s="1739" t="str">
        <f>Translations!$B$802</f>
        <v>Właściwy współczynnik emisji (gazy odlotowe wyprowadzone)</v>
      </c>
      <c r="F1127" s="1739"/>
      <c r="G1127" s="1739"/>
      <c r="H1127" s="452" t="str">
        <f>EUconst_tCO2pTJ</f>
        <v>t CO2 / TJ</v>
      </c>
      <c r="I1127" s="765"/>
      <c r="J1127" s="765"/>
      <c r="K1127" s="765"/>
      <c r="L1127" s="765"/>
      <c r="M1127" s="765"/>
      <c r="N1127" s="665"/>
      <c r="O1127" s="16"/>
      <c r="P1127" s="1062" t="str">
        <f>EUconst_CNTR_WGExportEF &amp; I973</f>
        <v>WasteGasExEF_</v>
      </c>
      <c r="Q1127" s="422"/>
      <c r="R1127" s="1053" t="str">
        <f>EUconst_CNTR_AttributedEmissions &amp; I973</f>
        <v>AttrEmissions_</v>
      </c>
      <c r="S1127" s="119" t="str">
        <f>IF(S973,-SUM(I1126)*EUconst_NGEFvalue*EUconst_WasteGasCorrFactor,"")</f>
        <v/>
      </c>
      <c r="T1127" s="119" t="str">
        <f>IF(T973,-SUM(J1126)*EUconst_NGEFvalue*EUconst_WasteGasCorrFactor,"")</f>
        <v/>
      </c>
      <c r="U1127" s="119" t="str">
        <f>IF(U973,-SUM(K1126)*EUconst_NGEFvalue*EUconst_WasteGasCorrFactor,"")</f>
        <v/>
      </c>
      <c r="V1127" s="119" t="str">
        <f>IF(V973,-SUM(L1126)*EUconst_NGEFvalue*EUconst_WasteGasCorrFactor,"")</f>
        <v/>
      </c>
      <c r="W1127" s="120" t="str">
        <f>IF(W973,-SUM(M1126)*EUconst_NGEFvalue*EUconst_WasteGasCorrFactor,"")</f>
        <v/>
      </c>
      <c r="X1127" s="422"/>
      <c r="Y1127" s="422"/>
      <c r="Z1127" s="422"/>
      <c r="AA1127" s="168" t="b">
        <f>AA1125</f>
        <v>0</v>
      </c>
    </row>
    <row r="1128" spans="1:27" ht="12.75" customHeight="1" x14ac:dyDescent="0.2">
      <c r="B1128" s="207"/>
      <c r="C1128" s="1060"/>
      <c r="D1128" s="1061"/>
      <c r="E1128" s="1061"/>
      <c r="F1128" s="1061"/>
      <c r="G1128" s="1061"/>
      <c r="H1128" s="1061"/>
      <c r="I1128" s="1061"/>
      <c r="J1128" s="1061"/>
      <c r="K1128" s="1061"/>
      <c r="L1128" s="1061"/>
      <c r="M1128" s="1063"/>
      <c r="N1128" s="665"/>
      <c r="O1128" s="16"/>
      <c r="P1128" s="1037"/>
      <c r="R1128" s="1037"/>
    </row>
    <row r="1129" spans="1:27" ht="12.75" customHeight="1" thickBot="1" x14ac:dyDescent="0.25">
      <c r="B1129" s="207"/>
      <c r="C1129" s="1060"/>
      <c r="D1129" s="462" t="s">
        <v>221</v>
      </c>
      <c r="E1129" s="1731" t="str">
        <f>Translations!$B$420</f>
        <v>Wytwarzanie energii elektrycznej</v>
      </c>
      <c r="F1129" s="1734"/>
      <c r="G1129" s="1734"/>
      <c r="H1129" s="1734"/>
      <c r="I1129" s="1734"/>
      <c r="J1129" s="1734"/>
      <c r="K1129" s="1734"/>
      <c r="L1129" s="1734"/>
      <c r="M1129" s="1734"/>
      <c r="N1129" s="1735"/>
      <c r="O1129" s="16"/>
      <c r="P1129" s="1037"/>
      <c r="R1129" s="1037"/>
    </row>
    <row r="1130" spans="1:27" ht="12.75" customHeight="1" x14ac:dyDescent="0.2">
      <c r="B1130" s="207"/>
      <c r="C1130" s="1060"/>
      <c r="D1130" s="462"/>
      <c r="E1130" s="1757"/>
      <c r="F1130" s="1758"/>
      <c r="G1130" s="1758"/>
      <c r="H1130" s="450" t="str">
        <f>EUconst_Unit</f>
        <v>Jednostka</v>
      </c>
      <c r="I1130" s="451">
        <f>I$1882</f>
        <v>2014</v>
      </c>
      <c r="J1130" s="451">
        <f>J$1882</f>
        <v>2015</v>
      </c>
      <c r="K1130" s="451">
        <f>K$1882</f>
        <v>2016</v>
      </c>
      <c r="L1130" s="451">
        <f>L$1882</f>
        <v>2017</v>
      </c>
      <c r="M1130" s="451">
        <f>M$1882</f>
        <v>2018</v>
      </c>
      <c r="N1130" s="665"/>
      <c r="O1130" s="16"/>
      <c r="P1130" s="1037"/>
      <c r="R1130" s="1052"/>
      <c r="S1130" s="814">
        <f>I1130</f>
        <v>2014</v>
      </c>
      <c r="T1130" s="814">
        <f>J1130</f>
        <v>2015</v>
      </c>
      <c r="U1130" s="814">
        <f>K1130</f>
        <v>2016</v>
      </c>
      <c r="V1130" s="814">
        <f>L1130</f>
        <v>2017</v>
      </c>
      <c r="W1130" s="815">
        <f>M1130</f>
        <v>2018</v>
      </c>
    </row>
    <row r="1131" spans="1:27" ht="12.75" customHeight="1" thickBot="1" x14ac:dyDescent="0.25">
      <c r="B1131" s="207"/>
      <c r="C1131" s="1060"/>
      <c r="D1131" s="699"/>
      <c r="E1131" s="1739" t="str">
        <f>Translations!$B$805</f>
        <v>Energia elektryczna wytworzona</v>
      </c>
      <c r="F1131" s="1740"/>
      <c r="G1131" s="1740"/>
      <c r="H1131" s="453" t="str">
        <f>EUconst_MWhpa</f>
        <v>MWh / rok</v>
      </c>
      <c r="I1131" s="471"/>
      <c r="J1131" s="471"/>
      <c r="K1131" s="471"/>
      <c r="L1131" s="471"/>
      <c r="M1131" s="471"/>
      <c r="N1131" s="1257"/>
      <c r="O1131" s="16"/>
      <c r="P1131" s="1062" t="str">
        <f>EUconst_CNTR_ElectricityExported &amp; I973</f>
        <v>ElecEx_</v>
      </c>
      <c r="R1131" s="1053" t="str">
        <f>EUconst_CNTR_AttributedEmissions &amp; I973</f>
        <v>AttrEmissions_</v>
      </c>
      <c r="S1131" s="119" t="str">
        <f>IF(S973,-SUM(I1131)*EUconst_ElBM,"")</f>
        <v/>
      </c>
      <c r="T1131" s="119" t="str">
        <f>IF(T973,-SUM(J1131)*EUconst_ElBM,"")</f>
        <v/>
      </c>
      <c r="U1131" s="119" t="str">
        <f>IF(U973,-SUM(K1131)*EUconst_ElBM,"")</f>
        <v/>
      </c>
      <c r="V1131" s="119" t="str">
        <f>IF(V973,-SUM(L1131)*EUconst_ElBM,"")</f>
        <v/>
      </c>
      <c r="W1131" s="120" t="str">
        <f>IF(W973,-SUM(M1131)*EUconst_ElBM,"")</f>
        <v/>
      </c>
    </row>
    <row r="1132" spans="1:27" ht="12.75" customHeight="1" x14ac:dyDescent="0.2">
      <c r="B1132" s="207"/>
      <c r="C1132" s="1060"/>
      <c r="D1132" s="1061"/>
      <c r="E1132" s="1061"/>
      <c r="F1132" s="1061"/>
      <c r="G1132" s="1061"/>
      <c r="H1132" s="1061"/>
      <c r="I1132" s="1061"/>
      <c r="J1132" s="1061"/>
      <c r="K1132" s="1061"/>
      <c r="L1132" s="1061"/>
      <c r="M1132" s="1063"/>
      <c r="N1132" s="665"/>
      <c r="O1132" s="16"/>
      <c r="P1132" s="1037"/>
      <c r="R1132" s="1037"/>
      <c r="S1132" s="1037"/>
    </row>
    <row r="1133" spans="1:27" ht="12.75" customHeight="1" thickBot="1" x14ac:dyDescent="0.25">
      <c r="B1133" s="207"/>
      <c r="C1133" s="1060"/>
      <c r="D1133" s="462" t="s">
        <v>79</v>
      </c>
      <c r="E1133" s="1760" t="str">
        <f>Translations!$B$806</f>
        <v>Całkowita ilość wyprodukowanej masy celulozowej</v>
      </c>
      <c r="F1133" s="1760"/>
      <c r="G1133" s="1760"/>
      <c r="H1133" s="1760"/>
      <c r="I1133" s="1760"/>
      <c r="J1133" s="1760"/>
      <c r="K1133" s="1760"/>
      <c r="L1133" s="1760"/>
      <c r="M1133" s="1760"/>
      <c r="N1133" s="1761"/>
      <c r="O1133" s="16"/>
      <c r="S1133" s="1037"/>
    </row>
    <row r="1134" spans="1:27" ht="12.75" customHeight="1" thickBot="1" x14ac:dyDescent="0.25">
      <c r="B1134" s="207"/>
      <c r="C1134" s="1060"/>
      <c r="D1134" s="699"/>
      <c r="E1134" s="1762" t="str">
        <f>IF(I973="","",IF(INDEX(EUconst_BMlistPulp,MATCH(I973,EUconst_BMlistNames,0)),I973,""))</f>
        <v/>
      </c>
      <c r="F1134" s="1762"/>
      <c r="G1134" s="1762"/>
      <c r="H1134" s="453" t="str">
        <f>EUconst_Tons</f>
        <v>tony</v>
      </c>
      <c r="I1134" s="471"/>
      <c r="J1134" s="471"/>
      <c r="K1134" s="471"/>
      <c r="L1134" s="471"/>
      <c r="M1134" s="471"/>
      <c r="N1134" s="1257"/>
      <c r="O1134" s="16"/>
      <c r="P1134" s="1062" t="str">
        <f>EUconst_CNTR_HALPulpTotal &amp; I973</f>
        <v>HALPulpTotal_</v>
      </c>
      <c r="R1134" s="1037"/>
      <c r="AA1134" s="738" t="b">
        <f>IF(I973&lt;&gt;"",IF(INDEX(EUconst_BMlistPulp,MATCH(I973,EUconst_BMlistNames,0))=TRUE,FALSE,TRUE),FALSE)</f>
        <v>0</v>
      </c>
    </row>
    <row r="1135" spans="1:27" ht="12.75" customHeight="1" x14ac:dyDescent="0.2">
      <c r="B1135" s="207"/>
      <c r="C1135" s="1060"/>
      <c r="D1135" s="699"/>
      <c r="E1135" s="699"/>
      <c r="F1135" s="699"/>
      <c r="G1135" s="699"/>
      <c r="H1135" s="699"/>
      <c r="I1135" s="699"/>
      <c r="J1135" s="699"/>
      <c r="K1135" s="699"/>
      <c r="L1135" s="699"/>
      <c r="M1135" s="699"/>
      <c r="N1135" s="1257"/>
      <c r="O1135" s="16"/>
      <c r="P1135" s="1065"/>
      <c r="R1135" s="1037"/>
      <c r="S1135" s="1037"/>
    </row>
    <row r="1136" spans="1:27" ht="12.75" customHeight="1" thickBot="1" x14ac:dyDescent="0.25">
      <c r="B1136" s="207"/>
      <c r="C1136" s="1060"/>
      <c r="D1136" s="462" t="s">
        <v>333</v>
      </c>
      <c r="E1136" s="1731" t="str">
        <f>Translations!$B$810</f>
        <v>Wprowadzanie lub wyprowadzanie produktów pośrednich objętych wskaźnikami emisyjności dla produktów</v>
      </c>
      <c r="F1136" s="1734"/>
      <c r="G1136" s="1734"/>
      <c r="H1136" s="1734"/>
      <c r="I1136" s="1734"/>
      <c r="J1136" s="1734"/>
      <c r="K1136" s="1734"/>
      <c r="L1136" s="1734"/>
      <c r="M1136" s="1734"/>
      <c r="N1136" s="1735"/>
      <c r="O1136" s="16"/>
      <c r="P1136" s="1037"/>
      <c r="R1136" s="1037"/>
      <c r="S1136" s="1037"/>
    </row>
    <row r="1137" spans="2:27" ht="12.75" customHeight="1" thickBot="1" x14ac:dyDescent="0.25">
      <c r="B1137" s="20"/>
      <c r="C1137" s="1060"/>
      <c r="D1137" s="699" t="s">
        <v>2</v>
      </c>
      <c r="E1137" s="1755" t="str">
        <f>Translations!$B$813</f>
        <v>Czy ma miejsce jakiekolwiek wprowadzanie lub wyprowadzanie produktów pośrednich objętych wskaźnikami emisyjności dla produktów?</v>
      </c>
      <c r="F1137" s="1755"/>
      <c r="G1137" s="1755"/>
      <c r="H1137" s="1755"/>
      <c r="I1137" s="1755"/>
      <c r="J1137" s="1755"/>
      <c r="K1137" s="1756"/>
      <c r="L1137" s="517"/>
      <c r="M1137" s="449"/>
      <c r="N1137" s="702"/>
      <c r="O1137" s="16"/>
      <c r="W1137" s="1048" t="s">
        <v>414</v>
      </c>
      <c r="X1137" s="1046" t="b">
        <f>IF(AND(I973&lt;&gt;"",ISBLANK(L1137)),EUconst_Error&amp;"BM"&amp;C973,FALSE)</f>
        <v>0</v>
      </c>
    </row>
    <row r="1138" spans="2:27" ht="5.0999999999999996" customHeight="1" x14ac:dyDescent="0.2">
      <c r="B1138" s="207"/>
      <c r="C1138" s="1060"/>
      <c r="D1138" s="699"/>
      <c r="E1138" s="699"/>
      <c r="F1138" s="699"/>
      <c r="G1138" s="699"/>
      <c r="H1138" s="699"/>
      <c r="I1138" s="699"/>
      <c r="J1138" s="699"/>
      <c r="K1138" s="699"/>
      <c r="L1138" s="699"/>
      <c r="M1138" s="699"/>
      <c r="N1138" s="1257"/>
      <c r="O1138" s="16"/>
      <c r="P1138" s="1065"/>
      <c r="R1138" s="1037"/>
      <c r="S1138" s="1037"/>
    </row>
    <row r="1139" spans="2:27" ht="12.75" customHeight="1" thickBot="1" x14ac:dyDescent="0.25">
      <c r="B1139" s="207"/>
      <c r="C1139" s="1060"/>
      <c r="D1139" s="514"/>
      <c r="E1139" s="1757" t="str">
        <f>Translations!$B$814</f>
        <v>Ilości wprowadzone:</v>
      </c>
      <c r="F1139" s="1758"/>
      <c r="G1139" s="1758"/>
      <c r="H1139" s="515" t="str">
        <f>EUconst_Unit</f>
        <v>Jednostka</v>
      </c>
      <c r="I1139" s="451">
        <f>I$1882</f>
        <v>2014</v>
      </c>
      <c r="J1139" s="451">
        <f>J$1882</f>
        <v>2015</v>
      </c>
      <c r="K1139" s="451">
        <f>K$1882</f>
        <v>2016</v>
      </c>
      <c r="L1139" s="451">
        <f>L$1882</f>
        <v>2017</v>
      </c>
      <c r="M1139" s="451">
        <f>M$1882</f>
        <v>2018</v>
      </c>
      <c r="N1139" s="1257"/>
      <c r="O1139" s="16"/>
      <c r="P1139" s="1065"/>
      <c r="R1139" s="1037"/>
      <c r="S1139" s="1037"/>
      <c r="AA1139" s="422" t="s">
        <v>272</v>
      </c>
    </row>
    <row r="1140" spans="2:27" ht="12.75" customHeight="1" x14ac:dyDescent="0.2">
      <c r="B1140" s="207"/>
      <c r="C1140" s="1060"/>
      <c r="D1140" s="516" t="s">
        <v>3</v>
      </c>
      <c r="E1140" s="1759"/>
      <c r="F1140" s="1759"/>
      <c r="G1140" s="1759"/>
      <c r="H1140" s="64" t="str">
        <f>IF(E1140&lt;&gt;"",INDEX(EUconst_BMlistUnits,MATCH(E1140,EUconst_BMlistNames,0)),EUconst_Tons)</f>
        <v>tony</v>
      </c>
      <c r="I1140" s="318"/>
      <c r="J1140" s="318"/>
      <c r="K1140" s="318"/>
      <c r="L1140" s="318"/>
      <c r="M1140" s="318"/>
      <c r="N1140" s="1257"/>
      <c r="O1140" s="16"/>
      <c r="P1140" s="1062" t="str">
        <f>EUconst_CNTR_IntermediateImport &amp; R1140 &amp; "_" &amp; I973</f>
        <v>IntImp_1_</v>
      </c>
      <c r="R1140" s="1062">
        <v>1</v>
      </c>
      <c r="S1140" s="1037"/>
      <c r="AA1140" s="646" t="b">
        <f>AND(NOT(ISBLANK(L1137)),L1137=FALSE)</f>
        <v>0</v>
      </c>
    </row>
    <row r="1141" spans="2:27" ht="12.75" customHeight="1" x14ac:dyDescent="0.2">
      <c r="B1141" s="207"/>
      <c r="C1141" s="1060"/>
      <c r="D1141" s="516" t="s">
        <v>4</v>
      </c>
      <c r="E1141" s="1747"/>
      <c r="F1141" s="1747"/>
      <c r="G1141" s="1747"/>
      <c r="H1141" s="56" t="str">
        <f>IF(E1141&lt;&gt;"",INDEX(EUconst_BMlistUnits,MATCH(E1141,EUconst_BMlistNames,0)),EUconst_Tons)</f>
        <v>tony</v>
      </c>
      <c r="I1141" s="317"/>
      <c r="J1141" s="317"/>
      <c r="K1141" s="317"/>
      <c r="L1141" s="317"/>
      <c r="M1141" s="317"/>
      <c r="N1141" s="1257"/>
      <c r="O1141" s="16"/>
      <c r="P1141" s="1062" t="str">
        <f>EUconst_CNTR_IntermediateImport &amp; R1141 &amp; "_" &amp; I973</f>
        <v>IntImp_2_</v>
      </c>
      <c r="R1141" s="1062">
        <v>2</v>
      </c>
      <c r="S1141" s="1037"/>
      <c r="AA1141" s="345" t="b">
        <f>AA1140</f>
        <v>0</v>
      </c>
    </row>
    <row r="1142" spans="2:27" ht="5.0999999999999996" customHeight="1" x14ac:dyDescent="0.2">
      <c r="B1142" s="207"/>
      <c r="C1142" s="1060"/>
      <c r="D1142" s="699"/>
      <c r="E1142" s="699"/>
      <c r="F1142" s="699"/>
      <c r="G1142" s="699"/>
      <c r="H1142" s="699"/>
      <c r="I1142" s="699"/>
      <c r="J1142" s="699"/>
      <c r="K1142" s="699"/>
      <c r="L1142" s="699"/>
      <c r="M1142" s="699"/>
      <c r="N1142" s="1257"/>
      <c r="O1142" s="16"/>
      <c r="P1142" s="1065"/>
      <c r="R1142" s="1037"/>
      <c r="S1142" s="1037"/>
      <c r="AA1142" s="608"/>
    </row>
    <row r="1143" spans="2:27" ht="12.75" customHeight="1" x14ac:dyDescent="0.2">
      <c r="B1143" s="207"/>
      <c r="C1143" s="1060"/>
      <c r="D1143" s="514"/>
      <c r="E1143" s="1757" t="str">
        <f>Translations!$B$815</f>
        <v>Ilości wyprowadzone:</v>
      </c>
      <c r="F1143" s="1758"/>
      <c r="G1143" s="1758"/>
      <c r="H1143" s="515" t="str">
        <f>EUconst_Unit</f>
        <v>Jednostka</v>
      </c>
      <c r="I1143" s="451">
        <f>I$1882</f>
        <v>2014</v>
      </c>
      <c r="J1143" s="451">
        <f>J$1882</f>
        <v>2015</v>
      </c>
      <c r="K1143" s="451">
        <f>K$1882</f>
        <v>2016</v>
      </c>
      <c r="L1143" s="451">
        <f>L$1882</f>
        <v>2017</v>
      </c>
      <c r="M1143" s="451">
        <f>M$1882</f>
        <v>2018</v>
      </c>
      <c r="N1143" s="1257"/>
      <c r="O1143" s="16"/>
      <c r="P1143" s="1065"/>
      <c r="R1143" s="1037"/>
      <c r="S1143" s="1037"/>
      <c r="AA1143" s="608"/>
    </row>
    <row r="1144" spans="2:27" ht="12.75" customHeight="1" x14ac:dyDescent="0.2">
      <c r="B1144" s="207"/>
      <c r="C1144" s="1060"/>
      <c r="D1144" s="516" t="s">
        <v>6</v>
      </c>
      <c r="E1144" s="1759"/>
      <c r="F1144" s="1759"/>
      <c r="G1144" s="1759"/>
      <c r="H1144" s="64" t="str">
        <f>IF(E1144&lt;&gt;"",INDEX(EUconst_BMlistUnits,MATCH(E1144,EUconst_BMlistNames,0)),EUconst_Tons)</f>
        <v>tony</v>
      </c>
      <c r="I1144" s="318"/>
      <c r="J1144" s="318"/>
      <c r="K1144" s="318"/>
      <c r="L1144" s="318"/>
      <c r="M1144" s="318"/>
      <c r="N1144" s="1257"/>
      <c r="O1144" s="16"/>
      <c r="P1144" s="1062" t="str">
        <f>EUconst_CNTR_IntermediateExport &amp; R1140 &amp; "_" &amp; I973</f>
        <v>IntExp_1_</v>
      </c>
      <c r="R1144" s="1062">
        <v>1</v>
      </c>
      <c r="S1144" s="1037"/>
      <c r="U1144" s="512"/>
      <c r="V1144" s="512"/>
      <c r="AA1144" s="345" t="b">
        <f>AA1140</f>
        <v>0</v>
      </c>
    </row>
    <row r="1145" spans="2:27" ht="12.75" customHeight="1" x14ac:dyDescent="0.2">
      <c r="B1145" s="207"/>
      <c r="C1145" s="1060"/>
      <c r="D1145" s="516" t="s">
        <v>316</v>
      </c>
      <c r="E1145" s="1747"/>
      <c r="F1145" s="1747"/>
      <c r="G1145" s="1747"/>
      <c r="H1145" s="56" t="str">
        <f>IF(E1145&lt;&gt;"",INDEX(EUconst_BMlistUnits,MATCH(E1145,EUconst_BMlistNames,0)),EUconst_Tons)</f>
        <v>tony</v>
      </c>
      <c r="I1145" s="317"/>
      <c r="J1145" s="317"/>
      <c r="K1145" s="317"/>
      <c r="L1145" s="317"/>
      <c r="M1145" s="317"/>
      <c r="N1145" s="1257"/>
      <c r="O1145" s="16"/>
      <c r="P1145" s="1062" t="str">
        <f>EUconst_CNTR_IntermediateExport &amp; R1145 &amp; "_" &amp; I973</f>
        <v>IntExp_2_</v>
      </c>
      <c r="R1145" s="1062">
        <v>2</v>
      </c>
      <c r="S1145" s="1037"/>
      <c r="U1145" s="512"/>
      <c r="V1145" s="512"/>
      <c r="AA1145" s="345" t="b">
        <f>AA1140</f>
        <v>0</v>
      </c>
    </row>
    <row r="1146" spans="2:27" ht="5.0999999999999996" customHeight="1" x14ac:dyDescent="0.2">
      <c r="B1146" s="207"/>
      <c r="C1146" s="1060"/>
      <c r="D1146" s="699"/>
      <c r="E1146" s="699"/>
      <c r="F1146" s="699"/>
      <c r="G1146" s="699"/>
      <c r="H1146" s="699"/>
      <c r="I1146" s="699"/>
      <c r="J1146" s="699"/>
      <c r="K1146" s="699"/>
      <c r="L1146" s="699"/>
      <c r="M1146" s="699"/>
      <c r="N1146" s="1257"/>
      <c r="O1146" s="16"/>
      <c r="P1146" s="1065"/>
      <c r="R1146" s="1037"/>
      <c r="S1146" s="1037"/>
      <c r="U1146" s="512"/>
      <c r="V1146" s="512"/>
      <c r="AA1146" s="608"/>
    </row>
    <row r="1147" spans="2:27" ht="12.75" customHeight="1" x14ac:dyDescent="0.2">
      <c r="B1147" s="207"/>
      <c r="C1147" s="1060"/>
      <c r="D1147" s="516" t="s">
        <v>317</v>
      </c>
      <c r="E1147" s="1748" t="str">
        <f>Translations!$B$816</f>
        <v>Opis produktów pośrednich wprowadzonych lub wyprowadzonych</v>
      </c>
      <c r="F1147" s="1748"/>
      <c r="G1147" s="1748"/>
      <c r="H1147" s="1748"/>
      <c r="I1147" s="1748"/>
      <c r="J1147" s="1748"/>
      <c r="K1147" s="1748"/>
      <c r="L1147" s="1748"/>
      <c r="M1147" s="1748"/>
      <c r="N1147" s="1257"/>
      <c r="O1147" s="16"/>
      <c r="P1147" s="1065"/>
      <c r="R1147" s="1037"/>
      <c r="S1147" s="1037"/>
      <c r="U1147" s="512"/>
      <c r="V1147" s="512"/>
      <c r="AA1147" s="608"/>
    </row>
    <row r="1148" spans="2:27" ht="12.75" customHeight="1" x14ac:dyDescent="0.2">
      <c r="B1148" s="207"/>
      <c r="C1148" s="1060"/>
      <c r="D1148" s="699"/>
      <c r="E1148" s="1749"/>
      <c r="F1148" s="1750"/>
      <c r="G1148" s="1750"/>
      <c r="H1148" s="1750"/>
      <c r="I1148" s="1750"/>
      <c r="J1148" s="1750"/>
      <c r="K1148" s="1750"/>
      <c r="L1148" s="1750"/>
      <c r="M1148" s="1751"/>
      <c r="N1148" s="1257"/>
      <c r="O1148" s="16"/>
      <c r="P1148" s="1065"/>
      <c r="R1148" s="1037"/>
      <c r="S1148" s="1037"/>
      <c r="U1148" s="512"/>
      <c r="V1148" s="512"/>
      <c r="AA1148" s="345" t="b">
        <f>AA1140</f>
        <v>0</v>
      </c>
    </row>
    <row r="1149" spans="2:27" ht="12.75" customHeight="1" thickBot="1" x14ac:dyDescent="0.25">
      <c r="B1149" s="207"/>
      <c r="C1149" s="1060"/>
      <c r="D1149" s="699"/>
      <c r="E1149" s="1752"/>
      <c r="F1149" s="1753"/>
      <c r="G1149" s="1753"/>
      <c r="H1149" s="1753"/>
      <c r="I1149" s="1753"/>
      <c r="J1149" s="1753"/>
      <c r="K1149" s="1753"/>
      <c r="L1149" s="1753"/>
      <c r="M1149" s="1754"/>
      <c r="N1149" s="1257"/>
      <c r="O1149" s="16"/>
      <c r="P1149" s="1065"/>
      <c r="R1149" s="1037"/>
      <c r="S1149" s="1037"/>
      <c r="U1149" s="512"/>
      <c r="V1149" s="512"/>
      <c r="AA1149" s="168" t="b">
        <f>AA1140</f>
        <v>0</v>
      </c>
    </row>
    <row r="1150" spans="2:27" ht="12.75" customHeight="1" thickBot="1" x14ac:dyDescent="0.25">
      <c r="B1150" s="207"/>
      <c r="C1150" s="1066"/>
      <c r="D1150" s="1067"/>
      <c r="E1150" s="1067"/>
      <c r="F1150" s="1067"/>
      <c r="G1150" s="1067"/>
      <c r="H1150" s="1067"/>
      <c r="I1150" s="1067"/>
      <c r="J1150" s="1067"/>
      <c r="K1150" s="1067"/>
      <c r="L1150" s="1067"/>
      <c r="M1150" s="1068"/>
      <c r="N1150" s="1069"/>
      <c r="O1150" s="16"/>
      <c r="P1150" s="1037"/>
      <c r="R1150" s="1037"/>
      <c r="S1150" s="1037"/>
    </row>
    <row r="1151" spans="2:27" ht="13.5" thickBot="1" x14ac:dyDescent="0.25">
      <c r="B1151" s="20"/>
      <c r="C1151" s="20"/>
      <c r="D1151" s="20"/>
      <c r="E1151" s="20"/>
      <c r="F1151" s="20"/>
      <c r="G1151" s="20"/>
      <c r="H1151" s="20"/>
      <c r="I1151" s="20"/>
      <c r="J1151" s="20"/>
      <c r="K1151" s="20"/>
      <c r="L1151" s="20"/>
      <c r="M1151" s="20"/>
      <c r="N1151" s="20"/>
      <c r="O1151" s="16"/>
      <c r="P1151" s="346" t="str">
        <f>IF(OR(AND(CNTR_ExistProductSubEntries=FALSE,P973=1),AND(I973&lt;&gt;"",COUNTIF(P1152:$P$1876,"PRINT")=0)),"PRINT","")</f>
        <v/>
      </c>
      <c r="Q1151" s="422" t="s">
        <v>498</v>
      </c>
      <c r="R1151" s="1037"/>
      <c r="S1151" s="1037"/>
    </row>
    <row r="1152" spans="2:27" ht="5.0999999999999996" customHeight="1" thickBot="1" x14ac:dyDescent="0.25">
      <c r="B1152" s="20"/>
      <c r="C1152" s="1070"/>
      <c r="D1152" s="1070"/>
      <c r="E1152" s="1070"/>
      <c r="F1152" s="1070"/>
      <c r="G1152" s="1070"/>
      <c r="H1152" s="1070"/>
      <c r="I1152" s="1070"/>
      <c r="J1152" s="1070"/>
      <c r="K1152" s="1070"/>
      <c r="L1152" s="1070"/>
      <c r="M1152" s="1070"/>
      <c r="N1152" s="1070"/>
      <c r="O1152" s="16"/>
      <c r="R1152" s="1037"/>
      <c r="S1152" s="1037"/>
    </row>
    <row r="1153" spans="1:27" ht="15.75" thickBot="1" x14ac:dyDescent="0.25">
      <c r="B1153" s="207"/>
      <c r="C1153" s="1047">
        <f>C973+1</f>
        <v>7</v>
      </c>
      <c r="D1153" s="1439" t="str">
        <f>EUconst_BMSubinst &amp; ":"</f>
        <v>Podinstalacja i wskaźnik emisyjności dla produktów:</v>
      </c>
      <c r="E1153" s="1370"/>
      <c r="F1153" s="1370"/>
      <c r="G1153" s="1370"/>
      <c r="H1153" s="1432"/>
      <c r="I1153" s="1781" t="str">
        <f>IF(INDEX(CNTR_SubInstListIsProdBM,$C1153),INDEX(CNTR_SubInstListNames,$C1153),"")</f>
        <v/>
      </c>
      <c r="J1153" s="1666"/>
      <c r="K1153" s="1666"/>
      <c r="L1153" s="1666"/>
      <c r="M1153" s="1666"/>
      <c r="N1153" s="1383"/>
      <c r="O1153" s="16"/>
      <c r="P1153" s="346">
        <f>C1153</f>
        <v>7</v>
      </c>
      <c r="Q1153" s="1048" t="s">
        <v>234</v>
      </c>
      <c r="R1153" s="1049" t="str">
        <f>IF(I1153="","",INDEX(CNTR_SubInstStartDate,MATCH($I1153,CNTR_SubInstListNames,0)))</f>
        <v/>
      </c>
      <c r="S1153" s="1050" t="b">
        <f>IF($I1153="",FALSE,AND(I$1885, IF($R1153&lt;DATE($L$1882,1,1),YEAR($R1153)&lt;=I$1882,YEAR($R1153-1)&lt;I$1882) ) )</f>
        <v>0</v>
      </c>
      <c r="T1153" s="1050" t="b">
        <f>IF($I1153="",FALSE,AND(J$1885, IF($R1153&lt;DATE($L$1882,1,1),YEAR($R1153)&lt;=J$1882,YEAR($R1153-1)&lt;J$1882) ) )</f>
        <v>0</v>
      </c>
      <c r="U1153" s="1050" t="b">
        <f>IF($I1153="",FALSE,AND(K$1885, IF($R1153&lt;DATE($L$1882,1,1),YEAR($R1153)&lt;=K$1882,YEAR($R1153-1)&lt;K$1882) ) )</f>
        <v>0</v>
      </c>
      <c r="V1153" s="1050" t="b">
        <f>IF($I1153="",FALSE,AND(L$1885, IF($R1153&lt;DATE($L$1882,1,1),YEAR($R1153)&lt;=L$1882,YEAR($R1153-1)&lt;L$1882) ) )</f>
        <v>0</v>
      </c>
      <c r="W1153" s="1050" t="b">
        <f>IF($I1153="",FALSE,AND(M$1885, IF($R1153&lt;DATE($L$1882,1,1),YEAR($R1153)&lt;=M$1882,YEAR($R1153-1)&lt;M$1882) ) )</f>
        <v>0</v>
      </c>
      <c r="Z1153" s="736" t="s">
        <v>550</v>
      </c>
      <c r="AA1153" s="738" t="b">
        <f>AND(CNTR_ExistSubInstEntries,I1153="")</f>
        <v>1</v>
      </c>
    </row>
    <row r="1154" spans="1:27" ht="5.0999999999999996" customHeight="1" x14ac:dyDescent="0.2">
      <c r="B1154" s="207"/>
      <c r="C1154" s="207"/>
      <c r="D1154" s="207"/>
      <c r="E1154" s="207"/>
      <c r="F1154" s="207"/>
      <c r="G1154" s="207"/>
      <c r="H1154" s="207"/>
      <c r="I1154" s="207"/>
      <c r="J1154" s="207"/>
      <c r="K1154" s="207"/>
      <c r="L1154" s="207"/>
      <c r="M1154" s="16"/>
      <c r="N1154" s="16"/>
      <c r="O1154" s="16"/>
      <c r="P1154" s="1037"/>
      <c r="R1154" s="1037"/>
      <c r="S1154" s="1037"/>
    </row>
    <row r="1155" spans="1:27" ht="12.75" customHeight="1" x14ac:dyDescent="0.2">
      <c r="B1155" s="207"/>
      <c r="C1155" s="207"/>
      <c r="D1155" s="207"/>
      <c r="E1155" s="1622" t="str">
        <f>CONCATENATE(EUconst_MsgSeeFirst," (F.I.1)")</f>
        <v>Szczegółowe instrukcje dotyczące wprowadzania danych w tym narzędziu znajdują się w pierwszej kopii tego narzędzia.  (F.I.1)</v>
      </c>
      <c r="F1155" s="1622"/>
      <c r="G1155" s="1622"/>
      <c r="H1155" s="1622"/>
      <c r="I1155" s="1622"/>
      <c r="J1155" s="1622"/>
      <c r="K1155" s="1622"/>
      <c r="L1155" s="1622"/>
      <c r="M1155" s="1622"/>
      <c r="N1155" s="1622"/>
      <c r="O1155" s="16"/>
      <c r="P1155" s="1037"/>
      <c r="R1155" s="1037"/>
      <c r="S1155" s="1037"/>
    </row>
    <row r="1156" spans="1:27" ht="5.0999999999999996" customHeight="1" x14ac:dyDescent="0.2">
      <c r="B1156" s="207"/>
      <c r="C1156" s="207"/>
      <c r="D1156" s="207"/>
      <c r="E1156" s="207"/>
      <c r="F1156" s="207"/>
      <c r="G1156" s="207"/>
      <c r="H1156" s="207"/>
      <c r="I1156" s="207"/>
      <c r="J1156" s="207"/>
      <c r="K1156" s="207"/>
      <c r="L1156" s="207"/>
      <c r="M1156" s="16"/>
      <c r="N1156" s="16"/>
      <c r="O1156" s="16"/>
      <c r="P1156" s="1037"/>
      <c r="R1156" s="1037"/>
      <c r="S1156" s="1037"/>
    </row>
    <row r="1157" spans="1:27" ht="13.5" thickBot="1" x14ac:dyDescent="0.25">
      <c r="B1157" s="207"/>
      <c r="C1157" s="207"/>
      <c r="D1157" s="14" t="s">
        <v>173</v>
      </c>
      <c r="E1157" s="1375" t="str">
        <f>Translations!$B$670</f>
        <v>Historyczne poziomy działalności</v>
      </c>
      <c r="F1157" s="1370"/>
      <c r="G1157" s="1370"/>
      <c r="H1157" s="1370"/>
      <c r="I1157" s="1370"/>
      <c r="J1157" s="1370"/>
      <c r="K1157" s="1370"/>
      <c r="L1157" s="1370"/>
      <c r="M1157" s="1370"/>
      <c r="N1157" s="1370"/>
      <c r="O1157" s="16"/>
      <c r="P1157" s="1037"/>
      <c r="R1157" s="1037"/>
      <c r="S1157" s="1037"/>
    </row>
    <row r="1158" spans="1:27" ht="13.5" customHeight="1" thickBot="1" x14ac:dyDescent="0.25">
      <c r="B1158" s="20"/>
      <c r="C1158" s="20"/>
      <c r="D1158" s="14"/>
      <c r="E1158" s="1430" t="str">
        <f>Translations!$B$676</f>
        <v>Roczne poziomy działalności:</v>
      </c>
      <c r="F1158" s="1430"/>
      <c r="G1158" s="1430"/>
      <c r="H1158" s="34" t="str">
        <f>EUconst_Unit</f>
        <v>Jednostka</v>
      </c>
      <c r="I1158" s="396">
        <f>I$1882</f>
        <v>2014</v>
      </c>
      <c r="J1158" s="396">
        <f>J$1882</f>
        <v>2015</v>
      </c>
      <c r="K1158" s="396">
        <f>K$1882</f>
        <v>2016</v>
      </c>
      <c r="L1158" s="396">
        <f>L$1882</f>
        <v>2017</v>
      </c>
      <c r="M1158" s="421">
        <f>M$1882</f>
        <v>2018</v>
      </c>
      <c r="N1158" s="888" t="str">
        <f>IF(I1153="","",IF(S1163,YEAR(R1153)+1,""))</f>
        <v/>
      </c>
      <c r="O1158" s="16"/>
      <c r="P1158" s="1037"/>
      <c r="Q1158" s="424" t="s">
        <v>432</v>
      </c>
      <c r="R1158" s="276"/>
      <c r="S1158" s="276"/>
      <c r="T1158" s="276"/>
      <c r="U1158" s="276"/>
      <c r="V1158" s="276"/>
      <c r="W1158" s="277"/>
      <c r="Y1158" s="788" t="b">
        <f>IF(CNTR_ExistSubInstEntries,IF(I1153&lt;&gt;"",NOT(S1163),TRUE),FALSE)</f>
        <v>1</v>
      </c>
      <c r="AA1158" s="422" t="s">
        <v>272</v>
      </c>
    </row>
    <row r="1159" spans="1:27" ht="13.5" thickBot="1" x14ac:dyDescent="0.25">
      <c r="B1159" s="20"/>
      <c r="C1159" s="20"/>
      <c r="D1159" s="195" t="s">
        <v>2</v>
      </c>
      <c r="E1159" s="1801" t="str">
        <f>I1153</f>
        <v/>
      </c>
      <c r="F1159" s="1801"/>
      <c r="G1159" s="1801"/>
      <c r="H1159" s="98" t="str">
        <f>IF(INDEX(CNTR_SubInstListIsProdBM,$C1153),INDEX(CNTR_SubInstListHALUnit,$C1153),EUconst_Tons)</f>
        <v>tony</v>
      </c>
      <c r="I1159" s="591"/>
      <c r="J1159" s="591"/>
      <c r="K1159" s="591"/>
      <c r="L1159" s="591"/>
      <c r="M1159" s="886"/>
      <c r="N1159" s="889"/>
      <c r="O1159" s="16"/>
      <c r="P1159" s="164" t="s">
        <v>237</v>
      </c>
      <c r="Q1159" s="1238" t="s">
        <v>2190</v>
      </c>
      <c r="R1159" s="187" t="s">
        <v>437</v>
      </c>
      <c r="S1159" s="442">
        <f>I1158</f>
        <v>2014</v>
      </c>
      <c r="T1159" s="443">
        <f>J1158</f>
        <v>2015</v>
      </c>
      <c r="U1159" s="443">
        <f>K1158</f>
        <v>2016</v>
      </c>
      <c r="V1159" s="443">
        <f>L1158</f>
        <v>2017</v>
      </c>
      <c r="W1159" s="444">
        <f>M1158</f>
        <v>2018</v>
      </c>
      <c r="Y1159" s="963" t="b">
        <f>IF(CNTR_ExistSubInstEntries,IF(AND(I1153&lt;&gt;"",N1160=""),NOT(S1163),TRUE),FALSE)</f>
        <v>1</v>
      </c>
      <c r="Z1159" s="422"/>
      <c r="AA1159" s="646" t="b">
        <f>IF(CNTR_ExistSubInstEntries,AND(I1153&lt;&gt;"",Q1163),FALSE)</f>
        <v>0</v>
      </c>
    </row>
    <row r="1160" spans="1:27" ht="13.5" thickBot="1" x14ac:dyDescent="0.25">
      <c r="B1160" s="20"/>
      <c r="C1160" s="20"/>
      <c r="D1160" s="195" t="s">
        <v>3</v>
      </c>
      <c r="E1160" s="1801" t="str">
        <f>Translations!$B$677</f>
        <v>Z arkusza „H_SpecialBM”:</v>
      </c>
      <c r="F1160" s="1801"/>
      <c r="G1160" s="1801"/>
      <c r="H1160" s="98" t="str">
        <f>H1159</f>
        <v>tony</v>
      </c>
      <c r="I1160" s="321" t="str">
        <f>IF($I1153="","",IF($Q1163,SUMIF(H_SpecialBM!$P$9:$P$384,$P1160,H_SpecialBM!I$9:I$384),""))</f>
        <v/>
      </c>
      <c r="J1160" s="321" t="str">
        <f>IF($I1153="","",IF($Q1163,SUMIF(H_SpecialBM!$P$9:$P$384,$P1160,H_SpecialBM!J$9:J$384),""))</f>
        <v/>
      </c>
      <c r="K1160" s="321" t="str">
        <f>IF($I1153="","",IF($Q1163,SUMIF(H_SpecialBM!$P$9:$P$384,$P1160,H_SpecialBM!K$9:K$384),""))</f>
        <v/>
      </c>
      <c r="L1160" s="321" t="str">
        <f>IF($I1153="","",IF($Q1163,SUMIF(H_SpecialBM!$P$9:$P$384,$P1160,H_SpecialBM!L$9:L$384),""))</f>
        <v/>
      </c>
      <c r="M1160" s="887" t="str">
        <f>IF($I1153="","",IF($Q1163,SUMIF(H_SpecialBM!$P$9:$P$384,$P1160,H_SpecialBM!M$9:M$384),""))</f>
        <v/>
      </c>
      <c r="N1160" s="890" t="str">
        <f>IF($I1153="","",IF(AND($Q1163,$S1163),SUMIF(H_SpecialBM!$P$9:$P$384,$P1160,H_SpecialBM!N$9:N$384),""))</f>
        <v/>
      </c>
      <c r="O1160" s="16"/>
      <c r="P1160" s="1051" t="str">
        <f>EUconst_CNTR_HALspecial&amp;I1153</f>
        <v>HALspecial_</v>
      </c>
      <c r="Q1160" s="179" t="str">
        <f>IF(COUNT($U1160:$V1160)&gt;0,SUM($U1160:$V1160),"")</f>
        <v/>
      </c>
      <c r="R1160" s="439" t="str">
        <f>IF(COUNT(S1160:W1160)&gt;0,AVERAGE(S1160:W1160),"")</f>
        <v/>
      </c>
      <c r="S1160" s="440" t="str">
        <f>IF(S1153,IF(ISNUMBER(I1160),I1160,""),"")</f>
        <v/>
      </c>
      <c r="T1160" s="441" t="str">
        <f>IF(T1153,IF(ISNUMBER(J1160),J1160,""),"")</f>
        <v/>
      </c>
      <c r="U1160" s="441" t="str">
        <f>IF(U1153,IF(ISNUMBER(K1160),K1160,""),"")</f>
        <v/>
      </c>
      <c r="V1160" s="441" t="str">
        <f>IF(V1153,IF(ISNUMBER(L1160),L1160,""),"")</f>
        <v/>
      </c>
      <c r="W1160" s="439" t="str">
        <f>IF(W1153,IF(ISNUMBER(M1160),M1160,""),"")</f>
        <v/>
      </c>
      <c r="Y1160" s="777" t="b">
        <f>OR(Y1158,AA1160)</f>
        <v>1</v>
      </c>
      <c r="AA1160" s="723" t="b">
        <f>Q1163=FALSE</f>
        <v>0</v>
      </c>
    </row>
    <row r="1161" spans="1:27" ht="13.5" thickBot="1" x14ac:dyDescent="0.25">
      <c r="B1161" s="20"/>
      <c r="C1161" s="20"/>
      <c r="D1161" s="195" t="s">
        <v>4</v>
      </c>
      <c r="E1161" s="1801" t="str">
        <f>Translations!$B$678</f>
        <v>Wartości użyte do obliczenia:</v>
      </c>
      <c r="F1161" s="1801"/>
      <c r="G1161" s="1801"/>
      <c r="H1161" s="98" t="str">
        <f>H1160</f>
        <v>tony</v>
      </c>
      <c r="I1161" s="321" t="str">
        <f>IF($I1153="","",IF($Q1163=TRUE,IF(ISNUMBER(I1160),I1160,0),IF(ISNUMBER(I1159),I1159,0)))</f>
        <v/>
      </c>
      <c r="J1161" s="321" t="str">
        <f>IF($I1153="","",IF($Q1163=TRUE,IF(ISNUMBER(J1160),J1160,0),IF(ISNUMBER(J1159),J1159,0)))</f>
        <v/>
      </c>
      <c r="K1161" s="321" t="str">
        <f>IF($I1153="","",IF($Q1163=TRUE,IF(ISNUMBER(K1160),K1160,0),IF(ISNUMBER(K1159),K1159,0)))</f>
        <v/>
      </c>
      <c r="L1161" s="321" t="str">
        <f>IF($I1153="","",IF($Q1163=TRUE,IF(ISNUMBER(L1160),L1160,0),IF(ISNUMBER(L1159),L1159,0)))</f>
        <v/>
      </c>
      <c r="M1161" s="887" t="str">
        <f>IF($I1153="","",IF($Q1163=TRUE,IF(ISNUMBER(M1160),M1160,0),IF(ISNUMBER(M1159),M1159,0)))</f>
        <v/>
      </c>
      <c r="N1161" s="890" t="str">
        <f>IF($I1153="","",IF(S1163,IF($Q1163=TRUE,IF(ISNUMBER(N1160),N1160,0),IF(ISNUMBER(N1159),N1159,0)),""))</f>
        <v/>
      </c>
      <c r="O1161" s="16"/>
      <c r="P1161" s="1051" t="str">
        <f>EUconst_CNTR_HAL&amp;I1153</f>
        <v>HAL_</v>
      </c>
      <c r="Q1161" s="168" t="str">
        <f>IF(COUNT($U1161:$V1161)&gt;0,SUM($U1161:$V1161),"")</f>
        <v/>
      </c>
      <c r="R1161" s="120" t="str">
        <f>IF(COUNT(S1161:W1161)&gt;0,AVERAGE(S1161:W1161),"")</f>
        <v/>
      </c>
      <c r="S1161" s="118" t="str">
        <f>IF(S1153,IF(ISNUMBER(I1161),I1161,""),"")</f>
        <v/>
      </c>
      <c r="T1161" s="119" t="str">
        <f>IF(T1153,IF(ISNUMBER(J1161),J1161,""),"")</f>
        <v/>
      </c>
      <c r="U1161" s="119" t="str">
        <f>IF(U1153,IF(ISNUMBER(K1161),K1161,""),"")</f>
        <v/>
      </c>
      <c r="V1161" s="119" t="str">
        <f>IF(V1153,IF(ISNUMBER(L1161),L1161,""),"")</f>
        <v/>
      </c>
      <c r="W1161" s="120" t="str">
        <f>IF(W1153,IF(ISNUMBER(M1161),M1161,""),"")</f>
        <v/>
      </c>
      <c r="Y1161" s="168" t="b">
        <f>Y1158</f>
        <v>1</v>
      </c>
    </row>
    <row r="1162" spans="1:27" ht="5.0999999999999996" customHeight="1" x14ac:dyDescent="0.2">
      <c r="B1162" s="207"/>
      <c r="C1162" s="207"/>
      <c r="D1162" s="207"/>
      <c r="E1162" s="207"/>
      <c r="F1162" s="207"/>
      <c r="G1162" s="207"/>
      <c r="H1162" s="207"/>
      <c r="I1162" s="207"/>
      <c r="J1162" s="207"/>
      <c r="K1162" s="207"/>
      <c r="L1162" s="207"/>
      <c r="M1162" s="16"/>
      <c r="N1162" s="16"/>
      <c r="O1162" s="16"/>
      <c r="P1162" s="1037"/>
      <c r="R1162" s="1037"/>
      <c r="S1162" s="1037"/>
    </row>
    <row r="1163" spans="1:27" x14ac:dyDescent="0.2">
      <c r="B1163" s="207"/>
      <c r="C1163" s="207"/>
      <c r="D1163" s="14" t="s">
        <v>353</v>
      </c>
      <c r="E1163" s="1375" t="str">
        <f>Translations!$B$679</f>
        <v>Szczególne wymogi w zakresie raportowania:</v>
      </c>
      <c r="F1163" s="1375"/>
      <c r="G1163" s="1637"/>
      <c r="H1163" s="1796" t="str">
        <f>IF(I1153="","",HYPERLINK(INDEX(EUconst_BMlistSpecialJumpTable,MATCH(I1153,EUconst_BMlistNames,0)),INDEX(EUconst_BMlistSpecialReporting,MATCH(I1153,EUconst_BMlistNames,0))))</f>
        <v/>
      </c>
      <c r="I1163" s="1802"/>
      <c r="J1163" s="1802"/>
      <c r="K1163" s="1802"/>
      <c r="L1163" s="1802"/>
      <c r="M1163" s="1802"/>
      <c r="N1163" s="1803"/>
      <c r="O1163" s="16"/>
      <c r="P1163" s="1048" t="s">
        <v>38</v>
      </c>
      <c r="Q1163" s="116" t="str">
        <f>IF(I1153="","",IF(AND(INDEX(EUconst_BMlistSpecialJumpTable,MATCH(I1153,EUconst_BMlistNames,0))&lt;&gt;"",MATCH(I1153,EUconst_BMlistNames,0)&lt;&gt;47),TRUE,FALSE))</f>
        <v/>
      </c>
      <c r="R1163" s="1048" t="s">
        <v>598</v>
      </c>
      <c r="S1163" s="116" t="b">
        <f>IF(I1153="",FALSE,INDEX(CNTR_SubInstLess1Year,MATCH(I1153,CNTR_SubInstListNames,0)))</f>
        <v>0</v>
      </c>
    </row>
    <row r="1164" spans="1:27" ht="12.75" customHeight="1" x14ac:dyDescent="0.2">
      <c r="B1164" s="207"/>
      <c r="C1164" s="207"/>
      <c r="D1164" s="207"/>
      <c r="E1164" s="207"/>
      <c r="F1164" s="207"/>
      <c r="G1164" s="207"/>
      <c r="H1164" s="207"/>
      <c r="I1164" s="207"/>
      <c r="J1164" s="207"/>
      <c r="K1164" s="207"/>
      <c r="L1164" s="207"/>
      <c r="M1164" s="207"/>
      <c r="N1164" s="207"/>
      <c r="O1164" s="16"/>
      <c r="P1164" s="1037"/>
      <c r="R1164" s="1037"/>
      <c r="S1164" s="1037"/>
    </row>
    <row r="1165" spans="1:27" ht="15" customHeight="1" x14ac:dyDescent="0.2">
      <c r="B1165" s="20"/>
      <c r="C1165" s="208"/>
      <c r="D1165" s="1439" t="str">
        <f>Translations!$B$681</f>
        <v>Dodatkowe współczynniki korygujące</v>
      </c>
      <c r="E1165" s="1370"/>
      <c r="F1165" s="1370"/>
      <c r="G1165" s="1370"/>
      <c r="H1165" s="1370"/>
      <c r="I1165" s="1370"/>
      <c r="J1165" s="1370"/>
      <c r="K1165" s="1370"/>
      <c r="L1165" s="1370"/>
      <c r="M1165" s="1370"/>
      <c r="N1165" s="1370"/>
      <c r="O1165" s="16"/>
      <c r="R1165" s="1037"/>
      <c r="S1165" s="1037"/>
    </row>
    <row r="1166" spans="1:27" ht="5.0999999999999996" customHeight="1" x14ac:dyDescent="0.2">
      <c r="B1166" s="207"/>
      <c r="C1166" s="207"/>
      <c r="D1166" s="207"/>
      <c r="E1166" s="207"/>
      <c r="F1166" s="207"/>
      <c r="G1166" s="207"/>
      <c r="H1166" s="207"/>
      <c r="I1166" s="207"/>
      <c r="J1166" s="207"/>
      <c r="K1166" s="207"/>
      <c r="L1166" s="207"/>
      <c r="M1166" s="207"/>
      <c r="N1166" s="207"/>
      <c r="O1166" s="16"/>
      <c r="P1166" s="1037"/>
      <c r="R1166" s="1037"/>
      <c r="S1166" s="1037"/>
    </row>
    <row r="1167" spans="1:27" ht="13.5" thickBot="1" x14ac:dyDescent="0.25">
      <c r="B1167" s="20"/>
      <c r="C1167" s="20"/>
      <c r="D1167" s="14" t="s">
        <v>11</v>
      </c>
      <c r="E1167" s="1375" t="str">
        <f>Translations!$B$682</f>
        <v>Zamienność paliw i energii elektrycznej:</v>
      </c>
      <c r="F1167" s="1370"/>
      <c r="G1167" s="1370"/>
      <c r="H1167" s="1370"/>
      <c r="I1167" s="1432"/>
      <c r="J1167" s="1796" t="str">
        <f>IF(I1153="","",IF(INDEX(EUconst_BMlistElExchangability,MATCH(I1153,EUconst_BMlistNames,0))=TRUE,"",HYPERLINK(Q1167,EUconst_MsgGoOn)))</f>
        <v/>
      </c>
      <c r="K1167" s="1797"/>
      <c r="L1167" s="1797"/>
      <c r="M1167" s="1797"/>
      <c r="N1167" s="1798"/>
      <c r="O1167" s="16"/>
      <c r="P1167" s="2" t="s">
        <v>199</v>
      </c>
      <c r="Q1167" s="346" t="str">
        <f>"#"&amp;ADDRESS(ROW(D1175),COLUMN(D1175))</f>
        <v>#$D$1175</v>
      </c>
      <c r="R1167" s="1037"/>
      <c r="S1167" s="1037"/>
    </row>
    <row r="1168" spans="1:27" s="701" customFormat="1" ht="13.5" thickBot="1" x14ac:dyDescent="0.25">
      <c r="A1168" s="422"/>
      <c r="B1168" s="398"/>
      <c r="C1168" s="398"/>
      <c r="D1168" s="14"/>
      <c r="E1168" s="1430" t="str">
        <f>Translations!$B$686</f>
        <v>Parametr</v>
      </c>
      <c r="F1168" s="1377"/>
      <c r="G1168" s="1377"/>
      <c r="H1168" s="34" t="str">
        <f>EUconst_Unit</f>
        <v>Jednostka</v>
      </c>
      <c r="I1168" s="396">
        <f>I$66</f>
        <v>2014</v>
      </c>
      <c r="J1168" s="396">
        <f>J$66</f>
        <v>2015</v>
      </c>
      <c r="K1168" s="396">
        <f>K$66</f>
        <v>2016</v>
      </c>
      <c r="L1168" s="396">
        <f>L$66</f>
        <v>2017</v>
      </c>
      <c r="M1168" s="421">
        <f>M$66</f>
        <v>2018</v>
      </c>
      <c r="N1168" s="888" t="str">
        <f>IF(AA1169=FALSE,N1158,"")</f>
        <v/>
      </c>
      <c r="O1168" s="16"/>
      <c r="P1168" s="422"/>
      <c r="Q1168" s="422"/>
      <c r="R1168" s="1037"/>
      <c r="S1168" s="1037"/>
      <c r="T1168" s="1037"/>
      <c r="U1168" s="1037"/>
      <c r="V1168" s="1037"/>
      <c r="W1168" s="1037"/>
      <c r="X1168" s="1037"/>
      <c r="Y1168" s="788" t="b">
        <f>OR(Y1158,AA1169)</f>
        <v>1</v>
      </c>
      <c r="Z1168" s="422"/>
      <c r="AA1168" s="1037" t="s">
        <v>381</v>
      </c>
    </row>
    <row r="1169" spans="1:27" s="701" customFormat="1" ht="13.5" thickBot="1" x14ac:dyDescent="0.25">
      <c r="A1169" s="422"/>
      <c r="B1169" s="398"/>
      <c r="C1169" s="398"/>
      <c r="D1169" s="425" t="s">
        <v>2</v>
      </c>
      <c r="E1169" s="1569" t="str">
        <f>Translations!$B$687</f>
        <v>Emisje bezpośrednie</v>
      </c>
      <c r="F1169" s="1569"/>
      <c r="G1169" s="1569"/>
      <c r="H1169" s="581" t="str">
        <f>EUconst_tCO2pa</f>
        <v>t CO2 / rok</v>
      </c>
      <c r="I1169" s="818"/>
      <c r="J1169" s="818"/>
      <c r="K1169" s="819"/>
      <c r="L1169" s="818"/>
      <c r="M1169" s="891"/>
      <c r="N1169" s="903"/>
      <c r="O1169" s="16"/>
      <c r="P1169" s="422"/>
      <c r="Q1169" s="422"/>
      <c r="R1169" s="1037"/>
      <c r="S1169" s="1037"/>
      <c r="T1169" s="1037"/>
      <c r="U1169" s="1037"/>
      <c r="V1169" s="1037"/>
      <c r="W1169" s="1037"/>
      <c r="X1169" s="1037"/>
      <c r="Y1169" s="715" t="b">
        <f>Y1168</f>
        <v>1</v>
      </c>
      <c r="Z1169" s="422"/>
      <c r="AA1169" s="788" t="b">
        <f>IF(CNTR_ExistSubInstEntries,IF(I1153&lt;&gt;"",IF(INDEX(EUconst_BMlistElExchangability,MATCH(I1153,EUconst_BMlistNames,0)),FALSE,TRUE),TRUE),FALSE)</f>
        <v>1</v>
      </c>
    </row>
    <row r="1170" spans="1:27" s="701" customFormat="1" x14ac:dyDescent="0.2">
      <c r="A1170" s="422"/>
      <c r="B1170" s="398"/>
      <c r="C1170" s="398"/>
      <c r="D1170" s="425" t="s">
        <v>3</v>
      </c>
      <c r="E1170" s="1482" t="str">
        <f>Translations!$B$688</f>
        <v>Ciepło wprowadzone netto</v>
      </c>
      <c r="F1170" s="1482"/>
      <c r="G1170" s="1482"/>
      <c r="H1170" s="584" t="str">
        <f>EUconst_TJpa</f>
        <v>TJ / rok</v>
      </c>
      <c r="I1170" s="585" t="str">
        <f>IF($I1153&lt;&gt;"",IF(INDEX(EUconst_BMlistElExchangability,MATCH($I1153,EUconst_BMlistNames,0)),SUM(I1254),""),"")</f>
        <v/>
      </c>
      <c r="J1170" s="585" t="str">
        <f>IF($I1153&lt;&gt;"",IF(INDEX(EUconst_BMlistElExchangability,MATCH($I1153,EUconst_BMlistNames,0)),SUM(J1254),""),"")</f>
        <v/>
      </c>
      <c r="K1170" s="585" t="str">
        <f>IF($I1153&lt;&gt;"",IF(INDEX(EUconst_BMlistElExchangability,MATCH($I1153,EUconst_BMlistNames,0)),SUM(K1254),""),"")</f>
        <v/>
      </c>
      <c r="L1170" s="585" t="str">
        <f>IF($I1153&lt;&gt;"",IF(INDEX(EUconst_BMlistElExchangability,MATCH($I1153,EUconst_BMlistNames,0)),SUM(L1254),""),"")</f>
        <v/>
      </c>
      <c r="M1170" s="892" t="str">
        <f>IF($I1153&lt;&gt;"",IF(INDEX(EUconst_BMlistElExchangability,MATCH($I1153,EUconst_BMlistNames,0)),SUM(M1254),""),"")</f>
        <v/>
      </c>
      <c r="N1170" s="904"/>
      <c r="O1170" s="16"/>
      <c r="P1170" s="422"/>
      <c r="Q1170" s="422"/>
      <c r="R1170" s="1052"/>
      <c r="S1170" s="814">
        <f>I1168</f>
        <v>2014</v>
      </c>
      <c r="T1170" s="814">
        <f>J1168</f>
        <v>2015</v>
      </c>
      <c r="U1170" s="814">
        <f>K1168</f>
        <v>2016</v>
      </c>
      <c r="V1170" s="814">
        <f>L1168</f>
        <v>2017</v>
      </c>
      <c r="W1170" s="815">
        <f>M1168</f>
        <v>2018</v>
      </c>
      <c r="X1170" s="422"/>
      <c r="Y1170" s="715" t="b">
        <f>Y1169</f>
        <v>1</v>
      </c>
      <c r="Z1170" s="422"/>
      <c r="AA1170" s="715" t="b">
        <f>AA1169</f>
        <v>1</v>
      </c>
    </row>
    <row r="1171" spans="1:27" s="701" customFormat="1" ht="12.75" customHeight="1" thickBot="1" x14ac:dyDescent="0.25">
      <c r="A1171" s="422"/>
      <c r="B1171" s="398"/>
      <c r="C1171" s="398"/>
      <c r="D1171" s="425" t="s">
        <v>4</v>
      </c>
      <c r="E1171" s="1799" t="str">
        <f>Translations!$B$689</f>
        <v>Odpowiednie zużycie energii elektrycznej</v>
      </c>
      <c r="F1171" s="1800"/>
      <c r="G1171" s="1800"/>
      <c r="H1171" s="611" t="str">
        <f>EUconst_MWhpa</f>
        <v>MWh / rok</v>
      </c>
      <c r="I1171" s="612"/>
      <c r="J1171" s="612"/>
      <c r="K1171" s="612"/>
      <c r="L1171" s="612"/>
      <c r="M1171" s="893"/>
      <c r="N1171" s="896"/>
      <c r="O1171" s="16"/>
      <c r="P1171" s="185" t="str">
        <f>EUconst_CNTR_HAL&amp;EUconst_CNTR_ELEXCH</f>
        <v>HAL_ELEXCH_</v>
      </c>
      <c r="Q1171" s="185" t="str">
        <f>EUconst_CNTR_HAL&amp;EUconst_CNTR_ELEXCH &amp; I1153</f>
        <v>HAL_ELEXCH_</v>
      </c>
      <c r="R1171" s="1053" t="str">
        <f>EUconst_CNTR_AttributedEmissions &amp; I1153</f>
        <v>AttrEmissions_</v>
      </c>
      <c r="S1171" s="119" t="str">
        <f>IF(S1153,SUM(I1171)*EUconst_ElBM,"")</f>
        <v/>
      </c>
      <c r="T1171" s="119" t="str">
        <f>IF(T1153,SUM(J1171)*EUconst_ElBM,"")</f>
        <v/>
      </c>
      <c r="U1171" s="119" t="str">
        <f>IF(U1153,SUM(K1171)*EUconst_ElBM,"")</f>
        <v/>
      </c>
      <c r="V1171" s="119" t="str">
        <f>IF(V1153,SUM(L1171)*EUconst_ElBM,"")</f>
        <v/>
      </c>
      <c r="W1171" s="120" t="str">
        <f>IF(W1153,SUM(M1171)*EUconst_ElBM,"")</f>
        <v/>
      </c>
      <c r="X1171" s="422" t="str">
        <f>N1168</f>
        <v/>
      </c>
      <c r="Y1171" s="715" t="b">
        <f>Y1170</f>
        <v>1</v>
      </c>
      <c r="Z1171" s="422"/>
      <c r="AA1171" s="715" t="b">
        <f>AA1170</f>
        <v>1</v>
      </c>
    </row>
    <row r="1172" spans="1:27" s="701" customFormat="1" ht="13.5" thickBot="1" x14ac:dyDescent="0.25">
      <c r="A1172" s="422"/>
      <c r="B1172" s="398"/>
      <c r="C1172" s="398"/>
      <c r="D1172" s="425" t="s">
        <v>6</v>
      </c>
      <c r="E1172" s="1569" t="str">
        <f>Translations!$B$690</f>
        <v>Całkowite emisje bezpośrednie</v>
      </c>
      <c r="F1172" s="1569"/>
      <c r="G1172" s="1569"/>
      <c r="H1172" s="581" t="str">
        <f>EUconst_tCO2pa</f>
        <v>t CO2 / rok</v>
      </c>
      <c r="I1172" s="582" t="str">
        <f>IF(ISNUMBER(I1169),I1169+SUM(I1170)*EUconst_HeatBMvalue,"")</f>
        <v/>
      </c>
      <c r="J1172" s="582" t="str">
        <f>IF(ISNUMBER(J1169),J1169+SUM(J1170)*EUconst_HeatBMvalue,"")</f>
        <v/>
      </c>
      <c r="K1172" s="583" t="str">
        <f>IF(ISNUMBER(K1169),K1169+SUM(K1170)*EUconst_HeatBMvalue,"")</f>
        <v/>
      </c>
      <c r="L1172" s="582" t="str">
        <f>IF(ISNUMBER(L1169),L1169+SUM(L1170)*EUconst_HeatBMvalue,"")</f>
        <v/>
      </c>
      <c r="M1172" s="894" t="str">
        <f>IF(ISNUMBER(M1169),M1169+SUM(M1170)*EUconst_HeatBMvalue,"")</f>
        <v/>
      </c>
      <c r="N1172" s="897" t="str">
        <f>IF(AND(S1163,ISNUMBER(N1169)),N1169+SUM(N1170)*EUconst_HeatBMvalue,"")</f>
        <v/>
      </c>
      <c r="O1172" s="16"/>
      <c r="P1172" s="422"/>
      <c r="Q1172" s="422"/>
      <c r="R1172" s="1048" t="s">
        <v>557</v>
      </c>
      <c r="S1172" s="905" t="str">
        <f>IF(S1153,IF(ISNUMBER(I1172),I1172,0),"")</f>
        <v/>
      </c>
      <c r="T1172" s="906" t="str">
        <f>IF(T1153,IF(ISNUMBER(J1172),J1172,0),"")</f>
        <v/>
      </c>
      <c r="U1172" s="906" t="str">
        <f>IF(U1153,IF(ISNUMBER(K1172),K1172,0),"")</f>
        <v/>
      </c>
      <c r="V1172" s="906" t="str">
        <f>IF(V1153,IF(ISNUMBER(L1172),L1172,0),"")</f>
        <v/>
      </c>
      <c r="W1172" s="907" t="str">
        <f>IF(W1153,IF(ISNUMBER(M1172),M1172,0),"")</f>
        <v/>
      </c>
      <c r="X1172" s="911" t="str">
        <f>IF(S1163,IF(ISNUMBER(N1172),N1172,0),"")</f>
        <v/>
      </c>
      <c r="Y1172" s="715" t="b">
        <f>Y1171</f>
        <v>1</v>
      </c>
      <c r="Z1172" s="422"/>
      <c r="AA1172" s="715" t="b">
        <f>AA1171</f>
        <v>1</v>
      </c>
    </row>
    <row r="1173" spans="1:27" s="701" customFormat="1" ht="13.5" thickBot="1" x14ac:dyDescent="0.25">
      <c r="A1173" s="422"/>
      <c r="B1173" s="398"/>
      <c r="C1173" s="398"/>
      <c r="D1173" s="425" t="s">
        <v>316</v>
      </c>
      <c r="E1173" s="1493" t="str">
        <f>Translations!$B$691</f>
        <v>Emisje pośrednie</v>
      </c>
      <c r="F1173" s="1493"/>
      <c r="G1173" s="1493"/>
      <c r="H1173" s="586" t="str">
        <f>EUconst_tCO2pa</f>
        <v>t CO2 / rok</v>
      </c>
      <c r="I1173" s="587" t="str">
        <f t="shared" ref="I1173:N1173" si="24">IF(ISNUMBER(I1171),I1171*EUconst_ElBM,"")</f>
        <v/>
      </c>
      <c r="J1173" s="587" t="str">
        <f t="shared" si="24"/>
        <v/>
      </c>
      <c r="K1173" s="588" t="str">
        <f t="shared" si="24"/>
        <v/>
      </c>
      <c r="L1173" s="587" t="str">
        <f t="shared" si="24"/>
        <v/>
      </c>
      <c r="M1173" s="895" t="str">
        <f t="shared" si="24"/>
        <v/>
      </c>
      <c r="N1173" s="898" t="str">
        <f t="shared" si="24"/>
        <v/>
      </c>
      <c r="O1173" s="16"/>
      <c r="P1173" s="912" t="str">
        <f>EUconst_CNTR_ELEXCH &amp; I1153</f>
        <v>ELEXCH_</v>
      </c>
      <c r="Q1173" s="913" t="str">
        <f>IF(SUM(S1173:X1173)&lt;&gt;0,SUM(S1172:X1172)/SUM(S1173:X1173),EUconst_NA)</f>
        <v>Nie dotyczy</v>
      </c>
      <c r="R1173" s="1048" t="s">
        <v>326</v>
      </c>
      <c r="S1173" s="908" t="str">
        <f>IF(S1153,IF(COUNT(I1172:I1173)&gt;0,SUM(I1172:I1173),0),"")</f>
        <v/>
      </c>
      <c r="T1173" s="909" t="str">
        <f>IF(T1153,IF(COUNT(J1172:J1173)&gt;0,SUM(J1172:J1173),0),"")</f>
        <v/>
      </c>
      <c r="U1173" s="909" t="str">
        <f>IF(U1153,IF(COUNT(K1172:K1173)&gt;0,SUM(K1172:K1173),0),"")</f>
        <v/>
      </c>
      <c r="V1173" s="909" t="str">
        <f>IF(V1153,IF(COUNT(L1172:L1173)&gt;0,SUM(L1172:L1173),0),"")</f>
        <v/>
      </c>
      <c r="W1173" s="910" t="str">
        <f>IF(W1153,IF(COUNT(M1172:M1173)&gt;0,SUM(M1172:M1173),0),"")</f>
        <v/>
      </c>
      <c r="X1173" s="716" t="str">
        <f>IF(S1163,IF(COUNT(N1172:N1173)&gt;0,SUM(N1172:N1173),0),"")</f>
        <v/>
      </c>
      <c r="Y1173" s="716" t="b">
        <f>Y1172</f>
        <v>1</v>
      </c>
      <c r="Z1173" s="422"/>
      <c r="AA1173" s="716" t="b">
        <f>AA1172</f>
        <v>1</v>
      </c>
    </row>
    <row r="1174" spans="1:27" ht="5.0999999999999996" customHeight="1" x14ac:dyDescent="0.2">
      <c r="B1174" s="207"/>
      <c r="C1174" s="207"/>
      <c r="D1174" s="207"/>
      <c r="E1174" s="207"/>
      <c r="F1174" s="207"/>
      <c r="G1174" s="207"/>
      <c r="H1174" s="207"/>
      <c r="I1174" s="207"/>
      <c r="J1174" s="207"/>
      <c r="K1174" s="207"/>
      <c r="L1174" s="207"/>
      <c r="M1174" s="16"/>
      <c r="N1174" s="16"/>
      <c r="O1174" s="16"/>
      <c r="P1174" s="1037"/>
      <c r="X1174" s="422"/>
    </row>
    <row r="1175" spans="1:27" x14ac:dyDescent="0.2">
      <c r="B1175" s="207"/>
      <c r="C1175" s="207"/>
      <c r="D1175" s="14" t="s">
        <v>356</v>
      </c>
      <c r="E1175" s="1375" t="str">
        <f>Translations!$B$692</f>
        <v>Ciepło wprowadzone z instalacji lub od podmiotów nieobjętych EU ETS:</v>
      </c>
      <c r="F1175" s="1375"/>
      <c r="G1175" s="1375"/>
      <c r="H1175" s="1375"/>
      <c r="I1175" s="1637"/>
      <c r="J1175" s="1796" t="str">
        <f>IF(I1153="","",HYPERLINK(Q1175,EUconst_MsgGoOnIfNotRelevant))</f>
        <v/>
      </c>
      <c r="K1175" s="1797"/>
      <c r="L1175" s="1797"/>
      <c r="M1175" s="1797"/>
      <c r="N1175" s="1798"/>
      <c r="O1175" s="16"/>
      <c r="P1175" s="2" t="s">
        <v>199</v>
      </c>
      <c r="Q1175" s="346" t="str">
        <f>"#"&amp;ADDRESS(ROW(D1182),COLUMN(D1182))</f>
        <v>#$D$1182</v>
      </c>
      <c r="X1175" s="422"/>
    </row>
    <row r="1176" spans="1:27" ht="13.5" customHeight="1" thickBot="1" x14ac:dyDescent="0.25">
      <c r="B1176" s="207"/>
      <c r="C1176" s="207"/>
      <c r="D1176" s="16"/>
      <c r="E1176" s="1408"/>
      <c r="F1176" s="1408"/>
      <c r="G1176" s="1408"/>
      <c r="H1176" s="1408"/>
      <c r="I1176" s="1408"/>
      <c r="J1176" s="1408"/>
      <c r="K1176" s="1408"/>
      <c r="L1176" s="1408"/>
      <c r="M1176" s="1408"/>
      <c r="N1176" s="1408"/>
      <c r="O1176" s="16"/>
      <c r="P1176" s="1037"/>
      <c r="R1176" s="1037"/>
      <c r="S1176" s="1037"/>
      <c r="Y1176" s="422" t="s">
        <v>606</v>
      </c>
    </row>
    <row r="1177" spans="1:27" ht="13.5" thickBot="1" x14ac:dyDescent="0.25">
      <c r="B1177" s="20"/>
      <c r="C1177" s="20"/>
      <c r="D1177" s="14"/>
      <c r="E1177" s="1430" t="str">
        <f>Translations!$B$686</f>
        <v>Parametr</v>
      </c>
      <c r="F1177" s="1377"/>
      <c r="G1177" s="1377"/>
      <c r="H1177" s="34" t="str">
        <f>EUconst_Unit</f>
        <v>Jednostka</v>
      </c>
      <c r="I1177" s="396">
        <f>I$66</f>
        <v>2014</v>
      </c>
      <c r="J1177" s="396">
        <f>J$66</f>
        <v>2015</v>
      </c>
      <c r="K1177" s="396">
        <f>K$66</f>
        <v>2016</v>
      </c>
      <c r="L1177" s="396">
        <f>L$66</f>
        <v>2017</v>
      </c>
      <c r="M1177" s="421">
        <f>M$66</f>
        <v>2018</v>
      </c>
      <c r="N1177" s="888" t="str">
        <f>N1168</f>
        <v/>
      </c>
      <c r="O1177" s="16"/>
      <c r="Q1177" s="45"/>
      <c r="R1177" s="1037"/>
      <c r="S1177" s="45">
        <f t="shared" ref="S1177:X1177" si="25">I1177</f>
        <v>2014</v>
      </c>
      <c r="T1177" s="45">
        <f t="shared" si="25"/>
        <v>2015</v>
      </c>
      <c r="U1177" s="45">
        <f t="shared" si="25"/>
        <v>2016</v>
      </c>
      <c r="V1177" s="45">
        <f t="shared" si="25"/>
        <v>2017</v>
      </c>
      <c r="W1177" s="45">
        <f t="shared" si="25"/>
        <v>2018</v>
      </c>
      <c r="X1177" s="422" t="str">
        <f t="shared" si="25"/>
        <v/>
      </c>
      <c r="Y1177" s="749" t="b">
        <f>Y1158</f>
        <v>1</v>
      </c>
      <c r="Z1177" s="45"/>
      <c r="AA1177" s="422" t="s">
        <v>272</v>
      </c>
    </row>
    <row r="1178" spans="1:27" ht="13.5" thickBot="1" x14ac:dyDescent="0.25">
      <c r="B1178" s="20"/>
      <c r="C1178" s="20"/>
      <c r="D1178" s="195" t="s">
        <v>2</v>
      </c>
      <c r="E1178" s="1612" t="str">
        <f>Translations!$B$697</f>
        <v>Mierzalne ciepło wprowadzone z instalacji lub od podmiotów nieobjętych EU ETS:</v>
      </c>
      <c r="F1178" s="1612"/>
      <c r="G1178" s="1612"/>
      <c r="H1178" s="48" t="str">
        <f>EUconst_TJpa</f>
        <v>TJ / rok</v>
      </c>
      <c r="I1178" s="313"/>
      <c r="J1178" s="313"/>
      <c r="K1178" s="313"/>
      <c r="L1178" s="313"/>
      <c r="M1178" s="899"/>
      <c r="N1178" s="902"/>
      <c r="O1178" s="16"/>
      <c r="P1178" s="116" t="str">
        <f>EUconst_CNTR_HAL&amp;EUconst_CNTR_nonETSMeasHeat</f>
        <v>HAL_mierzalne ciepło nieobjęte systemem EU ETS</v>
      </c>
      <c r="R1178" s="1037"/>
      <c r="S1178" s="442" t="str">
        <f>IF(S1153,IF(ISNUMBER(I1178),I1178,0),"")</f>
        <v/>
      </c>
      <c r="T1178" s="443" t="str">
        <f>IF(T1153,IF(ISNUMBER(J1178),J1178,0),"")</f>
        <v/>
      </c>
      <c r="U1178" s="443" t="str">
        <f>IF(U1153,IF(ISNUMBER(K1178),K1178,0),"")</f>
        <v/>
      </c>
      <c r="V1178" s="443" t="str">
        <f>IF(V1153,IF(ISNUMBER(L1178),L1178,0),"")</f>
        <v/>
      </c>
      <c r="W1178" s="444" t="str">
        <f>IF(W1153,IF(ISNUMBER(M1178),M1178,0),"")</f>
        <v/>
      </c>
      <c r="X1178" s="151" t="str">
        <f>IF(S1163,IF(ISNUMBER(N1178),N1178,0),"")</f>
        <v/>
      </c>
      <c r="Y1178" s="716" t="b">
        <f>Y1177</f>
        <v>1</v>
      </c>
      <c r="AA1178" s="646" t="b">
        <f>AND(CNTR_ExistSubInstEntries,I1153="")</f>
        <v>1</v>
      </c>
    </row>
    <row r="1179" spans="1:27" ht="25.5" customHeight="1" thickBot="1" x14ac:dyDescent="0.25">
      <c r="B1179" s="20"/>
      <c r="C1179" s="20"/>
      <c r="D1179" s="195" t="s">
        <v>3</v>
      </c>
      <c r="E1179" s="1618" t="str">
        <f>Translations!$B$698</f>
        <v>Weryfikacja spójności z arkuszem „E_Energy flows”:</v>
      </c>
      <c r="F1179" s="1618"/>
      <c r="G1179" s="1618"/>
      <c r="H1179" s="27" t="s">
        <v>409</v>
      </c>
      <c r="I1179" s="304" t="str">
        <f>IF(AND(ISNUMBER(I1178),ISNUMBER(E_EnergyFlows!I$102)), I1178/E_EnergyFlows!I$102*100,"")</f>
        <v/>
      </c>
      <c r="J1179" s="304" t="str">
        <f>IF(AND(ISNUMBER(J1178),ISNUMBER(E_EnergyFlows!J$102)), J1178/E_EnergyFlows!J$102*100,"")</f>
        <v/>
      </c>
      <c r="K1179" s="304" t="str">
        <f>IF(AND(ISNUMBER(K1178),ISNUMBER(E_EnergyFlows!K$102)), K1178/E_EnergyFlows!K$102*100,"")</f>
        <v/>
      </c>
      <c r="L1179" s="304" t="str">
        <f>IF(AND(ISNUMBER(L1178),ISNUMBER(E_EnergyFlows!L$102)), L1178/E_EnergyFlows!L$102*100,"")</f>
        <v/>
      </c>
      <c r="M1179" s="900" t="str">
        <f>IF(AND(ISNUMBER(M1178),ISNUMBER(E_EnergyFlows!M$102)), M1178/E_EnergyFlows!M$102*100,"")</f>
        <v/>
      </c>
      <c r="N1179" s="147"/>
      <c r="O1179" s="16"/>
      <c r="P1179" s="164" t="str">
        <f>EUconst_CNTR_HEAT &amp; I1153</f>
        <v>HEAT_</v>
      </c>
      <c r="Q1179" s="302" t="str">
        <f>IF(COUNT(S1178:X1178)&gt;0,AVERAGE(S1178:X1178)*EUconst_HeatBMvalue,EUconst_NA)</f>
        <v>Nie dotyczy</v>
      </c>
      <c r="R1179" s="1037"/>
      <c r="S1179" s="1037"/>
      <c r="AA1179" s="608"/>
    </row>
    <row r="1180" spans="1:27" ht="12.75" customHeight="1" x14ac:dyDescent="0.2">
      <c r="B1180" s="20"/>
      <c r="C1180" s="20"/>
      <c r="D1180" s="195" t="s">
        <v>4</v>
      </c>
      <c r="E1180" s="1493" t="str">
        <f>Translations!$B$699</f>
        <v>Weryfikacja spójności z lit. k) ppkt (i):</v>
      </c>
      <c r="F1180" s="1615"/>
      <c r="G1180" s="1615"/>
      <c r="H1180" s="30" t="s">
        <v>409</v>
      </c>
      <c r="I1180" s="303" t="str">
        <f>IF(AND(I1254&gt;0,ISNUMBER(I1178)), I1178/I1254*100,"")</f>
        <v/>
      </c>
      <c r="J1180" s="303" t="str">
        <f>IF(AND(J1254&gt;0,ISNUMBER(J1178)), J1178/J1254*100,"")</f>
        <v/>
      </c>
      <c r="K1180" s="303" t="str">
        <f>IF(AND(K1254&gt;0,ISNUMBER(K1178)), K1178/K1254*100,"")</f>
        <v/>
      </c>
      <c r="L1180" s="303" t="str">
        <f>IF(AND(L1254&gt;0,ISNUMBER(L1178)), L1178/L1254*100,"")</f>
        <v/>
      </c>
      <c r="M1180" s="901" t="str">
        <f>IF(AND(M1254&gt;0,ISNUMBER(M1178)), M1178/M1254*100,"")</f>
        <v/>
      </c>
      <c r="N1180" s="147"/>
      <c r="O1180" s="16"/>
      <c r="R1180" s="1037"/>
      <c r="S1180" s="1037"/>
      <c r="AA1180" s="608"/>
    </row>
    <row r="1181" spans="1:27" ht="12.75" customHeight="1" x14ac:dyDescent="0.2">
      <c r="B1181" s="20"/>
      <c r="C1181" s="20"/>
      <c r="D1181" s="20"/>
      <c r="E1181" s="20"/>
      <c r="F1181" s="20"/>
      <c r="G1181" s="20"/>
      <c r="H1181" s="20"/>
      <c r="I1181" s="107"/>
      <c r="J1181" s="20"/>
      <c r="K1181" s="20"/>
      <c r="L1181" s="20"/>
      <c r="M1181" s="20"/>
      <c r="N1181" s="20"/>
      <c r="O1181" s="16"/>
      <c r="P1181" s="139"/>
      <c r="R1181" s="1037"/>
      <c r="S1181" s="1037"/>
      <c r="AA1181" s="608"/>
    </row>
    <row r="1182" spans="1:27" ht="15" x14ac:dyDescent="0.2">
      <c r="B1182" s="20"/>
      <c r="C1182" s="1054"/>
      <c r="D1182" s="1439" t="str">
        <f>Translations!$B$700</f>
        <v>Szczegółowe dane dotyczące produkcji</v>
      </c>
      <c r="E1182" s="1370"/>
      <c r="F1182" s="1370"/>
      <c r="G1182" s="1370"/>
      <c r="H1182" s="1370"/>
      <c r="I1182" s="1370"/>
      <c r="J1182" s="1370"/>
      <c r="K1182" s="1370"/>
      <c r="L1182" s="1370"/>
      <c r="M1182" s="1370"/>
      <c r="N1182" s="1370"/>
      <c r="O1182" s="16"/>
      <c r="R1182" s="1037"/>
      <c r="S1182" s="1037"/>
      <c r="AA1182" s="608"/>
    </row>
    <row r="1183" spans="1:27" ht="5.0999999999999996" customHeight="1" x14ac:dyDescent="0.2">
      <c r="B1183" s="207"/>
      <c r="C1183" s="207"/>
      <c r="D1183" s="207"/>
      <c r="E1183" s="207"/>
      <c r="F1183" s="207"/>
      <c r="G1183" s="207"/>
      <c r="H1183" s="207"/>
      <c r="I1183" s="207"/>
      <c r="J1183" s="207"/>
      <c r="K1183" s="207"/>
      <c r="L1183" s="207"/>
      <c r="M1183" s="207"/>
      <c r="N1183" s="207"/>
      <c r="O1183" s="16"/>
      <c r="P1183" s="1037"/>
      <c r="Q1183" s="1037"/>
      <c r="R1183" s="1037"/>
      <c r="S1183" s="1037"/>
      <c r="AA1183" s="608"/>
    </row>
    <row r="1184" spans="1:27" x14ac:dyDescent="0.2">
      <c r="B1184" s="207"/>
      <c r="C1184" s="14"/>
      <c r="D1184" s="14" t="s">
        <v>12</v>
      </c>
      <c r="E1184" s="1375" t="str">
        <f>Translations!$B$701</f>
        <v>Identyfikacja produktów wchodzących w zakres tej podinstalacji objętej wskaźnikiem emisyjności dla produktów</v>
      </c>
      <c r="F1184" s="1370"/>
      <c r="G1184" s="1370"/>
      <c r="H1184" s="1370"/>
      <c r="I1184" s="1370"/>
      <c r="J1184" s="1370"/>
      <c r="K1184" s="1370"/>
      <c r="L1184" s="1370"/>
      <c r="M1184" s="1370"/>
      <c r="N1184" s="1370"/>
      <c r="O1184" s="16"/>
      <c r="P1184" s="1037"/>
      <c r="R1184" s="1037"/>
      <c r="S1184" s="1037"/>
      <c r="AA1184" s="608"/>
    </row>
    <row r="1185" spans="2:27" x14ac:dyDescent="0.2">
      <c r="B1185" s="207"/>
      <c r="C1185" s="16"/>
      <c r="D1185" s="16"/>
      <c r="E1185" s="1408" t="str">
        <f>Translations!$B$704</f>
        <v>Wykaz kodów PRODCOM 2010 jest dostępny pod adresem:</v>
      </c>
      <c r="F1185" s="1370"/>
      <c r="G1185" s="1370"/>
      <c r="H1185" s="1370"/>
      <c r="I1185" s="1370"/>
      <c r="J1185" s="1370"/>
      <c r="K1185" s="1370"/>
      <c r="L1185" s="1370"/>
      <c r="M1185" s="1370"/>
      <c r="N1185" s="1370"/>
      <c r="O1185" s="16"/>
      <c r="P1185" s="1037"/>
      <c r="R1185" s="1037"/>
      <c r="S1185" s="1037"/>
      <c r="AA1185" s="608"/>
    </row>
    <row r="1186" spans="2:27" x14ac:dyDescent="0.2">
      <c r="B1186" s="207"/>
      <c r="C1186" s="16"/>
      <c r="D1186" s="16"/>
      <c r="E1186" s="1795" t="str">
        <f>Translations!$B$705</f>
        <v>http://ec.europa.eu/eurostat/ramon/nomenclatures/index.cfm?TargetUrl=LST_CLS_DLD&amp;StrNom=PRD_2010&amp;StrLanguageCode=EN&amp;StrLayoutCode=HIERARCHIChttp://ec.europa.eu/eurostat/ramon/nomenclatures/index.cfm?TargetUrl=LST_CLS_DLD&amp;StrNom=PRD_2010&amp;StrLanguageCode=EN&amp;StrLayoutCode=HIERARCHIC</v>
      </c>
      <c r="F1186" s="1663"/>
      <c r="G1186" s="1663"/>
      <c r="H1186" s="1663"/>
      <c r="I1186" s="1663"/>
      <c r="J1186" s="1663"/>
      <c r="K1186" s="1663"/>
      <c r="L1186" s="1663"/>
      <c r="M1186" s="1663"/>
      <c r="N1186" s="1663"/>
      <c r="O1186" s="16"/>
      <c r="P1186" s="1037"/>
      <c r="R1186" s="1037"/>
      <c r="S1186" s="1037"/>
      <c r="AA1186" s="608"/>
    </row>
    <row r="1187" spans="2:27" ht="5.0999999999999996" customHeight="1" x14ac:dyDescent="0.2">
      <c r="B1187" s="207"/>
      <c r="C1187" s="207"/>
      <c r="D1187" s="207"/>
      <c r="E1187" s="207"/>
      <c r="F1187" s="207"/>
      <c r="G1187" s="207"/>
      <c r="H1187" s="207"/>
      <c r="I1187" s="207"/>
      <c r="J1187" s="207"/>
      <c r="K1187" s="207"/>
      <c r="L1187" s="207"/>
      <c r="M1187" s="207"/>
      <c r="N1187" s="207"/>
      <c r="O1187" s="16"/>
      <c r="P1187" s="1037"/>
      <c r="Q1187" s="1037"/>
      <c r="R1187" s="1037"/>
      <c r="S1187" s="1037"/>
      <c r="AA1187" s="608"/>
    </row>
    <row r="1188" spans="2:27" x14ac:dyDescent="0.2">
      <c r="B1188" s="207"/>
      <c r="C1188" s="14"/>
      <c r="D1188" s="14" t="s">
        <v>13</v>
      </c>
      <c r="E1188" s="1375" t="str">
        <f>Translations!$B$706</f>
        <v>Poszczególne poziomy wytwarzanych produktów wchodzących w zakres tej podinstalacji objętej wskaźnikiem emisyjności dla produktów</v>
      </c>
      <c r="F1188" s="1370"/>
      <c r="G1188" s="1370"/>
      <c r="H1188" s="1370"/>
      <c r="I1188" s="1370"/>
      <c r="J1188" s="1370"/>
      <c r="K1188" s="1370"/>
      <c r="L1188" s="1370"/>
      <c r="M1188" s="1370"/>
      <c r="N1188" s="1370"/>
      <c r="O1188" s="16"/>
      <c r="P1188" s="1037"/>
      <c r="R1188" s="1037"/>
      <c r="S1188" s="1037"/>
      <c r="AA1188" s="608"/>
    </row>
    <row r="1189" spans="2:27" ht="5.0999999999999996" customHeight="1" x14ac:dyDescent="0.2">
      <c r="B1189" s="207"/>
      <c r="C1189" s="207"/>
      <c r="D1189" s="16"/>
      <c r="E1189" s="17"/>
      <c r="F1189" s="17"/>
      <c r="G1189" s="17"/>
      <c r="H1189" s="17"/>
      <c r="I1189" s="17"/>
      <c r="J1189" s="21"/>
      <c r="K1189" s="21"/>
      <c r="L1189" s="21"/>
      <c r="M1189" s="16"/>
      <c r="N1189" s="16"/>
      <c r="O1189" s="16"/>
      <c r="P1189" s="1037"/>
      <c r="R1189" s="1037"/>
      <c r="S1189" s="1037"/>
      <c r="AA1189" s="608"/>
    </row>
    <row r="1190" spans="2:27" ht="25.5" customHeight="1" x14ac:dyDescent="0.2">
      <c r="B1190" s="20"/>
      <c r="C1190" s="20"/>
      <c r="D1190" s="344"/>
      <c r="E1190" s="399" t="s">
        <v>386</v>
      </c>
      <c r="F1190" s="1789" t="str">
        <f>Translations!$B$707</f>
        <v>Nazwa produktu lub grupy produktów</v>
      </c>
      <c r="G1190" s="1790"/>
      <c r="H1190" s="1055" t="str">
        <f>EUconst_Unit</f>
        <v>Jednostka</v>
      </c>
      <c r="I1190" s="396">
        <f>I$1882</f>
        <v>2014</v>
      </c>
      <c r="J1190" s="396">
        <f>J$1882</f>
        <v>2015</v>
      </c>
      <c r="K1190" s="396">
        <f>K$1882</f>
        <v>2016</v>
      </c>
      <c r="L1190" s="396">
        <f>L$1882</f>
        <v>2017</v>
      </c>
      <c r="M1190" s="396">
        <f>M$1882</f>
        <v>2018</v>
      </c>
      <c r="N1190" s="16"/>
      <c r="O1190" s="16"/>
      <c r="R1190" s="1037"/>
      <c r="S1190" s="1037"/>
      <c r="AA1190" s="608"/>
    </row>
    <row r="1191" spans="2:27" x14ac:dyDescent="0.2">
      <c r="B1191" s="20"/>
      <c r="C1191" s="20"/>
      <c r="D1191" s="37">
        <v>1</v>
      </c>
      <c r="E1191" s="1245"/>
      <c r="F1191" s="1791"/>
      <c r="G1191" s="1792"/>
      <c r="H1191" s="804"/>
      <c r="I1191" s="472"/>
      <c r="J1191" s="472"/>
      <c r="K1191" s="472"/>
      <c r="L1191" s="472"/>
      <c r="M1191" s="472"/>
      <c r="N1191" s="16"/>
      <c r="O1191" s="16"/>
      <c r="R1191" s="1037"/>
      <c r="S1191" s="1037"/>
      <c r="AA1191" s="345" t="b">
        <f>AA1178</f>
        <v>1</v>
      </c>
    </row>
    <row r="1192" spans="2:27" x14ac:dyDescent="0.2">
      <c r="B1192" s="20"/>
      <c r="C1192" s="20"/>
      <c r="D1192" s="38">
        <f>D1191+1</f>
        <v>2</v>
      </c>
      <c r="E1192" s="1246"/>
      <c r="F1192" s="1793"/>
      <c r="G1192" s="1794"/>
      <c r="H1192" s="564"/>
      <c r="I1192" s="548"/>
      <c r="J1192" s="548"/>
      <c r="K1192" s="548"/>
      <c r="L1192" s="548"/>
      <c r="M1192" s="548"/>
      <c r="N1192" s="16"/>
      <c r="O1192" s="16"/>
      <c r="R1192" s="1037"/>
      <c r="S1192" s="1037"/>
      <c r="AA1192" s="345" t="b">
        <f>AA1191</f>
        <v>1</v>
      </c>
    </row>
    <row r="1193" spans="2:27" x14ac:dyDescent="0.2">
      <c r="B1193" s="20"/>
      <c r="C1193" s="20"/>
      <c r="D1193" s="38">
        <f t="shared" ref="D1193:D1200" si="26">D1192+1</f>
        <v>3</v>
      </c>
      <c r="E1193" s="1246"/>
      <c r="F1193" s="1784"/>
      <c r="G1193" s="1785"/>
      <c r="H1193" s="564"/>
      <c r="I1193" s="548"/>
      <c r="J1193" s="548"/>
      <c r="K1193" s="548"/>
      <c r="L1193" s="548"/>
      <c r="M1193" s="548"/>
      <c r="N1193" s="16"/>
      <c r="O1193" s="16"/>
      <c r="R1193" s="1037"/>
      <c r="S1193" s="1037"/>
      <c r="AA1193" s="345" t="b">
        <f t="shared" ref="AA1193:AA1201" si="27">AA1192</f>
        <v>1</v>
      </c>
    </row>
    <row r="1194" spans="2:27" x14ac:dyDescent="0.2">
      <c r="B1194" s="20"/>
      <c r="C1194" s="20"/>
      <c r="D1194" s="38">
        <f t="shared" si="26"/>
        <v>4</v>
      </c>
      <c r="E1194" s="1246"/>
      <c r="F1194" s="1784"/>
      <c r="G1194" s="1785"/>
      <c r="H1194" s="564"/>
      <c r="I1194" s="548"/>
      <c r="J1194" s="548"/>
      <c r="K1194" s="548"/>
      <c r="L1194" s="548"/>
      <c r="M1194" s="548"/>
      <c r="N1194" s="16"/>
      <c r="O1194" s="16"/>
      <c r="R1194" s="1037"/>
      <c r="S1194" s="1037"/>
      <c r="AA1194" s="345" t="b">
        <f t="shared" si="27"/>
        <v>1</v>
      </c>
    </row>
    <row r="1195" spans="2:27" x14ac:dyDescent="0.2">
      <c r="B1195" s="20"/>
      <c r="C1195" s="20"/>
      <c r="D1195" s="38">
        <f t="shared" si="26"/>
        <v>5</v>
      </c>
      <c r="E1195" s="1246"/>
      <c r="F1195" s="1784"/>
      <c r="G1195" s="1785"/>
      <c r="H1195" s="564"/>
      <c r="I1195" s="548"/>
      <c r="J1195" s="548"/>
      <c r="K1195" s="548"/>
      <c r="L1195" s="548"/>
      <c r="M1195" s="548"/>
      <c r="N1195" s="16"/>
      <c r="O1195" s="16"/>
      <c r="R1195" s="1037"/>
      <c r="S1195" s="1037"/>
      <c r="AA1195" s="345" t="b">
        <f t="shared" si="27"/>
        <v>1</v>
      </c>
    </row>
    <row r="1196" spans="2:27" x14ac:dyDescent="0.2">
      <c r="B1196" s="20"/>
      <c r="C1196" s="20"/>
      <c r="D1196" s="38">
        <f t="shared" si="26"/>
        <v>6</v>
      </c>
      <c r="E1196" s="1246"/>
      <c r="F1196" s="1784"/>
      <c r="G1196" s="1785"/>
      <c r="H1196" s="564"/>
      <c r="I1196" s="548"/>
      <c r="J1196" s="548"/>
      <c r="K1196" s="548"/>
      <c r="L1196" s="548"/>
      <c r="M1196" s="548"/>
      <c r="N1196" s="16"/>
      <c r="O1196" s="16"/>
      <c r="R1196" s="1037"/>
      <c r="S1196" s="1037"/>
      <c r="AA1196" s="345" t="b">
        <f t="shared" si="27"/>
        <v>1</v>
      </c>
    </row>
    <row r="1197" spans="2:27" x14ac:dyDescent="0.2">
      <c r="B1197" s="20"/>
      <c r="C1197" s="20"/>
      <c r="D1197" s="38">
        <f t="shared" si="26"/>
        <v>7</v>
      </c>
      <c r="E1197" s="1246"/>
      <c r="F1197" s="1784"/>
      <c r="G1197" s="1785"/>
      <c r="H1197" s="564"/>
      <c r="I1197" s="548"/>
      <c r="J1197" s="548"/>
      <c r="K1197" s="548"/>
      <c r="L1197" s="548"/>
      <c r="M1197" s="548"/>
      <c r="N1197" s="16"/>
      <c r="O1197" s="16"/>
      <c r="R1197" s="1037"/>
      <c r="S1197" s="1037"/>
      <c r="AA1197" s="345" t="b">
        <f t="shared" si="27"/>
        <v>1</v>
      </c>
    </row>
    <row r="1198" spans="2:27" x14ac:dyDescent="0.2">
      <c r="B1198" s="20"/>
      <c r="C1198" s="20"/>
      <c r="D1198" s="38">
        <f t="shared" si="26"/>
        <v>8</v>
      </c>
      <c r="E1198" s="1246"/>
      <c r="F1198" s="1784"/>
      <c r="G1198" s="1785"/>
      <c r="H1198" s="564"/>
      <c r="I1198" s="548"/>
      <c r="J1198" s="548"/>
      <c r="K1198" s="548"/>
      <c r="L1198" s="548"/>
      <c r="M1198" s="548"/>
      <c r="N1198" s="16"/>
      <c r="O1198" s="16"/>
      <c r="R1198" s="1037"/>
      <c r="S1198" s="1037"/>
      <c r="AA1198" s="345" t="b">
        <f t="shared" si="27"/>
        <v>1</v>
      </c>
    </row>
    <row r="1199" spans="2:27" x14ac:dyDescent="0.2">
      <c r="B1199" s="20"/>
      <c r="C1199" s="20"/>
      <c r="D1199" s="38">
        <f t="shared" si="26"/>
        <v>9</v>
      </c>
      <c r="E1199" s="1246"/>
      <c r="F1199" s="1784"/>
      <c r="G1199" s="1785"/>
      <c r="H1199" s="564"/>
      <c r="I1199" s="548"/>
      <c r="J1199" s="548"/>
      <c r="K1199" s="548"/>
      <c r="L1199" s="548"/>
      <c r="M1199" s="548"/>
      <c r="N1199" s="16"/>
      <c r="O1199" s="16"/>
      <c r="R1199" s="1037"/>
      <c r="S1199" s="1037"/>
      <c r="AA1199" s="345" t="b">
        <f t="shared" si="27"/>
        <v>1</v>
      </c>
    </row>
    <row r="1200" spans="2:27" x14ac:dyDescent="0.2">
      <c r="B1200" s="20"/>
      <c r="C1200" s="20"/>
      <c r="D1200" s="41">
        <f t="shared" si="26"/>
        <v>10</v>
      </c>
      <c r="E1200" s="1247"/>
      <c r="F1200" s="1786"/>
      <c r="G1200" s="1787"/>
      <c r="H1200" s="565"/>
      <c r="I1200" s="446"/>
      <c r="J1200" s="446"/>
      <c r="K1200" s="446"/>
      <c r="L1200" s="446"/>
      <c r="M1200" s="446"/>
      <c r="N1200" s="16"/>
      <c r="O1200" s="16"/>
      <c r="R1200" s="1037"/>
      <c r="S1200" s="1037"/>
      <c r="AA1200" s="345" t="b">
        <f t="shared" si="27"/>
        <v>1</v>
      </c>
    </row>
    <row r="1201" spans="2:27" ht="12.75" customHeight="1" thickBot="1" x14ac:dyDescent="0.25">
      <c r="B1201" s="20"/>
      <c r="C1201" s="20"/>
      <c r="D1201" s="97"/>
      <c r="E1201" s="1788" t="str">
        <f>Translations!$B$708</f>
        <v>Suma poziomów produkcji</v>
      </c>
      <c r="F1201" s="1788"/>
      <c r="G1201" s="1788"/>
      <c r="H1201" s="737"/>
      <c r="I1201" s="327" t="str">
        <f>IF(COUNT(I1191:I1200)&gt;0,SUM(I1191:I1200),"")</f>
        <v/>
      </c>
      <c r="J1201" s="327" t="str">
        <f>IF(COUNT(J1191:J1200)&gt;0,SUM(J1191:J1200),"")</f>
        <v/>
      </c>
      <c r="K1201" s="327" t="str">
        <f>IF(COUNT(K1191:K1200)&gt;0,SUM(K1191:K1200),"")</f>
        <v/>
      </c>
      <c r="L1201" s="327" t="str">
        <f>IF(COUNT(L1191:L1200)&gt;0,SUM(L1191:L1200),"")</f>
        <v/>
      </c>
      <c r="M1201" s="327" t="str">
        <f>IF(COUNT(M1191:M1200)&gt;0,SUM(M1191:M1200),"")</f>
        <v/>
      </c>
      <c r="N1201" s="16"/>
      <c r="O1201" s="16"/>
      <c r="R1201" s="1037"/>
      <c r="S1201" s="1037"/>
      <c r="AA1201" s="168" t="b">
        <f t="shared" si="27"/>
        <v>1</v>
      </c>
    </row>
    <row r="1202" spans="2:27" ht="12.75" customHeight="1" thickBot="1" x14ac:dyDescent="0.25">
      <c r="B1202" s="207"/>
      <c r="C1202" s="207"/>
      <c r="D1202" s="207"/>
      <c r="E1202" s="207"/>
      <c r="F1202" s="207"/>
      <c r="G1202" s="207"/>
      <c r="H1202" s="207"/>
      <c r="I1202" s="207"/>
      <c r="J1202" s="207"/>
      <c r="K1202" s="207"/>
      <c r="L1202" s="207"/>
      <c r="M1202" s="16"/>
      <c r="N1202" s="16"/>
      <c r="O1202" s="16"/>
      <c r="P1202" s="1037"/>
      <c r="R1202" s="1037"/>
      <c r="S1202" s="1037"/>
    </row>
    <row r="1203" spans="2:27" ht="5.0999999999999996" customHeight="1" x14ac:dyDescent="0.2">
      <c r="B1203" s="207"/>
      <c r="C1203" s="1056"/>
      <c r="D1203" s="1057"/>
      <c r="E1203" s="1057"/>
      <c r="F1203" s="1057"/>
      <c r="G1203" s="1057"/>
      <c r="H1203" s="1057"/>
      <c r="I1203" s="1057"/>
      <c r="J1203" s="1057"/>
      <c r="K1203" s="1057"/>
      <c r="L1203" s="1057"/>
      <c r="M1203" s="1058"/>
      <c r="N1203" s="1059"/>
      <c r="O1203" s="16"/>
      <c r="P1203" s="1037"/>
      <c r="R1203" s="1037"/>
      <c r="S1203" s="1037"/>
    </row>
    <row r="1204" spans="2:27" ht="15" customHeight="1" x14ac:dyDescent="0.2">
      <c r="B1204" s="20"/>
      <c r="C1204" s="1060"/>
      <c r="D1204" s="1776" t="str">
        <f>Translations!$B$709</f>
        <v>Dane wymagane do określenia współczynnika poprawy wskaźników zgodnie z art. 10a ust. 2 dyrektywy w sprawie EU ETS</v>
      </c>
      <c r="E1204" s="1734"/>
      <c r="F1204" s="1734"/>
      <c r="G1204" s="1734"/>
      <c r="H1204" s="1734"/>
      <c r="I1204" s="1734"/>
      <c r="J1204" s="1734"/>
      <c r="K1204" s="1734"/>
      <c r="L1204" s="1734"/>
      <c r="M1204" s="1734"/>
      <c r="N1204" s="1735"/>
      <c r="O1204" s="16"/>
      <c r="R1204" s="1037"/>
      <c r="S1204" s="1037"/>
    </row>
    <row r="1205" spans="2:27" ht="5.0999999999999996" customHeight="1" x14ac:dyDescent="0.2">
      <c r="B1205" s="20"/>
      <c r="C1205" s="460"/>
      <c r="D1205" s="449"/>
      <c r="E1205" s="449"/>
      <c r="F1205" s="449"/>
      <c r="G1205" s="449"/>
      <c r="H1205" s="449"/>
      <c r="I1205" s="449"/>
      <c r="J1205" s="449"/>
      <c r="K1205" s="449"/>
      <c r="L1205" s="449"/>
      <c r="M1205" s="449"/>
      <c r="N1205" s="461"/>
      <c r="O1205" s="16"/>
      <c r="R1205" s="1037"/>
      <c r="S1205" s="1037"/>
    </row>
    <row r="1206" spans="2:27" ht="15" customHeight="1" x14ac:dyDescent="0.2">
      <c r="B1206" s="20"/>
      <c r="C1206" s="460"/>
      <c r="D1206" s="1778" t="str">
        <f>EUconst_BMSubinst &amp; ":"</f>
        <v>Podinstalacja i wskaźnik emisyjności dla produktów:</v>
      </c>
      <c r="E1206" s="1779"/>
      <c r="F1206" s="1779"/>
      <c r="G1206" s="1779"/>
      <c r="H1206" s="1780"/>
      <c r="I1206" s="1781" t="str">
        <f>I1153</f>
        <v/>
      </c>
      <c r="J1206" s="1666"/>
      <c r="K1206" s="1666"/>
      <c r="L1206" s="1666"/>
      <c r="M1206" s="1666"/>
      <c r="N1206" s="1782"/>
      <c r="O1206" s="16"/>
      <c r="R1206" s="1037"/>
      <c r="S1206" s="1037"/>
    </row>
    <row r="1207" spans="2:27" ht="5.0999999999999996" customHeight="1" x14ac:dyDescent="0.2">
      <c r="B1207" s="20"/>
      <c r="C1207" s="460"/>
      <c r="D1207" s="449"/>
      <c r="E1207" s="449"/>
      <c r="F1207" s="449"/>
      <c r="G1207" s="449"/>
      <c r="H1207" s="449"/>
      <c r="I1207" s="449"/>
      <c r="J1207" s="449"/>
      <c r="K1207" s="449"/>
      <c r="L1207" s="449"/>
      <c r="M1207" s="449"/>
      <c r="N1207" s="461"/>
      <c r="O1207" s="16"/>
      <c r="R1207" s="1037"/>
      <c r="S1207" s="1037"/>
    </row>
    <row r="1208" spans="2:27" ht="15" customHeight="1" x14ac:dyDescent="0.2">
      <c r="B1208" s="207"/>
      <c r="C1208" s="1060"/>
      <c r="D1208" s="1061"/>
      <c r="E1208" s="1783" t="str">
        <f>Translations!$B$714</f>
        <v>Po dokonaniu poniższych wpisów emisje, które można przypisać, są obliczane w części K.III.2 arkusza podsumowania.</v>
      </c>
      <c r="F1208" s="1783"/>
      <c r="G1208" s="1783"/>
      <c r="H1208" s="1783"/>
      <c r="I1208" s="1783"/>
      <c r="J1208" s="1783"/>
      <c r="K1208" s="1783"/>
      <c r="L1208" s="1783"/>
      <c r="M1208" s="1783"/>
      <c r="N1208" s="702"/>
      <c r="O1208" s="16"/>
      <c r="P1208" s="1037"/>
    </row>
    <row r="1209" spans="2:27" ht="5.0999999999999996" customHeight="1" x14ac:dyDescent="0.2">
      <c r="B1209" s="20"/>
      <c r="C1209" s="460"/>
      <c r="D1209" s="449"/>
      <c r="E1209" s="449"/>
      <c r="F1209" s="449"/>
      <c r="G1209" s="449"/>
      <c r="H1209" s="449"/>
      <c r="I1209" s="449"/>
      <c r="J1209" s="449"/>
      <c r="K1209" s="449"/>
      <c r="L1209" s="449"/>
      <c r="M1209" s="449"/>
      <c r="N1209" s="461"/>
      <c r="O1209" s="16"/>
      <c r="R1209" s="1037"/>
      <c r="S1209" s="1037"/>
    </row>
    <row r="1210" spans="2:27" ht="12.75" customHeight="1" x14ac:dyDescent="0.2">
      <c r="B1210" s="207"/>
      <c r="C1210" s="1060"/>
      <c r="D1210" s="462" t="s">
        <v>87</v>
      </c>
      <c r="E1210" s="1731" t="str">
        <f>Translations!$B$715</f>
        <v>Emisje, które można bezpośrednio przypisać (DirEm* (plan monitorowania strumieni materiałów wsadowych)) do tej podinstalacji</v>
      </c>
      <c r="F1210" s="1734"/>
      <c r="G1210" s="1734"/>
      <c r="H1210" s="1734"/>
      <c r="I1210" s="1734"/>
      <c r="J1210" s="1734"/>
      <c r="K1210" s="1734"/>
      <c r="L1210" s="1734"/>
      <c r="M1210" s="1734"/>
      <c r="N1210" s="1735"/>
      <c r="O1210" s="16"/>
      <c r="P1210" s="1037"/>
      <c r="R1210" s="1037"/>
      <c r="S1210" s="1037"/>
    </row>
    <row r="1211" spans="2:27" ht="12.75" customHeight="1" thickBot="1" x14ac:dyDescent="0.25">
      <c r="B1211" s="207"/>
      <c r="C1211" s="1060"/>
      <c r="D1211" s="1061"/>
      <c r="E1211" s="1745"/>
      <c r="F1211" s="1745"/>
      <c r="G1211" s="1745"/>
      <c r="H1211" s="1745"/>
      <c r="I1211" s="1745"/>
      <c r="J1211" s="1745"/>
      <c r="K1211" s="1745"/>
      <c r="L1211" s="1745"/>
      <c r="M1211" s="1745"/>
      <c r="N1211" s="1746"/>
      <c r="O1211" s="16"/>
      <c r="P1211" s="1037"/>
      <c r="R1211" s="1037"/>
    </row>
    <row r="1212" spans="2:27" ht="12.75" customHeight="1" x14ac:dyDescent="0.2">
      <c r="B1212" s="207"/>
      <c r="C1212" s="1060"/>
      <c r="D1212" s="462"/>
      <c r="E1212" s="1757" t="str">
        <f>Translations!$B$725</f>
        <v>Emisje, które można bezpośrednio przypisać (DirEm*)</v>
      </c>
      <c r="F1212" s="1758"/>
      <c r="G1212" s="1758"/>
      <c r="H1212" s="450" t="str">
        <f>EUconst_Unit</f>
        <v>Jednostka</v>
      </c>
      <c r="I1212" s="451">
        <f>I$1882</f>
        <v>2014</v>
      </c>
      <c r="J1212" s="451">
        <f>J$1882</f>
        <v>2015</v>
      </c>
      <c r="K1212" s="451">
        <f>K$1882</f>
        <v>2016</v>
      </c>
      <c r="L1212" s="451">
        <f>L$1882</f>
        <v>2017</v>
      </c>
      <c r="M1212" s="451">
        <f>M$1882</f>
        <v>2018</v>
      </c>
      <c r="N1212" s="665"/>
      <c r="O1212" s="16"/>
      <c r="P1212" s="1037"/>
      <c r="R1212" s="1052"/>
      <c r="S1212" s="814">
        <f>I1212</f>
        <v>2014</v>
      </c>
      <c r="T1212" s="814">
        <f>J1212</f>
        <v>2015</v>
      </c>
      <c r="U1212" s="814">
        <f>K1212</f>
        <v>2016</v>
      </c>
      <c r="V1212" s="814">
        <f>L1212</f>
        <v>2017</v>
      </c>
      <c r="W1212" s="815">
        <f>M1212</f>
        <v>2018</v>
      </c>
    </row>
    <row r="1213" spans="2:27" ht="12.75" customHeight="1" thickBot="1" x14ac:dyDescent="0.25">
      <c r="B1213" s="207"/>
      <c r="C1213" s="1060"/>
      <c r="D1213" s="1061"/>
      <c r="E1213" s="1762" t="str">
        <f>I1153</f>
        <v/>
      </c>
      <c r="F1213" s="1762"/>
      <c r="G1213" s="1762"/>
      <c r="H1213" s="452" t="str">
        <f>EUconst_tCO2epa</f>
        <v>t CO2e/rok</v>
      </c>
      <c r="I1213" s="313"/>
      <c r="J1213" s="313"/>
      <c r="K1213" s="313"/>
      <c r="L1213" s="313"/>
      <c r="M1213" s="313"/>
      <c r="N1213" s="665"/>
      <c r="O1213" s="16"/>
      <c r="P1213" s="1062" t="str">
        <f>EUconst_CNTR_Emissions &amp; I1153</f>
        <v>DirEmissions_</v>
      </c>
      <c r="R1213" s="1053" t="str">
        <f>EUconst_CNTR_AttributedEmissions &amp; I1153</f>
        <v>AttrEmissions_</v>
      </c>
      <c r="S1213" s="119" t="str">
        <f>IF(S1153,SUM(I1213),"")</f>
        <v/>
      </c>
      <c r="T1213" s="119" t="str">
        <f>IF(T1153,SUM(J1213),"")</f>
        <v/>
      </c>
      <c r="U1213" s="119" t="str">
        <f>IF(U1153,SUM(K1213),"")</f>
        <v/>
      </c>
      <c r="V1213" s="119" t="str">
        <f>IF(V1153,SUM(L1213),"")</f>
        <v/>
      </c>
      <c r="W1213" s="120" t="str">
        <f>IF(W1153,SUM(M1213),"")</f>
        <v/>
      </c>
    </row>
    <row r="1214" spans="2:27" ht="12.75" customHeight="1" x14ac:dyDescent="0.2">
      <c r="B1214" s="207"/>
      <c r="C1214" s="1060"/>
      <c r="D1214" s="1061"/>
      <c r="E1214" s="1061"/>
      <c r="F1214" s="1061"/>
      <c r="G1214" s="1061"/>
      <c r="H1214" s="1061"/>
      <c r="I1214" s="1061"/>
      <c r="J1214" s="1061"/>
      <c r="K1214" s="1061"/>
      <c r="L1214" s="1061"/>
      <c r="M1214" s="1063"/>
      <c r="N1214" s="665"/>
      <c r="O1214" s="16"/>
      <c r="P1214" s="1037"/>
      <c r="R1214" s="1037"/>
    </row>
    <row r="1215" spans="2:27" ht="12.75" customHeight="1" x14ac:dyDescent="0.2">
      <c r="B1215" s="207"/>
      <c r="C1215" s="1060"/>
      <c r="D1215" s="462" t="s">
        <v>88</v>
      </c>
      <c r="E1215" s="1760" t="str">
        <f>Translations!$B$726</f>
        <v>Wsad paliwa do tej podinstalacji oraz odpowiedni współczynnik emisji</v>
      </c>
      <c r="F1215" s="1760"/>
      <c r="G1215" s="1760"/>
      <c r="H1215" s="1760"/>
      <c r="I1215" s="1760"/>
      <c r="J1215" s="1760"/>
      <c r="K1215" s="1760"/>
      <c r="L1215" s="1760"/>
      <c r="M1215" s="1760"/>
      <c r="N1215" s="1761"/>
      <c r="O1215" s="16"/>
      <c r="P1215" s="1037"/>
      <c r="Q1215" s="1037"/>
      <c r="R1215" s="1037"/>
    </row>
    <row r="1216" spans="2:27" ht="12.75" customHeight="1" x14ac:dyDescent="0.2">
      <c r="B1216" s="207"/>
      <c r="C1216" s="1060"/>
      <c r="D1216" s="462"/>
      <c r="E1216" s="1757"/>
      <c r="F1216" s="1758"/>
      <c r="G1216" s="1758"/>
      <c r="H1216" s="450" t="str">
        <f>EUconst_Unit</f>
        <v>Jednostka</v>
      </c>
      <c r="I1216" s="451">
        <f>I$1882</f>
        <v>2014</v>
      </c>
      <c r="J1216" s="451">
        <f>J$1882</f>
        <v>2015</v>
      </c>
      <c r="K1216" s="451">
        <f>K$1882</f>
        <v>2016</v>
      </c>
      <c r="L1216" s="451">
        <f>L$1882</f>
        <v>2017</v>
      </c>
      <c r="M1216" s="451">
        <f>M$1882</f>
        <v>2018</v>
      </c>
      <c r="N1216" s="665"/>
      <c r="O1216" s="16"/>
      <c r="P1216" s="1037"/>
      <c r="R1216" s="1037"/>
    </row>
    <row r="1217" spans="2:27" ht="12.75" customHeight="1" x14ac:dyDescent="0.2">
      <c r="B1217" s="207"/>
      <c r="C1217" s="1060"/>
      <c r="D1217" s="699" t="s">
        <v>2</v>
      </c>
      <c r="E1217" s="1739" t="str">
        <f>Translations!$B$731</f>
        <v>Wsad paliwa</v>
      </c>
      <c r="F1217" s="1740"/>
      <c r="G1217" s="1740"/>
      <c r="H1217" s="453" t="str">
        <f>EUconst_TJpa</f>
        <v>TJ / rok</v>
      </c>
      <c r="I1217" s="313"/>
      <c r="J1217" s="313"/>
      <c r="K1217" s="313"/>
      <c r="L1217" s="313"/>
      <c r="M1217" s="313"/>
      <c r="N1217" s="702"/>
      <c r="O1217" s="16"/>
      <c r="P1217" s="1062" t="str">
        <f>EUconst_CNTR_FuelInput &amp; I1153</f>
        <v>FuelInput_</v>
      </c>
      <c r="R1217" s="1037"/>
    </row>
    <row r="1218" spans="2:27" ht="12.75" customHeight="1" x14ac:dyDescent="0.2">
      <c r="B1218" s="207"/>
      <c r="C1218" s="1060"/>
      <c r="D1218" s="699" t="s">
        <v>3</v>
      </c>
      <c r="E1218" s="1772" t="str">
        <f>Translations!$B$732</f>
        <v>Ważony współczynnik emisji</v>
      </c>
      <c r="F1218" s="1773"/>
      <c r="G1218" s="1773"/>
      <c r="H1218" s="569" t="str">
        <f>EUconst_tCO2pTJ</f>
        <v>t CO2 / TJ</v>
      </c>
      <c r="I1218" s="323"/>
      <c r="J1218" s="323"/>
      <c r="K1218" s="323"/>
      <c r="L1218" s="323"/>
      <c r="M1218" s="323"/>
      <c r="N1218" s="665"/>
      <c r="O1218" s="16"/>
      <c r="P1218" s="1062" t="str">
        <f>EUconst_CNTR_FuelEF &amp; I1153</f>
        <v>FuelEF_</v>
      </c>
      <c r="R1218" s="1037"/>
    </row>
    <row r="1219" spans="2:27" ht="12.75" customHeight="1" x14ac:dyDescent="0.2">
      <c r="B1219" s="207"/>
      <c r="C1219" s="1060"/>
      <c r="D1219" s="1061"/>
      <c r="E1219" s="1061"/>
      <c r="F1219" s="1061"/>
      <c r="G1219" s="1061"/>
      <c r="H1219" s="1061"/>
      <c r="I1219" s="1061"/>
      <c r="J1219" s="1061"/>
      <c r="K1219" s="1061"/>
      <c r="L1219" s="1061"/>
      <c r="M1219" s="1063"/>
      <c r="N1219" s="665"/>
      <c r="O1219" s="16"/>
      <c r="P1219" s="1037"/>
      <c r="R1219" s="1037"/>
    </row>
    <row r="1220" spans="2:27" ht="12.75" customHeight="1" thickBot="1" x14ac:dyDescent="0.25">
      <c r="B1220" s="207"/>
      <c r="C1220" s="1060"/>
      <c r="D1220" s="462" t="s">
        <v>89</v>
      </c>
      <c r="E1220" s="1760" t="str">
        <f>Translations!$B$733</f>
        <v>Dalsze wewnętrzne strumienie materiałów wsadowych wprowadzane do tej podinstalacji lub z niej wyprowadzane</v>
      </c>
      <c r="F1220" s="1760"/>
      <c r="G1220" s="1760"/>
      <c r="H1220" s="1760"/>
      <c r="I1220" s="1760"/>
      <c r="J1220" s="1760"/>
      <c r="K1220" s="1760"/>
      <c r="L1220" s="1760"/>
      <c r="M1220" s="1760"/>
      <c r="N1220" s="1761"/>
      <c r="O1220" s="16"/>
      <c r="P1220" s="1037"/>
      <c r="Q1220" s="1037"/>
      <c r="R1220" s="1037"/>
    </row>
    <row r="1221" spans="2:27" ht="12.75" customHeight="1" thickBot="1" x14ac:dyDescent="0.25">
      <c r="B1221" s="207"/>
      <c r="C1221" s="1060"/>
      <c r="D1221" s="699" t="s">
        <v>2</v>
      </c>
      <c r="E1221" s="1755" t="str">
        <f>Translations!$B$739</f>
        <v>Czy tej podinstalacji dotyczy więcej wprowadzonych lub wyprowadzonych wewnętrznych strumieni materiałów wsadowych?</v>
      </c>
      <c r="F1221" s="1755"/>
      <c r="G1221" s="1755"/>
      <c r="H1221" s="1755"/>
      <c r="I1221" s="1755"/>
      <c r="J1221" s="1755"/>
      <c r="K1221" s="1756"/>
      <c r="L1221" s="517"/>
      <c r="M1221" s="1253"/>
      <c r="N1221" s="1254"/>
      <c r="O1221" s="16"/>
      <c r="P1221" s="1037"/>
      <c r="R1221" s="1037"/>
      <c r="W1221" s="1048" t="s">
        <v>414</v>
      </c>
      <c r="X1221" s="1046" t="b">
        <f>IF(AND(I1153&lt;&gt;"",ISBLANK(L1221)),EUconst_Error&amp;"BM"&amp;C1153,FALSE)</f>
        <v>0</v>
      </c>
    </row>
    <row r="1222" spans="2:27" ht="5.0999999999999996" customHeight="1" thickBot="1" x14ac:dyDescent="0.25">
      <c r="B1222" s="207"/>
      <c r="C1222" s="1060"/>
      <c r="D1222" s="1061"/>
      <c r="E1222" s="1733"/>
      <c r="F1222" s="1734"/>
      <c r="G1222" s="1734"/>
      <c r="H1222" s="1734"/>
      <c r="I1222" s="1734"/>
      <c r="J1222" s="1734"/>
      <c r="K1222" s="1734"/>
      <c r="L1222" s="1734"/>
      <c r="M1222" s="1734"/>
      <c r="N1222" s="1735"/>
      <c r="O1222" s="16"/>
      <c r="P1222" s="1037"/>
      <c r="R1222" s="1037"/>
      <c r="AA1222" s="422" t="s">
        <v>272</v>
      </c>
    </row>
    <row r="1223" spans="2:27" ht="12.75" customHeight="1" x14ac:dyDescent="0.2">
      <c r="B1223" s="207"/>
      <c r="C1223" s="1060"/>
      <c r="D1223" s="699" t="s">
        <v>3</v>
      </c>
      <c r="E1223" s="1760" t="str">
        <f>Translations!$B$741</f>
        <v>Nazwa dalszych strumieni materiałów wsadowych – 1:</v>
      </c>
      <c r="F1223" s="1760"/>
      <c r="G1223" s="1760"/>
      <c r="H1223" s="1760"/>
      <c r="I1223" s="1763"/>
      <c r="J1223" s="1764"/>
      <c r="K1223" s="1764"/>
      <c r="L1223" s="1764"/>
      <c r="M1223" s="1765"/>
      <c r="N1223" s="664"/>
      <c r="O1223" s="16"/>
      <c r="P1223" s="1037"/>
      <c r="R1223" s="1037"/>
      <c r="AA1223" s="646" t="b">
        <f>IF(I1153&lt;&gt;"",AND(L1221&lt;&gt;"",L1221=FALSE),FALSE)</f>
        <v>0</v>
      </c>
    </row>
    <row r="1224" spans="2:27" ht="5.0999999999999996" customHeight="1" x14ac:dyDescent="0.2">
      <c r="B1224" s="207"/>
      <c r="C1224" s="1060"/>
      <c r="D1224" s="1061"/>
      <c r="E1224" s="1256"/>
      <c r="F1224" s="1253"/>
      <c r="G1224" s="1253"/>
      <c r="H1224" s="1253"/>
      <c r="I1224" s="1253"/>
      <c r="J1224" s="1253"/>
      <c r="K1224" s="1253"/>
      <c r="L1224" s="1253"/>
      <c r="M1224" s="1253"/>
      <c r="N1224" s="1254"/>
      <c r="O1224" s="16"/>
      <c r="P1224" s="1037"/>
      <c r="R1224" s="1037"/>
      <c r="AA1224" s="608"/>
    </row>
    <row r="1225" spans="2:27" ht="12.75" customHeight="1" x14ac:dyDescent="0.2">
      <c r="B1225" s="207"/>
      <c r="C1225" s="1060"/>
      <c r="D1225" s="1061"/>
      <c r="E1225" s="1757" t="str">
        <f>Translations!$B$742</f>
        <v>Dalsze strumienie materiałów wsadowych – 1:</v>
      </c>
      <c r="F1225" s="1758"/>
      <c r="G1225" s="1758"/>
      <c r="H1225" s="450" t="str">
        <f>EUconst_Unit</f>
        <v>Jednostka</v>
      </c>
      <c r="I1225" s="451">
        <f>I$1882</f>
        <v>2014</v>
      </c>
      <c r="J1225" s="451">
        <f>J$1882</f>
        <v>2015</v>
      </c>
      <c r="K1225" s="451">
        <f>K$1882</f>
        <v>2016</v>
      </c>
      <c r="L1225" s="451">
        <f>L$1882</f>
        <v>2017</v>
      </c>
      <c r="M1225" s="451">
        <f>M$1882</f>
        <v>2018</v>
      </c>
      <c r="N1225" s="665"/>
      <c r="O1225" s="16"/>
      <c r="P1225" s="1037"/>
      <c r="R1225" s="1037"/>
      <c r="AA1225" s="608"/>
    </row>
    <row r="1226" spans="2:27" ht="12.75" customHeight="1" x14ac:dyDescent="0.2">
      <c r="B1226" s="207"/>
      <c r="C1226" s="1060"/>
      <c r="D1226" s="699" t="s">
        <v>4</v>
      </c>
      <c r="E1226" s="1766" t="str">
        <f>Translations!$B$743</f>
        <v>Ilość wprowadzona lub wyprowadzona</v>
      </c>
      <c r="F1226" s="1767"/>
      <c r="G1226" s="1767"/>
      <c r="H1226" s="454" t="str">
        <f>EUconst_tpa</f>
        <v>t / rok</v>
      </c>
      <c r="I1226" s="331"/>
      <c r="J1226" s="331"/>
      <c r="K1226" s="331"/>
      <c r="L1226" s="331"/>
      <c r="M1226" s="331"/>
      <c r="N1226" s="665"/>
      <c r="O1226" s="16"/>
      <c r="P1226" s="1037"/>
      <c r="R1226" s="1037"/>
      <c r="AA1226" s="345" t="b">
        <f>AA1223</f>
        <v>0</v>
      </c>
    </row>
    <row r="1227" spans="2:27" ht="12.75" customHeight="1" x14ac:dyDescent="0.2">
      <c r="B1227" s="207"/>
      <c r="C1227" s="1060"/>
      <c r="D1227" s="699" t="s">
        <v>6</v>
      </c>
      <c r="E1227" s="1771" t="str">
        <f>Translations!$B$744</f>
        <v>Wartość opałowa netto (NCV) (jeśli dotyczy)</v>
      </c>
      <c r="F1227" s="1771"/>
      <c r="G1227" s="1771"/>
      <c r="H1227" s="541" t="str">
        <f>EUconst_GJpt</f>
        <v>GJ / t</v>
      </c>
      <c r="I1227" s="330"/>
      <c r="J1227" s="330"/>
      <c r="K1227" s="330"/>
      <c r="L1227" s="330"/>
      <c r="M1227" s="330"/>
      <c r="N1227" s="665"/>
      <c r="O1227" s="16"/>
      <c r="P1227" s="1037"/>
      <c r="R1227" s="1037"/>
      <c r="AA1227" s="345" t="b">
        <f>AA1226</f>
        <v>0</v>
      </c>
    </row>
    <row r="1228" spans="2:27" ht="12.75" customHeight="1" thickBot="1" x14ac:dyDescent="0.25">
      <c r="B1228" s="207"/>
      <c r="C1228" s="1060"/>
      <c r="D1228" s="699" t="s">
        <v>316</v>
      </c>
      <c r="E1228" s="1771" t="str">
        <f>Translations!$B$745</f>
        <v>Zawartość węgla (% masy)</v>
      </c>
      <c r="F1228" s="1771"/>
      <c r="G1228" s="1771"/>
      <c r="H1228" s="542" t="s">
        <v>355</v>
      </c>
      <c r="I1228" s="330"/>
      <c r="J1228" s="330"/>
      <c r="K1228" s="330"/>
      <c r="L1228" s="330"/>
      <c r="M1228" s="330"/>
      <c r="N1228" s="665"/>
      <c r="O1228" s="16"/>
      <c r="P1228" s="1037"/>
      <c r="R1228" s="1037"/>
      <c r="AA1228" s="345" t="b">
        <f>AA1227</f>
        <v>0</v>
      </c>
    </row>
    <row r="1229" spans="2:27" ht="12.75" customHeight="1" x14ac:dyDescent="0.2">
      <c r="B1229" s="207"/>
      <c r="C1229" s="1060"/>
      <c r="D1229" s="699" t="s">
        <v>317</v>
      </c>
      <c r="E1229" s="1744" t="str">
        <f>Translations!$B$746</f>
        <v>Zawartość biomasy (jako frakcja węgla)</v>
      </c>
      <c r="F1229" s="1744"/>
      <c r="G1229" s="1744"/>
      <c r="H1229" s="473" t="s">
        <v>355</v>
      </c>
      <c r="I1229" s="329"/>
      <c r="J1229" s="329"/>
      <c r="K1229" s="329"/>
      <c r="L1229" s="329"/>
      <c r="M1229" s="329"/>
      <c r="N1229" s="665"/>
      <c r="O1229" s="16"/>
      <c r="P1229" s="1037"/>
      <c r="R1229" s="1052"/>
      <c r="S1229" s="814">
        <f>I1225</f>
        <v>2014</v>
      </c>
      <c r="T1229" s="814">
        <f>J1225</f>
        <v>2015</v>
      </c>
      <c r="U1229" s="814">
        <f>K1225</f>
        <v>2016</v>
      </c>
      <c r="V1229" s="814">
        <f>L1225</f>
        <v>2017</v>
      </c>
      <c r="W1229" s="815">
        <f>M1225</f>
        <v>2018</v>
      </c>
      <c r="AA1229" s="345" t="b">
        <f>AA1228</f>
        <v>0</v>
      </c>
    </row>
    <row r="1230" spans="2:27" ht="12.75" customHeight="1" thickBot="1" x14ac:dyDescent="0.25">
      <c r="B1230" s="207"/>
      <c r="C1230" s="1060"/>
      <c r="D1230" s="699" t="s">
        <v>318</v>
      </c>
      <c r="E1230" s="1767" t="str">
        <f>Translations!$B$747</f>
        <v>Emisje (kopalne, obliczone)</v>
      </c>
      <c r="F1230" s="1767"/>
      <c r="G1230" s="1767"/>
      <c r="H1230" s="543" t="str">
        <f>EUconst_tCO2pa</f>
        <v>t CO2 / rok</v>
      </c>
      <c r="I1230" s="325" t="str">
        <f>IF(AND(COUNT(I1226:I1229)&gt;0,I1233=""),3.664*I1226*(I1228/100)*(1-I1229/100),"")</f>
        <v/>
      </c>
      <c r="J1230" s="325" t="str">
        <f>IF(AND(COUNT(J1226:J1229)&gt;0,J1233=""),3.664*J1226*(J1228/100)*(1-J1229/100),"")</f>
        <v/>
      </c>
      <c r="K1230" s="325" t="str">
        <f>IF(AND(COUNT(K1226:K1229)&gt;0,K1233=""),3.664*K1226*(K1228/100)*(1-K1229/100),"")</f>
        <v/>
      </c>
      <c r="L1230" s="325" t="str">
        <f>IF(AND(COUNT(L1226:L1229)&gt;0,L1233=""),3.664*L1226*(L1228/100)*(1-L1229/100),"")</f>
        <v/>
      </c>
      <c r="M1230" s="325" t="str">
        <f>IF(AND(COUNT(M1226:M1229)&gt;0,M1233=""),3.664*M1226*(M1228/100)*(1-M1229/100),"")</f>
        <v/>
      </c>
      <c r="N1230" s="665"/>
      <c r="O1230" s="16"/>
      <c r="P1230" s="1062" t="str">
        <f>EUconst_CNTR_EmissionsIntSource1 &amp; I1153</f>
        <v>EmInternalSource1_</v>
      </c>
      <c r="R1230" s="1053" t="str">
        <f>EUconst_CNTR_AttributedEmissions &amp; I1153</f>
        <v>AttrEmissions_</v>
      </c>
      <c r="S1230" s="119" t="str">
        <f>IF(S1153,SUM(I1230),"")</f>
        <v/>
      </c>
      <c r="T1230" s="119" t="str">
        <f>IF(T1153,SUM(J1230),"")</f>
        <v/>
      </c>
      <c r="U1230" s="119" t="str">
        <f>IF(U1153,SUM(K1230),"")</f>
        <v/>
      </c>
      <c r="V1230" s="119" t="str">
        <f>IF(V1153,SUM(L1230),"")</f>
        <v/>
      </c>
      <c r="W1230" s="120" t="str">
        <f>IF(W1153,SUM(M1230),"")</f>
        <v/>
      </c>
      <c r="AA1230" s="608"/>
    </row>
    <row r="1231" spans="2:27" ht="12.75" customHeight="1" x14ac:dyDescent="0.2">
      <c r="B1231" s="207"/>
      <c r="C1231" s="1060"/>
      <c r="D1231" s="699" t="s">
        <v>319</v>
      </c>
      <c r="E1231" s="1769" t="str">
        <f>Translations!$B$748</f>
        <v>Nota uzupełniająca: Emisje pochodzące z biomasy</v>
      </c>
      <c r="F1231" s="1769"/>
      <c r="G1231" s="1769"/>
      <c r="H1231" s="544" t="str">
        <f>EUconst_tCO2pa</f>
        <v>t CO2 / rok</v>
      </c>
      <c r="I1231" s="324" t="str">
        <f>IF(ISNUMBER(I1230),3.664*I1226*(I1228/100)*(I1229/100),"")</f>
        <v/>
      </c>
      <c r="J1231" s="324" t="str">
        <f>IF(ISNUMBER(J1230),3.664*J1226*(J1228/100)*(J1229/100),"")</f>
        <v/>
      </c>
      <c r="K1231" s="324" t="str">
        <f>IF(ISNUMBER(K1230),3.664*K1226*(K1228/100)*(K1229/100),"")</f>
        <v/>
      </c>
      <c r="L1231" s="324" t="str">
        <f>IF(ISNUMBER(L1230),3.664*L1226*(L1228/100)*(L1229/100),"")</f>
        <v/>
      </c>
      <c r="M1231" s="324" t="str">
        <f>IF(ISNUMBER(M1230),3.664*M1226*(M1228/100)*(M1229/100),"")</f>
        <v/>
      </c>
      <c r="N1231" s="665"/>
      <c r="O1231" s="16"/>
      <c r="P1231" s="1037"/>
      <c r="R1231" s="1037"/>
      <c r="AA1231" s="608"/>
    </row>
    <row r="1232" spans="2:27" ht="12.75" customHeight="1" x14ac:dyDescent="0.2">
      <c r="B1232" s="207"/>
      <c r="C1232" s="1060"/>
      <c r="D1232" s="699" t="s">
        <v>320</v>
      </c>
      <c r="E1232" s="1744" t="str">
        <f>Translations!$B$749</f>
        <v>Zawartość energii (obliczona)</v>
      </c>
      <c r="F1232" s="1744"/>
      <c r="G1232" s="1744"/>
      <c r="H1232" s="545" t="str">
        <f>EUconst_TJpa</f>
        <v>TJ / rok</v>
      </c>
      <c r="I1232" s="327" t="str">
        <f>IF(COUNT(I1226:I1227)=2,I1226*I1227/1000,"")</f>
        <v/>
      </c>
      <c r="J1232" s="327" t="str">
        <f>IF(COUNT(J1226:J1227)=2,J1226*J1227/1000,"")</f>
        <v/>
      </c>
      <c r="K1232" s="327" t="str">
        <f>IF(COUNT(K1226:K1227)=2,K1226*K1227/1000,"")</f>
        <v/>
      </c>
      <c r="L1232" s="327" t="str">
        <f>IF(COUNT(L1226:L1227)=2,L1226*L1227/1000,"")</f>
        <v/>
      </c>
      <c r="M1232" s="327" t="str">
        <f>IF(COUNT(M1226:M1227)=2,M1226*M1227/1000,"")</f>
        <v/>
      </c>
      <c r="N1232" s="665"/>
      <c r="O1232" s="16"/>
      <c r="P1232" s="1037"/>
      <c r="R1232" s="1037"/>
      <c r="AA1232" s="608"/>
    </row>
    <row r="1233" spans="2:27" ht="12.75" customHeight="1" x14ac:dyDescent="0.2">
      <c r="B1233" s="207"/>
      <c r="C1233" s="1060"/>
      <c r="D1233" s="699" t="s">
        <v>16</v>
      </c>
      <c r="E1233" s="1770" t="str">
        <f>Translations!$B$750</f>
        <v>Komunikaty o błędach (emisje)</v>
      </c>
      <c r="F1233" s="1770"/>
      <c r="G1233" s="1770"/>
      <c r="H1233" s="546"/>
      <c r="I1233" s="666" t="str">
        <f>IF(COUNT(I1226,I1228:I1229)&gt;0,IF(COUNTIF(I1227:I1229,"&lt;0")&gt;0,EUconst_Negative,IF(COUNT(I1226,I1228:I1229)&lt;3,EUconst_Incomplete,"")),"")</f>
        <v/>
      </c>
      <c r="J1233" s="666" t="str">
        <f>IF(COUNT(J1226,J1228:J1229)&gt;0,IF(COUNTIF(J1227:J1229,"&lt;0")&gt;0,EUconst_Negative,IF(COUNT(J1226,J1228:J1229)&lt;3,EUconst_Incomplete,"")),"")</f>
        <v/>
      </c>
      <c r="K1233" s="666" t="str">
        <f>IF(COUNT(K1226,K1228:K1229)&gt;0,IF(COUNTIF(K1227:K1229,"&lt;0")&gt;0,EUconst_Negative,IF(COUNT(K1226,K1228:K1229)&lt;3,EUconst_Incomplete,"")),"")</f>
        <v/>
      </c>
      <c r="L1233" s="666" t="str">
        <f>IF(COUNT(L1226,L1228:L1229)&gt;0,IF(COUNTIF(L1227:L1229,"&lt;0")&gt;0,EUconst_Negative,IF(COUNT(L1226,L1228:L1229)&lt;3,EUconst_Incomplete,"")),"")</f>
        <v/>
      </c>
      <c r="M1233" s="666" t="str">
        <f>IF(COUNT(M1226,M1228:M1229)&gt;0,IF(COUNTIF(M1227:M1229,"&lt;0")&gt;0,EUconst_Negative,IF(COUNT(M1226,M1228:M1229)&lt;3,EUconst_Incomplete,"")),"")</f>
        <v/>
      </c>
      <c r="N1233" s="665"/>
      <c r="O1233" s="16"/>
      <c r="P1233" s="1037"/>
      <c r="R1233" s="1037"/>
      <c r="AA1233" s="608"/>
    </row>
    <row r="1234" spans="2:27" ht="12.75" customHeight="1" x14ac:dyDescent="0.2">
      <c r="B1234" s="207"/>
      <c r="C1234" s="1060"/>
      <c r="D1234" s="699"/>
      <c r="E1234" s="1061"/>
      <c r="F1234" s="1061"/>
      <c r="G1234" s="1061"/>
      <c r="H1234" s="1061"/>
      <c r="I1234" s="1061"/>
      <c r="J1234" s="1061"/>
      <c r="K1234" s="1061"/>
      <c r="L1234" s="1061"/>
      <c r="M1234" s="1063"/>
      <c r="N1234" s="665"/>
      <c r="O1234" s="16"/>
      <c r="P1234" s="1037"/>
      <c r="R1234" s="1037"/>
      <c r="AA1234" s="608"/>
    </row>
    <row r="1235" spans="2:27" ht="12.75" customHeight="1" x14ac:dyDescent="0.2">
      <c r="B1235" s="207"/>
      <c r="C1235" s="1060"/>
      <c r="D1235" s="699" t="s">
        <v>17</v>
      </c>
      <c r="E1235" s="1760" t="str">
        <f>Translations!$B$751</f>
        <v>Nazwa dalszych strumieni materiałów wsadowych – 2:</v>
      </c>
      <c r="F1235" s="1760"/>
      <c r="G1235" s="1760"/>
      <c r="H1235" s="1760"/>
      <c r="I1235" s="1763"/>
      <c r="J1235" s="1764"/>
      <c r="K1235" s="1764"/>
      <c r="L1235" s="1764"/>
      <c r="M1235" s="1765"/>
      <c r="N1235" s="1254"/>
      <c r="O1235" s="16"/>
      <c r="P1235" s="1037"/>
      <c r="R1235" s="1037"/>
      <c r="AA1235" s="345" t="b">
        <f>AA1223</f>
        <v>0</v>
      </c>
    </row>
    <row r="1236" spans="2:27" ht="5.0999999999999996" customHeight="1" x14ac:dyDescent="0.2">
      <c r="B1236" s="207"/>
      <c r="C1236" s="1060"/>
      <c r="D1236" s="1061"/>
      <c r="E1236" s="1256"/>
      <c r="F1236" s="1253"/>
      <c r="G1236" s="1253"/>
      <c r="H1236" s="1253"/>
      <c r="I1236" s="1253"/>
      <c r="J1236" s="1253"/>
      <c r="K1236" s="1253"/>
      <c r="L1236" s="1253"/>
      <c r="M1236" s="1253"/>
      <c r="N1236" s="1254"/>
      <c r="O1236" s="16"/>
      <c r="P1236" s="1037"/>
      <c r="R1236" s="1037"/>
      <c r="AA1236" s="608"/>
    </row>
    <row r="1237" spans="2:27" ht="12.75" customHeight="1" x14ac:dyDescent="0.2">
      <c r="B1237" s="207"/>
      <c r="C1237" s="1060"/>
      <c r="D1237" s="699"/>
      <c r="E1237" s="1757" t="str">
        <f>Translations!$B$752</f>
        <v>Dalsze strumienie materiałów wsadowych – 2:</v>
      </c>
      <c r="F1237" s="1758"/>
      <c r="G1237" s="1758"/>
      <c r="H1237" s="450" t="str">
        <f>EUconst_Unit</f>
        <v>Jednostka</v>
      </c>
      <c r="I1237" s="451">
        <f>I$1882</f>
        <v>2014</v>
      </c>
      <c r="J1237" s="451">
        <f>J$1882</f>
        <v>2015</v>
      </c>
      <c r="K1237" s="451">
        <f>K$1882</f>
        <v>2016</v>
      </c>
      <c r="L1237" s="451">
        <f>L$1882</f>
        <v>2017</v>
      </c>
      <c r="M1237" s="451">
        <f>M$1882</f>
        <v>2018</v>
      </c>
      <c r="N1237" s="665"/>
      <c r="O1237" s="16"/>
      <c r="P1237" s="1037"/>
      <c r="R1237" s="1037"/>
      <c r="AA1237" s="608"/>
    </row>
    <row r="1238" spans="2:27" ht="12.75" customHeight="1" x14ac:dyDescent="0.2">
      <c r="B1238" s="207"/>
      <c r="C1238" s="1060"/>
      <c r="D1238" s="699" t="s">
        <v>18</v>
      </c>
      <c r="E1238" s="1766" t="str">
        <f>Translations!$B$743</f>
        <v>Ilość wprowadzona lub wyprowadzona</v>
      </c>
      <c r="F1238" s="1767"/>
      <c r="G1238" s="1767"/>
      <c r="H1238" s="454" t="str">
        <f>EUconst_tpa</f>
        <v>t / rok</v>
      </c>
      <c r="I1238" s="331"/>
      <c r="J1238" s="331"/>
      <c r="K1238" s="331"/>
      <c r="L1238" s="331"/>
      <c r="M1238" s="331"/>
      <c r="N1238" s="665"/>
      <c r="O1238" s="16"/>
      <c r="P1238" s="1037"/>
      <c r="R1238" s="1037"/>
      <c r="AA1238" s="345" t="b">
        <f>AA1235</f>
        <v>0</v>
      </c>
    </row>
    <row r="1239" spans="2:27" ht="12.75" customHeight="1" x14ac:dyDescent="0.2">
      <c r="B1239" s="207"/>
      <c r="C1239" s="1060"/>
      <c r="D1239" s="699" t="s">
        <v>454</v>
      </c>
      <c r="E1239" s="1771" t="str">
        <f>Translations!$B$744</f>
        <v>Wartość opałowa netto (NCV) (jeśli dotyczy)</v>
      </c>
      <c r="F1239" s="1771"/>
      <c r="G1239" s="1771"/>
      <c r="H1239" s="541" t="str">
        <f>EUconst_GJpt</f>
        <v>GJ / t</v>
      </c>
      <c r="I1239" s="330"/>
      <c r="J1239" s="330"/>
      <c r="K1239" s="330"/>
      <c r="L1239" s="330"/>
      <c r="M1239" s="330"/>
      <c r="N1239" s="665"/>
      <c r="O1239" s="16"/>
      <c r="P1239" s="1037"/>
      <c r="R1239" s="1037"/>
      <c r="AA1239" s="345" t="b">
        <f>AA1238</f>
        <v>0</v>
      </c>
    </row>
    <row r="1240" spans="2:27" ht="12.75" customHeight="1" thickBot="1" x14ac:dyDescent="0.25">
      <c r="B1240" s="207"/>
      <c r="C1240" s="1060"/>
      <c r="D1240" s="699" t="s">
        <v>455</v>
      </c>
      <c r="E1240" s="1771" t="str">
        <f>Translations!$B$745</f>
        <v>Zawartość węgla (% masy)</v>
      </c>
      <c r="F1240" s="1771"/>
      <c r="G1240" s="1771"/>
      <c r="H1240" s="542" t="s">
        <v>355</v>
      </c>
      <c r="I1240" s="330"/>
      <c r="J1240" s="330"/>
      <c r="K1240" s="330"/>
      <c r="L1240" s="330"/>
      <c r="M1240" s="330"/>
      <c r="N1240" s="665"/>
      <c r="O1240" s="16"/>
      <c r="P1240" s="1037"/>
      <c r="R1240" s="1037"/>
      <c r="AA1240" s="345" t="b">
        <f>AA1239</f>
        <v>0</v>
      </c>
    </row>
    <row r="1241" spans="2:27" ht="12.75" customHeight="1" thickBot="1" x14ac:dyDescent="0.25">
      <c r="B1241" s="207"/>
      <c r="C1241" s="1060"/>
      <c r="D1241" s="699" t="s">
        <v>456</v>
      </c>
      <c r="E1241" s="1744" t="str">
        <f>Translations!$B$746</f>
        <v>Zawartość biomasy (jako frakcja węgla)</v>
      </c>
      <c r="F1241" s="1744"/>
      <c r="G1241" s="1744"/>
      <c r="H1241" s="473" t="s">
        <v>355</v>
      </c>
      <c r="I1241" s="329"/>
      <c r="J1241" s="329"/>
      <c r="K1241" s="329"/>
      <c r="L1241" s="329"/>
      <c r="M1241" s="329"/>
      <c r="N1241" s="665"/>
      <c r="O1241" s="16"/>
      <c r="P1241" s="1037"/>
      <c r="R1241" s="1052"/>
      <c r="S1241" s="814">
        <f>I1237</f>
        <v>2014</v>
      </c>
      <c r="T1241" s="814">
        <f>J1237</f>
        <v>2015</v>
      </c>
      <c r="U1241" s="814">
        <f>K1237</f>
        <v>2016</v>
      </c>
      <c r="V1241" s="814">
        <f>L1237</f>
        <v>2017</v>
      </c>
      <c r="W1241" s="815">
        <f>M1237</f>
        <v>2018</v>
      </c>
      <c r="AA1241" s="168" t="b">
        <f>AA1240</f>
        <v>0</v>
      </c>
    </row>
    <row r="1242" spans="2:27" ht="12.75" customHeight="1" thickBot="1" x14ac:dyDescent="0.25">
      <c r="B1242" s="207"/>
      <c r="C1242" s="1060"/>
      <c r="D1242" s="699" t="s">
        <v>457</v>
      </c>
      <c r="E1242" s="1767" t="str">
        <f>Translations!$B$747</f>
        <v>Emisje (kopalne, obliczone)</v>
      </c>
      <c r="F1242" s="1767"/>
      <c r="G1242" s="1767"/>
      <c r="H1242" s="543" t="str">
        <f>EUconst_tCO2pa</f>
        <v>t CO2 / rok</v>
      </c>
      <c r="I1242" s="325" t="str">
        <f>IF(AND(COUNT(I1238:I1241)&gt;0,I1245=""),3.664*I1238*(I1240/100)*(1-I1241/100),"")</f>
        <v/>
      </c>
      <c r="J1242" s="325" t="str">
        <f>IF(AND(COUNT(J1238:J1241)&gt;0,J1245=""),3.664*J1238*(J1240/100)*(1-J1241/100),"")</f>
        <v/>
      </c>
      <c r="K1242" s="325" t="str">
        <f>IF(AND(COUNT(K1238:K1241)&gt;0,K1245=""),3.664*K1238*(K1240/100)*(1-K1241/100),"")</f>
        <v/>
      </c>
      <c r="L1242" s="325" t="str">
        <f>IF(AND(COUNT(L1238:L1241)&gt;0,L1245=""),3.664*L1238*(L1240/100)*(1-L1241/100),"")</f>
        <v/>
      </c>
      <c r="M1242" s="325" t="str">
        <f>IF(AND(COUNT(M1238:M1241)&gt;0,M1245=""),3.664*M1238*(M1240/100)*(1-M1241/100),"")</f>
        <v/>
      </c>
      <c r="N1242" s="665"/>
      <c r="O1242" s="16"/>
      <c r="P1242" s="1062" t="str">
        <f>EUconst_CNTR_EmissionsIntSource2 &amp; I1153</f>
        <v>EmInternalSource2_</v>
      </c>
      <c r="R1242" s="1053" t="str">
        <f>EUconst_CNTR_AttributedEmissions &amp; I1153</f>
        <v>AttrEmissions_</v>
      </c>
      <c r="S1242" s="119" t="str">
        <f>IF(S1153,SUM(I1242),"")</f>
        <v/>
      </c>
      <c r="T1242" s="119" t="str">
        <f>IF(T1153,SUM(J1242),"")</f>
        <v/>
      </c>
      <c r="U1242" s="119" t="str">
        <f>IF(U1153,SUM(K1242),"")</f>
        <v/>
      </c>
      <c r="V1242" s="119" t="str">
        <f>IF(V1153,SUM(L1242),"")</f>
        <v/>
      </c>
      <c r="W1242" s="120" t="str">
        <f>IF(W1153,SUM(M1242),"")</f>
        <v/>
      </c>
    </row>
    <row r="1243" spans="2:27" ht="12.75" customHeight="1" x14ac:dyDescent="0.2">
      <c r="B1243" s="207"/>
      <c r="C1243" s="1060"/>
      <c r="D1243" s="699" t="s">
        <v>458</v>
      </c>
      <c r="E1243" s="1769" t="str">
        <f>Translations!$B$748</f>
        <v>Nota uzupełniająca: Emisje pochodzące z biomasy</v>
      </c>
      <c r="F1243" s="1769"/>
      <c r="G1243" s="1769"/>
      <c r="H1243" s="544" t="str">
        <f>EUconst_tCO2pa</f>
        <v>t CO2 / rok</v>
      </c>
      <c r="I1243" s="324" t="str">
        <f>IF(ISNUMBER(I1242),3.664*I1238*(I1240/100)*(I1241/100),"")</f>
        <v/>
      </c>
      <c r="J1243" s="324" t="str">
        <f>IF(ISNUMBER(J1242),3.664*J1238*(J1240/100)*(J1241/100),"")</f>
        <v/>
      </c>
      <c r="K1243" s="324" t="str">
        <f>IF(ISNUMBER(K1242),3.664*K1238*(K1240/100)*(K1241/100),"")</f>
        <v/>
      </c>
      <c r="L1243" s="324" t="str">
        <f>IF(ISNUMBER(L1242),3.664*L1238*(L1240/100)*(L1241/100),"")</f>
        <v/>
      </c>
      <c r="M1243" s="324" t="str">
        <f>IF(ISNUMBER(M1242),3.664*M1238*(M1240/100)*(M1241/100),"")</f>
        <v/>
      </c>
      <c r="N1243" s="665"/>
      <c r="O1243" s="16"/>
      <c r="P1243" s="1037"/>
      <c r="R1243" s="1037"/>
    </row>
    <row r="1244" spans="2:27" ht="12.75" customHeight="1" x14ac:dyDescent="0.2">
      <c r="B1244" s="207"/>
      <c r="C1244" s="1060"/>
      <c r="D1244" s="699" t="s">
        <v>459</v>
      </c>
      <c r="E1244" s="1744" t="str">
        <f>Translations!$B$749</f>
        <v>Zawartość energii (obliczona)</v>
      </c>
      <c r="F1244" s="1744"/>
      <c r="G1244" s="1744"/>
      <c r="H1244" s="545" t="str">
        <f>EUconst_TJpa</f>
        <v>TJ / rok</v>
      </c>
      <c r="I1244" s="327" t="str">
        <f>IF(COUNT(I1238:I1239)=2,I1238*I1239/1000,"")</f>
        <v/>
      </c>
      <c r="J1244" s="327" t="str">
        <f>IF(COUNT(J1238:J1239)=2,J1238*J1239/1000,"")</f>
        <v/>
      </c>
      <c r="K1244" s="327" t="str">
        <f>IF(COUNT(K1238:K1239)=2,K1238*K1239/1000,"")</f>
        <v/>
      </c>
      <c r="L1244" s="327" t="str">
        <f>IF(COUNT(L1238:L1239)=2,L1238*L1239/1000,"")</f>
        <v/>
      </c>
      <c r="M1244" s="327" t="str">
        <f>IF(COUNT(M1238:M1239)=2,M1238*M1239/1000,"")</f>
        <v/>
      </c>
      <c r="N1244" s="665"/>
      <c r="O1244" s="16"/>
      <c r="P1244" s="1037"/>
      <c r="R1244" s="1037"/>
    </row>
    <row r="1245" spans="2:27" ht="12.75" customHeight="1" x14ac:dyDescent="0.2">
      <c r="B1245" s="207"/>
      <c r="C1245" s="1060"/>
      <c r="D1245" s="699" t="s">
        <v>455</v>
      </c>
      <c r="E1245" s="1770" t="str">
        <f>Translations!$B$750</f>
        <v>Komunikaty o błędach (emisje)</v>
      </c>
      <c r="F1245" s="1770"/>
      <c r="G1245" s="1770"/>
      <c r="H1245" s="546"/>
      <c r="I1245" s="666" t="str">
        <f>IF(COUNT(I1238,I1240:I1241)&gt;0,IF(COUNTIF(I1239:I1241,"&lt;0")&gt;0,EUconst_Negative,IF(COUNT(I1238,I1240:I1241)&lt;3,EUconst_Incomplete,"")),"")</f>
        <v/>
      </c>
      <c r="J1245" s="666" t="str">
        <f>IF(COUNT(J1238,J1240:J1241)&gt;0,IF(COUNTIF(J1239:J1241,"&lt;0")&gt;0,EUconst_Negative,IF(COUNT(J1238,J1240:J1241)&lt;3,EUconst_Incomplete,"")),"")</f>
        <v/>
      </c>
      <c r="K1245" s="666" t="str">
        <f>IF(COUNT(K1238,K1240:K1241)&gt;0,IF(COUNTIF(K1239:K1241,"&lt;0")&gt;0,EUconst_Negative,IF(COUNT(K1238,K1240:K1241)&lt;3,EUconst_Incomplete,"")),"")</f>
        <v/>
      </c>
      <c r="L1245" s="666" t="str">
        <f>IF(COUNT(L1238,L1240:L1241)&gt;0,IF(COUNTIF(L1239:L1241,"&lt;0")&gt;0,EUconst_Negative,IF(COUNT(L1238,L1240:L1241)&lt;3,EUconst_Incomplete,"")),"")</f>
        <v/>
      </c>
      <c r="M1245" s="666" t="str">
        <f>IF(COUNT(M1238,M1240:M1241)&gt;0,IF(COUNTIF(M1239:M1241,"&lt;0")&gt;0,EUconst_Negative,IF(COUNT(M1238,M1240:M1241)&lt;3,EUconst_Incomplete,"")),"")</f>
        <v/>
      </c>
      <c r="N1245" s="665"/>
      <c r="O1245" s="16"/>
      <c r="P1245" s="1037"/>
      <c r="R1245" s="1037"/>
    </row>
    <row r="1246" spans="2:27" ht="12.75" customHeight="1" x14ac:dyDescent="0.2">
      <c r="B1246" s="207"/>
      <c r="C1246" s="1060"/>
      <c r="D1246" s="1061"/>
      <c r="E1246" s="1061"/>
      <c r="F1246" s="1061"/>
      <c r="G1246" s="1061"/>
      <c r="H1246" s="1061"/>
      <c r="I1246" s="1061"/>
      <c r="J1246" s="1061"/>
      <c r="K1246" s="1061"/>
      <c r="L1246" s="1061"/>
      <c r="M1246" s="1063"/>
      <c r="N1246" s="665"/>
      <c r="O1246" s="16"/>
      <c r="P1246" s="1037"/>
      <c r="R1246" s="1037"/>
    </row>
    <row r="1247" spans="2:27" ht="12.75" customHeight="1" thickBot="1" x14ac:dyDescent="0.25">
      <c r="B1247" s="207"/>
      <c r="C1247" s="1060"/>
      <c r="D1247" s="462" t="s">
        <v>218</v>
      </c>
      <c r="E1247" s="1731" t="str">
        <f>Translations!$B$753</f>
        <v>Ilość gazów cieplarnianych wprowadzonych lub wyprowadzonych w charakterze materiałów wsadowych</v>
      </c>
      <c r="F1247" s="1734"/>
      <c r="G1247" s="1734"/>
      <c r="H1247" s="1734"/>
      <c r="I1247" s="1734"/>
      <c r="J1247" s="1734"/>
      <c r="K1247" s="1734"/>
      <c r="L1247" s="1734"/>
      <c r="M1247" s="1734"/>
      <c r="N1247" s="1735"/>
      <c r="O1247" s="16"/>
      <c r="P1247" s="1037"/>
      <c r="R1247" s="1037"/>
    </row>
    <row r="1248" spans="2:27" ht="12.75" customHeight="1" x14ac:dyDescent="0.2">
      <c r="B1248" s="207"/>
      <c r="C1248" s="1060"/>
      <c r="D1248" s="462"/>
      <c r="E1248" s="1757"/>
      <c r="F1248" s="1758"/>
      <c r="G1248" s="1758"/>
      <c r="H1248" s="450" t="str">
        <f>EUconst_Unit</f>
        <v>Jednostka</v>
      </c>
      <c r="I1248" s="451">
        <f>I$1882</f>
        <v>2014</v>
      </c>
      <c r="J1248" s="451">
        <f>J$1882</f>
        <v>2015</v>
      </c>
      <c r="K1248" s="451">
        <f>K$1882</f>
        <v>2016</v>
      </c>
      <c r="L1248" s="451">
        <f>L$1882</f>
        <v>2017</v>
      </c>
      <c r="M1248" s="451">
        <f>M$1882</f>
        <v>2018</v>
      </c>
      <c r="N1248" s="665"/>
      <c r="O1248" s="16"/>
      <c r="P1248" s="1037"/>
      <c r="R1248" s="1052"/>
      <c r="S1248" s="814">
        <f>I1248</f>
        <v>2014</v>
      </c>
      <c r="T1248" s="814">
        <f>J1248</f>
        <v>2015</v>
      </c>
      <c r="U1248" s="814">
        <f>K1248</f>
        <v>2016</v>
      </c>
      <c r="V1248" s="814">
        <f>L1248</f>
        <v>2017</v>
      </c>
      <c r="W1248" s="815">
        <f>M1248</f>
        <v>2018</v>
      </c>
    </row>
    <row r="1249" spans="2:24" ht="12.75" customHeight="1" thickBot="1" x14ac:dyDescent="0.25">
      <c r="B1249" s="207"/>
      <c r="C1249" s="1060"/>
      <c r="D1249" s="699"/>
      <c r="E1249" s="1739" t="str">
        <f>Translations!$B$756</f>
        <v>Wprowadzone lub wyprowadzone gazy cieplarniane</v>
      </c>
      <c r="F1249" s="1740"/>
      <c r="G1249" s="1740"/>
      <c r="H1249" s="453" t="str">
        <f>EUconst_tCO2epa</f>
        <v>t CO2e/rok</v>
      </c>
      <c r="I1249" s="471"/>
      <c r="J1249" s="471"/>
      <c r="K1249" s="471"/>
      <c r="L1249" s="471"/>
      <c r="M1249" s="471"/>
      <c r="N1249" s="1257"/>
      <c r="O1249" s="16"/>
      <c r="P1249" s="1062" t="str">
        <f>EUconst_CNTR_CO2Feedstock &amp; I1153</f>
        <v>EmCO2Feedstock_</v>
      </c>
      <c r="R1249" s="1053" t="str">
        <f>EUconst_CNTR_AttributedEmissions &amp; I1153</f>
        <v>AttrEmissions_</v>
      </c>
      <c r="S1249" s="119" t="str">
        <f>IF(S1153,SUM(I1249),"")</f>
        <v/>
      </c>
      <c r="T1249" s="119" t="str">
        <f>IF(T1153,SUM(J1249),"")</f>
        <v/>
      </c>
      <c r="U1249" s="119" t="str">
        <f>IF(U1153,SUM(K1249),"")</f>
        <v/>
      </c>
      <c r="V1249" s="119" t="str">
        <f>IF(V1153,SUM(L1249),"")</f>
        <v/>
      </c>
      <c r="W1249" s="120" t="str">
        <f>IF(W1153,SUM(M1249),"")</f>
        <v/>
      </c>
    </row>
    <row r="1250" spans="2:24" ht="12.75" customHeight="1" x14ac:dyDescent="0.2">
      <c r="B1250" s="207"/>
      <c r="C1250" s="1060"/>
      <c r="D1250" s="1061"/>
      <c r="E1250" s="1061"/>
      <c r="F1250" s="1061"/>
      <c r="G1250" s="1061"/>
      <c r="H1250" s="1061"/>
      <c r="I1250" s="1061"/>
      <c r="J1250" s="1061"/>
      <c r="K1250" s="1061"/>
      <c r="L1250" s="1061"/>
      <c r="M1250" s="1063"/>
      <c r="N1250" s="665"/>
      <c r="O1250" s="16"/>
      <c r="P1250" s="1037"/>
      <c r="R1250" s="1037"/>
    </row>
    <row r="1251" spans="2:24" ht="12.75" customHeight="1" x14ac:dyDescent="0.2">
      <c r="B1251" s="207"/>
      <c r="C1251" s="1060"/>
      <c r="D1251" s="462" t="s">
        <v>219</v>
      </c>
      <c r="E1251" s="1731" t="str">
        <f>Translations!$B$757</f>
        <v>Mierzalne ciepło wprowadzone do tej podinstalacji i z niej wyprowadzone</v>
      </c>
      <c r="F1251" s="1734"/>
      <c r="G1251" s="1734"/>
      <c r="H1251" s="1734"/>
      <c r="I1251" s="1734"/>
      <c r="J1251" s="1734"/>
      <c r="K1251" s="1734"/>
      <c r="L1251" s="1734"/>
      <c r="M1251" s="1734"/>
      <c r="N1251" s="1735"/>
      <c r="O1251" s="16"/>
      <c r="P1251" s="1037"/>
      <c r="R1251" s="1037"/>
    </row>
    <row r="1252" spans="2:24" ht="12.75" customHeight="1" thickBot="1" x14ac:dyDescent="0.25">
      <c r="B1252" s="207"/>
      <c r="C1252" s="1060"/>
      <c r="D1252" s="1061"/>
      <c r="E1252" s="1674" t="str">
        <f>Translations!$B$762</f>
        <v>W celu przypisania emisji z kogeneracji (CHP) do wytwarzania ciepła należy zastosować „narzędzie dotyczące CHP” w części D.III. niniejszego formularza.</v>
      </c>
      <c r="F1252" s="1674"/>
      <c r="G1252" s="1674"/>
      <c r="H1252" s="1674"/>
      <c r="I1252" s="1674"/>
      <c r="J1252" s="1674"/>
      <c r="K1252" s="1674"/>
      <c r="L1252" s="1674"/>
      <c r="M1252" s="1674"/>
      <c r="N1252" s="1257"/>
      <c r="O1252" s="16"/>
      <c r="P1252" s="1037"/>
    </row>
    <row r="1253" spans="2:24" ht="12.75" customHeight="1" x14ac:dyDescent="0.2">
      <c r="B1253" s="207"/>
      <c r="C1253" s="1060"/>
      <c r="D1253" s="1061"/>
      <c r="E1253" s="1757" t="str">
        <f>Translations!$B$763</f>
        <v>Całkowite ciepło wprowadzone</v>
      </c>
      <c r="F1253" s="1758"/>
      <c r="G1253" s="1758"/>
      <c r="H1253" s="450" t="str">
        <f>EUconst_Unit</f>
        <v>Jednostka</v>
      </c>
      <c r="I1253" s="451">
        <f>I$1882</f>
        <v>2014</v>
      </c>
      <c r="J1253" s="451">
        <f>J$1882</f>
        <v>2015</v>
      </c>
      <c r="K1253" s="451">
        <f>K$1882</f>
        <v>2016</v>
      </c>
      <c r="L1253" s="451">
        <f>L$1882</f>
        <v>2017</v>
      </c>
      <c r="M1253" s="451">
        <f>M$1882</f>
        <v>2018</v>
      </c>
      <c r="N1253" s="1257"/>
      <c r="O1253" s="16"/>
      <c r="P1253" s="1037"/>
      <c r="R1253" s="1052"/>
      <c r="S1253" s="814">
        <f>I1253</f>
        <v>2014</v>
      </c>
      <c r="T1253" s="814">
        <f>J1253</f>
        <v>2015</v>
      </c>
      <c r="U1253" s="814">
        <f>K1253</f>
        <v>2016</v>
      </c>
      <c r="V1253" s="814">
        <f>L1253</f>
        <v>2017</v>
      </c>
      <c r="W1253" s="815">
        <f>M1253</f>
        <v>2018</v>
      </c>
    </row>
    <row r="1254" spans="2:24" ht="12.75" customHeight="1" x14ac:dyDescent="0.2">
      <c r="B1254" s="207"/>
      <c r="C1254" s="1060"/>
      <c r="D1254" s="699" t="s">
        <v>2</v>
      </c>
      <c r="E1254" s="1739" t="str">
        <f>Translations!$B$764</f>
        <v>Ciepło wprowadzone netto</v>
      </c>
      <c r="F1254" s="1740"/>
      <c r="G1254" s="1740"/>
      <c r="H1254" s="453" t="str">
        <f>EUconst_TJpa</f>
        <v>TJ / rok</v>
      </c>
      <c r="I1254" s="471"/>
      <c r="J1254" s="471"/>
      <c r="K1254" s="471"/>
      <c r="L1254" s="471"/>
      <c r="M1254" s="471"/>
      <c r="N1254" s="702"/>
      <c r="O1254" s="16"/>
      <c r="P1254" s="1062" t="str">
        <f>EUconst_CNTR_HeatImport &amp; I1153</f>
        <v>HeatIm_</v>
      </c>
      <c r="R1254" s="1064" t="str">
        <f>EUconst_ERR_AttrEmBMapplied &amp; I1153</f>
        <v>ERR_AttrEmBM_ </v>
      </c>
      <c r="S1254" s="116">
        <f>IF(AND(I1254&lt;&gt;0,I1255="",EUconst_StatusOfDataCollection=FALSE),1,0)</f>
        <v>0</v>
      </c>
      <c r="T1254" s="116">
        <f>IF(AND(J1254&lt;&gt;0,J1255="",EUconst_StatusOfDataCollection=FALSE),1,0)</f>
        <v>0</v>
      </c>
      <c r="U1254" s="116">
        <f>IF(AND(K1254&lt;&gt;0,K1255="",EUconst_StatusOfDataCollection=FALSE),1,0)</f>
        <v>0</v>
      </c>
      <c r="V1254" s="116">
        <f>IF(AND(L1254&lt;&gt;0,L1255="",EUconst_StatusOfDataCollection=FALSE),1,0)</f>
        <v>0</v>
      </c>
      <c r="W1254" s="117">
        <f>IF(AND(M1254&lt;&gt;0,M1255="",EUconst_StatusOfDataCollection=FALSE),1,0)</f>
        <v>0</v>
      </c>
      <c r="X1254" s="45"/>
    </row>
    <row r="1255" spans="2:24" ht="12.75" customHeight="1" thickBot="1" x14ac:dyDescent="0.25">
      <c r="B1255" s="207"/>
      <c r="C1255" s="1060"/>
      <c r="D1255" s="699" t="s">
        <v>3</v>
      </c>
      <c r="E1255" s="1739" t="str">
        <f>Translations!$B$765</f>
        <v>Właściwy współczynnik emisji (ciepło wprowadzone)</v>
      </c>
      <c r="F1255" s="1740"/>
      <c r="G1255" s="1740"/>
      <c r="H1255" s="453" t="str">
        <f>EUconst_tCO2pTJ</f>
        <v>t CO2 / TJ</v>
      </c>
      <c r="I1255" s="764"/>
      <c r="J1255" s="764"/>
      <c r="K1255" s="764"/>
      <c r="L1255" s="764"/>
      <c r="M1255" s="764"/>
      <c r="N1255" s="665"/>
      <c r="O1255" s="16"/>
      <c r="P1255" s="1062" t="str">
        <f>EUconst_CNTR_HeatImportEF &amp; I1153</f>
        <v>HeatImEF_</v>
      </c>
      <c r="R1255" s="1053" t="str">
        <f>EUconst_CNTR_AttributedEmissions &amp; I1153</f>
        <v>AttrEmissions_</v>
      </c>
      <c r="S1255" s="119" t="str">
        <f>IF(S1153,SUM(I1254)*IF(ISNUMBER(I1255),I1255,EUconst_HeatBMvalue),"")</f>
        <v/>
      </c>
      <c r="T1255" s="119" t="str">
        <f>IF(T1153,SUM(J1254)*IF(ISNUMBER(J1255),J1255,EUconst_HeatBMvalue),"")</f>
        <v/>
      </c>
      <c r="U1255" s="119" t="str">
        <f>IF(U1153,SUM(K1254)*IF(ISNUMBER(K1255),K1255,EUconst_HeatBMvalue),"")</f>
        <v/>
      </c>
      <c r="V1255" s="119" t="str">
        <f>IF(V1153,SUM(L1254)*IF(ISNUMBER(L1255),L1255,EUconst_HeatBMvalue),"")</f>
        <v/>
      </c>
      <c r="W1255" s="120" t="str">
        <f>IF(W1153,SUM(M1254)*IF(ISNUMBER(M1255),M1255,EUconst_HeatBMvalue),"")</f>
        <v/>
      </c>
    </row>
    <row r="1256" spans="2:24" ht="5.0999999999999996" customHeight="1" x14ac:dyDescent="0.2">
      <c r="B1256" s="207"/>
      <c r="C1256" s="1060"/>
      <c r="D1256" s="1061"/>
      <c r="E1256" s="1061"/>
      <c r="F1256" s="1061"/>
      <c r="G1256" s="1061"/>
      <c r="H1256" s="1061"/>
      <c r="I1256" s="1061"/>
      <c r="J1256" s="1061"/>
      <c r="K1256" s="1061"/>
      <c r="L1256" s="1061"/>
      <c r="M1256" s="1063"/>
      <c r="N1256" s="665"/>
      <c r="O1256" s="16"/>
      <c r="P1256" s="1037"/>
      <c r="R1256" s="1037"/>
      <c r="S1256" s="1037"/>
    </row>
    <row r="1257" spans="2:24" ht="12.75" customHeight="1" x14ac:dyDescent="0.2">
      <c r="B1257" s="207"/>
      <c r="C1257" s="1060"/>
      <c r="D1257" s="1061"/>
      <c r="E1257" s="1757" t="str">
        <f>Translations!$B$766</f>
        <v>Szczególne wprowadzenie ciepła</v>
      </c>
      <c r="F1257" s="1757"/>
      <c r="G1257" s="1757"/>
      <c r="H1257" s="450" t="str">
        <f>EUconst_Unit</f>
        <v>Jednostka</v>
      </c>
      <c r="I1257" s="451">
        <f>I$1882</f>
        <v>2014</v>
      </c>
      <c r="J1257" s="451">
        <f>J$1882</f>
        <v>2015</v>
      </c>
      <c r="K1257" s="451">
        <f>K$1882</f>
        <v>2016</v>
      </c>
      <c r="L1257" s="451">
        <f>L$1882</f>
        <v>2017</v>
      </c>
      <c r="M1257" s="451">
        <f>M$1882</f>
        <v>2018</v>
      </c>
      <c r="N1257" s="1257"/>
      <c r="O1257" s="16"/>
      <c r="P1257" s="1037"/>
      <c r="R1257" s="1037"/>
      <c r="S1257" s="1037"/>
    </row>
    <row r="1258" spans="2:24" ht="12.75" customHeight="1" x14ac:dyDescent="0.2">
      <c r="B1258" s="207"/>
      <c r="C1258" s="1060"/>
      <c r="D1258" s="699" t="s">
        <v>4</v>
      </c>
      <c r="E1258" s="1739" t="str">
        <f>Translations!$B$820</f>
        <v>Ciepło wprowadzone netto z masy celulozowej</v>
      </c>
      <c r="F1258" s="1740"/>
      <c r="G1258" s="1740"/>
      <c r="H1258" s="453" t="str">
        <f>EUconst_TJpa</f>
        <v>TJ / rok</v>
      </c>
      <c r="I1258" s="540"/>
      <c r="J1258" s="540"/>
      <c r="K1258" s="540"/>
      <c r="L1258" s="540"/>
      <c r="M1258" s="540"/>
      <c r="N1258" s="702"/>
      <c r="O1258" s="16"/>
      <c r="P1258" s="1062" t="str">
        <f>EUconst_CNTR_HeatImportPulp &amp; I1153</f>
        <v>HeatImPulp_</v>
      </c>
      <c r="R1258" s="1037"/>
      <c r="S1258" s="1037"/>
    </row>
    <row r="1259" spans="2:24" ht="12.75" customHeight="1" x14ac:dyDescent="0.2">
      <c r="B1259" s="207"/>
      <c r="C1259" s="1060"/>
      <c r="D1259" s="699" t="s">
        <v>6</v>
      </c>
      <c r="E1259" s="1739" t="str">
        <f>Translations!$B$768</f>
        <v>Ciepło wprowadzone netto z podinstalacji wytwarzającej kwas azotowy</v>
      </c>
      <c r="F1259" s="1740"/>
      <c r="G1259" s="1740"/>
      <c r="H1259" s="453" t="str">
        <f>EUconst_TJpa</f>
        <v>TJ / rok</v>
      </c>
      <c r="I1259" s="471"/>
      <c r="J1259" s="471"/>
      <c r="K1259" s="471"/>
      <c r="L1259" s="471"/>
      <c r="M1259" s="471"/>
      <c r="N1259" s="702"/>
      <c r="O1259" s="16"/>
      <c r="P1259" s="1062" t="str">
        <f>EUconst_CNTR_HeatImportNitric &amp; I1153</f>
        <v>HeatImNitric_</v>
      </c>
      <c r="R1259" s="1037"/>
      <c r="S1259" s="1037"/>
    </row>
    <row r="1260" spans="2:24" ht="5.0999999999999996" customHeight="1" thickBot="1" x14ac:dyDescent="0.25">
      <c r="B1260" s="207"/>
      <c r="C1260" s="1060"/>
      <c r="D1260" s="1061"/>
      <c r="E1260" s="1061"/>
      <c r="F1260" s="1061"/>
      <c r="G1260" s="1061"/>
      <c r="H1260" s="1061"/>
      <c r="I1260" s="1061"/>
      <c r="J1260" s="1061"/>
      <c r="K1260" s="1061"/>
      <c r="L1260" s="1061"/>
      <c r="M1260" s="1063"/>
      <c r="N1260" s="665"/>
      <c r="O1260" s="16"/>
      <c r="P1260" s="1037"/>
      <c r="R1260" s="1037"/>
      <c r="S1260" s="1037"/>
    </row>
    <row r="1261" spans="2:24" ht="12.75" customHeight="1" x14ac:dyDescent="0.2">
      <c r="B1261" s="207"/>
      <c r="C1261" s="1060"/>
      <c r="D1261" s="1061"/>
      <c r="E1261" s="1757" t="str">
        <f>Translations!$B$769</f>
        <v>Całkowite ciepło wyprowadzone</v>
      </c>
      <c r="F1261" s="1757"/>
      <c r="G1261" s="1757"/>
      <c r="H1261" s="450" t="str">
        <f>EUconst_Unit</f>
        <v>Jednostka</v>
      </c>
      <c r="I1261" s="451">
        <f>I$1882</f>
        <v>2014</v>
      </c>
      <c r="J1261" s="451">
        <f>J$1882</f>
        <v>2015</v>
      </c>
      <c r="K1261" s="451">
        <f>K$1882</f>
        <v>2016</v>
      </c>
      <c r="L1261" s="451">
        <f>L$1882</f>
        <v>2017</v>
      </c>
      <c r="M1261" s="451">
        <f>M$1882</f>
        <v>2018</v>
      </c>
      <c r="N1261" s="1257"/>
      <c r="O1261" s="16"/>
      <c r="P1261" s="1037"/>
      <c r="R1261" s="1052"/>
      <c r="S1261" s="814">
        <f>I1261</f>
        <v>2014</v>
      </c>
      <c r="T1261" s="814">
        <f>J1261</f>
        <v>2015</v>
      </c>
      <c r="U1261" s="814">
        <f>K1261</f>
        <v>2016</v>
      </c>
      <c r="V1261" s="814">
        <f>L1261</f>
        <v>2017</v>
      </c>
      <c r="W1261" s="815">
        <f>M1261</f>
        <v>2018</v>
      </c>
    </row>
    <row r="1262" spans="2:24" ht="12.75" customHeight="1" x14ac:dyDescent="0.2">
      <c r="B1262" s="207"/>
      <c r="C1262" s="1060"/>
      <c r="D1262" s="699" t="s">
        <v>316</v>
      </c>
      <c r="E1262" s="1739" t="str">
        <f>Translations!$B$770</f>
        <v>Ciepło wyprowadzone netto</v>
      </c>
      <c r="F1262" s="1740"/>
      <c r="G1262" s="1740"/>
      <c r="H1262" s="453" t="str">
        <f>EUconst_TJpa</f>
        <v>TJ / rok</v>
      </c>
      <c r="I1262" s="471"/>
      <c r="J1262" s="471"/>
      <c r="K1262" s="471"/>
      <c r="L1262" s="471"/>
      <c r="M1262" s="471"/>
      <c r="N1262" s="702"/>
      <c r="O1262" s="16"/>
      <c r="P1262" s="1062" t="str">
        <f>EUconst_CNTR_HeatExport &amp; I1153</f>
        <v>HeatEx_</v>
      </c>
      <c r="R1262" s="1064" t="str">
        <f>EUconst_ERR_AttrEmBMapplied &amp; I1153</f>
        <v>ERR_AttrEmBM_ </v>
      </c>
      <c r="S1262" s="116">
        <f>IF(AND(I1262&lt;&gt;0,I1263="",EUconst_StatusOfDataCollection=FALSE),1,0)</f>
        <v>0</v>
      </c>
      <c r="T1262" s="116">
        <f>IF(AND(J1262&lt;&gt;0,J1263="",EUconst_StatusOfDataCollection=FALSE),1,0)</f>
        <v>0</v>
      </c>
      <c r="U1262" s="116">
        <f>IF(AND(K1262&lt;&gt;0,K1263="",EUconst_StatusOfDataCollection=FALSE),1,0)</f>
        <v>0</v>
      </c>
      <c r="V1262" s="116">
        <f>IF(AND(L1262&lt;&gt;0,L1263="",EUconst_StatusOfDataCollection=FALSE),1,0)</f>
        <v>0</v>
      </c>
      <c r="W1262" s="117">
        <f>IF(AND(M1262&lt;&gt;0,M1263="",EUconst_StatusOfDataCollection=FALSE),1,0)</f>
        <v>0</v>
      </c>
    </row>
    <row r="1263" spans="2:24" ht="12.75" customHeight="1" thickBot="1" x14ac:dyDescent="0.25">
      <c r="B1263" s="207"/>
      <c r="C1263" s="1060"/>
      <c r="D1263" s="699" t="s">
        <v>317</v>
      </c>
      <c r="E1263" s="1739" t="str">
        <f>Translations!$B$771</f>
        <v>Właściwy współczynnik emisji (ciepło wyprowadzone)</v>
      </c>
      <c r="F1263" s="1740"/>
      <c r="G1263" s="1740"/>
      <c r="H1263" s="453" t="str">
        <f>EUconst_tCO2pTJ</f>
        <v>t CO2 / TJ</v>
      </c>
      <c r="I1263" s="764"/>
      <c r="J1263" s="764"/>
      <c r="K1263" s="764"/>
      <c r="L1263" s="764"/>
      <c r="M1263" s="764"/>
      <c r="N1263" s="665"/>
      <c r="O1263" s="16"/>
      <c r="P1263" s="1062" t="str">
        <f>EUconst_CNTR_HeatExportEF &amp; I1153</f>
        <v>HeatExEF_</v>
      </c>
      <c r="R1263" s="1053" t="str">
        <f>EUconst_CNTR_AttributedEmissions &amp; I1153</f>
        <v>AttrEmissions_</v>
      </c>
      <c r="S1263" s="119" t="str">
        <f>IF(S1153,-SUM(I1262)*IF(INDEX(EUconst_BMlistNumberOfBM,MATCH($I1153,EUconst_BMlistNames,0))=39,0,IF(ISNUMBER(I1263),I1263,EUconst_HeatBMvalue)),"")</f>
        <v/>
      </c>
      <c r="T1263" s="119" t="str">
        <f>IF(T1153,-SUM(J1262)*IF(INDEX(EUconst_BMlistNumberOfBM,MATCH($I1153,EUconst_BMlistNames,0))=39,0,IF(ISNUMBER(J1263),J1263,EUconst_HeatBMvalue)),"")</f>
        <v/>
      </c>
      <c r="U1263" s="119" t="str">
        <f>IF(U1153,-SUM(K1262)*IF(INDEX(EUconst_BMlistNumberOfBM,MATCH($I1153,EUconst_BMlistNames,0))=39,0,IF(ISNUMBER(K1263),K1263,EUconst_HeatBMvalue)),"")</f>
        <v/>
      </c>
      <c r="V1263" s="119" t="str">
        <f>IF(V1153,-SUM(L1262)*IF(INDEX(EUconst_BMlistNumberOfBM,MATCH($I1153,EUconst_BMlistNames,0))=39,0,IF(ISNUMBER(L1263),L1263,EUconst_HeatBMvalue)),"")</f>
        <v/>
      </c>
      <c r="W1263" s="120" t="str">
        <f>IF(W1153,-SUM(M1262)*IF(INDEX(EUconst_BMlistNumberOfBM,MATCH($I1153,EUconst_BMlistNames,0))=39,0,IF(ISNUMBER(M1263),M1263,EUconst_HeatBMvalue)),"")</f>
        <v/>
      </c>
    </row>
    <row r="1264" spans="2:24" ht="12.75" customHeight="1" x14ac:dyDescent="0.2">
      <c r="B1264" s="207"/>
      <c r="C1264" s="1060"/>
      <c r="D1264" s="1061"/>
      <c r="E1264" s="1061"/>
      <c r="F1264" s="1061"/>
      <c r="G1264" s="1061"/>
      <c r="H1264" s="1061"/>
      <c r="I1264" s="1061"/>
      <c r="J1264" s="1061"/>
      <c r="K1264" s="1061"/>
      <c r="L1264" s="1061"/>
      <c r="M1264" s="1063"/>
      <c r="N1264" s="665"/>
      <c r="O1264" s="16"/>
      <c r="P1264" s="1037"/>
      <c r="R1264" s="1037"/>
      <c r="S1264" s="1037"/>
    </row>
    <row r="1265" spans="2:27" ht="12.75" customHeight="1" x14ac:dyDescent="0.2">
      <c r="B1265" s="207"/>
      <c r="C1265" s="1060"/>
      <c r="D1265" s="462" t="s">
        <v>220</v>
      </c>
      <c r="E1265" s="1731" t="str">
        <f>Translations!$B$772</f>
        <v>Bilans gazów odlotowych dla tej podinstalacji</v>
      </c>
      <c r="F1265" s="1734"/>
      <c r="G1265" s="1734"/>
      <c r="H1265" s="1734"/>
      <c r="I1265" s="1734"/>
      <c r="J1265" s="1734"/>
      <c r="K1265" s="1734"/>
      <c r="L1265" s="1734"/>
      <c r="M1265" s="1734"/>
      <c r="N1265" s="1735"/>
      <c r="O1265" s="16"/>
      <c r="P1265" s="1037"/>
      <c r="R1265" s="1037"/>
      <c r="S1265" s="1037"/>
    </row>
    <row r="1266" spans="2:27" ht="5.0999999999999996" customHeight="1" thickBot="1" x14ac:dyDescent="0.25">
      <c r="B1266" s="207"/>
      <c r="C1266" s="1060"/>
      <c r="D1266" s="1061"/>
      <c r="E1266" s="1733"/>
      <c r="F1266" s="1733"/>
      <c r="G1266" s="1733"/>
      <c r="H1266" s="1733"/>
      <c r="I1266" s="1733"/>
      <c r="J1266" s="1733"/>
      <c r="K1266" s="1733"/>
      <c r="L1266" s="1733"/>
      <c r="M1266" s="1733"/>
      <c r="N1266" s="1768"/>
      <c r="O1266" s="16"/>
      <c r="P1266" s="1037"/>
      <c r="R1266" s="1037"/>
      <c r="S1266" s="1037"/>
    </row>
    <row r="1267" spans="2:27" ht="12.75" customHeight="1" thickBot="1" x14ac:dyDescent="0.25">
      <c r="B1267" s="207"/>
      <c r="C1267" s="1060"/>
      <c r="D1267" s="699" t="s">
        <v>2</v>
      </c>
      <c r="E1267" s="1741" t="str">
        <f>Translations!$B$773</f>
        <v>Czy gazy odlotowe dotyczą tej podinstalacji?</v>
      </c>
      <c r="F1267" s="1741"/>
      <c r="G1267" s="1741"/>
      <c r="H1267" s="1741"/>
      <c r="I1267" s="1741"/>
      <c r="J1267" s="1741"/>
      <c r="K1267" s="1742"/>
      <c r="L1267" s="517"/>
      <c r="M1267" s="1253"/>
      <c r="N1267" s="1254"/>
      <c r="O1267" s="16"/>
      <c r="P1267" s="1037"/>
      <c r="R1267" s="1037"/>
      <c r="W1267" s="1048" t="s">
        <v>414</v>
      </c>
      <c r="X1267" s="1046" t="b">
        <f>IF(AND(I1153&lt;&gt;"",ISBLANK(L1267)),EUconst_Error&amp;"BM"&amp;C1153,FALSE)</f>
        <v>0</v>
      </c>
    </row>
    <row r="1268" spans="2:27" ht="5.0999999999999996" customHeight="1" thickBot="1" x14ac:dyDescent="0.25">
      <c r="B1268" s="207"/>
      <c r="C1268" s="1060"/>
      <c r="D1268" s="1061"/>
      <c r="E1268" s="1733"/>
      <c r="F1268" s="1734"/>
      <c r="G1268" s="1734"/>
      <c r="H1268" s="1734"/>
      <c r="I1268" s="1734"/>
      <c r="J1268" s="1734"/>
      <c r="K1268" s="1734"/>
      <c r="L1268" s="1734"/>
      <c r="M1268" s="1734"/>
      <c r="N1268" s="1735"/>
      <c r="O1268" s="16"/>
      <c r="P1268" s="1037"/>
      <c r="R1268" s="1037"/>
      <c r="AA1268" s="422" t="s">
        <v>272</v>
      </c>
    </row>
    <row r="1269" spans="2:27" ht="12.75" customHeight="1" x14ac:dyDescent="0.2">
      <c r="B1269" s="207"/>
      <c r="C1269" s="1060"/>
      <c r="D1269" s="699" t="s">
        <v>3</v>
      </c>
      <c r="E1269" s="1760" t="str">
        <f>Translations!$B$775</f>
        <v>Rodzaje wytworzonych gazów odlotowych:</v>
      </c>
      <c r="F1269" s="1760"/>
      <c r="G1269" s="1760"/>
      <c r="H1269" s="1760"/>
      <c r="I1269" s="1763"/>
      <c r="J1269" s="1764"/>
      <c r="K1269" s="1764"/>
      <c r="L1269" s="1764"/>
      <c r="M1269" s="1765"/>
      <c r="N1269" s="1254"/>
      <c r="O1269" s="16"/>
      <c r="P1269" s="1037"/>
      <c r="R1269" s="1037"/>
      <c r="AA1269" s="646" t="b">
        <f>IF(I1153&lt;&gt;"",AND(L1267&lt;&gt;"",L1267=FALSE),FALSE)</f>
        <v>0</v>
      </c>
    </row>
    <row r="1270" spans="2:27" ht="5.0999999999999996" customHeight="1" x14ac:dyDescent="0.2">
      <c r="B1270" s="207"/>
      <c r="C1270" s="1060"/>
      <c r="D1270" s="1061"/>
      <c r="E1270" s="1733"/>
      <c r="F1270" s="1734"/>
      <c r="G1270" s="1734"/>
      <c r="H1270" s="1734"/>
      <c r="I1270" s="1734"/>
      <c r="J1270" s="1734"/>
      <c r="K1270" s="1734"/>
      <c r="L1270" s="1734"/>
      <c r="M1270" s="1734"/>
      <c r="N1270" s="1735"/>
      <c r="O1270" s="16"/>
      <c r="P1270" s="1037"/>
      <c r="R1270" s="1037"/>
      <c r="S1270" s="1037"/>
      <c r="AA1270" s="608"/>
    </row>
    <row r="1271" spans="2:27" ht="12.75" customHeight="1" x14ac:dyDescent="0.2">
      <c r="B1271" s="207"/>
      <c r="C1271" s="1060"/>
      <c r="D1271" s="1061"/>
      <c r="E1271" s="1757"/>
      <c r="F1271" s="1758"/>
      <c r="G1271" s="1758"/>
      <c r="H1271" s="450" t="str">
        <f>EUconst_Unit</f>
        <v>Jednostka</v>
      </c>
      <c r="I1271" s="451">
        <f>I$1882</f>
        <v>2014</v>
      </c>
      <c r="J1271" s="451">
        <f>J$1882</f>
        <v>2015</v>
      </c>
      <c r="K1271" s="451">
        <f>K$1882</f>
        <v>2016</v>
      </c>
      <c r="L1271" s="451">
        <f>L$1882</f>
        <v>2017</v>
      </c>
      <c r="M1271" s="451">
        <f>M$1882</f>
        <v>2018</v>
      </c>
      <c r="N1271" s="1257"/>
      <c r="O1271" s="16"/>
      <c r="P1271" s="1037"/>
      <c r="R1271" s="1037"/>
      <c r="S1271" s="1037"/>
      <c r="AA1271" s="608"/>
    </row>
    <row r="1272" spans="2:27" ht="12.75" customHeight="1" x14ac:dyDescent="0.2">
      <c r="B1272" s="207"/>
      <c r="C1272" s="1060"/>
      <c r="D1272" s="699" t="s">
        <v>4</v>
      </c>
      <c r="E1272" s="1766" t="str">
        <f>Translations!$B$777</f>
        <v>Ilości wytworzone</v>
      </c>
      <c r="F1272" s="1767"/>
      <c r="G1272" s="1767"/>
      <c r="H1272" s="231"/>
      <c r="I1272" s="472"/>
      <c r="J1272" s="472"/>
      <c r="K1272" s="472"/>
      <c r="L1272" s="472"/>
      <c r="M1272" s="472"/>
      <c r="N1272" s="1257"/>
      <c r="O1272" s="16"/>
      <c r="P1272" s="1037"/>
      <c r="R1272" s="1037"/>
      <c r="S1272" s="1037"/>
      <c r="AA1272" s="345" t="b">
        <f>AA1269</f>
        <v>0</v>
      </c>
    </row>
    <row r="1273" spans="2:27" ht="12.75" customHeight="1" x14ac:dyDescent="0.2">
      <c r="B1273" s="207"/>
      <c r="C1273" s="1060"/>
      <c r="D1273" s="699" t="s">
        <v>6</v>
      </c>
      <c r="E1273" s="1743" t="str">
        <f>Translations!$B$470</f>
        <v>Wartość opałowa</v>
      </c>
      <c r="F1273" s="1744"/>
      <c r="G1273" s="1744"/>
      <c r="H1273" s="56" t="str">
        <f>IF(ISBLANK(H1272),EUconst_GJperUnit,INDEX(EUconst_GJperTorKNm3,MATCH(H1272,EUconst_TonnesOrkNm3pa,0)))</f>
        <v>GJ / Jednostka</v>
      </c>
      <c r="I1273" s="446"/>
      <c r="J1273" s="446"/>
      <c r="K1273" s="446"/>
      <c r="L1273" s="446"/>
      <c r="M1273" s="446"/>
      <c r="N1273" s="1257"/>
      <c r="O1273" s="16"/>
      <c r="R1273" s="1037"/>
      <c r="S1273" s="1037"/>
      <c r="T1273" s="1037"/>
      <c r="U1273" s="1037"/>
      <c r="V1273" s="1037"/>
      <c r="W1273" s="1037"/>
      <c r="AA1273" s="345" t="b">
        <f>AA1272</f>
        <v>0</v>
      </c>
    </row>
    <row r="1274" spans="2:27" ht="12.75" customHeight="1" x14ac:dyDescent="0.2">
      <c r="B1274" s="207"/>
      <c r="C1274" s="1060"/>
      <c r="D1274" s="699" t="s">
        <v>316</v>
      </c>
      <c r="E1274" s="1739" t="str">
        <f>Translations!$B$778</f>
        <v>Gazy odlotowe wytworzone</v>
      </c>
      <c r="F1274" s="1740"/>
      <c r="G1274" s="1740"/>
      <c r="H1274" s="453" t="str">
        <f>EUconst_TJpa</f>
        <v>TJ / rok</v>
      </c>
      <c r="I1274" s="513" t="str">
        <f>IF(COUNT(I1272:I1273)=2,I1272*I1273/1000,"")</f>
        <v/>
      </c>
      <c r="J1274" s="513" t="str">
        <f>IF(COUNT(J1272:J1273)=2,J1272*J1273/1000,"")</f>
        <v/>
      </c>
      <c r="K1274" s="513" t="str">
        <f>IF(COUNT(K1272:K1273)=2,K1272*K1273/1000,"")</f>
        <v/>
      </c>
      <c r="L1274" s="513" t="str">
        <f>IF(COUNT(L1272:L1273)=2,L1272*L1273/1000,"")</f>
        <v/>
      </c>
      <c r="M1274" s="513" t="str">
        <f>IF(COUNT(M1272:M1273)=2,M1272*M1273/1000,"")</f>
        <v/>
      </c>
      <c r="N1274" s="1257"/>
      <c r="O1274" s="16"/>
      <c r="P1274" s="1062" t="str">
        <f>EUconst_CNTR_WGProduced &amp; I1153</f>
        <v>WasteGasProd_</v>
      </c>
      <c r="R1274" s="1037"/>
      <c r="S1274" s="1037"/>
      <c r="T1274" s="1037"/>
      <c r="U1274" s="1037"/>
      <c r="V1274" s="1037"/>
      <c r="W1274" s="1037"/>
      <c r="AA1274" s="608"/>
    </row>
    <row r="1275" spans="2:27" ht="12.75" customHeight="1" x14ac:dyDescent="0.2">
      <c r="B1275" s="207"/>
      <c r="C1275" s="1060"/>
      <c r="D1275" s="699" t="s">
        <v>317</v>
      </c>
      <c r="E1275" s="1739" t="str">
        <f>Translations!$B$779</f>
        <v>Właściwy współczynnik emisji (gazy odlotowe wytworzone)</v>
      </c>
      <c r="F1275" s="1740"/>
      <c r="G1275" s="1740"/>
      <c r="H1275" s="453" t="str">
        <f>EUconst_tCO2pTJ</f>
        <v>t CO2 / TJ</v>
      </c>
      <c r="I1275" s="471"/>
      <c r="J1275" s="471"/>
      <c r="K1275" s="471"/>
      <c r="L1275" s="471"/>
      <c r="M1275" s="471"/>
      <c r="N1275" s="665"/>
      <c r="O1275" s="16"/>
      <c r="P1275" s="1062" t="str">
        <f>EUconst_CNTR_WGProducedEF &amp; I1153</f>
        <v>WasteGasProdEF_</v>
      </c>
      <c r="R1275" s="1037"/>
      <c r="S1275" s="1037"/>
      <c r="T1275" s="1037"/>
      <c r="U1275" s="1037"/>
      <c r="V1275" s="1037"/>
      <c r="W1275" s="1037"/>
      <c r="AA1275" s="345" t="b">
        <f>AA1273</f>
        <v>0</v>
      </c>
    </row>
    <row r="1276" spans="2:27" ht="12.75" customHeight="1" x14ac:dyDescent="0.2">
      <c r="B1276" s="207"/>
      <c r="C1276" s="1060"/>
      <c r="D1276" s="1061"/>
      <c r="E1276" s="1061"/>
      <c r="F1276" s="1061"/>
      <c r="G1276" s="1061"/>
      <c r="H1276" s="1061"/>
      <c r="I1276" s="1061"/>
      <c r="J1276" s="1061"/>
      <c r="K1276" s="1061"/>
      <c r="L1276" s="1061"/>
      <c r="M1276" s="1063"/>
      <c r="N1276" s="665"/>
      <c r="O1276" s="16"/>
      <c r="P1276" s="1037"/>
      <c r="R1276" s="1037"/>
      <c r="S1276" s="1037"/>
      <c r="T1276" s="1037"/>
      <c r="U1276" s="1037"/>
      <c r="V1276" s="1037"/>
      <c r="W1276" s="1037"/>
      <c r="AA1276" s="608"/>
    </row>
    <row r="1277" spans="2:27" ht="12.75" customHeight="1" x14ac:dyDescent="0.2">
      <c r="B1277" s="207"/>
      <c r="C1277" s="1060"/>
      <c r="D1277" s="699" t="s">
        <v>318</v>
      </c>
      <c r="E1277" s="1760" t="str">
        <f>Translations!$B$780</f>
        <v>Rodzaje zużytych gazów odlotowych:</v>
      </c>
      <c r="F1277" s="1760"/>
      <c r="G1277" s="1760"/>
      <c r="H1277" s="1760"/>
      <c r="I1277" s="1763"/>
      <c r="J1277" s="1764"/>
      <c r="K1277" s="1764"/>
      <c r="L1277" s="1764"/>
      <c r="M1277" s="1765"/>
      <c r="N1277" s="1254"/>
      <c r="O1277" s="16"/>
      <c r="P1277" s="1037"/>
      <c r="R1277" s="1037"/>
      <c r="S1277" s="1037"/>
      <c r="T1277" s="1037"/>
      <c r="U1277" s="1037"/>
      <c r="V1277" s="1037"/>
      <c r="W1277" s="1037"/>
      <c r="AA1277" s="345" t="b">
        <f>AA1275</f>
        <v>0</v>
      </c>
    </row>
    <row r="1278" spans="2:27" ht="5.0999999999999996" customHeight="1" x14ac:dyDescent="0.2">
      <c r="B1278" s="207"/>
      <c r="C1278" s="1060"/>
      <c r="D1278" s="699"/>
      <c r="E1278" s="1733"/>
      <c r="F1278" s="1734"/>
      <c r="G1278" s="1734"/>
      <c r="H1278" s="1734"/>
      <c r="I1278" s="1734"/>
      <c r="J1278" s="1734"/>
      <c r="K1278" s="1734"/>
      <c r="L1278" s="1734"/>
      <c r="M1278" s="1734"/>
      <c r="N1278" s="1735"/>
      <c r="O1278" s="16"/>
      <c r="P1278" s="1037"/>
      <c r="R1278" s="1037"/>
      <c r="S1278" s="1037"/>
      <c r="T1278" s="1037"/>
      <c r="U1278" s="1037"/>
      <c r="V1278" s="1037"/>
      <c r="W1278" s="1037"/>
      <c r="AA1278" s="608"/>
    </row>
    <row r="1279" spans="2:27" ht="12.75" customHeight="1" x14ac:dyDescent="0.2">
      <c r="B1279" s="207"/>
      <c r="C1279" s="1060"/>
      <c r="D1279" s="1061"/>
      <c r="E1279" s="1757"/>
      <c r="F1279" s="1758"/>
      <c r="G1279" s="1758"/>
      <c r="H1279" s="450" t="str">
        <f>EUconst_Unit</f>
        <v>Jednostka</v>
      </c>
      <c r="I1279" s="451">
        <f>I$1882</f>
        <v>2014</v>
      </c>
      <c r="J1279" s="451">
        <f>J$1882</f>
        <v>2015</v>
      </c>
      <c r="K1279" s="451">
        <f>K$1882</f>
        <v>2016</v>
      </c>
      <c r="L1279" s="451">
        <f>L$1882</f>
        <v>2017</v>
      </c>
      <c r="M1279" s="451">
        <f>M$1882</f>
        <v>2018</v>
      </c>
      <c r="N1279" s="1257"/>
      <c r="O1279" s="16"/>
      <c r="P1279" s="1037"/>
      <c r="R1279" s="1037"/>
      <c r="S1279" s="1037"/>
      <c r="T1279" s="1037"/>
      <c r="U1279" s="1037"/>
      <c r="V1279" s="1037"/>
      <c r="W1279" s="1037"/>
      <c r="AA1279" s="608"/>
    </row>
    <row r="1280" spans="2:27" ht="12.75" customHeight="1" x14ac:dyDescent="0.2">
      <c r="B1280" s="207"/>
      <c r="C1280" s="1060"/>
      <c r="D1280" s="699" t="s">
        <v>319</v>
      </c>
      <c r="E1280" s="1766" t="str">
        <f>Translations!$B$782</f>
        <v>Ilości zużyte</v>
      </c>
      <c r="F1280" s="1767"/>
      <c r="G1280" s="1767"/>
      <c r="H1280" s="231"/>
      <c r="I1280" s="472"/>
      <c r="J1280" s="472"/>
      <c r="K1280" s="472"/>
      <c r="L1280" s="472"/>
      <c r="M1280" s="472"/>
      <c r="N1280" s="1257"/>
      <c r="O1280" s="16"/>
      <c r="P1280" s="1037"/>
      <c r="R1280" s="1037"/>
      <c r="S1280" s="1037"/>
      <c r="T1280" s="1037"/>
      <c r="U1280" s="1037"/>
      <c r="V1280" s="1037"/>
      <c r="W1280" s="1037"/>
      <c r="AA1280" s="345" t="b">
        <f>AA1277</f>
        <v>0</v>
      </c>
    </row>
    <row r="1281" spans="2:27" ht="12.75" customHeight="1" x14ac:dyDescent="0.2">
      <c r="B1281" s="207"/>
      <c r="C1281" s="1060"/>
      <c r="D1281" s="699" t="s">
        <v>320</v>
      </c>
      <c r="E1281" s="1743" t="str">
        <f>Translations!$B$470</f>
        <v>Wartość opałowa</v>
      </c>
      <c r="F1281" s="1744"/>
      <c r="G1281" s="1744"/>
      <c r="H1281" s="56" t="str">
        <f>IF(ISBLANK(H1280),EUconst_GJperUnit,INDEX(EUconst_GJperTorKNm3,MATCH(H1280,EUconst_TonnesOrkNm3pa,0)))</f>
        <v>GJ / Jednostka</v>
      </c>
      <c r="I1281" s="446"/>
      <c r="J1281" s="446"/>
      <c r="K1281" s="446"/>
      <c r="L1281" s="446"/>
      <c r="M1281" s="446"/>
      <c r="N1281" s="1257"/>
      <c r="O1281" s="16"/>
      <c r="R1281" s="1037"/>
      <c r="S1281" s="1037"/>
      <c r="T1281" s="1037"/>
      <c r="U1281" s="1037"/>
      <c r="V1281" s="1037"/>
      <c r="W1281" s="1037"/>
      <c r="AA1281" s="345" t="b">
        <f>AA1280</f>
        <v>0</v>
      </c>
    </row>
    <row r="1282" spans="2:27" ht="12.75" customHeight="1" x14ac:dyDescent="0.2">
      <c r="B1282" s="207"/>
      <c r="C1282" s="1060"/>
      <c r="D1282" s="699" t="s">
        <v>16</v>
      </c>
      <c r="E1282" s="1739" t="str">
        <f>Translations!$B$783</f>
        <v>Gazy odlotowe zużyte</v>
      </c>
      <c r="F1282" s="1740"/>
      <c r="G1282" s="1740"/>
      <c r="H1282" s="453" t="str">
        <f>EUconst_TJpa</f>
        <v>TJ / rok</v>
      </c>
      <c r="I1282" s="513" t="str">
        <f>IF(COUNT(I1280:I1281)=2,I1280*I1281/1000,"")</f>
        <v/>
      </c>
      <c r="J1282" s="513" t="str">
        <f>IF(COUNT(J1280:J1281)=2,J1280*J1281/1000,"")</f>
        <v/>
      </c>
      <c r="K1282" s="513" t="str">
        <f>IF(COUNT(K1280:K1281)=2,K1280*K1281/1000,"")</f>
        <v/>
      </c>
      <c r="L1282" s="513" t="str">
        <f>IF(COUNT(L1280:L1281)=2,L1280*L1281/1000,"")</f>
        <v/>
      </c>
      <c r="M1282" s="513" t="str">
        <f>IF(COUNT(M1280:M1281)=2,M1280*M1281/1000,"")</f>
        <v/>
      </c>
      <c r="N1282" s="1257"/>
      <c r="O1282" s="16"/>
      <c r="P1282" s="1062" t="str">
        <f>EUconst_CNTR_WGConsumed &amp; I1153</f>
        <v>WasteGasCons_</v>
      </c>
      <c r="R1282" s="1037"/>
      <c r="S1282" s="1037"/>
      <c r="T1282" s="1037"/>
      <c r="U1282" s="1037"/>
      <c r="V1282" s="1037"/>
      <c r="W1282" s="1037"/>
      <c r="AA1282" s="608"/>
    </row>
    <row r="1283" spans="2:27" ht="12.75" customHeight="1" x14ac:dyDescent="0.2">
      <c r="B1283" s="207"/>
      <c r="C1283" s="1060"/>
      <c r="D1283" s="699" t="s">
        <v>17</v>
      </c>
      <c r="E1283" s="1739" t="str">
        <f>Translations!$B$784</f>
        <v>Właściwy współczynnik emisji (gazy odlotowe zużyte)</v>
      </c>
      <c r="F1283" s="1740"/>
      <c r="G1283" s="1740"/>
      <c r="H1283" s="453" t="str">
        <f>EUconst_tCO2pTJ</f>
        <v>t CO2 / TJ</v>
      </c>
      <c r="I1283" s="471"/>
      <c r="J1283" s="471"/>
      <c r="K1283" s="471"/>
      <c r="L1283" s="471"/>
      <c r="M1283" s="471"/>
      <c r="N1283" s="665"/>
      <c r="O1283" s="16"/>
      <c r="P1283" s="1062" t="str">
        <f>EUconst_CNTR_WGConsumedEF &amp; I1153</f>
        <v>WasteGasConsEF_</v>
      </c>
      <c r="R1283" s="1037"/>
      <c r="S1283" s="1037"/>
      <c r="T1283" s="1037"/>
      <c r="U1283" s="1037"/>
      <c r="V1283" s="1037"/>
      <c r="W1283" s="1037"/>
      <c r="AA1283" s="345" t="b">
        <f>AA1281</f>
        <v>0</v>
      </c>
    </row>
    <row r="1284" spans="2:27" ht="12.75" customHeight="1" x14ac:dyDescent="0.2">
      <c r="B1284" s="207"/>
      <c r="C1284" s="1060"/>
      <c r="D1284" s="1061"/>
      <c r="E1284" s="1061"/>
      <c r="F1284" s="1061"/>
      <c r="G1284" s="1061"/>
      <c r="H1284" s="1061"/>
      <c r="I1284" s="1061"/>
      <c r="J1284" s="1061"/>
      <c r="K1284" s="1061"/>
      <c r="L1284" s="1061"/>
      <c r="M1284" s="1063"/>
      <c r="N1284" s="665"/>
      <c r="O1284" s="16"/>
      <c r="P1284" s="1037"/>
      <c r="R1284" s="1037"/>
      <c r="S1284" s="1037"/>
      <c r="AA1284" s="608"/>
    </row>
    <row r="1285" spans="2:27" ht="12.75" customHeight="1" x14ac:dyDescent="0.2">
      <c r="B1285" s="207"/>
      <c r="C1285" s="1060"/>
      <c r="D1285" s="699" t="s">
        <v>18</v>
      </c>
      <c r="E1285" s="1760" t="str">
        <f>Translations!$B$785</f>
        <v>Rodzaje gazów odlotowych spalonych na pochodniach:</v>
      </c>
      <c r="F1285" s="1760"/>
      <c r="G1285" s="1760"/>
      <c r="H1285" s="1760"/>
      <c r="I1285" s="1763"/>
      <c r="J1285" s="1764"/>
      <c r="K1285" s="1764"/>
      <c r="L1285" s="1764"/>
      <c r="M1285" s="1765"/>
      <c r="N1285" s="1254"/>
      <c r="O1285" s="16"/>
      <c r="P1285" s="1037"/>
      <c r="R1285" s="1037"/>
      <c r="AA1285" s="345" t="b">
        <f>AA1275</f>
        <v>0</v>
      </c>
    </row>
    <row r="1286" spans="2:27" ht="5.0999999999999996" customHeight="1" x14ac:dyDescent="0.2">
      <c r="B1286" s="207"/>
      <c r="C1286" s="1060"/>
      <c r="D1286" s="699"/>
      <c r="E1286" s="1733"/>
      <c r="F1286" s="1734"/>
      <c r="G1286" s="1734"/>
      <c r="H1286" s="1734"/>
      <c r="I1286" s="1734"/>
      <c r="J1286" s="1734"/>
      <c r="K1286" s="1734"/>
      <c r="L1286" s="1734"/>
      <c r="M1286" s="1734"/>
      <c r="N1286" s="1735"/>
      <c r="O1286" s="16"/>
      <c r="P1286" s="1037"/>
      <c r="S1286" s="1037"/>
      <c r="AA1286" s="608"/>
    </row>
    <row r="1287" spans="2:27" ht="12.75" customHeight="1" x14ac:dyDescent="0.2">
      <c r="B1287" s="207"/>
      <c r="C1287" s="1060"/>
      <c r="D1287" s="1061"/>
      <c r="E1287" s="1757"/>
      <c r="F1287" s="1758"/>
      <c r="G1287" s="1758"/>
      <c r="H1287" s="450" t="str">
        <f>EUconst_Unit</f>
        <v>Jednostka</v>
      </c>
      <c r="I1287" s="451">
        <f>I$1882</f>
        <v>2014</v>
      </c>
      <c r="J1287" s="451">
        <f>J$1882</f>
        <v>2015</v>
      </c>
      <c r="K1287" s="451">
        <f>K$1882</f>
        <v>2016</v>
      </c>
      <c r="L1287" s="451">
        <f>L$1882</f>
        <v>2017</v>
      </c>
      <c r="M1287" s="451">
        <f>M$1882</f>
        <v>2018</v>
      </c>
      <c r="N1287" s="1257"/>
      <c r="O1287" s="16"/>
      <c r="P1287" s="1037"/>
      <c r="AA1287" s="608"/>
    </row>
    <row r="1288" spans="2:27" ht="12.75" customHeight="1" thickBot="1" x14ac:dyDescent="0.25">
      <c r="B1288" s="207"/>
      <c r="C1288" s="1060"/>
      <c r="D1288" s="699" t="s">
        <v>454</v>
      </c>
      <c r="E1288" s="1766" t="str">
        <f>Translations!$B$789</f>
        <v>Ilości spalone na pochodniach</v>
      </c>
      <c r="F1288" s="1767"/>
      <c r="G1288" s="1767"/>
      <c r="H1288" s="231"/>
      <c r="I1288" s="472"/>
      <c r="J1288" s="472"/>
      <c r="K1288" s="472"/>
      <c r="L1288" s="472"/>
      <c r="M1288" s="472"/>
      <c r="N1288" s="1257"/>
      <c r="O1288" s="16"/>
      <c r="P1288" s="1037"/>
      <c r="R1288" s="1037" t="s">
        <v>546</v>
      </c>
      <c r="AA1288" s="345" t="b">
        <f>AA1285</f>
        <v>0</v>
      </c>
    </row>
    <row r="1289" spans="2:27" ht="12.75" customHeight="1" thickBot="1" x14ac:dyDescent="0.25">
      <c r="B1289" s="207"/>
      <c r="C1289" s="1060"/>
      <c r="D1289" s="699" t="s">
        <v>455</v>
      </c>
      <c r="E1289" s="1743" t="str">
        <f>Translations!$B$470</f>
        <v>Wartość opałowa</v>
      </c>
      <c r="F1289" s="1744"/>
      <c r="G1289" s="1744"/>
      <c r="H1289" s="56" t="str">
        <f>IF(ISBLANK(H1288),EUconst_GJperUnit,INDEX(EUconst_GJperTorKNm3,MATCH(H1288,EUconst_TonnesOrkNm3pa,0)))</f>
        <v>GJ / Jednostka</v>
      </c>
      <c r="I1289" s="446"/>
      <c r="J1289" s="446"/>
      <c r="K1289" s="446"/>
      <c r="L1289" s="446"/>
      <c r="M1289" s="446"/>
      <c r="N1289" s="1257"/>
      <c r="O1289" s="16"/>
      <c r="R1289" s="712" t="s">
        <v>437</v>
      </c>
      <c r="S1289" s="709">
        <f>I1287</f>
        <v>2014</v>
      </c>
      <c r="T1289" s="710">
        <f>J1287</f>
        <v>2015</v>
      </c>
      <c r="U1289" s="710">
        <f>K1287</f>
        <v>2016</v>
      </c>
      <c r="V1289" s="710">
        <f>L1287</f>
        <v>2017</v>
      </c>
      <c r="W1289" s="711">
        <f>M1287</f>
        <v>2018</v>
      </c>
      <c r="AA1289" s="345" t="b">
        <f>AA1288</f>
        <v>0</v>
      </c>
    </row>
    <row r="1290" spans="2:27" ht="12.75" customHeight="1" thickBot="1" x14ac:dyDescent="0.25">
      <c r="B1290" s="207"/>
      <c r="C1290" s="1060"/>
      <c r="D1290" s="699" t="s">
        <v>456</v>
      </c>
      <c r="E1290" s="1739" t="str">
        <f>Translations!$B$790</f>
        <v>Gazy odlotowe spalone na pochodniach</v>
      </c>
      <c r="F1290" s="1740"/>
      <c r="G1290" s="1740"/>
      <c r="H1290" s="453" t="str">
        <f>EUconst_TJpa</f>
        <v>TJ / rok</v>
      </c>
      <c r="I1290" s="513" t="str">
        <f>IF(COUNT(I1288:I1289)=2,I1288*I1289/1000,"")</f>
        <v/>
      </c>
      <c r="J1290" s="513" t="str">
        <f>IF(COUNT(J1288:J1289)=2,J1288*J1289/1000,"")</f>
        <v/>
      </c>
      <c r="K1290" s="513" t="str">
        <f>IF(COUNT(K1288:K1289)=2,K1288*K1289/1000,"")</f>
        <v/>
      </c>
      <c r="L1290" s="513" t="str">
        <f>IF(COUNT(L1288:L1289)=2,L1288*L1289/1000,"")</f>
        <v/>
      </c>
      <c r="M1290" s="513" t="str">
        <f>IF(COUNT(M1288:M1289)=2,M1288*M1289/1000,"")</f>
        <v/>
      </c>
      <c r="N1290" s="1257"/>
      <c r="O1290" s="16"/>
      <c r="P1290" s="1062" t="str">
        <f>EUconst_CNTR_WGFlared &amp; I1153</f>
        <v>WasteGasFlare_</v>
      </c>
      <c r="R1290" s="347" t="str">
        <f>IF(COUNT(S1290:W1290)&gt;0,AVERAGE(S1290:W1290),"")</f>
        <v/>
      </c>
      <c r="S1290" s="442" t="str">
        <f>IF(S1153,IF(ISNUMBER(I1290),I1290,0),"")</f>
        <v/>
      </c>
      <c r="T1290" s="443" t="str">
        <f>IF(T1153,IF(ISNUMBER(J1290),J1290,0),"")</f>
        <v/>
      </c>
      <c r="U1290" s="443" t="str">
        <f>IF(U1153,IF(ISNUMBER(K1290),K1290,0),"")</f>
        <v/>
      </c>
      <c r="V1290" s="443" t="str">
        <f>IF(V1153,IF(ISNUMBER(L1290),L1290,0),"")</f>
        <v/>
      </c>
      <c r="W1290" s="444" t="str">
        <f>IF(W1153,IF(ISNUMBER(M1290),M1290,0),"")</f>
        <v/>
      </c>
      <c r="AA1290" s="608"/>
    </row>
    <row r="1291" spans="2:27" ht="12.75" customHeight="1" thickBot="1" x14ac:dyDescent="0.25">
      <c r="B1291" s="207"/>
      <c r="C1291" s="1060"/>
      <c r="D1291" s="699" t="s">
        <v>457</v>
      </c>
      <c r="E1291" s="1739" t="str">
        <f>Translations!$B$791</f>
        <v>Właściwy współczynnik emisji (gazy odlotowe spalone na pochodniach)</v>
      </c>
      <c r="F1291" s="1740"/>
      <c r="G1291" s="1740"/>
      <c r="H1291" s="453" t="str">
        <f>EUconst_tCO2pTJ</f>
        <v>t CO2 / TJ</v>
      </c>
      <c r="I1291" s="471"/>
      <c r="J1291" s="471"/>
      <c r="K1291" s="471"/>
      <c r="L1291" s="471"/>
      <c r="M1291" s="471"/>
      <c r="N1291" s="665"/>
      <c r="O1291" s="16"/>
      <c r="P1291" s="1062" t="str">
        <f>EUconst_CNTR_WGFlaredEF &amp; I1153</f>
        <v>WasteGasFlareEF_</v>
      </c>
      <c r="R1291" s="854" t="str">
        <f>IF(COUNT(S1291:W1291)&gt;0,AVERAGE(S1291:W1291),"")</f>
        <v/>
      </c>
      <c r="S1291" s="442" t="str">
        <f>IF(S1153,SUM(I1290)*SUM(I1291),"")</f>
        <v/>
      </c>
      <c r="T1291" s="443" t="str">
        <f>IF(T1153,SUM(J1290)*SUM(J1291),"")</f>
        <v/>
      </c>
      <c r="U1291" s="443" t="str">
        <f>IF(U1153,SUM(K1290)*SUM(K1291),"")</f>
        <v/>
      </c>
      <c r="V1291" s="443" t="str">
        <f>IF(V1153,SUM(L1290)*SUM(L1291),"")</f>
        <v/>
      </c>
      <c r="W1291" s="444" t="str">
        <f>IF(W1153,SUM(M1290)*SUM(M1291),"")</f>
        <v/>
      </c>
      <c r="AA1291" s="345" t="b">
        <f>AA1289</f>
        <v>0</v>
      </c>
    </row>
    <row r="1292" spans="2:27" ht="12.75" customHeight="1" x14ac:dyDescent="0.2">
      <c r="B1292" s="207"/>
      <c r="C1292" s="1060"/>
      <c r="D1292" s="1061"/>
      <c r="E1292" s="1061"/>
      <c r="F1292" s="1061"/>
      <c r="G1292" s="1061"/>
      <c r="H1292" s="1061"/>
      <c r="I1292" s="1061"/>
      <c r="J1292" s="1061"/>
      <c r="K1292" s="1061"/>
      <c r="L1292" s="1061"/>
      <c r="M1292" s="1063"/>
      <c r="N1292" s="665"/>
      <c r="O1292" s="16"/>
      <c r="P1292" s="1037"/>
      <c r="R1292" s="1037"/>
      <c r="S1292" s="1037"/>
      <c r="AA1292" s="608"/>
    </row>
    <row r="1293" spans="2:27" ht="12.75" customHeight="1" x14ac:dyDescent="0.2">
      <c r="B1293" s="207"/>
      <c r="C1293" s="1060"/>
      <c r="D1293" s="699" t="s">
        <v>458</v>
      </c>
      <c r="E1293" s="1760" t="str">
        <f>Translations!$B$792</f>
        <v>Rodzaje gazów odlotowych wprowadzonych:</v>
      </c>
      <c r="F1293" s="1760"/>
      <c r="G1293" s="1760"/>
      <c r="H1293" s="1760"/>
      <c r="I1293" s="1763"/>
      <c r="J1293" s="1764"/>
      <c r="K1293" s="1764"/>
      <c r="L1293" s="1764"/>
      <c r="M1293" s="1765"/>
      <c r="N1293" s="665"/>
      <c r="O1293" s="16"/>
      <c r="P1293" s="1037"/>
      <c r="R1293" s="1037"/>
      <c r="AA1293" s="345" t="b">
        <f>AA1273</f>
        <v>0</v>
      </c>
    </row>
    <row r="1294" spans="2:27" ht="5.0999999999999996" customHeight="1" x14ac:dyDescent="0.2">
      <c r="B1294" s="207"/>
      <c r="C1294" s="1060"/>
      <c r="D1294" s="699"/>
      <c r="E1294" s="1730"/>
      <c r="F1294" s="1731"/>
      <c r="G1294" s="1731"/>
      <c r="H1294" s="1731"/>
      <c r="I1294" s="1731"/>
      <c r="J1294" s="1731"/>
      <c r="K1294" s="1731"/>
      <c r="L1294" s="1731"/>
      <c r="M1294" s="1731"/>
      <c r="N1294" s="1732"/>
      <c r="O1294" s="16"/>
      <c r="P1294" s="1037"/>
      <c r="R1294" s="1037"/>
      <c r="S1294" s="1037"/>
      <c r="AA1294" s="608"/>
    </row>
    <row r="1295" spans="2:27" ht="12.75" customHeight="1" x14ac:dyDescent="0.2">
      <c r="B1295" s="207"/>
      <c r="C1295" s="1060"/>
      <c r="D1295" s="1061"/>
      <c r="E1295" s="1757"/>
      <c r="F1295" s="1758"/>
      <c r="G1295" s="1758"/>
      <c r="H1295" s="450" t="str">
        <f>EUconst_Unit</f>
        <v>Jednostka</v>
      </c>
      <c r="I1295" s="451">
        <f>I$1882</f>
        <v>2014</v>
      </c>
      <c r="J1295" s="451">
        <f>J$1882</f>
        <v>2015</v>
      </c>
      <c r="K1295" s="451">
        <f>K$1882</f>
        <v>2016</v>
      </c>
      <c r="L1295" s="451">
        <f>L$1882</f>
        <v>2017</v>
      </c>
      <c r="M1295" s="451">
        <f>M$1882</f>
        <v>2018</v>
      </c>
      <c r="N1295" s="1257"/>
      <c r="O1295" s="16"/>
      <c r="P1295" s="1037"/>
      <c r="R1295" s="1037"/>
      <c r="S1295" s="1037"/>
      <c r="AA1295" s="608"/>
    </row>
    <row r="1296" spans="2:27" ht="12.75" customHeight="1" thickBot="1" x14ac:dyDescent="0.25">
      <c r="B1296" s="207"/>
      <c r="C1296" s="1060"/>
      <c r="D1296" s="699" t="s">
        <v>459</v>
      </c>
      <c r="E1296" s="1766" t="str">
        <f>Translations!$B$795</f>
        <v>Ilości wprowadzone</v>
      </c>
      <c r="F1296" s="1767"/>
      <c r="G1296" s="1767"/>
      <c r="H1296" s="231"/>
      <c r="I1296" s="472"/>
      <c r="J1296" s="472"/>
      <c r="K1296" s="472"/>
      <c r="L1296" s="472"/>
      <c r="M1296" s="472"/>
      <c r="N1296" s="1257"/>
      <c r="O1296" s="16"/>
      <c r="P1296" s="1037"/>
      <c r="R1296" s="1037"/>
      <c r="S1296" s="1037"/>
      <c r="AA1296" s="345" t="b">
        <f>AA1293</f>
        <v>0</v>
      </c>
    </row>
    <row r="1297" spans="1:27" ht="12.75" customHeight="1" x14ac:dyDescent="0.2">
      <c r="B1297" s="207"/>
      <c r="C1297" s="1060"/>
      <c r="D1297" s="699" t="s">
        <v>460</v>
      </c>
      <c r="E1297" s="1743" t="str">
        <f>Translations!$B$470</f>
        <v>Wartość opałowa</v>
      </c>
      <c r="F1297" s="1744"/>
      <c r="G1297" s="1744"/>
      <c r="H1297" s="56" t="str">
        <f>IF(ISBLANK(H1296),EUconst_GJperUnit,INDEX(EUconst_GJperTorKNm3,MATCH(H1296,EUconst_TonnesOrkNm3pa,0)))</f>
        <v>GJ / Jednostka</v>
      </c>
      <c r="I1297" s="446"/>
      <c r="J1297" s="446"/>
      <c r="K1297" s="446"/>
      <c r="L1297" s="446"/>
      <c r="M1297" s="446"/>
      <c r="N1297" s="1257"/>
      <c r="O1297" s="16"/>
      <c r="P1297" s="1065"/>
      <c r="R1297" s="1052"/>
      <c r="S1297" s="814">
        <f>I1295</f>
        <v>2014</v>
      </c>
      <c r="T1297" s="814">
        <f>J1295</f>
        <v>2015</v>
      </c>
      <c r="U1297" s="814">
        <f>K1295</f>
        <v>2016</v>
      </c>
      <c r="V1297" s="814">
        <f>L1295</f>
        <v>2017</v>
      </c>
      <c r="W1297" s="815">
        <f>M1295</f>
        <v>2018</v>
      </c>
      <c r="AA1297" s="345" t="b">
        <f>AA1296</f>
        <v>0</v>
      </c>
    </row>
    <row r="1298" spans="1:27" ht="12.75" customHeight="1" x14ac:dyDescent="0.2">
      <c r="B1298" s="207"/>
      <c r="C1298" s="1060"/>
      <c r="D1298" s="699" t="s">
        <v>461</v>
      </c>
      <c r="E1298" s="1739" t="str">
        <f>Translations!$B$796</f>
        <v>Gazy odlotowe wprowadzone</v>
      </c>
      <c r="F1298" s="1740"/>
      <c r="G1298" s="1740"/>
      <c r="H1298" s="453" t="str">
        <f>EUconst_TJpa</f>
        <v>TJ / rok</v>
      </c>
      <c r="I1298" s="433" t="str">
        <f>IF(COUNT(I1296:I1297)=2,I1296*I1297/1000,"")</f>
        <v/>
      </c>
      <c r="J1298" s="433" t="str">
        <f>IF(COUNT(J1296:J1297)=2,J1296*J1297/1000,"")</f>
        <v/>
      </c>
      <c r="K1298" s="433" t="str">
        <f>IF(COUNT(K1296:K1297)=2,K1296*K1297/1000,"")</f>
        <v/>
      </c>
      <c r="L1298" s="433" t="str">
        <f>IF(COUNT(L1296:L1297)=2,L1296*L1297/1000,"")</f>
        <v/>
      </c>
      <c r="M1298" s="433" t="str">
        <f>IF(COUNT(M1296:M1297)=2,M1296*M1297/1000,"")</f>
        <v/>
      </c>
      <c r="N1298" s="1257"/>
      <c r="O1298" s="16"/>
      <c r="P1298" s="1062" t="str">
        <f>EUconst_CNTR_WGImport &amp; I1153</f>
        <v>WasteGasIm_</v>
      </c>
      <c r="R1298" s="1064" t="str">
        <f>EUconst_ERR_AttrEmBMapplied &amp; I1153</f>
        <v>ERR_AttrEmBM_ </v>
      </c>
      <c r="S1298" s="116">
        <f>IF(AND(I1298&lt;&gt;"",EUconst_StatusOfDataCollection=FALSE),1,0)</f>
        <v>0</v>
      </c>
      <c r="T1298" s="116">
        <f>IF(AND(J1298&lt;&gt;"",EUconst_StatusOfDataCollection=FALSE),1,0)</f>
        <v>0</v>
      </c>
      <c r="U1298" s="116">
        <f>IF(AND(K1298&lt;&gt;"",EUconst_StatusOfDataCollection=FALSE),1,0)</f>
        <v>0</v>
      </c>
      <c r="V1298" s="116">
        <f>IF(AND(L1298&lt;&gt;"",EUconst_StatusOfDataCollection=FALSE),1,0)</f>
        <v>0</v>
      </c>
      <c r="W1298" s="117">
        <f>IF(AND(M1298&lt;&gt;"",EUconst_StatusOfDataCollection=FALSE),1,0)</f>
        <v>0</v>
      </c>
      <c r="AA1298" s="608"/>
    </row>
    <row r="1299" spans="1:27" s="701" customFormat="1" ht="12.75" customHeight="1" thickBot="1" x14ac:dyDescent="0.25">
      <c r="A1299" s="422"/>
      <c r="B1299" s="207"/>
      <c r="C1299" s="1060"/>
      <c r="D1299" s="699" t="s">
        <v>462</v>
      </c>
      <c r="E1299" s="1739" t="str">
        <f>Translations!$B$797</f>
        <v>Właściwy współczynnik emisji (gazy odlotowe wprowadzone)</v>
      </c>
      <c r="F1299" s="1739"/>
      <c r="G1299" s="1739"/>
      <c r="H1299" s="452" t="str">
        <f>EUconst_tCO2pTJ</f>
        <v>t CO2 / TJ</v>
      </c>
      <c r="I1299" s="765"/>
      <c r="J1299" s="765"/>
      <c r="K1299" s="765"/>
      <c r="L1299" s="765"/>
      <c r="M1299" s="765"/>
      <c r="N1299" s="665"/>
      <c r="O1299" s="16"/>
      <c r="P1299" s="1062" t="str">
        <f>EUconst_CNTR_WGImportEF &amp; I1153</f>
        <v>WasteGasImEF_</v>
      </c>
      <c r="Q1299" s="422"/>
      <c r="R1299" s="1053" t="str">
        <f>EUconst_CNTR_AttributedEmissions &amp; I1153</f>
        <v>AttrEmissions_</v>
      </c>
      <c r="S1299" s="119" t="str">
        <f>IF(S1153,SUM(I1298)*EUconst_FuelBMvalue,"")</f>
        <v/>
      </c>
      <c r="T1299" s="119" t="str">
        <f>IF(T1153,SUM(J1298)*EUconst_FuelBMvalue,"")</f>
        <v/>
      </c>
      <c r="U1299" s="119" t="str">
        <f>IF(U1153,SUM(K1298)*EUconst_FuelBMvalue,"")</f>
        <v/>
      </c>
      <c r="V1299" s="119" t="str">
        <f>IF(V1153,SUM(L1298)*EUconst_FuelBMvalue,"")</f>
        <v/>
      </c>
      <c r="W1299" s="120" t="str">
        <f>IF(W1153,SUM(M1298)*EUconst_FuelBMvalue,"")</f>
        <v/>
      </c>
      <c r="X1299" s="422"/>
      <c r="Y1299" s="422"/>
      <c r="Z1299" s="422"/>
      <c r="AA1299" s="345" t="b">
        <f>AA1297</f>
        <v>0</v>
      </c>
    </row>
    <row r="1300" spans="1:27" ht="12.75" customHeight="1" x14ac:dyDescent="0.2">
      <c r="B1300" s="207"/>
      <c r="C1300" s="1060"/>
      <c r="D1300" s="1061"/>
      <c r="E1300" s="1061"/>
      <c r="F1300" s="1061"/>
      <c r="G1300" s="1061"/>
      <c r="H1300" s="1061"/>
      <c r="I1300" s="1061"/>
      <c r="J1300" s="1061"/>
      <c r="K1300" s="1061"/>
      <c r="L1300" s="1061"/>
      <c r="M1300" s="1063"/>
      <c r="N1300" s="665"/>
      <c r="O1300" s="16"/>
      <c r="P1300" s="1037"/>
      <c r="R1300" s="1037"/>
      <c r="S1300" s="1037"/>
      <c r="AA1300" s="608"/>
    </row>
    <row r="1301" spans="1:27" ht="12.75" customHeight="1" x14ac:dyDescent="0.2">
      <c r="B1301" s="207"/>
      <c r="C1301" s="1060"/>
      <c r="D1301" s="699" t="s">
        <v>463</v>
      </c>
      <c r="E1301" s="1760" t="str">
        <f>Translations!$B$798</f>
        <v>Rodzaje wyprowadzonych gazów odlotowych:</v>
      </c>
      <c r="F1301" s="1760"/>
      <c r="G1301" s="1760"/>
      <c r="H1301" s="1760"/>
      <c r="I1301" s="1763"/>
      <c r="J1301" s="1764"/>
      <c r="K1301" s="1764"/>
      <c r="L1301" s="1764"/>
      <c r="M1301" s="1765"/>
      <c r="N1301" s="1254"/>
      <c r="O1301" s="16"/>
      <c r="P1301" s="1037"/>
      <c r="R1301" s="1037"/>
      <c r="AA1301" s="345" t="b">
        <f>AA1296</f>
        <v>0</v>
      </c>
    </row>
    <row r="1302" spans="1:27" ht="5.0999999999999996" customHeight="1" x14ac:dyDescent="0.2">
      <c r="B1302" s="207"/>
      <c r="C1302" s="1060"/>
      <c r="D1302" s="699"/>
      <c r="E1302" s="1733"/>
      <c r="F1302" s="1734"/>
      <c r="G1302" s="1734"/>
      <c r="H1302" s="1734"/>
      <c r="I1302" s="1734"/>
      <c r="J1302" s="1734"/>
      <c r="K1302" s="1734"/>
      <c r="L1302" s="1734"/>
      <c r="M1302" s="1734"/>
      <c r="N1302" s="1735"/>
      <c r="O1302" s="16"/>
      <c r="P1302" s="1037"/>
      <c r="R1302" s="1037"/>
      <c r="S1302" s="1037"/>
      <c r="AA1302" s="608"/>
    </row>
    <row r="1303" spans="1:27" ht="12.75" customHeight="1" x14ac:dyDescent="0.2">
      <c r="B1303" s="207"/>
      <c r="C1303" s="1060"/>
      <c r="D1303" s="1061"/>
      <c r="E1303" s="1757"/>
      <c r="F1303" s="1758"/>
      <c r="G1303" s="1758"/>
      <c r="H1303" s="450" t="str">
        <f>EUconst_Unit</f>
        <v>Jednostka</v>
      </c>
      <c r="I1303" s="451">
        <f>I$1882</f>
        <v>2014</v>
      </c>
      <c r="J1303" s="451">
        <f>J$1882</f>
        <v>2015</v>
      </c>
      <c r="K1303" s="451">
        <f>K$1882</f>
        <v>2016</v>
      </c>
      <c r="L1303" s="451">
        <f>L$1882</f>
        <v>2017</v>
      </c>
      <c r="M1303" s="451">
        <f>M$1882</f>
        <v>2018</v>
      </c>
      <c r="N1303" s="1257"/>
      <c r="O1303" s="16"/>
      <c r="P1303" s="1037"/>
      <c r="R1303" s="1037"/>
      <c r="S1303" s="1037"/>
      <c r="AA1303" s="608"/>
    </row>
    <row r="1304" spans="1:27" ht="12.75" customHeight="1" x14ac:dyDescent="0.2">
      <c r="B1304" s="207"/>
      <c r="C1304" s="1060"/>
      <c r="D1304" s="699" t="s">
        <v>464</v>
      </c>
      <c r="E1304" s="1766" t="str">
        <f>Translations!$B$800</f>
        <v>Ilości wyprowadzone</v>
      </c>
      <c r="F1304" s="1767"/>
      <c r="G1304" s="1767"/>
      <c r="H1304" s="231"/>
      <c r="I1304" s="472"/>
      <c r="J1304" s="472"/>
      <c r="K1304" s="472"/>
      <c r="L1304" s="472"/>
      <c r="M1304" s="472"/>
      <c r="N1304" s="1257"/>
      <c r="O1304" s="16"/>
      <c r="P1304" s="1037"/>
      <c r="R1304" s="1037"/>
      <c r="S1304" s="1037"/>
      <c r="AA1304" s="345" t="b">
        <f>AA1301</f>
        <v>0</v>
      </c>
    </row>
    <row r="1305" spans="1:27" ht="12.75" customHeight="1" thickBot="1" x14ac:dyDescent="0.25">
      <c r="B1305" s="207"/>
      <c r="C1305" s="1060"/>
      <c r="D1305" s="699" t="s">
        <v>643</v>
      </c>
      <c r="E1305" s="1743" t="str">
        <f>Translations!$B$470</f>
        <v>Wartość opałowa</v>
      </c>
      <c r="F1305" s="1744"/>
      <c r="G1305" s="1744"/>
      <c r="H1305" s="56" t="str">
        <f>IF(ISBLANK(H1304),EUconst_GJperUnit,INDEX(EUconst_GJperTorKNm3,MATCH(H1304,EUconst_TonnesOrkNm3pa,0)))</f>
        <v>GJ / Jednostka</v>
      </c>
      <c r="I1305" s="446"/>
      <c r="J1305" s="446"/>
      <c r="K1305" s="446"/>
      <c r="L1305" s="446"/>
      <c r="M1305" s="446"/>
      <c r="N1305" s="1257"/>
      <c r="O1305" s="16"/>
      <c r="P1305" s="1065"/>
      <c r="R1305" s="1037"/>
      <c r="S1305" s="1037"/>
      <c r="AA1305" s="345" t="b">
        <f>AA1304</f>
        <v>0</v>
      </c>
    </row>
    <row r="1306" spans="1:27" ht="12.75" customHeight="1" x14ac:dyDescent="0.2">
      <c r="B1306" s="207"/>
      <c r="C1306" s="1060"/>
      <c r="D1306" s="699" t="s">
        <v>644</v>
      </c>
      <c r="E1306" s="1739" t="str">
        <f>Translations!$B$801</f>
        <v>Gazy odlotowe wyprowadzone</v>
      </c>
      <c r="F1306" s="1740"/>
      <c r="G1306" s="1740"/>
      <c r="H1306" s="453" t="str">
        <f>EUconst_TJpa</f>
        <v>TJ / rok</v>
      </c>
      <c r="I1306" s="433" t="str">
        <f>IF(COUNT(I1304:I1305)=2,I1304*I1305/1000,"")</f>
        <v/>
      </c>
      <c r="J1306" s="433" t="str">
        <f>IF(COUNT(J1304:J1305)=2,J1304*J1305/1000,"")</f>
        <v/>
      </c>
      <c r="K1306" s="433" t="str">
        <f>IF(COUNT(K1304:K1305)=2,K1304*K1305/1000,"")</f>
        <v/>
      </c>
      <c r="L1306" s="433" t="str">
        <f>IF(COUNT(L1304:L1305)=2,L1304*L1305/1000,"")</f>
        <v/>
      </c>
      <c r="M1306" s="433" t="str">
        <f>IF(COUNT(M1304:M1305)=2,M1304*M1305/1000,"")</f>
        <v/>
      </c>
      <c r="N1306" s="702"/>
      <c r="O1306" s="16"/>
      <c r="P1306" s="1062" t="str">
        <f>EUconst_CNTR_WGExport &amp; I1153</f>
        <v>WasteGasEx_</v>
      </c>
      <c r="R1306" s="1052"/>
      <c r="S1306" s="814">
        <f>I1303</f>
        <v>2014</v>
      </c>
      <c r="T1306" s="814">
        <f>J1303</f>
        <v>2015</v>
      </c>
      <c r="U1306" s="814">
        <f>K1303</f>
        <v>2016</v>
      </c>
      <c r="V1306" s="814">
        <f>L1303</f>
        <v>2017</v>
      </c>
      <c r="W1306" s="815">
        <f>M1303</f>
        <v>2018</v>
      </c>
      <c r="AA1306" s="608"/>
    </row>
    <row r="1307" spans="1:27" s="701" customFormat="1" ht="12.75" customHeight="1" thickBot="1" x14ac:dyDescent="0.25">
      <c r="A1307" s="422"/>
      <c r="B1307" s="207"/>
      <c r="C1307" s="1060"/>
      <c r="D1307" s="699" t="s">
        <v>645</v>
      </c>
      <c r="E1307" s="1739" t="str">
        <f>Translations!$B$802</f>
        <v>Właściwy współczynnik emisji (gazy odlotowe wyprowadzone)</v>
      </c>
      <c r="F1307" s="1739"/>
      <c r="G1307" s="1739"/>
      <c r="H1307" s="452" t="str">
        <f>EUconst_tCO2pTJ</f>
        <v>t CO2 / TJ</v>
      </c>
      <c r="I1307" s="765"/>
      <c r="J1307" s="765"/>
      <c r="K1307" s="765"/>
      <c r="L1307" s="765"/>
      <c r="M1307" s="765"/>
      <c r="N1307" s="665"/>
      <c r="O1307" s="16"/>
      <c r="P1307" s="1062" t="str">
        <f>EUconst_CNTR_WGExportEF &amp; I1153</f>
        <v>WasteGasExEF_</v>
      </c>
      <c r="Q1307" s="422"/>
      <c r="R1307" s="1053" t="str">
        <f>EUconst_CNTR_AttributedEmissions &amp; I1153</f>
        <v>AttrEmissions_</v>
      </c>
      <c r="S1307" s="119" t="str">
        <f>IF(S1153,-SUM(I1306)*EUconst_NGEFvalue*EUconst_WasteGasCorrFactor,"")</f>
        <v/>
      </c>
      <c r="T1307" s="119" t="str">
        <f>IF(T1153,-SUM(J1306)*EUconst_NGEFvalue*EUconst_WasteGasCorrFactor,"")</f>
        <v/>
      </c>
      <c r="U1307" s="119" t="str">
        <f>IF(U1153,-SUM(K1306)*EUconst_NGEFvalue*EUconst_WasteGasCorrFactor,"")</f>
        <v/>
      </c>
      <c r="V1307" s="119" t="str">
        <f>IF(V1153,-SUM(L1306)*EUconst_NGEFvalue*EUconst_WasteGasCorrFactor,"")</f>
        <v/>
      </c>
      <c r="W1307" s="120" t="str">
        <f>IF(W1153,-SUM(M1306)*EUconst_NGEFvalue*EUconst_WasteGasCorrFactor,"")</f>
        <v/>
      </c>
      <c r="X1307" s="422"/>
      <c r="Y1307" s="422"/>
      <c r="Z1307" s="422"/>
      <c r="AA1307" s="168" t="b">
        <f>AA1305</f>
        <v>0</v>
      </c>
    </row>
    <row r="1308" spans="1:27" ht="12.75" customHeight="1" x14ac:dyDescent="0.2">
      <c r="B1308" s="207"/>
      <c r="C1308" s="1060"/>
      <c r="D1308" s="1061"/>
      <c r="E1308" s="1061"/>
      <c r="F1308" s="1061"/>
      <c r="G1308" s="1061"/>
      <c r="H1308" s="1061"/>
      <c r="I1308" s="1061"/>
      <c r="J1308" s="1061"/>
      <c r="K1308" s="1061"/>
      <c r="L1308" s="1061"/>
      <c r="M1308" s="1063"/>
      <c r="N1308" s="665"/>
      <c r="O1308" s="16"/>
      <c r="P1308" s="1037"/>
      <c r="R1308" s="1037"/>
    </row>
    <row r="1309" spans="1:27" ht="12.75" customHeight="1" thickBot="1" x14ac:dyDescent="0.25">
      <c r="B1309" s="207"/>
      <c r="C1309" s="1060"/>
      <c r="D1309" s="462" t="s">
        <v>221</v>
      </c>
      <c r="E1309" s="1731" t="str">
        <f>Translations!$B$420</f>
        <v>Wytwarzanie energii elektrycznej</v>
      </c>
      <c r="F1309" s="1734"/>
      <c r="G1309" s="1734"/>
      <c r="H1309" s="1734"/>
      <c r="I1309" s="1734"/>
      <c r="J1309" s="1734"/>
      <c r="K1309" s="1734"/>
      <c r="L1309" s="1734"/>
      <c r="M1309" s="1734"/>
      <c r="N1309" s="1735"/>
      <c r="O1309" s="16"/>
      <c r="P1309" s="1037"/>
      <c r="R1309" s="1037"/>
    </row>
    <row r="1310" spans="1:27" ht="12.75" customHeight="1" x14ac:dyDescent="0.2">
      <c r="B1310" s="207"/>
      <c r="C1310" s="1060"/>
      <c r="D1310" s="462"/>
      <c r="E1310" s="1757"/>
      <c r="F1310" s="1758"/>
      <c r="G1310" s="1758"/>
      <c r="H1310" s="450" t="str">
        <f>EUconst_Unit</f>
        <v>Jednostka</v>
      </c>
      <c r="I1310" s="451">
        <f>I$1882</f>
        <v>2014</v>
      </c>
      <c r="J1310" s="451">
        <f>J$1882</f>
        <v>2015</v>
      </c>
      <c r="K1310" s="451">
        <f>K$1882</f>
        <v>2016</v>
      </c>
      <c r="L1310" s="451">
        <f>L$1882</f>
        <v>2017</v>
      </c>
      <c r="M1310" s="451">
        <f>M$1882</f>
        <v>2018</v>
      </c>
      <c r="N1310" s="665"/>
      <c r="O1310" s="16"/>
      <c r="P1310" s="1037"/>
      <c r="R1310" s="1052"/>
      <c r="S1310" s="814">
        <f>I1310</f>
        <v>2014</v>
      </c>
      <c r="T1310" s="814">
        <f>J1310</f>
        <v>2015</v>
      </c>
      <c r="U1310" s="814">
        <f>K1310</f>
        <v>2016</v>
      </c>
      <c r="V1310" s="814">
        <f>L1310</f>
        <v>2017</v>
      </c>
      <c r="W1310" s="815">
        <f>M1310</f>
        <v>2018</v>
      </c>
    </row>
    <row r="1311" spans="1:27" ht="12.75" customHeight="1" thickBot="1" x14ac:dyDescent="0.25">
      <c r="B1311" s="207"/>
      <c r="C1311" s="1060"/>
      <c r="D1311" s="699"/>
      <c r="E1311" s="1739" t="str">
        <f>Translations!$B$805</f>
        <v>Energia elektryczna wytworzona</v>
      </c>
      <c r="F1311" s="1740"/>
      <c r="G1311" s="1740"/>
      <c r="H1311" s="453" t="str">
        <f>EUconst_MWhpa</f>
        <v>MWh / rok</v>
      </c>
      <c r="I1311" s="471"/>
      <c r="J1311" s="471"/>
      <c r="K1311" s="471"/>
      <c r="L1311" s="471"/>
      <c r="M1311" s="471"/>
      <c r="N1311" s="1257"/>
      <c r="O1311" s="16"/>
      <c r="P1311" s="1062" t="str">
        <f>EUconst_CNTR_ElectricityExported &amp; I1153</f>
        <v>ElecEx_</v>
      </c>
      <c r="R1311" s="1053" t="str">
        <f>EUconst_CNTR_AttributedEmissions &amp; I1153</f>
        <v>AttrEmissions_</v>
      </c>
      <c r="S1311" s="119" t="str">
        <f>IF(S1153,-SUM(I1311)*EUconst_ElBM,"")</f>
        <v/>
      </c>
      <c r="T1311" s="119" t="str">
        <f>IF(T1153,-SUM(J1311)*EUconst_ElBM,"")</f>
        <v/>
      </c>
      <c r="U1311" s="119" t="str">
        <f>IF(U1153,-SUM(K1311)*EUconst_ElBM,"")</f>
        <v/>
      </c>
      <c r="V1311" s="119" t="str">
        <f>IF(V1153,-SUM(L1311)*EUconst_ElBM,"")</f>
        <v/>
      </c>
      <c r="W1311" s="120" t="str">
        <f>IF(W1153,-SUM(M1311)*EUconst_ElBM,"")</f>
        <v/>
      </c>
    </row>
    <row r="1312" spans="1:27" ht="12.75" customHeight="1" x14ac:dyDescent="0.2">
      <c r="B1312" s="207"/>
      <c r="C1312" s="1060"/>
      <c r="D1312" s="1061"/>
      <c r="E1312" s="1061"/>
      <c r="F1312" s="1061"/>
      <c r="G1312" s="1061"/>
      <c r="H1312" s="1061"/>
      <c r="I1312" s="1061"/>
      <c r="J1312" s="1061"/>
      <c r="K1312" s="1061"/>
      <c r="L1312" s="1061"/>
      <c r="M1312" s="1063"/>
      <c r="N1312" s="665"/>
      <c r="O1312" s="16"/>
      <c r="P1312" s="1037"/>
      <c r="R1312" s="1037"/>
      <c r="S1312" s="1037"/>
    </row>
    <row r="1313" spans="2:27" ht="12.75" customHeight="1" thickBot="1" x14ac:dyDescent="0.25">
      <c r="B1313" s="207"/>
      <c r="C1313" s="1060"/>
      <c r="D1313" s="462" t="s">
        <v>79</v>
      </c>
      <c r="E1313" s="1760" t="str">
        <f>Translations!$B$806</f>
        <v>Całkowita ilość wyprodukowanej masy celulozowej</v>
      </c>
      <c r="F1313" s="1760"/>
      <c r="G1313" s="1760"/>
      <c r="H1313" s="1760"/>
      <c r="I1313" s="1760"/>
      <c r="J1313" s="1760"/>
      <c r="K1313" s="1760"/>
      <c r="L1313" s="1760"/>
      <c r="M1313" s="1760"/>
      <c r="N1313" s="1761"/>
      <c r="O1313" s="16"/>
      <c r="S1313" s="1037"/>
    </row>
    <row r="1314" spans="2:27" ht="12.75" customHeight="1" thickBot="1" x14ac:dyDescent="0.25">
      <c r="B1314" s="207"/>
      <c r="C1314" s="1060"/>
      <c r="D1314" s="699"/>
      <c r="E1314" s="1762" t="str">
        <f>IF(I1153="","",IF(INDEX(EUconst_BMlistPulp,MATCH(I1153,EUconst_BMlistNames,0)),I1153,""))</f>
        <v/>
      </c>
      <c r="F1314" s="1762"/>
      <c r="G1314" s="1762"/>
      <c r="H1314" s="453" t="str">
        <f>EUconst_Tons</f>
        <v>tony</v>
      </c>
      <c r="I1314" s="471"/>
      <c r="J1314" s="471"/>
      <c r="K1314" s="471"/>
      <c r="L1314" s="471"/>
      <c r="M1314" s="471"/>
      <c r="N1314" s="1257"/>
      <c r="O1314" s="16"/>
      <c r="P1314" s="1062" t="str">
        <f>EUconst_CNTR_HALPulpTotal &amp; I1153</f>
        <v>HALPulpTotal_</v>
      </c>
      <c r="R1314" s="1037"/>
      <c r="AA1314" s="738" t="b">
        <f>IF(I1153&lt;&gt;"",IF(INDEX(EUconst_BMlistPulp,MATCH(I1153,EUconst_BMlistNames,0))=TRUE,FALSE,TRUE),FALSE)</f>
        <v>0</v>
      </c>
    </row>
    <row r="1315" spans="2:27" ht="12.75" customHeight="1" x14ac:dyDescent="0.2">
      <c r="B1315" s="207"/>
      <c r="C1315" s="1060"/>
      <c r="D1315" s="699"/>
      <c r="E1315" s="699"/>
      <c r="F1315" s="699"/>
      <c r="G1315" s="699"/>
      <c r="H1315" s="699"/>
      <c r="I1315" s="699"/>
      <c r="J1315" s="699"/>
      <c r="K1315" s="699"/>
      <c r="L1315" s="699"/>
      <c r="M1315" s="699"/>
      <c r="N1315" s="1257"/>
      <c r="O1315" s="16"/>
      <c r="P1315" s="1065"/>
      <c r="R1315" s="1037"/>
      <c r="S1315" s="1037"/>
    </row>
    <row r="1316" spans="2:27" ht="12.75" customHeight="1" thickBot="1" x14ac:dyDescent="0.25">
      <c r="B1316" s="207"/>
      <c r="C1316" s="1060"/>
      <c r="D1316" s="462" t="s">
        <v>333</v>
      </c>
      <c r="E1316" s="1731" t="str">
        <f>Translations!$B$810</f>
        <v>Wprowadzanie lub wyprowadzanie produktów pośrednich objętych wskaźnikami emisyjności dla produktów</v>
      </c>
      <c r="F1316" s="1734"/>
      <c r="G1316" s="1734"/>
      <c r="H1316" s="1734"/>
      <c r="I1316" s="1734"/>
      <c r="J1316" s="1734"/>
      <c r="K1316" s="1734"/>
      <c r="L1316" s="1734"/>
      <c r="M1316" s="1734"/>
      <c r="N1316" s="1735"/>
      <c r="O1316" s="16"/>
      <c r="P1316" s="1037"/>
      <c r="R1316" s="1037"/>
      <c r="S1316" s="1037"/>
    </row>
    <row r="1317" spans="2:27" ht="12.75" customHeight="1" thickBot="1" x14ac:dyDescent="0.25">
      <c r="B1317" s="20"/>
      <c r="C1317" s="1060"/>
      <c r="D1317" s="699" t="s">
        <v>2</v>
      </c>
      <c r="E1317" s="1755" t="str">
        <f>Translations!$B$813</f>
        <v>Czy ma miejsce jakiekolwiek wprowadzanie lub wyprowadzanie produktów pośrednich objętych wskaźnikami emisyjności dla produktów?</v>
      </c>
      <c r="F1317" s="1755"/>
      <c r="G1317" s="1755"/>
      <c r="H1317" s="1755"/>
      <c r="I1317" s="1755"/>
      <c r="J1317" s="1755"/>
      <c r="K1317" s="1756"/>
      <c r="L1317" s="517"/>
      <c r="M1317" s="449"/>
      <c r="N1317" s="702"/>
      <c r="O1317" s="16"/>
      <c r="W1317" s="1048" t="s">
        <v>414</v>
      </c>
      <c r="X1317" s="1046" t="b">
        <f>IF(AND(I1153&lt;&gt;"",ISBLANK(L1317)),EUconst_Error&amp;"BM"&amp;C1153,FALSE)</f>
        <v>0</v>
      </c>
    </row>
    <row r="1318" spans="2:27" ht="5.0999999999999996" customHeight="1" x14ac:dyDescent="0.2">
      <c r="B1318" s="207"/>
      <c r="C1318" s="1060"/>
      <c r="D1318" s="699"/>
      <c r="E1318" s="699"/>
      <c r="F1318" s="699"/>
      <c r="G1318" s="699"/>
      <c r="H1318" s="699"/>
      <c r="I1318" s="699"/>
      <c r="J1318" s="699"/>
      <c r="K1318" s="699"/>
      <c r="L1318" s="699"/>
      <c r="M1318" s="699"/>
      <c r="N1318" s="1257"/>
      <c r="O1318" s="16"/>
      <c r="P1318" s="1065"/>
      <c r="R1318" s="1037"/>
      <c r="S1318" s="1037"/>
    </row>
    <row r="1319" spans="2:27" ht="12.75" customHeight="1" thickBot="1" x14ac:dyDescent="0.25">
      <c r="B1319" s="207"/>
      <c r="C1319" s="1060"/>
      <c r="D1319" s="514"/>
      <c r="E1319" s="1757" t="str">
        <f>Translations!$B$814</f>
        <v>Ilości wprowadzone:</v>
      </c>
      <c r="F1319" s="1758"/>
      <c r="G1319" s="1758"/>
      <c r="H1319" s="515" t="str">
        <f>EUconst_Unit</f>
        <v>Jednostka</v>
      </c>
      <c r="I1319" s="451">
        <f>I$1882</f>
        <v>2014</v>
      </c>
      <c r="J1319" s="451">
        <f>J$1882</f>
        <v>2015</v>
      </c>
      <c r="K1319" s="451">
        <f>K$1882</f>
        <v>2016</v>
      </c>
      <c r="L1319" s="451">
        <f>L$1882</f>
        <v>2017</v>
      </c>
      <c r="M1319" s="451">
        <f>M$1882</f>
        <v>2018</v>
      </c>
      <c r="N1319" s="1257"/>
      <c r="O1319" s="16"/>
      <c r="P1319" s="1065"/>
      <c r="R1319" s="1037"/>
      <c r="S1319" s="1037"/>
      <c r="AA1319" s="422" t="s">
        <v>272</v>
      </c>
    </row>
    <row r="1320" spans="2:27" ht="12.75" customHeight="1" x14ac:dyDescent="0.2">
      <c r="B1320" s="207"/>
      <c r="C1320" s="1060"/>
      <c r="D1320" s="516" t="s">
        <v>3</v>
      </c>
      <c r="E1320" s="1759"/>
      <c r="F1320" s="1759"/>
      <c r="G1320" s="1759"/>
      <c r="H1320" s="64" t="str">
        <f>IF(E1320&lt;&gt;"",INDEX(EUconst_BMlistUnits,MATCH(E1320,EUconst_BMlistNames,0)),EUconst_Tons)</f>
        <v>tony</v>
      </c>
      <c r="I1320" s="318"/>
      <c r="J1320" s="318"/>
      <c r="K1320" s="318"/>
      <c r="L1320" s="318"/>
      <c r="M1320" s="318"/>
      <c r="N1320" s="1257"/>
      <c r="O1320" s="16"/>
      <c r="P1320" s="1062" t="str">
        <f>EUconst_CNTR_IntermediateImport &amp; R1320 &amp; "_" &amp; I1153</f>
        <v>IntImp_1_</v>
      </c>
      <c r="R1320" s="1062">
        <v>1</v>
      </c>
      <c r="S1320" s="1037"/>
      <c r="AA1320" s="646" t="b">
        <f>AND(NOT(ISBLANK(L1317)),L1317=FALSE)</f>
        <v>0</v>
      </c>
    </row>
    <row r="1321" spans="2:27" ht="12.75" customHeight="1" x14ac:dyDescent="0.2">
      <c r="B1321" s="207"/>
      <c r="C1321" s="1060"/>
      <c r="D1321" s="516" t="s">
        <v>4</v>
      </c>
      <c r="E1321" s="1747"/>
      <c r="F1321" s="1747"/>
      <c r="G1321" s="1747"/>
      <c r="H1321" s="56" t="str">
        <f>IF(E1321&lt;&gt;"",INDEX(EUconst_BMlistUnits,MATCH(E1321,EUconst_BMlistNames,0)),EUconst_Tons)</f>
        <v>tony</v>
      </c>
      <c r="I1321" s="317"/>
      <c r="J1321" s="317"/>
      <c r="K1321" s="317"/>
      <c r="L1321" s="317"/>
      <c r="M1321" s="317"/>
      <c r="N1321" s="1257"/>
      <c r="O1321" s="16"/>
      <c r="P1321" s="1062" t="str">
        <f>EUconst_CNTR_IntermediateImport &amp; R1321 &amp; "_" &amp; I1153</f>
        <v>IntImp_2_</v>
      </c>
      <c r="R1321" s="1062">
        <v>2</v>
      </c>
      <c r="S1321" s="1037"/>
      <c r="AA1321" s="345" t="b">
        <f>AA1320</f>
        <v>0</v>
      </c>
    </row>
    <row r="1322" spans="2:27" ht="5.0999999999999996" customHeight="1" x14ac:dyDescent="0.2">
      <c r="B1322" s="207"/>
      <c r="C1322" s="1060"/>
      <c r="D1322" s="699"/>
      <c r="E1322" s="699"/>
      <c r="F1322" s="699"/>
      <c r="G1322" s="699"/>
      <c r="H1322" s="699"/>
      <c r="I1322" s="699"/>
      <c r="J1322" s="699"/>
      <c r="K1322" s="699"/>
      <c r="L1322" s="699"/>
      <c r="M1322" s="699"/>
      <c r="N1322" s="1257"/>
      <c r="O1322" s="16"/>
      <c r="P1322" s="1065"/>
      <c r="R1322" s="1037"/>
      <c r="S1322" s="1037"/>
      <c r="AA1322" s="608"/>
    </row>
    <row r="1323" spans="2:27" ht="12.75" customHeight="1" x14ac:dyDescent="0.2">
      <c r="B1323" s="207"/>
      <c r="C1323" s="1060"/>
      <c r="D1323" s="514"/>
      <c r="E1323" s="1757" t="str">
        <f>Translations!$B$815</f>
        <v>Ilości wyprowadzone:</v>
      </c>
      <c r="F1323" s="1758"/>
      <c r="G1323" s="1758"/>
      <c r="H1323" s="515" t="str">
        <f>EUconst_Unit</f>
        <v>Jednostka</v>
      </c>
      <c r="I1323" s="451">
        <f>I$1882</f>
        <v>2014</v>
      </c>
      <c r="J1323" s="451">
        <f>J$1882</f>
        <v>2015</v>
      </c>
      <c r="K1323" s="451">
        <f>K$1882</f>
        <v>2016</v>
      </c>
      <c r="L1323" s="451">
        <f>L$1882</f>
        <v>2017</v>
      </c>
      <c r="M1323" s="451">
        <f>M$1882</f>
        <v>2018</v>
      </c>
      <c r="N1323" s="1257"/>
      <c r="O1323" s="16"/>
      <c r="P1323" s="1065"/>
      <c r="R1323" s="1037"/>
      <c r="S1323" s="1037"/>
      <c r="AA1323" s="608"/>
    </row>
    <row r="1324" spans="2:27" ht="12.75" customHeight="1" x14ac:dyDescent="0.2">
      <c r="B1324" s="207"/>
      <c r="C1324" s="1060"/>
      <c r="D1324" s="516" t="s">
        <v>6</v>
      </c>
      <c r="E1324" s="1759"/>
      <c r="F1324" s="1759"/>
      <c r="G1324" s="1759"/>
      <c r="H1324" s="64" t="str">
        <f>IF(E1324&lt;&gt;"",INDEX(EUconst_BMlistUnits,MATCH(E1324,EUconst_BMlistNames,0)),EUconst_Tons)</f>
        <v>tony</v>
      </c>
      <c r="I1324" s="318"/>
      <c r="J1324" s="318"/>
      <c r="K1324" s="318"/>
      <c r="L1324" s="318"/>
      <c r="M1324" s="318"/>
      <c r="N1324" s="1257"/>
      <c r="O1324" s="16"/>
      <c r="P1324" s="1062" t="str">
        <f>EUconst_CNTR_IntermediateExport &amp; R1320 &amp; "_" &amp; I1153</f>
        <v>IntExp_1_</v>
      </c>
      <c r="R1324" s="1062">
        <v>1</v>
      </c>
      <c r="S1324" s="1037"/>
      <c r="U1324" s="512"/>
      <c r="V1324" s="512"/>
      <c r="AA1324" s="345" t="b">
        <f>AA1320</f>
        <v>0</v>
      </c>
    </row>
    <row r="1325" spans="2:27" ht="12.75" customHeight="1" x14ac:dyDescent="0.2">
      <c r="B1325" s="207"/>
      <c r="C1325" s="1060"/>
      <c r="D1325" s="516" t="s">
        <v>316</v>
      </c>
      <c r="E1325" s="1747"/>
      <c r="F1325" s="1747"/>
      <c r="G1325" s="1747"/>
      <c r="H1325" s="56" t="str">
        <f>IF(E1325&lt;&gt;"",INDEX(EUconst_BMlistUnits,MATCH(E1325,EUconst_BMlistNames,0)),EUconst_Tons)</f>
        <v>tony</v>
      </c>
      <c r="I1325" s="317"/>
      <c r="J1325" s="317"/>
      <c r="K1325" s="317"/>
      <c r="L1325" s="317"/>
      <c r="M1325" s="317"/>
      <c r="N1325" s="1257"/>
      <c r="O1325" s="16"/>
      <c r="P1325" s="1062" t="str">
        <f>EUconst_CNTR_IntermediateExport &amp; R1325 &amp; "_" &amp; I1153</f>
        <v>IntExp_2_</v>
      </c>
      <c r="R1325" s="1062">
        <v>2</v>
      </c>
      <c r="S1325" s="1037"/>
      <c r="U1325" s="512"/>
      <c r="V1325" s="512"/>
      <c r="AA1325" s="345" t="b">
        <f>AA1320</f>
        <v>0</v>
      </c>
    </row>
    <row r="1326" spans="2:27" ht="5.0999999999999996" customHeight="1" x14ac:dyDescent="0.2">
      <c r="B1326" s="207"/>
      <c r="C1326" s="1060"/>
      <c r="D1326" s="699"/>
      <c r="E1326" s="699"/>
      <c r="F1326" s="699"/>
      <c r="G1326" s="699"/>
      <c r="H1326" s="699"/>
      <c r="I1326" s="699"/>
      <c r="J1326" s="699"/>
      <c r="K1326" s="699"/>
      <c r="L1326" s="699"/>
      <c r="M1326" s="699"/>
      <c r="N1326" s="1257"/>
      <c r="O1326" s="16"/>
      <c r="P1326" s="1065"/>
      <c r="R1326" s="1037"/>
      <c r="S1326" s="1037"/>
      <c r="U1326" s="512"/>
      <c r="V1326" s="512"/>
      <c r="AA1326" s="608"/>
    </row>
    <row r="1327" spans="2:27" ht="12.75" customHeight="1" x14ac:dyDescent="0.2">
      <c r="B1327" s="207"/>
      <c r="C1327" s="1060"/>
      <c r="D1327" s="516" t="s">
        <v>317</v>
      </c>
      <c r="E1327" s="1748" t="str">
        <f>Translations!$B$816</f>
        <v>Opis produktów pośrednich wprowadzonych lub wyprowadzonych</v>
      </c>
      <c r="F1327" s="1748"/>
      <c r="G1327" s="1748"/>
      <c r="H1327" s="1748"/>
      <c r="I1327" s="1748"/>
      <c r="J1327" s="1748"/>
      <c r="K1327" s="1748"/>
      <c r="L1327" s="1748"/>
      <c r="M1327" s="1748"/>
      <c r="N1327" s="1257"/>
      <c r="O1327" s="16"/>
      <c r="P1327" s="1065"/>
      <c r="R1327" s="1037"/>
      <c r="S1327" s="1037"/>
      <c r="U1327" s="512"/>
      <c r="V1327" s="512"/>
      <c r="AA1327" s="608"/>
    </row>
    <row r="1328" spans="2:27" ht="12.75" customHeight="1" x14ac:dyDescent="0.2">
      <c r="B1328" s="207"/>
      <c r="C1328" s="1060"/>
      <c r="D1328" s="699"/>
      <c r="E1328" s="1749"/>
      <c r="F1328" s="1750"/>
      <c r="G1328" s="1750"/>
      <c r="H1328" s="1750"/>
      <c r="I1328" s="1750"/>
      <c r="J1328" s="1750"/>
      <c r="K1328" s="1750"/>
      <c r="L1328" s="1750"/>
      <c r="M1328" s="1751"/>
      <c r="N1328" s="1257"/>
      <c r="O1328" s="16"/>
      <c r="P1328" s="1065"/>
      <c r="R1328" s="1037"/>
      <c r="S1328" s="1037"/>
      <c r="U1328" s="512"/>
      <c r="V1328" s="512"/>
      <c r="AA1328" s="345" t="b">
        <f>AA1320</f>
        <v>0</v>
      </c>
    </row>
    <row r="1329" spans="2:27" ht="12.75" customHeight="1" thickBot="1" x14ac:dyDescent="0.25">
      <c r="B1329" s="207"/>
      <c r="C1329" s="1060"/>
      <c r="D1329" s="699"/>
      <c r="E1329" s="1752"/>
      <c r="F1329" s="1753"/>
      <c r="G1329" s="1753"/>
      <c r="H1329" s="1753"/>
      <c r="I1329" s="1753"/>
      <c r="J1329" s="1753"/>
      <c r="K1329" s="1753"/>
      <c r="L1329" s="1753"/>
      <c r="M1329" s="1754"/>
      <c r="N1329" s="1257"/>
      <c r="O1329" s="16"/>
      <c r="P1329" s="1065"/>
      <c r="R1329" s="1037"/>
      <c r="S1329" s="1037"/>
      <c r="U1329" s="512"/>
      <c r="V1329" s="512"/>
      <c r="AA1329" s="168" t="b">
        <f>AA1320</f>
        <v>0</v>
      </c>
    </row>
    <row r="1330" spans="2:27" ht="12.75" customHeight="1" thickBot="1" x14ac:dyDescent="0.25">
      <c r="B1330" s="207"/>
      <c r="C1330" s="1066"/>
      <c r="D1330" s="1067"/>
      <c r="E1330" s="1067"/>
      <c r="F1330" s="1067"/>
      <c r="G1330" s="1067"/>
      <c r="H1330" s="1067"/>
      <c r="I1330" s="1067"/>
      <c r="J1330" s="1067"/>
      <c r="K1330" s="1067"/>
      <c r="L1330" s="1067"/>
      <c r="M1330" s="1068"/>
      <c r="N1330" s="1069"/>
      <c r="O1330" s="16"/>
      <c r="P1330" s="1037"/>
      <c r="R1330" s="1037"/>
      <c r="S1330" s="1037"/>
    </row>
    <row r="1331" spans="2:27" ht="13.5" thickBot="1" x14ac:dyDescent="0.25">
      <c r="B1331" s="20"/>
      <c r="C1331" s="20"/>
      <c r="D1331" s="20"/>
      <c r="E1331" s="20"/>
      <c r="F1331" s="20"/>
      <c r="G1331" s="20"/>
      <c r="H1331" s="20"/>
      <c r="I1331" s="20"/>
      <c r="J1331" s="20"/>
      <c r="K1331" s="20"/>
      <c r="L1331" s="20"/>
      <c r="M1331" s="20"/>
      <c r="N1331" s="20"/>
      <c r="O1331" s="16"/>
      <c r="P1331" s="346" t="str">
        <f>IF(OR(AND(CNTR_ExistProductSubEntries=FALSE,P1153=1),AND(I1153&lt;&gt;"",COUNTIF(P1332:$P$1876,"PRINT")=0)),"PRINT","")</f>
        <v/>
      </c>
      <c r="Q1331" s="422" t="s">
        <v>498</v>
      </c>
      <c r="R1331" s="1037"/>
      <c r="S1331" s="1037"/>
    </row>
    <row r="1332" spans="2:27" ht="5.0999999999999996" customHeight="1" thickBot="1" x14ac:dyDescent="0.25">
      <c r="B1332" s="20"/>
      <c r="C1332" s="1070"/>
      <c r="D1332" s="1070"/>
      <c r="E1332" s="1070"/>
      <c r="F1332" s="1070"/>
      <c r="G1332" s="1070"/>
      <c r="H1332" s="1070"/>
      <c r="I1332" s="1070"/>
      <c r="J1332" s="1070"/>
      <c r="K1332" s="1070"/>
      <c r="L1332" s="1070"/>
      <c r="M1332" s="1070"/>
      <c r="N1332" s="1070"/>
      <c r="O1332" s="16"/>
      <c r="R1332" s="1037"/>
      <c r="S1332" s="1037"/>
    </row>
    <row r="1333" spans="2:27" ht="15.75" thickBot="1" x14ac:dyDescent="0.25">
      <c r="B1333" s="207"/>
      <c r="C1333" s="1047">
        <f>C1153+1</f>
        <v>8</v>
      </c>
      <c r="D1333" s="1439" t="str">
        <f>EUconst_BMSubinst &amp; ":"</f>
        <v>Podinstalacja i wskaźnik emisyjności dla produktów:</v>
      </c>
      <c r="E1333" s="1370"/>
      <c r="F1333" s="1370"/>
      <c r="G1333" s="1370"/>
      <c r="H1333" s="1432"/>
      <c r="I1333" s="1781" t="str">
        <f>IF(INDEX(CNTR_SubInstListIsProdBM,$C1333),INDEX(CNTR_SubInstListNames,$C1333),"")</f>
        <v/>
      </c>
      <c r="J1333" s="1666"/>
      <c r="K1333" s="1666"/>
      <c r="L1333" s="1666"/>
      <c r="M1333" s="1666"/>
      <c r="N1333" s="1383"/>
      <c r="O1333" s="16"/>
      <c r="P1333" s="346">
        <f>C1333</f>
        <v>8</v>
      </c>
      <c r="Q1333" s="1048" t="s">
        <v>234</v>
      </c>
      <c r="R1333" s="1049" t="str">
        <f>IF(I1333="","",INDEX(CNTR_SubInstStartDate,MATCH($I1333,CNTR_SubInstListNames,0)))</f>
        <v/>
      </c>
      <c r="S1333" s="1050" t="b">
        <f>IF($I1333="",FALSE,AND(I$1885, IF($R1333&lt;DATE($L$1882,1,1),YEAR($R1333)&lt;=I$1882,YEAR($R1333-1)&lt;I$1882) ) )</f>
        <v>0</v>
      </c>
      <c r="T1333" s="1050" t="b">
        <f>IF($I1333="",FALSE,AND(J$1885, IF($R1333&lt;DATE($L$1882,1,1),YEAR($R1333)&lt;=J$1882,YEAR($R1333-1)&lt;J$1882) ) )</f>
        <v>0</v>
      </c>
      <c r="U1333" s="1050" t="b">
        <f>IF($I1333="",FALSE,AND(K$1885, IF($R1333&lt;DATE($L$1882,1,1),YEAR($R1333)&lt;=K$1882,YEAR($R1333-1)&lt;K$1882) ) )</f>
        <v>0</v>
      </c>
      <c r="V1333" s="1050" t="b">
        <f>IF($I1333="",FALSE,AND(L$1885, IF($R1333&lt;DATE($L$1882,1,1),YEAR($R1333)&lt;=L$1882,YEAR($R1333-1)&lt;L$1882) ) )</f>
        <v>0</v>
      </c>
      <c r="W1333" s="1050" t="b">
        <f>IF($I1333="",FALSE,AND(M$1885, IF($R1333&lt;DATE($L$1882,1,1),YEAR($R1333)&lt;=M$1882,YEAR($R1333-1)&lt;M$1882) ) )</f>
        <v>0</v>
      </c>
      <c r="Z1333" s="736" t="s">
        <v>550</v>
      </c>
      <c r="AA1333" s="738" t="b">
        <f>AND(CNTR_ExistSubInstEntries,I1333="")</f>
        <v>1</v>
      </c>
    </row>
    <row r="1334" spans="2:27" ht="5.0999999999999996" customHeight="1" x14ac:dyDescent="0.2">
      <c r="B1334" s="207"/>
      <c r="C1334" s="207"/>
      <c r="D1334" s="207"/>
      <c r="E1334" s="207"/>
      <c r="F1334" s="207"/>
      <c r="G1334" s="207"/>
      <c r="H1334" s="207"/>
      <c r="I1334" s="207"/>
      <c r="J1334" s="207"/>
      <c r="K1334" s="207"/>
      <c r="L1334" s="207"/>
      <c r="M1334" s="16"/>
      <c r="N1334" s="16"/>
      <c r="O1334" s="16"/>
      <c r="P1334" s="1037"/>
      <c r="R1334" s="1037"/>
      <c r="S1334" s="1037"/>
    </row>
    <row r="1335" spans="2:27" ht="12.75" customHeight="1" x14ac:dyDescent="0.2">
      <c r="B1335" s="207"/>
      <c r="C1335" s="207"/>
      <c r="D1335" s="207"/>
      <c r="E1335" s="1622" t="str">
        <f>CONCATENATE(EUconst_MsgSeeFirst," (F.I.1)")</f>
        <v>Szczegółowe instrukcje dotyczące wprowadzania danych w tym narzędziu znajdują się w pierwszej kopii tego narzędzia.  (F.I.1)</v>
      </c>
      <c r="F1335" s="1622"/>
      <c r="G1335" s="1622"/>
      <c r="H1335" s="1622"/>
      <c r="I1335" s="1622"/>
      <c r="J1335" s="1622"/>
      <c r="K1335" s="1622"/>
      <c r="L1335" s="1622"/>
      <c r="M1335" s="1622"/>
      <c r="N1335" s="1622"/>
      <c r="O1335" s="16"/>
      <c r="P1335" s="1037"/>
      <c r="R1335" s="1037"/>
      <c r="S1335" s="1037"/>
    </row>
    <row r="1336" spans="2:27" ht="5.0999999999999996" customHeight="1" x14ac:dyDescent="0.2">
      <c r="B1336" s="207"/>
      <c r="C1336" s="207"/>
      <c r="D1336" s="207"/>
      <c r="E1336" s="207"/>
      <c r="F1336" s="207"/>
      <c r="G1336" s="207"/>
      <c r="H1336" s="207"/>
      <c r="I1336" s="207"/>
      <c r="J1336" s="207"/>
      <c r="K1336" s="207"/>
      <c r="L1336" s="207"/>
      <c r="M1336" s="16"/>
      <c r="N1336" s="16"/>
      <c r="O1336" s="16"/>
      <c r="P1336" s="1037"/>
      <c r="R1336" s="1037"/>
      <c r="S1336" s="1037"/>
    </row>
    <row r="1337" spans="2:27" ht="13.5" thickBot="1" x14ac:dyDescent="0.25">
      <c r="B1337" s="207"/>
      <c r="C1337" s="207"/>
      <c r="D1337" s="14" t="s">
        <v>173</v>
      </c>
      <c r="E1337" s="1375" t="str">
        <f>Translations!$B$670</f>
        <v>Historyczne poziomy działalności</v>
      </c>
      <c r="F1337" s="1370"/>
      <c r="G1337" s="1370"/>
      <c r="H1337" s="1370"/>
      <c r="I1337" s="1370"/>
      <c r="J1337" s="1370"/>
      <c r="K1337" s="1370"/>
      <c r="L1337" s="1370"/>
      <c r="M1337" s="1370"/>
      <c r="N1337" s="1370"/>
      <c r="O1337" s="16"/>
      <c r="P1337" s="1037"/>
      <c r="R1337" s="1037"/>
      <c r="S1337" s="1037"/>
    </row>
    <row r="1338" spans="2:27" ht="13.5" customHeight="1" thickBot="1" x14ac:dyDescent="0.25">
      <c r="B1338" s="20"/>
      <c r="C1338" s="20"/>
      <c r="D1338" s="14"/>
      <c r="E1338" s="1430" t="str">
        <f>Translations!$B$676</f>
        <v>Roczne poziomy działalności:</v>
      </c>
      <c r="F1338" s="1430"/>
      <c r="G1338" s="1430"/>
      <c r="H1338" s="34" t="str">
        <f>EUconst_Unit</f>
        <v>Jednostka</v>
      </c>
      <c r="I1338" s="396">
        <f>I$1882</f>
        <v>2014</v>
      </c>
      <c r="J1338" s="396">
        <f>J$1882</f>
        <v>2015</v>
      </c>
      <c r="K1338" s="396">
        <f>K$1882</f>
        <v>2016</v>
      </c>
      <c r="L1338" s="396">
        <f>L$1882</f>
        <v>2017</v>
      </c>
      <c r="M1338" s="421">
        <f>M$1882</f>
        <v>2018</v>
      </c>
      <c r="N1338" s="888" t="str">
        <f>IF(I1333="","",IF(S1343,YEAR(R1333)+1,""))</f>
        <v/>
      </c>
      <c r="O1338" s="16"/>
      <c r="P1338" s="1037"/>
      <c r="Q1338" s="424" t="s">
        <v>432</v>
      </c>
      <c r="R1338" s="276"/>
      <c r="S1338" s="276"/>
      <c r="T1338" s="276"/>
      <c r="U1338" s="276"/>
      <c r="V1338" s="276"/>
      <c r="W1338" s="277"/>
      <c r="Y1338" s="788" t="b">
        <f>IF(CNTR_ExistSubInstEntries,IF(I1333&lt;&gt;"",NOT(S1343),TRUE),FALSE)</f>
        <v>1</v>
      </c>
      <c r="AA1338" s="422" t="s">
        <v>272</v>
      </c>
    </row>
    <row r="1339" spans="2:27" ht="13.5" thickBot="1" x14ac:dyDescent="0.25">
      <c r="B1339" s="20"/>
      <c r="C1339" s="20"/>
      <c r="D1339" s="195" t="s">
        <v>2</v>
      </c>
      <c r="E1339" s="1801" t="str">
        <f>I1333</f>
        <v/>
      </c>
      <c r="F1339" s="1801"/>
      <c r="G1339" s="1801"/>
      <c r="H1339" s="98" t="str">
        <f>IF(INDEX(CNTR_SubInstListIsProdBM,$C1333),INDEX(CNTR_SubInstListHALUnit,$C1333),EUconst_Tons)</f>
        <v>tony</v>
      </c>
      <c r="I1339" s="591"/>
      <c r="J1339" s="591"/>
      <c r="K1339" s="591"/>
      <c r="L1339" s="591"/>
      <c r="M1339" s="886"/>
      <c r="N1339" s="889"/>
      <c r="O1339" s="16"/>
      <c r="P1339" s="164" t="s">
        <v>237</v>
      </c>
      <c r="Q1339" s="1238" t="s">
        <v>2190</v>
      </c>
      <c r="R1339" s="187" t="s">
        <v>437</v>
      </c>
      <c r="S1339" s="442">
        <f>I1338</f>
        <v>2014</v>
      </c>
      <c r="T1339" s="443">
        <f>J1338</f>
        <v>2015</v>
      </c>
      <c r="U1339" s="443">
        <f>K1338</f>
        <v>2016</v>
      </c>
      <c r="V1339" s="443">
        <f>L1338</f>
        <v>2017</v>
      </c>
      <c r="W1339" s="444">
        <f>M1338</f>
        <v>2018</v>
      </c>
      <c r="Y1339" s="963" t="b">
        <f>IF(CNTR_ExistSubInstEntries,IF(AND(I1333&lt;&gt;"",N1340=""),NOT(S1343),TRUE),FALSE)</f>
        <v>1</v>
      </c>
      <c r="Z1339" s="422"/>
      <c r="AA1339" s="646" t="b">
        <f>IF(CNTR_ExistSubInstEntries,AND(I1333&lt;&gt;"",Q1343),FALSE)</f>
        <v>0</v>
      </c>
    </row>
    <row r="1340" spans="2:27" ht="13.5" thickBot="1" x14ac:dyDescent="0.25">
      <c r="B1340" s="20"/>
      <c r="C1340" s="20"/>
      <c r="D1340" s="195" t="s">
        <v>3</v>
      </c>
      <c r="E1340" s="1801" t="str">
        <f>Translations!$B$677</f>
        <v>Z arkusza „H_SpecialBM”:</v>
      </c>
      <c r="F1340" s="1801"/>
      <c r="G1340" s="1801"/>
      <c r="H1340" s="98" t="str">
        <f>H1339</f>
        <v>tony</v>
      </c>
      <c r="I1340" s="321" t="str">
        <f>IF($I1333="","",IF($Q1343,SUMIF(H_SpecialBM!$P$9:$P$384,$P1340,H_SpecialBM!I$9:I$384),""))</f>
        <v/>
      </c>
      <c r="J1340" s="321" t="str">
        <f>IF($I1333="","",IF($Q1343,SUMIF(H_SpecialBM!$P$9:$P$384,$P1340,H_SpecialBM!J$9:J$384),""))</f>
        <v/>
      </c>
      <c r="K1340" s="321" t="str">
        <f>IF($I1333="","",IF($Q1343,SUMIF(H_SpecialBM!$P$9:$P$384,$P1340,H_SpecialBM!K$9:K$384),""))</f>
        <v/>
      </c>
      <c r="L1340" s="321" t="str">
        <f>IF($I1333="","",IF($Q1343,SUMIF(H_SpecialBM!$P$9:$P$384,$P1340,H_SpecialBM!L$9:L$384),""))</f>
        <v/>
      </c>
      <c r="M1340" s="887" t="str">
        <f>IF($I1333="","",IF($Q1343,SUMIF(H_SpecialBM!$P$9:$P$384,$P1340,H_SpecialBM!M$9:M$384),""))</f>
        <v/>
      </c>
      <c r="N1340" s="890" t="str">
        <f>IF($I1333="","",IF(AND($Q1343,$S1343),SUMIF(H_SpecialBM!$P$9:$P$384,$P1340,H_SpecialBM!N$9:N$384),""))</f>
        <v/>
      </c>
      <c r="O1340" s="16"/>
      <c r="P1340" s="1051" t="str">
        <f>EUconst_CNTR_HALspecial&amp;I1333</f>
        <v>HALspecial_</v>
      </c>
      <c r="Q1340" s="179" t="str">
        <f>IF(COUNT($U1340:$V1340)&gt;0,SUM($U1340:$V1340),"")</f>
        <v/>
      </c>
      <c r="R1340" s="439" t="str">
        <f>IF(COUNT(S1340:W1340)&gt;0,AVERAGE(S1340:W1340),"")</f>
        <v/>
      </c>
      <c r="S1340" s="440" t="str">
        <f>IF(S1333,IF(ISNUMBER(I1340),I1340,""),"")</f>
        <v/>
      </c>
      <c r="T1340" s="441" t="str">
        <f>IF(T1333,IF(ISNUMBER(J1340),J1340,""),"")</f>
        <v/>
      </c>
      <c r="U1340" s="441" t="str">
        <f>IF(U1333,IF(ISNUMBER(K1340),K1340,""),"")</f>
        <v/>
      </c>
      <c r="V1340" s="441" t="str">
        <f>IF(V1333,IF(ISNUMBER(L1340),L1340,""),"")</f>
        <v/>
      </c>
      <c r="W1340" s="439" t="str">
        <f>IF(W1333,IF(ISNUMBER(M1340),M1340,""),"")</f>
        <v/>
      </c>
      <c r="Y1340" s="777" t="b">
        <f>OR(Y1338,AA1340)</f>
        <v>1</v>
      </c>
      <c r="AA1340" s="723" t="b">
        <f>Q1343=FALSE</f>
        <v>0</v>
      </c>
    </row>
    <row r="1341" spans="2:27" ht="13.5" thickBot="1" x14ac:dyDescent="0.25">
      <c r="B1341" s="20"/>
      <c r="C1341" s="20"/>
      <c r="D1341" s="195" t="s">
        <v>4</v>
      </c>
      <c r="E1341" s="1801" t="str">
        <f>Translations!$B$678</f>
        <v>Wartości użyte do obliczenia:</v>
      </c>
      <c r="F1341" s="1801"/>
      <c r="G1341" s="1801"/>
      <c r="H1341" s="98" t="str">
        <f>H1340</f>
        <v>tony</v>
      </c>
      <c r="I1341" s="321" t="str">
        <f>IF($I1333="","",IF($Q1343=TRUE,IF(ISNUMBER(I1340),I1340,0),IF(ISNUMBER(I1339),I1339,0)))</f>
        <v/>
      </c>
      <c r="J1341" s="321" t="str">
        <f>IF($I1333="","",IF($Q1343=TRUE,IF(ISNUMBER(J1340),J1340,0),IF(ISNUMBER(J1339),J1339,0)))</f>
        <v/>
      </c>
      <c r="K1341" s="321" t="str">
        <f>IF($I1333="","",IF($Q1343=TRUE,IF(ISNUMBER(K1340),K1340,0),IF(ISNUMBER(K1339),K1339,0)))</f>
        <v/>
      </c>
      <c r="L1341" s="321" t="str">
        <f>IF($I1333="","",IF($Q1343=TRUE,IF(ISNUMBER(L1340),L1340,0),IF(ISNUMBER(L1339),L1339,0)))</f>
        <v/>
      </c>
      <c r="M1341" s="887" t="str">
        <f>IF($I1333="","",IF($Q1343=TRUE,IF(ISNUMBER(M1340),M1340,0),IF(ISNUMBER(M1339),M1339,0)))</f>
        <v/>
      </c>
      <c r="N1341" s="890" t="str">
        <f>IF($I1333="","",IF(S1343,IF($Q1343=TRUE,IF(ISNUMBER(N1340),N1340,0),IF(ISNUMBER(N1339),N1339,0)),""))</f>
        <v/>
      </c>
      <c r="O1341" s="16"/>
      <c r="P1341" s="1051" t="str">
        <f>EUconst_CNTR_HAL&amp;I1333</f>
        <v>HAL_</v>
      </c>
      <c r="Q1341" s="168" t="str">
        <f>IF(COUNT($U1341:$V1341)&gt;0,SUM($U1341:$V1341),"")</f>
        <v/>
      </c>
      <c r="R1341" s="120" t="str">
        <f>IF(COUNT(S1341:W1341)&gt;0,AVERAGE(S1341:W1341),"")</f>
        <v/>
      </c>
      <c r="S1341" s="118" t="str">
        <f>IF(S1333,IF(ISNUMBER(I1341),I1341,""),"")</f>
        <v/>
      </c>
      <c r="T1341" s="119" t="str">
        <f>IF(T1333,IF(ISNUMBER(J1341),J1341,""),"")</f>
        <v/>
      </c>
      <c r="U1341" s="119" t="str">
        <f>IF(U1333,IF(ISNUMBER(K1341),K1341,""),"")</f>
        <v/>
      </c>
      <c r="V1341" s="119" t="str">
        <f>IF(V1333,IF(ISNUMBER(L1341),L1341,""),"")</f>
        <v/>
      </c>
      <c r="W1341" s="120" t="str">
        <f>IF(W1333,IF(ISNUMBER(M1341),M1341,""),"")</f>
        <v/>
      </c>
      <c r="Y1341" s="168" t="b">
        <f>Y1338</f>
        <v>1</v>
      </c>
    </row>
    <row r="1342" spans="2:27" ht="5.0999999999999996" customHeight="1" x14ac:dyDescent="0.2">
      <c r="B1342" s="207"/>
      <c r="C1342" s="207"/>
      <c r="D1342" s="207"/>
      <c r="E1342" s="207"/>
      <c r="F1342" s="207"/>
      <c r="G1342" s="207"/>
      <c r="H1342" s="207"/>
      <c r="I1342" s="207"/>
      <c r="J1342" s="207"/>
      <c r="K1342" s="207"/>
      <c r="L1342" s="207"/>
      <c r="M1342" s="16"/>
      <c r="N1342" s="16"/>
      <c r="O1342" s="16"/>
      <c r="P1342" s="1037"/>
      <c r="R1342" s="1037"/>
      <c r="S1342" s="1037"/>
    </row>
    <row r="1343" spans="2:27" x14ac:dyDescent="0.2">
      <c r="B1343" s="207"/>
      <c r="C1343" s="207"/>
      <c r="D1343" s="14" t="s">
        <v>353</v>
      </c>
      <c r="E1343" s="1375" t="str">
        <f>Translations!$B$679</f>
        <v>Szczególne wymogi w zakresie raportowania:</v>
      </c>
      <c r="F1343" s="1375"/>
      <c r="G1343" s="1637"/>
      <c r="H1343" s="1796" t="str">
        <f>IF(I1333="","",HYPERLINK(INDEX(EUconst_BMlistSpecialJumpTable,MATCH(I1333,EUconst_BMlistNames,0)),INDEX(EUconst_BMlistSpecialReporting,MATCH(I1333,EUconst_BMlistNames,0))))</f>
        <v/>
      </c>
      <c r="I1343" s="1802"/>
      <c r="J1343" s="1802"/>
      <c r="K1343" s="1802"/>
      <c r="L1343" s="1802"/>
      <c r="M1343" s="1802"/>
      <c r="N1343" s="1803"/>
      <c r="O1343" s="16"/>
      <c r="P1343" s="1048" t="s">
        <v>38</v>
      </c>
      <c r="Q1343" s="116" t="str">
        <f>IF(I1333="","",IF(AND(INDEX(EUconst_BMlistSpecialJumpTable,MATCH(I1333,EUconst_BMlistNames,0))&lt;&gt;"",MATCH(I1333,EUconst_BMlistNames,0)&lt;&gt;47),TRUE,FALSE))</f>
        <v/>
      </c>
      <c r="R1343" s="1048" t="s">
        <v>598</v>
      </c>
      <c r="S1343" s="116" t="b">
        <f>IF(I1333="",FALSE,INDEX(CNTR_SubInstLess1Year,MATCH(I1333,CNTR_SubInstListNames,0)))</f>
        <v>0</v>
      </c>
    </row>
    <row r="1344" spans="2:27" ht="12.75" customHeight="1" x14ac:dyDescent="0.2">
      <c r="B1344" s="207"/>
      <c r="C1344" s="207"/>
      <c r="D1344" s="207"/>
      <c r="E1344" s="207"/>
      <c r="F1344" s="207"/>
      <c r="G1344" s="207"/>
      <c r="H1344" s="207"/>
      <c r="I1344" s="207"/>
      <c r="J1344" s="207"/>
      <c r="K1344" s="207"/>
      <c r="L1344" s="207"/>
      <c r="M1344" s="207"/>
      <c r="N1344" s="207"/>
      <c r="O1344" s="16"/>
      <c r="P1344" s="1037"/>
      <c r="R1344" s="1037"/>
      <c r="S1344" s="1037"/>
    </row>
    <row r="1345" spans="1:27" ht="15" customHeight="1" x14ac:dyDescent="0.2">
      <c r="B1345" s="20"/>
      <c r="C1345" s="208"/>
      <c r="D1345" s="1439" t="str">
        <f>Translations!$B$681</f>
        <v>Dodatkowe współczynniki korygujące</v>
      </c>
      <c r="E1345" s="1370"/>
      <c r="F1345" s="1370"/>
      <c r="G1345" s="1370"/>
      <c r="H1345" s="1370"/>
      <c r="I1345" s="1370"/>
      <c r="J1345" s="1370"/>
      <c r="K1345" s="1370"/>
      <c r="L1345" s="1370"/>
      <c r="M1345" s="1370"/>
      <c r="N1345" s="1370"/>
      <c r="O1345" s="16"/>
      <c r="R1345" s="1037"/>
      <c r="S1345" s="1037"/>
    </row>
    <row r="1346" spans="1:27" ht="5.0999999999999996" customHeight="1" x14ac:dyDescent="0.2">
      <c r="B1346" s="207"/>
      <c r="C1346" s="207"/>
      <c r="D1346" s="207"/>
      <c r="E1346" s="207"/>
      <c r="F1346" s="207"/>
      <c r="G1346" s="207"/>
      <c r="H1346" s="207"/>
      <c r="I1346" s="207"/>
      <c r="J1346" s="207"/>
      <c r="K1346" s="207"/>
      <c r="L1346" s="207"/>
      <c r="M1346" s="207"/>
      <c r="N1346" s="207"/>
      <c r="O1346" s="16"/>
      <c r="P1346" s="1037"/>
      <c r="R1346" s="1037"/>
      <c r="S1346" s="1037"/>
    </row>
    <row r="1347" spans="1:27" ht="13.5" thickBot="1" x14ac:dyDescent="0.25">
      <c r="B1347" s="20"/>
      <c r="C1347" s="20"/>
      <c r="D1347" s="14" t="s">
        <v>11</v>
      </c>
      <c r="E1347" s="1375" t="str">
        <f>Translations!$B$682</f>
        <v>Zamienność paliw i energii elektrycznej:</v>
      </c>
      <c r="F1347" s="1370"/>
      <c r="G1347" s="1370"/>
      <c r="H1347" s="1370"/>
      <c r="I1347" s="1432"/>
      <c r="J1347" s="1796" t="str">
        <f>IF(I1333="","",IF(INDEX(EUconst_BMlistElExchangability,MATCH(I1333,EUconst_BMlistNames,0))=TRUE,"",HYPERLINK(Q1347,EUconst_MsgGoOn)))</f>
        <v/>
      </c>
      <c r="K1347" s="1797"/>
      <c r="L1347" s="1797"/>
      <c r="M1347" s="1797"/>
      <c r="N1347" s="1798"/>
      <c r="O1347" s="16"/>
      <c r="P1347" s="2" t="s">
        <v>199</v>
      </c>
      <c r="Q1347" s="346" t="str">
        <f>"#"&amp;ADDRESS(ROW(D1355),COLUMN(D1355))</f>
        <v>#$D$1355</v>
      </c>
      <c r="R1347" s="1037"/>
      <c r="S1347" s="1037"/>
    </row>
    <row r="1348" spans="1:27" s="701" customFormat="1" ht="13.5" thickBot="1" x14ac:dyDescent="0.25">
      <c r="A1348" s="422"/>
      <c r="B1348" s="398"/>
      <c r="C1348" s="398"/>
      <c r="D1348" s="14"/>
      <c r="E1348" s="1430" t="str">
        <f>Translations!$B$686</f>
        <v>Parametr</v>
      </c>
      <c r="F1348" s="1377"/>
      <c r="G1348" s="1377"/>
      <c r="H1348" s="34" t="str">
        <f>EUconst_Unit</f>
        <v>Jednostka</v>
      </c>
      <c r="I1348" s="396">
        <f>I$66</f>
        <v>2014</v>
      </c>
      <c r="J1348" s="396">
        <f>J$66</f>
        <v>2015</v>
      </c>
      <c r="K1348" s="396">
        <f>K$66</f>
        <v>2016</v>
      </c>
      <c r="L1348" s="396">
        <f>L$66</f>
        <v>2017</v>
      </c>
      <c r="M1348" s="421">
        <f>M$66</f>
        <v>2018</v>
      </c>
      <c r="N1348" s="888" t="str">
        <f>IF(AA1349=FALSE,N1338,"")</f>
        <v/>
      </c>
      <c r="O1348" s="16"/>
      <c r="P1348" s="422"/>
      <c r="Q1348" s="422"/>
      <c r="R1348" s="1037"/>
      <c r="S1348" s="1037"/>
      <c r="T1348" s="1037"/>
      <c r="U1348" s="1037"/>
      <c r="V1348" s="1037"/>
      <c r="W1348" s="1037"/>
      <c r="X1348" s="1037"/>
      <c r="Y1348" s="788" t="b">
        <f>OR(Y1338,AA1349)</f>
        <v>1</v>
      </c>
      <c r="Z1348" s="422"/>
      <c r="AA1348" s="1037" t="s">
        <v>381</v>
      </c>
    </row>
    <row r="1349" spans="1:27" s="701" customFormat="1" ht="13.5" thickBot="1" x14ac:dyDescent="0.25">
      <c r="A1349" s="422"/>
      <c r="B1349" s="398"/>
      <c r="C1349" s="398"/>
      <c r="D1349" s="425" t="s">
        <v>2</v>
      </c>
      <c r="E1349" s="1569" t="str">
        <f>Translations!$B$687</f>
        <v>Emisje bezpośrednie</v>
      </c>
      <c r="F1349" s="1569"/>
      <c r="G1349" s="1569"/>
      <c r="H1349" s="581" t="str">
        <f>EUconst_tCO2pa</f>
        <v>t CO2 / rok</v>
      </c>
      <c r="I1349" s="818"/>
      <c r="J1349" s="818"/>
      <c r="K1349" s="819"/>
      <c r="L1349" s="818"/>
      <c r="M1349" s="891"/>
      <c r="N1349" s="903"/>
      <c r="O1349" s="16"/>
      <c r="P1349" s="422"/>
      <c r="Q1349" s="422"/>
      <c r="R1349" s="1037"/>
      <c r="S1349" s="1037"/>
      <c r="T1349" s="1037"/>
      <c r="U1349" s="1037"/>
      <c r="V1349" s="1037"/>
      <c r="W1349" s="1037"/>
      <c r="X1349" s="1037"/>
      <c r="Y1349" s="715" t="b">
        <f>Y1348</f>
        <v>1</v>
      </c>
      <c r="Z1349" s="422"/>
      <c r="AA1349" s="788" t="b">
        <f>IF(CNTR_ExistSubInstEntries,IF(I1333&lt;&gt;"",IF(INDEX(EUconst_BMlistElExchangability,MATCH(I1333,EUconst_BMlistNames,0)),FALSE,TRUE),TRUE),FALSE)</f>
        <v>1</v>
      </c>
    </row>
    <row r="1350" spans="1:27" s="701" customFormat="1" x14ac:dyDescent="0.2">
      <c r="A1350" s="422"/>
      <c r="B1350" s="398"/>
      <c r="C1350" s="398"/>
      <c r="D1350" s="425" t="s">
        <v>3</v>
      </c>
      <c r="E1350" s="1482" t="str">
        <f>Translations!$B$688</f>
        <v>Ciepło wprowadzone netto</v>
      </c>
      <c r="F1350" s="1482"/>
      <c r="G1350" s="1482"/>
      <c r="H1350" s="584" t="str">
        <f>EUconst_TJpa</f>
        <v>TJ / rok</v>
      </c>
      <c r="I1350" s="585" t="str">
        <f>IF($I1333&lt;&gt;"",IF(INDEX(EUconst_BMlistElExchangability,MATCH($I1333,EUconst_BMlistNames,0)),SUM(I1434),""),"")</f>
        <v/>
      </c>
      <c r="J1350" s="585" t="str">
        <f>IF($I1333&lt;&gt;"",IF(INDEX(EUconst_BMlistElExchangability,MATCH($I1333,EUconst_BMlistNames,0)),SUM(J1434),""),"")</f>
        <v/>
      </c>
      <c r="K1350" s="585" t="str">
        <f>IF($I1333&lt;&gt;"",IF(INDEX(EUconst_BMlistElExchangability,MATCH($I1333,EUconst_BMlistNames,0)),SUM(K1434),""),"")</f>
        <v/>
      </c>
      <c r="L1350" s="585" t="str">
        <f>IF($I1333&lt;&gt;"",IF(INDEX(EUconst_BMlistElExchangability,MATCH($I1333,EUconst_BMlistNames,0)),SUM(L1434),""),"")</f>
        <v/>
      </c>
      <c r="M1350" s="892" t="str">
        <f>IF($I1333&lt;&gt;"",IF(INDEX(EUconst_BMlistElExchangability,MATCH($I1333,EUconst_BMlistNames,0)),SUM(M1434),""),"")</f>
        <v/>
      </c>
      <c r="N1350" s="904"/>
      <c r="O1350" s="16"/>
      <c r="P1350" s="422"/>
      <c r="Q1350" s="422"/>
      <c r="R1350" s="1052"/>
      <c r="S1350" s="814">
        <f>I1348</f>
        <v>2014</v>
      </c>
      <c r="T1350" s="814">
        <f>J1348</f>
        <v>2015</v>
      </c>
      <c r="U1350" s="814">
        <f>K1348</f>
        <v>2016</v>
      </c>
      <c r="V1350" s="814">
        <f>L1348</f>
        <v>2017</v>
      </c>
      <c r="W1350" s="815">
        <f>M1348</f>
        <v>2018</v>
      </c>
      <c r="X1350" s="422"/>
      <c r="Y1350" s="715" t="b">
        <f>Y1349</f>
        <v>1</v>
      </c>
      <c r="Z1350" s="422"/>
      <c r="AA1350" s="715" t="b">
        <f>AA1349</f>
        <v>1</v>
      </c>
    </row>
    <row r="1351" spans="1:27" s="701" customFormat="1" ht="12.75" customHeight="1" thickBot="1" x14ac:dyDescent="0.25">
      <c r="A1351" s="422"/>
      <c r="B1351" s="398"/>
      <c r="C1351" s="398"/>
      <c r="D1351" s="425" t="s">
        <v>4</v>
      </c>
      <c r="E1351" s="1799" t="str">
        <f>Translations!$B$689</f>
        <v>Odpowiednie zużycie energii elektrycznej</v>
      </c>
      <c r="F1351" s="1800"/>
      <c r="G1351" s="1800"/>
      <c r="H1351" s="611" t="str">
        <f>EUconst_MWhpa</f>
        <v>MWh / rok</v>
      </c>
      <c r="I1351" s="612"/>
      <c r="J1351" s="612"/>
      <c r="K1351" s="612"/>
      <c r="L1351" s="612"/>
      <c r="M1351" s="893"/>
      <c r="N1351" s="896"/>
      <c r="O1351" s="16"/>
      <c r="P1351" s="185" t="str">
        <f>EUconst_CNTR_HAL&amp;EUconst_CNTR_ELEXCH</f>
        <v>HAL_ELEXCH_</v>
      </c>
      <c r="Q1351" s="185" t="str">
        <f>EUconst_CNTR_HAL&amp;EUconst_CNTR_ELEXCH &amp; I1333</f>
        <v>HAL_ELEXCH_</v>
      </c>
      <c r="R1351" s="1053" t="str">
        <f>EUconst_CNTR_AttributedEmissions &amp; I1333</f>
        <v>AttrEmissions_</v>
      </c>
      <c r="S1351" s="119" t="str">
        <f>IF(S1333,SUM(I1351)*EUconst_ElBM,"")</f>
        <v/>
      </c>
      <c r="T1351" s="119" t="str">
        <f>IF(T1333,SUM(J1351)*EUconst_ElBM,"")</f>
        <v/>
      </c>
      <c r="U1351" s="119" t="str">
        <f>IF(U1333,SUM(K1351)*EUconst_ElBM,"")</f>
        <v/>
      </c>
      <c r="V1351" s="119" t="str">
        <f>IF(V1333,SUM(L1351)*EUconst_ElBM,"")</f>
        <v/>
      </c>
      <c r="W1351" s="120" t="str">
        <f>IF(W1333,SUM(M1351)*EUconst_ElBM,"")</f>
        <v/>
      </c>
      <c r="X1351" s="422" t="str">
        <f>N1348</f>
        <v/>
      </c>
      <c r="Y1351" s="715" t="b">
        <f>Y1350</f>
        <v>1</v>
      </c>
      <c r="Z1351" s="422"/>
      <c r="AA1351" s="715" t="b">
        <f>AA1350</f>
        <v>1</v>
      </c>
    </row>
    <row r="1352" spans="1:27" s="701" customFormat="1" ht="13.5" thickBot="1" x14ac:dyDescent="0.25">
      <c r="A1352" s="422"/>
      <c r="B1352" s="398"/>
      <c r="C1352" s="398"/>
      <c r="D1352" s="425" t="s">
        <v>6</v>
      </c>
      <c r="E1352" s="1569" t="str">
        <f>Translations!$B$690</f>
        <v>Całkowite emisje bezpośrednie</v>
      </c>
      <c r="F1352" s="1569"/>
      <c r="G1352" s="1569"/>
      <c r="H1352" s="581" t="str">
        <f>EUconst_tCO2pa</f>
        <v>t CO2 / rok</v>
      </c>
      <c r="I1352" s="582" t="str">
        <f>IF(ISNUMBER(I1349),I1349+SUM(I1350)*EUconst_HeatBMvalue,"")</f>
        <v/>
      </c>
      <c r="J1352" s="582" t="str">
        <f>IF(ISNUMBER(J1349),J1349+SUM(J1350)*EUconst_HeatBMvalue,"")</f>
        <v/>
      </c>
      <c r="K1352" s="583" t="str">
        <f>IF(ISNUMBER(K1349),K1349+SUM(K1350)*EUconst_HeatBMvalue,"")</f>
        <v/>
      </c>
      <c r="L1352" s="582" t="str">
        <f>IF(ISNUMBER(L1349),L1349+SUM(L1350)*EUconst_HeatBMvalue,"")</f>
        <v/>
      </c>
      <c r="M1352" s="894" t="str">
        <f>IF(ISNUMBER(M1349),M1349+SUM(M1350)*EUconst_HeatBMvalue,"")</f>
        <v/>
      </c>
      <c r="N1352" s="897" t="str">
        <f>IF(AND(S1343,ISNUMBER(N1349)),N1349+SUM(N1350)*EUconst_HeatBMvalue,"")</f>
        <v/>
      </c>
      <c r="O1352" s="16"/>
      <c r="P1352" s="422"/>
      <c r="Q1352" s="422"/>
      <c r="R1352" s="1048" t="s">
        <v>557</v>
      </c>
      <c r="S1352" s="905" t="str">
        <f>IF(S1333,IF(ISNUMBER(I1352),I1352,0),"")</f>
        <v/>
      </c>
      <c r="T1352" s="906" t="str">
        <f>IF(T1333,IF(ISNUMBER(J1352),J1352,0),"")</f>
        <v/>
      </c>
      <c r="U1352" s="906" t="str">
        <f>IF(U1333,IF(ISNUMBER(K1352),K1352,0),"")</f>
        <v/>
      </c>
      <c r="V1352" s="906" t="str">
        <f>IF(V1333,IF(ISNUMBER(L1352),L1352,0),"")</f>
        <v/>
      </c>
      <c r="W1352" s="907" t="str">
        <f>IF(W1333,IF(ISNUMBER(M1352),M1352,0),"")</f>
        <v/>
      </c>
      <c r="X1352" s="911" t="str">
        <f>IF(S1343,IF(ISNUMBER(N1352),N1352,0),"")</f>
        <v/>
      </c>
      <c r="Y1352" s="715" t="b">
        <f>Y1351</f>
        <v>1</v>
      </c>
      <c r="Z1352" s="422"/>
      <c r="AA1352" s="715" t="b">
        <f>AA1351</f>
        <v>1</v>
      </c>
    </row>
    <row r="1353" spans="1:27" s="701" customFormat="1" ht="13.5" thickBot="1" x14ac:dyDescent="0.25">
      <c r="A1353" s="422"/>
      <c r="B1353" s="398"/>
      <c r="C1353" s="398"/>
      <c r="D1353" s="425" t="s">
        <v>316</v>
      </c>
      <c r="E1353" s="1493" t="str">
        <f>Translations!$B$691</f>
        <v>Emisje pośrednie</v>
      </c>
      <c r="F1353" s="1493"/>
      <c r="G1353" s="1493"/>
      <c r="H1353" s="586" t="str">
        <f>EUconst_tCO2pa</f>
        <v>t CO2 / rok</v>
      </c>
      <c r="I1353" s="587" t="str">
        <f t="shared" ref="I1353:N1353" si="28">IF(ISNUMBER(I1351),I1351*EUconst_ElBM,"")</f>
        <v/>
      </c>
      <c r="J1353" s="587" t="str">
        <f t="shared" si="28"/>
        <v/>
      </c>
      <c r="K1353" s="588" t="str">
        <f t="shared" si="28"/>
        <v/>
      </c>
      <c r="L1353" s="587" t="str">
        <f t="shared" si="28"/>
        <v/>
      </c>
      <c r="M1353" s="895" t="str">
        <f t="shared" si="28"/>
        <v/>
      </c>
      <c r="N1353" s="898" t="str">
        <f t="shared" si="28"/>
        <v/>
      </c>
      <c r="O1353" s="16"/>
      <c r="P1353" s="912" t="str">
        <f>EUconst_CNTR_ELEXCH &amp; I1333</f>
        <v>ELEXCH_</v>
      </c>
      <c r="Q1353" s="913" t="str">
        <f>IF(SUM(S1353:X1353)&lt;&gt;0,SUM(S1352:X1352)/SUM(S1353:X1353),EUconst_NA)</f>
        <v>Nie dotyczy</v>
      </c>
      <c r="R1353" s="1048" t="s">
        <v>326</v>
      </c>
      <c r="S1353" s="908" t="str">
        <f>IF(S1333,IF(COUNT(I1352:I1353)&gt;0,SUM(I1352:I1353),0),"")</f>
        <v/>
      </c>
      <c r="T1353" s="909" t="str">
        <f>IF(T1333,IF(COUNT(J1352:J1353)&gt;0,SUM(J1352:J1353),0),"")</f>
        <v/>
      </c>
      <c r="U1353" s="909" t="str">
        <f>IF(U1333,IF(COUNT(K1352:K1353)&gt;0,SUM(K1352:K1353),0),"")</f>
        <v/>
      </c>
      <c r="V1353" s="909" t="str">
        <f>IF(V1333,IF(COUNT(L1352:L1353)&gt;0,SUM(L1352:L1353),0),"")</f>
        <v/>
      </c>
      <c r="W1353" s="910" t="str">
        <f>IF(W1333,IF(COUNT(M1352:M1353)&gt;0,SUM(M1352:M1353),0),"")</f>
        <v/>
      </c>
      <c r="X1353" s="716" t="str">
        <f>IF(S1343,IF(COUNT(N1352:N1353)&gt;0,SUM(N1352:N1353),0),"")</f>
        <v/>
      </c>
      <c r="Y1353" s="716" t="b">
        <f>Y1352</f>
        <v>1</v>
      </c>
      <c r="Z1353" s="422"/>
      <c r="AA1353" s="716" t="b">
        <f>AA1352</f>
        <v>1</v>
      </c>
    </row>
    <row r="1354" spans="1:27" ht="5.0999999999999996" customHeight="1" x14ac:dyDescent="0.2">
      <c r="B1354" s="207"/>
      <c r="C1354" s="207"/>
      <c r="D1354" s="207"/>
      <c r="E1354" s="207"/>
      <c r="F1354" s="207"/>
      <c r="G1354" s="207"/>
      <c r="H1354" s="207"/>
      <c r="I1354" s="207"/>
      <c r="J1354" s="207"/>
      <c r="K1354" s="207"/>
      <c r="L1354" s="207"/>
      <c r="M1354" s="16"/>
      <c r="N1354" s="16"/>
      <c r="O1354" s="16"/>
      <c r="P1354" s="1037"/>
      <c r="X1354" s="422"/>
    </row>
    <row r="1355" spans="1:27" x14ac:dyDescent="0.2">
      <c r="B1355" s="207"/>
      <c r="C1355" s="207"/>
      <c r="D1355" s="14" t="s">
        <v>356</v>
      </c>
      <c r="E1355" s="1375" t="str">
        <f>Translations!$B$692</f>
        <v>Ciepło wprowadzone z instalacji lub od podmiotów nieobjętych EU ETS:</v>
      </c>
      <c r="F1355" s="1375"/>
      <c r="G1355" s="1375"/>
      <c r="H1355" s="1375"/>
      <c r="I1355" s="1637"/>
      <c r="J1355" s="1796" t="str">
        <f>IF(I1333="","",HYPERLINK(Q1355,EUconst_MsgGoOnIfNotRelevant))</f>
        <v/>
      </c>
      <c r="K1355" s="1797"/>
      <c r="L1355" s="1797"/>
      <c r="M1355" s="1797"/>
      <c r="N1355" s="1798"/>
      <c r="O1355" s="16"/>
      <c r="P1355" s="2" t="s">
        <v>199</v>
      </c>
      <c r="Q1355" s="346" t="str">
        <f>"#"&amp;ADDRESS(ROW(D1362),COLUMN(D1362))</f>
        <v>#$D$1362</v>
      </c>
      <c r="X1355" s="422"/>
    </row>
    <row r="1356" spans="1:27" ht="13.5" customHeight="1" thickBot="1" x14ac:dyDescent="0.25">
      <c r="B1356" s="207"/>
      <c r="C1356" s="207"/>
      <c r="D1356" s="16"/>
      <c r="E1356" s="1408"/>
      <c r="F1356" s="1408"/>
      <c r="G1356" s="1408"/>
      <c r="H1356" s="1408"/>
      <c r="I1356" s="1408"/>
      <c r="J1356" s="1408"/>
      <c r="K1356" s="1408"/>
      <c r="L1356" s="1408"/>
      <c r="M1356" s="1408"/>
      <c r="N1356" s="1408"/>
      <c r="O1356" s="16"/>
      <c r="P1356" s="1037"/>
      <c r="R1356" s="1037"/>
      <c r="S1356" s="1037"/>
      <c r="Y1356" s="422" t="s">
        <v>606</v>
      </c>
    </row>
    <row r="1357" spans="1:27" ht="13.5" thickBot="1" x14ac:dyDescent="0.25">
      <c r="B1357" s="20"/>
      <c r="C1357" s="20"/>
      <c r="D1357" s="14"/>
      <c r="E1357" s="1430" t="str">
        <f>Translations!$B$686</f>
        <v>Parametr</v>
      </c>
      <c r="F1357" s="1377"/>
      <c r="G1357" s="1377"/>
      <c r="H1357" s="34" t="str">
        <f>EUconst_Unit</f>
        <v>Jednostka</v>
      </c>
      <c r="I1357" s="396">
        <f>I$66</f>
        <v>2014</v>
      </c>
      <c r="J1357" s="396">
        <f>J$66</f>
        <v>2015</v>
      </c>
      <c r="K1357" s="396">
        <f>K$66</f>
        <v>2016</v>
      </c>
      <c r="L1357" s="396">
        <f>L$66</f>
        <v>2017</v>
      </c>
      <c r="M1357" s="421">
        <f>M$66</f>
        <v>2018</v>
      </c>
      <c r="N1357" s="888" t="str">
        <f>N1348</f>
        <v/>
      </c>
      <c r="O1357" s="16"/>
      <c r="Q1357" s="45"/>
      <c r="R1357" s="1037"/>
      <c r="S1357" s="45">
        <f t="shared" ref="S1357:X1357" si="29">I1357</f>
        <v>2014</v>
      </c>
      <c r="T1357" s="45">
        <f t="shared" si="29"/>
        <v>2015</v>
      </c>
      <c r="U1357" s="45">
        <f t="shared" si="29"/>
        <v>2016</v>
      </c>
      <c r="V1357" s="45">
        <f t="shared" si="29"/>
        <v>2017</v>
      </c>
      <c r="W1357" s="45">
        <f t="shared" si="29"/>
        <v>2018</v>
      </c>
      <c r="X1357" s="422" t="str">
        <f t="shared" si="29"/>
        <v/>
      </c>
      <c r="Y1357" s="749" t="b">
        <f>Y1338</f>
        <v>1</v>
      </c>
      <c r="Z1357" s="45"/>
      <c r="AA1357" s="422" t="s">
        <v>272</v>
      </c>
    </row>
    <row r="1358" spans="1:27" ht="13.5" thickBot="1" x14ac:dyDescent="0.25">
      <c r="B1358" s="20"/>
      <c r="C1358" s="20"/>
      <c r="D1358" s="195" t="s">
        <v>2</v>
      </c>
      <c r="E1358" s="1612" t="str">
        <f>Translations!$B$697</f>
        <v>Mierzalne ciepło wprowadzone z instalacji lub od podmiotów nieobjętych EU ETS:</v>
      </c>
      <c r="F1358" s="1612"/>
      <c r="G1358" s="1612"/>
      <c r="H1358" s="48" t="str">
        <f>EUconst_TJpa</f>
        <v>TJ / rok</v>
      </c>
      <c r="I1358" s="313"/>
      <c r="J1358" s="313"/>
      <c r="K1358" s="313"/>
      <c r="L1358" s="313"/>
      <c r="M1358" s="899"/>
      <c r="N1358" s="902"/>
      <c r="O1358" s="16"/>
      <c r="P1358" s="116" t="str">
        <f>EUconst_CNTR_HAL&amp;EUconst_CNTR_nonETSMeasHeat</f>
        <v>HAL_mierzalne ciepło nieobjęte systemem EU ETS</v>
      </c>
      <c r="R1358" s="1037"/>
      <c r="S1358" s="442" t="str">
        <f>IF(S1333,IF(ISNUMBER(I1358),I1358,0),"")</f>
        <v/>
      </c>
      <c r="T1358" s="443" t="str">
        <f>IF(T1333,IF(ISNUMBER(J1358),J1358,0),"")</f>
        <v/>
      </c>
      <c r="U1358" s="443" t="str">
        <f>IF(U1333,IF(ISNUMBER(K1358),K1358,0),"")</f>
        <v/>
      </c>
      <c r="V1358" s="443" t="str">
        <f>IF(V1333,IF(ISNUMBER(L1358),L1358,0),"")</f>
        <v/>
      </c>
      <c r="W1358" s="444" t="str">
        <f>IF(W1333,IF(ISNUMBER(M1358),M1358,0),"")</f>
        <v/>
      </c>
      <c r="X1358" s="151" t="str">
        <f>IF(S1343,IF(ISNUMBER(N1358),N1358,0),"")</f>
        <v/>
      </c>
      <c r="Y1358" s="716" t="b">
        <f>Y1357</f>
        <v>1</v>
      </c>
      <c r="AA1358" s="646" t="b">
        <f>AND(CNTR_ExistSubInstEntries,I1333="")</f>
        <v>1</v>
      </c>
    </row>
    <row r="1359" spans="1:27" ht="25.5" customHeight="1" thickBot="1" x14ac:dyDescent="0.25">
      <c r="B1359" s="20"/>
      <c r="C1359" s="20"/>
      <c r="D1359" s="195" t="s">
        <v>3</v>
      </c>
      <c r="E1359" s="1618" t="str">
        <f>Translations!$B$698</f>
        <v>Weryfikacja spójności z arkuszem „E_Energy flows”:</v>
      </c>
      <c r="F1359" s="1618"/>
      <c r="G1359" s="1618"/>
      <c r="H1359" s="27" t="s">
        <v>409</v>
      </c>
      <c r="I1359" s="304" t="str">
        <f>IF(AND(ISNUMBER(I1358),ISNUMBER(E_EnergyFlows!I$102)), I1358/E_EnergyFlows!I$102*100,"")</f>
        <v/>
      </c>
      <c r="J1359" s="304" t="str">
        <f>IF(AND(ISNUMBER(J1358),ISNUMBER(E_EnergyFlows!J$102)), J1358/E_EnergyFlows!J$102*100,"")</f>
        <v/>
      </c>
      <c r="K1359" s="304" t="str">
        <f>IF(AND(ISNUMBER(K1358),ISNUMBER(E_EnergyFlows!K$102)), K1358/E_EnergyFlows!K$102*100,"")</f>
        <v/>
      </c>
      <c r="L1359" s="304" t="str">
        <f>IF(AND(ISNUMBER(L1358),ISNUMBER(E_EnergyFlows!L$102)), L1358/E_EnergyFlows!L$102*100,"")</f>
        <v/>
      </c>
      <c r="M1359" s="900" t="str">
        <f>IF(AND(ISNUMBER(M1358),ISNUMBER(E_EnergyFlows!M$102)), M1358/E_EnergyFlows!M$102*100,"")</f>
        <v/>
      </c>
      <c r="N1359" s="147"/>
      <c r="O1359" s="16"/>
      <c r="P1359" s="164" t="str">
        <f>EUconst_CNTR_HEAT &amp; I1333</f>
        <v>HEAT_</v>
      </c>
      <c r="Q1359" s="302" t="str">
        <f>IF(COUNT(S1358:X1358)&gt;0,AVERAGE(S1358:X1358)*EUconst_HeatBMvalue,EUconst_NA)</f>
        <v>Nie dotyczy</v>
      </c>
      <c r="R1359" s="1037"/>
      <c r="S1359" s="1037"/>
      <c r="AA1359" s="608"/>
    </row>
    <row r="1360" spans="1:27" ht="12.75" customHeight="1" x14ac:dyDescent="0.2">
      <c r="B1360" s="20"/>
      <c r="C1360" s="20"/>
      <c r="D1360" s="195" t="s">
        <v>4</v>
      </c>
      <c r="E1360" s="1493" t="str">
        <f>Translations!$B$699</f>
        <v>Weryfikacja spójności z lit. k) ppkt (i):</v>
      </c>
      <c r="F1360" s="1615"/>
      <c r="G1360" s="1615"/>
      <c r="H1360" s="30" t="s">
        <v>409</v>
      </c>
      <c r="I1360" s="303" t="str">
        <f>IF(AND(I1434&gt;0,ISNUMBER(I1358)), I1358/I1434*100,"")</f>
        <v/>
      </c>
      <c r="J1360" s="303" t="str">
        <f>IF(AND(J1434&gt;0,ISNUMBER(J1358)), J1358/J1434*100,"")</f>
        <v/>
      </c>
      <c r="K1360" s="303" t="str">
        <f>IF(AND(K1434&gt;0,ISNUMBER(K1358)), K1358/K1434*100,"")</f>
        <v/>
      </c>
      <c r="L1360" s="303" t="str">
        <f>IF(AND(L1434&gt;0,ISNUMBER(L1358)), L1358/L1434*100,"")</f>
        <v/>
      </c>
      <c r="M1360" s="901" t="str">
        <f>IF(AND(M1434&gt;0,ISNUMBER(M1358)), M1358/M1434*100,"")</f>
        <v/>
      </c>
      <c r="N1360" s="147"/>
      <c r="O1360" s="16"/>
      <c r="R1360" s="1037"/>
      <c r="S1360" s="1037"/>
      <c r="AA1360" s="608"/>
    </row>
    <row r="1361" spans="2:27" ht="12.75" customHeight="1" x14ac:dyDescent="0.2">
      <c r="B1361" s="20"/>
      <c r="C1361" s="20"/>
      <c r="D1361" s="20"/>
      <c r="E1361" s="20"/>
      <c r="F1361" s="20"/>
      <c r="G1361" s="20"/>
      <c r="H1361" s="20"/>
      <c r="I1361" s="107"/>
      <c r="J1361" s="20"/>
      <c r="K1361" s="20"/>
      <c r="L1361" s="20"/>
      <c r="M1361" s="20"/>
      <c r="N1361" s="20"/>
      <c r="O1361" s="16"/>
      <c r="P1361" s="139"/>
      <c r="R1361" s="1037"/>
      <c r="S1361" s="1037"/>
      <c r="AA1361" s="608"/>
    </row>
    <row r="1362" spans="2:27" ht="15" x14ac:dyDescent="0.2">
      <c r="B1362" s="20"/>
      <c r="C1362" s="1054"/>
      <c r="D1362" s="1439" t="str">
        <f>Translations!$B$700</f>
        <v>Szczegółowe dane dotyczące produkcji</v>
      </c>
      <c r="E1362" s="1370"/>
      <c r="F1362" s="1370"/>
      <c r="G1362" s="1370"/>
      <c r="H1362" s="1370"/>
      <c r="I1362" s="1370"/>
      <c r="J1362" s="1370"/>
      <c r="K1362" s="1370"/>
      <c r="L1362" s="1370"/>
      <c r="M1362" s="1370"/>
      <c r="N1362" s="1370"/>
      <c r="O1362" s="16"/>
      <c r="R1362" s="1037"/>
      <c r="S1362" s="1037"/>
      <c r="AA1362" s="608"/>
    </row>
    <row r="1363" spans="2:27" ht="5.0999999999999996" customHeight="1" x14ac:dyDescent="0.2">
      <c r="B1363" s="207"/>
      <c r="C1363" s="207"/>
      <c r="D1363" s="207"/>
      <c r="E1363" s="207"/>
      <c r="F1363" s="207"/>
      <c r="G1363" s="207"/>
      <c r="H1363" s="207"/>
      <c r="I1363" s="207"/>
      <c r="J1363" s="207"/>
      <c r="K1363" s="207"/>
      <c r="L1363" s="207"/>
      <c r="M1363" s="207"/>
      <c r="N1363" s="207"/>
      <c r="O1363" s="16"/>
      <c r="P1363" s="1037"/>
      <c r="Q1363" s="1037"/>
      <c r="R1363" s="1037"/>
      <c r="S1363" s="1037"/>
      <c r="AA1363" s="608"/>
    </row>
    <row r="1364" spans="2:27" x14ac:dyDescent="0.2">
      <c r="B1364" s="207"/>
      <c r="C1364" s="14"/>
      <c r="D1364" s="14" t="s">
        <v>12</v>
      </c>
      <c r="E1364" s="1375" t="str">
        <f>Translations!$B$701</f>
        <v>Identyfikacja produktów wchodzących w zakres tej podinstalacji objętej wskaźnikiem emisyjności dla produktów</v>
      </c>
      <c r="F1364" s="1370"/>
      <c r="G1364" s="1370"/>
      <c r="H1364" s="1370"/>
      <c r="I1364" s="1370"/>
      <c r="J1364" s="1370"/>
      <c r="K1364" s="1370"/>
      <c r="L1364" s="1370"/>
      <c r="M1364" s="1370"/>
      <c r="N1364" s="1370"/>
      <c r="O1364" s="16"/>
      <c r="P1364" s="1037"/>
      <c r="R1364" s="1037"/>
      <c r="S1364" s="1037"/>
      <c r="AA1364" s="608"/>
    </row>
    <row r="1365" spans="2:27" x14ac:dyDescent="0.2">
      <c r="B1365" s="207"/>
      <c r="C1365" s="16"/>
      <c r="D1365" s="16"/>
      <c r="E1365" s="1408" t="str">
        <f>Translations!$B$704</f>
        <v>Wykaz kodów PRODCOM 2010 jest dostępny pod adresem:</v>
      </c>
      <c r="F1365" s="1370"/>
      <c r="G1365" s="1370"/>
      <c r="H1365" s="1370"/>
      <c r="I1365" s="1370"/>
      <c r="J1365" s="1370"/>
      <c r="K1365" s="1370"/>
      <c r="L1365" s="1370"/>
      <c r="M1365" s="1370"/>
      <c r="N1365" s="1370"/>
      <c r="O1365" s="16"/>
      <c r="P1365" s="1037"/>
      <c r="R1365" s="1037"/>
      <c r="S1365" s="1037"/>
      <c r="AA1365" s="608"/>
    </row>
    <row r="1366" spans="2:27" x14ac:dyDescent="0.2">
      <c r="B1366" s="207"/>
      <c r="C1366" s="16"/>
      <c r="D1366" s="16"/>
      <c r="E1366" s="1795" t="str">
        <f>Translations!$B$705</f>
        <v>http://ec.europa.eu/eurostat/ramon/nomenclatures/index.cfm?TargetUrl=LST_CLS_DLD&amp;StrNom=PRD_2010&amp;StrLanguageCode=EN&amp;StrLayoutCode=HIERARCHIChttp://ec.europa.eu/eurostat/ramon/nomenclatures/index.cfm?TargetUrl=LST_CLS_DLD&amp;StrNom=PRD_2010&amp;StrLanguageCode=EN&amp;StrLayoutCode=HIERARCHIC</v>
      </c>
      <c r="F1366" s="1663"/>
      <c r="G1366" s="1663"/>
      <c r="H1366" s="1663"/>
      <c r="I1366" s="1663"/>
      <c r="J1366" s="1663"/>
      <c r="K1366" s="1663"/>
      <c r="L1366" s="1663"/>
      <c r="M1366" s="1663"/>
      <c r="N1366" s="1663"/>
      <c r="O1366" s="16"/>
      <c r="P1366" s="1037"/>
      <c r="R1366" s="1037"/>
      <c r="S1366" s="1037"/>
      <c r="AA1366" s="608"/>
    </row>
    <row r="1367" spans="2:27" ht="5.0999999999999996" customHeight="1" x14ac:dyDescent="0.2">
      <c r="B1367" s="207"/>
      <c r="C1367" s="207"/>
      <c r="D1367" s="207"/>
      <c r="E1367" s="207"/>
      <c r="F1367" s="207"/>
      <c r="G1367" s="207"/>
      <c r="H1367" s="207"/>
      <c r="I1367" s="207"/>
      <c r="J1367" s="207"/>
      <c r="K1367" s="207"/>
      <c r="L1367" s="207"/>
      <c r="M1367" s="207"/>
      <c r="N1367" s="207"/>
      <c r="O1367" s="16"/>
      <c r="P1367" s="1037"/>
      <c r="Q1367" s="1037"/>
      <c r="R1367" s="1037"/>
      <c r="S1367" s="1037"/>
      <c r="AA1367" s="608"/>
    </row>
    <row r="1368" spans="2:27" x14ac:dyDescent="0.2">
      <c r="B1368" s="207"/>
      <c r="C1368" s="14"/>
      <c r="D1368" s="14" t="s">
        <v>13</v>
      </c>
      <c r="E1368" s="1375" t="str">
        <f>Translations!$B$706</f>
        <v>Poszczególne poziomy wytwarzanych produktów wchodzących w zakres tej podinstalacji objętej wskaźnikiem emisyjności dla produktów</v>
      </c>
      <c r="F1368" s="1370"/>
      <c r="G1368" s="1370"/>
      <c r="H1368" s="1370"/>
      <c r="I1368" s="1370"/>
      <c r="J1368" s="1370"/>
      <c r="K1368" s="1370"/>
      <c r="L1368" s="1370"/>
      <c r="M1368" s="1370"/>
      <c r="N1368" s="1370"/>
      <c r="O1368" s="16"/>
      <c r="P1368" s="1037"/>
      <c r="R1368" s="1037"/>
      <c r="S1368" s="1037"/>
      <c r="AA1368" s="608"/>
    </row>
    <row r="1369" spans="2:27" ht="5.0999999999999996" customHeight="1" x14ac:dyDescent="0.2">
      <c r="B1369" s="207"/>
      <c r="C1369" s="207"/>
      <c r="D1369" s="16"/>
      <c r="E1369" s="17"/>
      <c r="F1369" s="17"/>
      <c r="G1369" s="17"/>
      <c r="H1369" s="17"/>
      <c r="I1369" s="17"/>
      <c r="J1369" s="21"/>
      <c r="K1369" s="21"/>
      <c r="L1369" s="21"/>
      <c r="M1369" s="16"/>
      <c r="N1369" s="16"/>
      <c r="O1369" s="16"/>
      <c r="P1369" s="1037"/>
      <c r="R1369" s="1037"/>
      <c r="S1369" s="1037"/>
      <c r="AA1369" s="608"/>
    </row>
    <row r="1370" spans="2:27" ht="25.5" customHeight="1" x14ac:dyDescent="0.2">
      <c r="B1370" s="20"/>
      <c r="C1370" s="20"/>
      <c r="D1370" s="344"/>
      <c r="E1370" s="399" t="s">
        <v>386</v>
      </c>
      <c r="F1370" s="1789" t="str">
        <f>Translations!$B$707</f>
        <v>Nazwa produktu lub grupy produktów</v>
      </c>
      <c r="G1370" s="1790"/>
      <c r="H1370" s="1055" t="str">
        <f>EUconst_Unit</f>
        <v>Jednostka</v>
      </c>
      <c r="I1370" s="396">
        <f>I$1882</f>
        <v>2014</v>
      </c>
      <c r="J1370" s="396">
        <f>J$1882</f>
        <v>2015</v>
      </c>
      <c r="K1370" s="396">
        <f>K$1882</f>
        <v>2016</v>
      </c>
      <c r="L1370" s="396">
        <f>L$1882</f>
        <v>2017</v>
      </c>
      <c r="M1370" s="396">
        <f>M$1882</f>
        <v>2018</v>
      </c>
      <c r="N1370" s="16"/>
      <c r="O1370" s="16"/>
      <c r="R1370" s="1037"/>
      <c r="S1370" s="1037"/>
      <c r="AA1370" s="608"/>
    </row>
    <row r="1371" spans="2:27" x14ac:dyDescent="0.2">
      <c r="B1371" s="20"/>
      <c r="C1371" s="20"/>
      <c r="D1371" s="37">
        <v>1</v>
      </c>
      <c r="E1371" s="1245"/>
      <c r="F1371" s="1791"/>
      <c r="G1371" s="1792"/>
      <c r="H1371" s="804"/>
      <c r="I1371" s="472"/>
      <c r="J1371" s="472"/>
      <c r="K1371" s="472"/>
      <c r="L1371" s="472"/>
      <c r="M1371" s="472"/>
      <c r="N1371" s="16"/>
      <c r="O1371" s="16"/>
      <c r="R1371" s="1037"/>
      <c r="S1371" s="1037"/>
      <c r="AA1371" s="345" t="b">
        <f>AA1358</f>
        <v>1</v>
      </c>
    </row>
    <row r="1372" spans="2:27" x14ac:dyDescent="0.2">
      <c r="B1372" s="20"/>
      <c r="C1372" s="20"/>
      <c r="D1372" s="38">
        <f>D1371+1</f>
        <v>2</v>
      </c>
      <c r="E1372" s="1246"/>
      <c r="F1372" s="1793"/>
      <c r="G1372" s="1794"/>
      <c r="H1372" s="564"/>
      <c r="I1372" s="548"/>
      <c r="J1372" s="548"/>
      <c r="K1372" s="548"/>
      <c r="L1372" s="548"/>
      <c r="M1372" s="548"/>
      <c r="N1372" s="16"/>
      <c r="O1372" s="16"/>
      <c r="R1372" s="1037"/>
      <c r="S1372" s="1037"/>
      <c r="AA1372" s="345" t="b">
        <f>AA1371</f>
        <v>1</v>
      </c>
    </row>
    <row r="1373" spans="2:27" x14ac:dyDescent="0.2">
      <c r="B1373" s="20"/>
      <c r="C1373" s="20"/>
      <c r="D1373" s="38">
        <f t="shared" ref="D1373:D1380" si="30">D1372+1</f>
        <v>3</v>
      </c>
      <c r="E1373" s="1246"/>
      <c r="F1373" s="1784"/>
      <c r="G1373" s="1785"/>
      <c r="H1373" s="564"/>
      <c r="I1373" s="548"/>
      <c r="J1373" s="548"/>
      <c r="K1373" s="548"/>
      <c r="L1373" s="548"/>
      <c r="M1373" s="548"/>
      <c r="N1373" s="16"/>
      <c r="O1373" s="16"/>
      <c r="R1373" s="1037"/>
      <c r="S1373" s="1037"/>
      <c r="AA1373" s="345" t="b">
        <f t="shared" ref="AA1373:AA1381" si="31">AA1372</f>
        <v>1</v>
      </c>
    </row>
    <row r="1374" spans="2:27" x14ac:dyDescent="0.2">
      <c r="B1374" s="20"/>
      <c r="C1374" s="20"/>
      <c r="D1374" s="38">
        <f t="shared" si="30"/>
        <v>4</v>
      </c>
      <c r="E1374" s="1246"/>
      <c r="F1374" s="1784"/>
      <c r="G1374" s="1785"/>
      <c r="H1374" s="564"/>
      <c r="I1374" s="548"/>
      <c r="J1374" s="548"/>
      <c r="K1374" s="548"/>
      <c r="L1374" s="548"/>
      <c r="M1374" s="548"/>
      <c r="N1374" s="16"/>
      <c r="O1374" s="16"/>
      <c r="R1374" s="1037"/>
      <c r="S1374" s="1037"/>
      <c r="AA1374" s="345" t="b">
        <f t="shared" si="31"/>
        <v>1</v>
      </c>
    </row>
    <row r="1375" spans="2:27" x14ac:dyDescent="0.2">
      <c r="B1375" s="20"/>
      <c r="C1375" s="20"/>
      <c r="D1375" s="38">
        <f t="shared" si="30"/>
        <v>5</v>
      </c>
      <c r="E1375" s="1246"/>
      <c r="F1375" s="1784"/>
      <c r="G1375" s="1785"/>
      <c r="H1375" s="564"/>
      <c r="I1375" s="548"/>
      <c r="J1375" s="548"/>
      <c r="K1375" s="548"/>
      <c r="L1375" s="548"/>
      <c r="M1375" s="548"/>
      <c r="N1375" s="16"/>
      <c r="O1375" s="16"/>
      <c r="R1375" s="1037"/>
      <c r="S1375" s="1037"/>
      <c r="AA1375" s="345" t="b">
        <f t="shared" si="31"/>
        <v>1</v>
      </c>
    </row>
    <row r="1376" spans="2:27" x14ac:dyDescent="0.2">
      <c r="B1376" s="20"/>
      <c r="C1376" s="20"/>
      <c r="D1376" s="38">
        <f t="shared" si="30"/>
        <v>6</v>
      </c>
      <c r="E1376" s="1246"/>
      <c r="F1376" s="1784"/>
      <c r="G1376" s="1785"/>
      <c r="H1376" s="564"/>
      <c r="I1376" s="548"/>
      <c r="J1376" s="548"/>
      <c r="K1376" s="548"/>
      <c r="L1376" s="548"/>
      <c r="M1376" s="548"/>
      <c r="N1376" s="16"/>
      <c r="O1376" s="16"/>
      <c r="R1376" s="1037"/>
      <c r="S1376" s="1037"/>
      <c r="AA1376" s="345" t="b">
        <f t="shared" si="31"/>
        <v>1</v>
      </c>
    </row>
    <row r="1377" spans="2:27" x14ac:dyDescent="0.2">
      <c r="B1377" s="20"/>
      <c r="C1377" s="20"/>
      <c r="D1377" s="38">
        <f t="shared" si="30"/>
        <v>7</v>
      </c>
      <c r="E1377" s="1246"/>
      <c r="F1377" s="1784"/>
      <c r="G1377" s="1785"/>
      <c r="H1377" s="564"/>
      <c r="I1377" s="548"/>
      <c r="J1377" s="548"/>
      <c r="K1377" s="548"/>
      <c r="L1377" s="548"/>
      <c r="M1377" s="548"/>
      <c r="N1377" s="16"/>
      <c r="O1377" s="16"/>
      <c r="R1377" s="1037"/>
      <c r="S1377" s="1037"/>
      <c r="AA1377" s="345" t="b">
        <f t="shared" si="31"/>
        <v>1</v>
      </c>
    </row>
    <row r="1378" spans="2:27" x14ac:dyDescent="0.2">
      <c r="B1378" s="20"/>
      <c r="C1378" s="20"/>
      <c r="D1378" s="38">
        <f t="shared" si="30"/>
        <v>8</v>
      </c>
      <c r="E1378" s="1246"/>
      <c r="F1378" s="1784"/>
      <c r="G1378" s="1785"/>
      <c r="H1378" s="564"/>
      <c r="I1378" s="548"/>
      <c r="J1378" s="548"/>
      <c r="K1378" s="548"/>
      <c r="L1378" s="548"/>
      <c r="M1378" s="548"/>
      <c r="N1378" s="16"/>
      <c r="O1378" s="16"/>
      <c r="R1378" s="1037"/>
      <c r="S1378" s="1037"/>
      <c r="AA1378" s="345" t="b">
        <f t="shared" si="31"/>
        <v>1</v>
      </c>
    </row>
    <row r="1379" spans="2:27" x14ac:dyDescent="0.2">
      <c r="B1379" s="20"/>
      <c r="C1379" s="20"/>
      <c r="D1379" s="38">
        <f t="shared" si="30"/>
        <v>9</v>
      </c>
      <c r="E1379" s="1246"/>
      <c r="F1379" s="1784"/>
      <c r="G1379" s="1785"/>
      <c r="H1379" s="564"/>
      <c r="I1379" s="548"/>
      <c r="J1379" s="548"/>
      <c r="K1379" s="548"/>
      <c r="L1379" s="548"/>
      <c r="M1379" s="548"/>
      <c r="N1379" s="16"/>
      <c r="O1379" s="16"/>
      <c r="R1379" s="1037"/>
      <c r="S1379" s="1037"/>
      <c r="AA1379" s="345" t="b">
        <f t="shared" si="31"/>
        <v>1</v>
      </c>
    </row>
    <row r="1380" spans="2:27" x14ac:dyDescent="0.2">
      <c r="B1380" s="20"/>
      <c r="C1380" s="20"/>
      <c r="D1380" s="41">
        <f t="shared" si="30"/>
        <v>10</v>
      </c>
      <c r="E1380" s="1247"/>
      <c r="F1380" s="1786"/>
      <c r="G1380" s="1787"/>
      <c r="H1380" s="565"/>
      <c r="I1380" s="446"/>
      <c r="J1380" s="446"/>
      <c r="K1380" s="446"/>
      <c r="L1380" s="446"/>
      <c r="M1380" s="446"/>
      <c r="N1380" s="16"/>
      <c r="O1380" s="16"/>
      <c r="R1380" s="1037"/>
      <c r="S1380" s="1037"/>
      <c r="AA1380" s="345" t="b">
        <f t="shared" si="31"/>
        <v>1</v>
      </c>
    </row>
    <row r="1381" spans="2:27" ht="12.75" customHeight="1" thickBot="1" x14ac:dyDescent="0.25">
      <c r="B1381" s="20"/>
      <c r="C1381" s="20"/>
      <c r="D1381" s="97"/>
      <c r="E1381" s="1788" t="str">
        <f>Translations!$B$708</f>
        <v>Suma poziomów produkcji</v>
      </c>
      <c r="F1381" s="1788"/>
      <c r="G1381" s="1788"/>
      <c r="H1381" s="737"/>
      <c r="I1381" s="327" t="str">
        <f>IF(COUNT(I1371:I1380)&gt;0,SUM(I1371:I1380),"")</f>
        <v/>
      </c>
      <c r="J1381" s="327" t="str">
        <f>IF(COUNT(J1371:J1380)&gt;0,SUM(J1371:J1380),"")</f>
        <v/>
      </c>
      <c r="K1381" s="327" t="str">
        <f>IF(COUNT(K1371:K1380)&gt;0,SUM(K1371:K1380),"")</f>
        <v/>
      </c>
      <c r="L1381" s="327" t="str">
        <f>IF(COUNT(L1371:L1380)&gt;0,SUM(L1371:L1380),"")</f>
        <v/>
      </c>
      <c r="M1381" s="327" t="str">
        <f>IF(COUNT(M1371:M1380)&gt;0,SUM(M1371:M1380),"")</f>
        <v/>
      </c>
      <c r="N1381" s="16"/>
      <c r="O1381" s="16"/>
      <c r="R1381" s="1037"/>
      <c r="S1381" s="1037"/>
      <c r="AA1381" s="168" t="b">
        <f t="shared" si="31"/>
        <v>1</v>
      </c>
    </row>
    <row r="1382" spans="2:27" ht="12.75" customHeight="1" thickBot="1" x14ac:dyDescent="0.25">
      <c r="B1382" s="207"/>
      <c r="C1382" s="207"/>
      <c r="D1382" s="207"/>
      <c r="E1382" s="207"/>
      <c r="F1382" s="207"/>
      <c r="G1382" s="207"/>
      <c r="H1382" s="207"/>
      <c r="I1382" s="207"/>
      <c r="J1382" s="207"/>
      <c r="K1382" s="207"/>
      <c r="L1382" s="207"/>
      <c r="M1382" s="16"/>
      <c r="N1382" s="16"/>
      <c r="O1382" s="16"/>
      <c r="P1382" s="1037"/>
      <c r="R1382" s="1037"/>
      <c r="S1382" s="1037"/>
    </row>
    <row r="1383" spans="2:27" ht="5.0999999999999996" customHeight="1" x14ac:dyDescent="0.2">
      <c r="B1383" s="207"/>
      <c r="C1383" s="1056"/>
      <c r="D1383" s="1057"/>
      <c r="E1383" s="1057"/>
      <c r="F1383" s="1057"/>
      <c r="G1383" s="1057"/>
      <c r="H1383" s="1057"/>
      <c r="I1383" s="1057"/>
      <c r="J1383" s="1057"/>
      <c r="K1383" s="1057"/>
      <c r="L1383" s="1057"/>
      <c r="M1383" s="1058"/>
      <c r="N1383" s="1059"/>
      <c r="O1383" s="16"/>
      <c r="P1383" s="1037"/>
      <c r="R1383" s="1037"/>
      <c r="S1383" s="1037"/>
    </row>
    <row r="1384" spans="2:27" ht="15" customHeight="1" x14ac:dyDescent="0.2">
      <c r="B1384" s="20"/>
      <c r="C1384" s="1060"/>
      <c r="D1384" s="1776" t="str">
        <f>Translations!$B$709</f>
        <v>Dane wymagane do określenia współczynnika poprawy wskaźników zgodnie z art. 10a ust. 2 dyrektywy w sprawie EU ETS</v>
      </c>
      <c r="E1384" s="1734"/>
      <c r="F1384" s="1734"/>
      <c r="G1384" s="1734"/>
      <c r="H1384" s="1734"/>
      <c r="I1384" s="1734"/>
      <c r="J1384" s="1734"/>
      <c r="K1384" s="1734"/>
      <c r="L1384" s="1734"/>
      <c r="M1384" s="1734"/>
      <c r="N1384" s="1735"/>
      <c r="O1384" s="16"/>
      <c r="R1384" s="1037"/>
      <c r="S1384" s="1037"/>
    </row>
    <row r="1385" spans="2:27" ht="5.0999999999999996" customHeight="1" x14ac:dyDescent="0.2">
      <c r="B1385" s="20"/>
      <c r="C1385" s="460"/>
      <c r="D1385" s="449"/>
      <c r="E1385" s="449"/>
      <c r="F1385" s="449"/>
      <c r="G1385" s="449"/>
      <c r="H1385" s="449"/>
      <c r="I1385" s="449"/>
      <c r="J1385" s="449"/>
      <c r="K1385" s="449"/>
      <c r="L1385" s="449"/>
      <c r="M1385" s="449"/>
      <c r="N1385" s="461"/>
      <c r="O1385" s="16"/>
      <c r="R1385" s="1037"/>
      <c r="S1385" s="1037"/>
    </row>
    <row r="1386" spans="2:27" ht="15" customHeight="1" x14ac:dyDescent="0.2">
      <c r="B1386" s="20"/>
      <c r="C1386" s="460"/>
      <c r="D1386" s="1778" t="str">
        <f>EUconst_BMSubinst &amp; ":"</f>
        <v>Podinstalacja i wskaźnik emisyjności dla produktów:</v>
      </c>
      <c r="E1386" s="1779"/>
      <c r="F1386" s="1779"/>
      <c r="G1386" s="1779"/>
      <c r="H1386" s="1780"/>
      <c r="I1386" s="1781" t="str">
        <f>I1333</f>
        <v/>
      </c>
      <c r="J1386" s="1666"/>
      <c r="K1386" s="1666"/>
      <c r="L1386" s="1666"/>
      <c r="M1386" s="1666"/>
      <c r="N1386" s="1782"/>
      <c r="O1386" s="16"/>
      <c r="R1386" s="1037"/>
      <c r="S1386" s="1037"/>
    </row>
    <row r="1387" spans="2:27" ht="5.0999999999999996" customHeight="1" x14ac:dyDescent="0.2">
      <c r="B1387" s="20"/>
      <c r="C1387" s="460"/>
      <c r="D1387" s="449"/>
      <c r="E1387" s="449"/>
      <c r="F1387" s="449"/>
      <c r="G1387" s="449"/>
      <c r="H1387" s="449"/>
      <c r="I1387" s="449"/>
      <c r="J1387" s="449"/>
      <c r="K1387" s="449"/>
      <c r="L1387" s="449"/>
      <c r="M1387" s="449"/>
      <c r="N1387" s="461"/>
      <c r="O1387" s="16"/>
      <c r="R1387" s="1037"/>
      <c r="S1387" s="1037"/>
    </row>
    <row r="1388" spans="2:27" ht="15" customHeight="1" x14ac:dyDescent="0.2">
      <c r="B1388" s="207"/>
      <c r="C1388" s="1060"/>
      <c r="D1388" s="1061"/>
      <c r="E1388" s="1783" t="str">
        <f>Translations!$B$714</f>
        <v>Po dokonaniu poniższych wpisów emisje, które można przypisać, są obliczane w części K.III.2 arkusza podsumowania.</v>
      </c>
      <c r="F1388" s="1783"/>
      <c r="G1388" s="1783"/>
      <c r="H1388" s="1783"/>
      <c r="I1388" s="1783"/>
      <c r="J1388" s="1783"/>
      <c r="K1388" s="1783"/>
      <c r="L1388" s="1783"/>
      <c r="M1388" s="1783"/>
      <c r="N1388" s="702"/>
      <c r="O1388" s="16"/>
      <c r="P1388" s="1037"/>
    </row>
    <row r="1389" spans="2:27" ht="5.0999999999999996" customHeight="1" x14ac:dyDescent="0.2">
      <c r="B1389" s="20"/>
      <c r="C1389" s="460"/>
      <c r="D1389" s="449"/>
      <c r="E1389" s="449"/>
      <c r="F1389" s="449"/>
      <c r="G1389" s="449"/>
      <c r="H1389" s="449"/>
      <c r="I1389" s="449"/>
      <c r="J1389" s="449"/>
      <c r="K1389" s="449"/>
      <c r="L1389" s="449"/>
      <c r="M1389" s="449"/>
      <c r="N1389" s="461"/>
      <c r="O1389" s="16"/>
      <c r="R1389" s="1037"/>
      <c r="S1389" s="1037"/>
    </row>
    <row r="1390" spans="2:27" ht="12.75" customHeight="1" x14ac:dyDescent="0.2">
      <c r="B1390" s="207"/>
      <c r="C1390" s="1060"/>
      <c r="D1390" s="462" t="s">
        <v>87</v>
      </c>
      <c r="E1390" s="1731" t="str">
        <f>Translations!$B$715</f>
        <v>Emisje, które można bezpośrednio przypisać (DirEm* (plan monitorowania strumieni materiałów wsadowych)) do tej podinstalacji</v>
      </c>
      <c r="F1390" s="1734"/>
      <c r="G1390" s="1734"/>
      <c r="H1390" s="1734"/>
      <c r="I1390" s="1734"/>
      <c r="J1390" s="1734"/>
      <c r="K1390" s="1734"/>
      <c r="L1390" s="1734"/>
      <c r="M1390" s="1734"/>
      <c r="N1390" s="1735"/>
      <c r="O1390" s="16"/>
      <c r="P1390" s="1037"/>
      <c r="R1390" s="1037"/>
      <c r="S1390" s="1037"/>
    </row>
    <row r="1391" spans="2:27" ht="12.75" customHeight="1" thickBot="1" x14ac:dyDescent="0.25">
      <c r="B1391" s="207"/>
      <c r="C1391" s="1060"/>
      <c r="D1391" s="1061"/>
      <c r="E1391" s="1745"/>
      <c r="F1391" s="1745"/>
      <c r="G1391" s="1745"/>
      <c r="H1391" s="1745"/>
      <c r="I1391" s="1745"/>
      <c r="J1391" s="1745"/>
      <c r="K1391" s="1745"/>
      <c r="L1391" s="1745"/>
      <c r="M1391" s="1745"/>
      <c r="N1391" s="1746"/>
      <c r="O1391" s="16"/>
      <c r="P1391" s="1037"/>
      <c r="R1391" s="1037"/>
    </row>
    <row r="1392" spans="2:27" ht="12.75" customHeight="1" x14ac:dyDescent="0.2">
      <c r="B1392" s="207"/>
      <c r="C1392" s="1060"/>
      <c r="D1392" s="462"/>
      <c r="E1392" s="1757" t="str">
        <f>Translations!$B$725</f>
        <v>Emisje, które można bezpośrednio przypisać (DirEm*)</v>
      </c>
      <c r="F1392" s="1758"/>
      <c r="G1392" s="1758"/>
      <c r="H1392" s="450" t="str">
        <f>EUconst_Unit</f>
        <v>Jednostka</v>
      </c>
      <c r="I1392" s="451">
        <f>I$1882</f>
        <v>2014</v>
      </c>
      <c r="J1392" s="451">
        <f>J$1882</f>
        <v>2015</v>
      </c>
      <c r="K1392" s="451">
        <f>K$1882</f>
        <v>2016</v>
      </c>
      <c r="L1392" s="451">
        <f>L$1882</f>
        <v>2017</v>
      </c>
      <c r="M1392" s="451">
        <f>M$1882</f>
        <v>2018</v>
      </c>
      <c r="N1392" s="665"/>
      <c r="O1392" s="16"/>
      <c r="P1392" s="1037"/>
      <c r="R1392" s="1052"/>
      <c r="S1392" s="814">
        <f>I1392</f>
        <v>2014</v>
      </c>
      <c r="T1392" s="814">
        <f>J1392</f>
        <v>2015</v>
      </c>
      <c r="U1392" s="814">
        <f>K1392</f>
        <v>2016</v>
      </c>
      <c r="V1392" s="814">
        <f>L1392</f>
        <v>2017</v>
      </c>
      <c r="W1392" s="815">
        <f>M1392</f>
        <v>2018</v>
      </c>
    </row>
    <row r="1393" spans="2:27" ht="12.75" customHeight="1" thickBot="1" x14ac:dyDescent="0.25">
      <c r="B1393" s="207"/>
      <c r="C1393" s="1060"/>
      <c r="D1393" s="1061"/>
      <c r="E1393" s="1762" t="str">
        <f>I1333</f>
        <v/>
      </c>
      <c r="F1393" s="1762"/>
      <c r="G1393" s="1762"/>
      <c r="H1393" s="452" t="str">
        <f>EUconst_tCO2epa</f>
        <v>t CO2e/rok</v>
      </c>
      <c r="I1393" s="313"/>
      <c r="J1393" s="313"/>
      <c r="K1393" s="313"/>
      <c r="L1393" s="313"/>
      <c r="M1393" s="313"/>
      <c r="N1393" s="665"/>
      <c r="O1393" s="16"/>
      <c r="P1393" s="1062" t="str">
        <f>EUconst_CNTR_Emissions &amp; I1333</f>
        <v>DirEmissions_</v>
      </c>
      <c r="R1393" s="1053" t="str">
        <f>EUconst_CNTR_AttributedEmissions &amp; I1333</f>
        <v>AttrEmissions_</v>
      </c>
      <c r="S1393" s="119" t="str">
        <f>IF(S1333,SUM(I1393),"")</f>
        <v/>
      </c>
      <c r="T1393" s="119" t="str">
        <f>IF(T1333,SUM(J1393),"")</f>
        <v/>
      </c>
      <c r="U1393" s="119" t="str">
        <f>IF(U1333,SUM(K1393),"")</f>
        <v/>
      </c>
      <c r="V1393" s="119" t="str">
        <f>IF(V1333,SUM(L1393),"")</f>
        <v/>
      </c>
      <c r="W1393" s="120" t="str">
        <f>IF(W1333,SUM(M1393),"")</f>
        <v/>
      </c>
    </row>
    <row r="1394" spans="2:27" ht="12.75" customHeight="1" x14ac:dyDescent="0.2">
      <c r="B1394" s="207"/>
      <c r="C1394" s="1060"/>
      <c r="D1394" s="1061"/>
      <c r="E1394" s="1061"/>
      <c r="F1394" s="1061"/>
      <c r="G1394" s="1061"/>
      <c r="H1394" s="1061"/>
      <c r="I1394" s="1061"/>
      <c r="J1394" s="1061"/>
      <c r="K1394" s="1061"/>
      <c r="L1394" s="1061"/>
      <c r="M1394" s="1063"/>
      <c r="N1394" s="665"/>
      <c r="O1394" s="16"/>
      <c r="P1394" s="1037"/>
      <c r="R1394" s="1037"/>
    </row>
    <row r="1395" spans="2:27" ht="12.75" customHeight="1" x14ac:dyDescent="0.2">
      <c r="B1395" s="207"/>
      <c r="C1395" s="1060"/>
      <c r="D1395" s="462" t="s">
        <v>88</v>
      </c>
      <c r="E1395" s="1760" t="str">
        <f>Translations!$B$726</f>
        <v>Wsad paliwa do tej podinstalacji oraz odpowiedni współczynnik emisji</v>
      </c>
      <c r="F1395" s="1760"/>
      <c r="G1395" s="1760"/>
      <c r="H1395" s="1760"/>
      <c r="I1395" s="1760"/>
      <c r="J1395" s="1760"/>
      <c r="K1395" s="1760"/>
      <c r="L1395" s="1760"/>
      <c r="M1395" s="1760"/>
      <c r="N1395" s="1761"/>
      <c r="O1395" s="16"/>
      <c r="P1395" s="1037"/>
      <c r="Q1395" s="1037"/>
      <c r="R1395" s="1037"/>
    </row>
    <row r="1396" spans="2:27" ht="12.75" customHeight="1" x14ac:dyDescent="0.2">
      <c r="B1396" s="207"/>
      <c r="C1396" s="1060"/>
      <c r="D1396" s="462"/>
      <c r="E1396" s="1757"/>
      <c r="F1396" s="1758"/>
      <c r="G1396" s="1758"/>
      <c r="H1396" s="450" t="str">
        <f>EUconst_Unit</f>
        <v>Jednostka</v>
      </c>
      <c r="I1396" s="451">
        <f>I$1882</f>
        <v>2014</v>
      </c>
      <c r="J1396" s="451">
        <f>J$1882</f>
        <v>2015</v>
      </c>
      <c r="K1396" s="451">
        <f>K$1882</f>
        <v>2016</v>
      </c>
      <c r="L1396" s="451">
        <f>L$1882</f>
        <v>2017</v>
      </c>
      <c r="M1396" s="451">
        <f>M$1882</f>
        <v>2018</v>
      </c>
      <c r="N1396" s="665"/>
      <c r="O1396" s="16"/>
      <c r="P1396" s="1037"/>
      <c r="R1396" s="1037"/>
    </row>
    <row r="1397" spans="2:27" ht="12.75" customHeight="1" x14ac:dyDescent="0.2">
      <c r="B1397" s="207"/>
      <c r="C1397" s="1060"/>
      <c r="D1397" s="699" t="s">
        <v>2</v>
      </c>
      <c r="E1397" s="1739" t="str">
        <f>Translations!$B$731</f>
        <v>Wsad paliwa</v>
      </c>
      <c r="F1397" s="1740"/>
      <c r="G1397" s="1740"/>
      <c r="H1397" s="453" t="str">
        <f>EUconst_TJpa</f>
        <v>TJ / rok</v>
      </c>
      <c r="I1397" s="313"/>
      <c r="J1397" s="313"/>
      <c r="K1397" s="313"/>
      <c r="L1397" s="313"/>
      <c r="M1397" s="313"/>
      <c r="N1397" s="702"/>
      <c r="O1397" s="16"/>
      <c r="P1397" s="1062" t="str">
        <f>EUconst_CNTR_FuelInput &amp; I1333</f>
        <v>FuelInput_</v>
      </c>
      <c r="R1397" s="1037"/>
    </row>
    <row r="1398" spans="2:27" ht="12.75" customHeight="1" x14ac:dyDescent="0.2">
      <c r="B1398" s="207"/>
      <c r="C1398" s="1060"/>
      <c r="D1398" s="699" t="s">
        <v>3</v>
      </c>
      <c r="E1398" s="1772" t="str">
        <f>Translations!$B$732</f>
        <v>Ważony współczynnik emisji</v>
      </c>
      <c r="F1398" s="1773"/>
      <c r="G1398" s="1773"/>
      <c r="H1398" s="569" t="str">
        <f>EUconst_tCO2pTJ</f>
        <v>t CO2 / TJ</v>
      </c>
      <c r="I1398" s="323"/>
      <c r="J1398" s="323"/>
      <c r="K1398" s="323"/>
      <c r="L1398" s="323"/>
      <c r="M1398" s="323"/>
      <c r="N1398" s="665"/>
      <c r="O1398" s="16"/>
      <c r="P1398" s="1062" t="str">
        <f>EUconst_CNTR_FuelEF &amp; I1333</f>
        <v>FuelEF_</v>
      </c>
      <c r="R1398" s="1037"/>
    </row>
    <row r="1399" spans="2:27" ht="12.75" customHeight="1" x14ac:dyDescent="0.2">
      <c r="B1399" s="207"/>
      <c r="C1399" s="1060"/>
      <c r="D1399" s="1061"/>
      <c r="E1399" s="1061"/>
      <c r="F1399" s="1061"/>
      <c r="G1399" s="1061"/>
      <c r="H1399" s="1061"/>
      <c r="I1399" s="1061"/>
      <c r="J1399" s="1061"/>
      <c r="K1399" s="1061"/>
      <c r="L1399" s="1061"/>
      <c r="M1399" s="1063"/>
      <c r="N1399" s="665"/>
      <c r="O1399" s="16"/>
      <c r="P1399" s="1037"/>
      <c r="R1399" s="1037"/>
    </row>
    <row r="1400" spans="2:27" ht="12.75" customHeight="1" thickBot="1" x14ac:dyDescent="0.25">
      <c r="B1400" s="207"/>
      <c r="C1400" s="1060"/>
      <c r="D1400" s="462" t="s">
        <v>89</v>
      </c>
      <c r="E1400" s="1760" t="str">
        <f>Translations!$B$733</f>
        <v>Dalsze wewnętrzne strumienie materiałów wsadowych wprowadzane do tej podinstalacji lub z niej wyprowadzane</v>
      </c>
      <c r="F1400" s="1760"/>
      <c r="G1400" s="1760"/>
      <c r="H1400" s="1760"/>
      <c r="I1400" s="1760"/>
      <c r="J1400" s="1760"/>
      <c r="K1400" s="1760"/>
      <c r="L1400" s="1760"/>
      <c r="M1400" s="1760"/>
      <c r="N1400" s="1761"/>
      <c r="O1400" s="16"/>
      <c r="P1400" s="1037"/>
      <c r="Q1400" s="1037"/>
      <c r="R1400" s="1037"/>
    </row>
    <row r="1401" spans="2:27" ht="25.5" customHeight="1" thickBot="1" x14ac:dyDescent="0.25">
      <c r="B1401" s="207"/>
      <c r="C1401" s="1060"/>
      <c r="D1401" s="699" t="s">
        <v>2</v>
      </c>
      <c r="E1401" s="1774" t="str">
        <f>Translations!$B$739</f>
        <v>Czy tej podinstalacji dotyczy więcej wprowadzonych lub wyprowadzonych wewnętrznych strumieni materiałów wsadowych?</v>
      </c>
      <c r="F1401" s="1774"/>
      <c r="G1401" s="1774"/>
      <c r="H1401" s="1774"/>
      <c r="I1401" s="1774"/>
      <c r="J1401" s="1774"/>
      <c r="K1401" s="1775"/>
      <c r="L1401" s="517"/>
      <c r="M1401" s="1253"/>
      <c r="N1401" s="1254"/>
      <c r="O1401" s="16"/>
      <c r="P1401" s="1037"/>
      <c r="R1401" s="1037"/>
      <c r="W1401" s="1048" t="s">
        <v>414</v>
      </c>
      <c r="X1401" s="1046" t="b">
        <f>IF(AND(I1333&lt;&gt;"",ISBLANK(L1401)),EUconst_Error&amp;"BM"&amp;C1333,FALSE)</f>
        <v>0</v>
      </c>
    </row>
    <row r="1402" spans="2:27" ht="5.0999999999999996" customHeight="1" thickBot="1" x14ac:dyDescent="0.25">
      <c r="B1402" s="207"/>
      <c r="C1402" s="1060"/>
      <c r="D1402" s="1061"/>
      <c r="E1402" s="1733"/>
      <c r="F1402" s="1734"/>
      <c r="G1402" s="1734"/>
      <c r="H1402" s="1734"/>
      <c r="I1402" s="1734"/>
      <c r="J1402" s="1734"/>
      <c r="K1402" s="1734"/>
      <c r="L1402" s="1734"/>
      <c r="M1402" s="1734"/>
      <c r="N1402" s="1735"/>
      <c r="O1402" s="16"/>
      <c r="P1402" s="1037"/>
      <c r="R1402" s="1037"/>
      <c r="AA1402" s="422" t="s">
        <v>272</v>
      </c>
    </row>
    <row r="1403" spans="2:27" ht="12.75" customHeight="1" x14ac:dyDescent="0.2">
      <c r="B1403" s="207"/>
      <c r="C1403" s="1060"/>
      <c r="D1403" s="699" t="s">
        <v>3</v>
      </c>
      <c r="E1403" s="1760" t="str">
        <f>Translations!$B$741</f>
        <v>Nazwa dalszych strumieni materiałów wsadowych – 1:</v>
      </c>
      <c r="F1403" s="1760"/>
      <c r="G1403" s="1760"/>
      <c r="H1403" s="1760"/>
      <c r="I1403" s="1763"/>
      <c r="J1403" s="1764"/>
      <c r="K1403" s="1764"/>
      <c r="L1403" s="1764"/>
      <c r="M1403" s="1765"/>
      <c r="N1403" s="664"/>
      <c r="O1403" s="16"/>
      <c r="P1403" s="1037"/>
      <c r="R1403" s="1037"/>
      <c r="AA1403" s="646" t="b">
        <f>IF(I1333&lt;&gt;"",AND(L1401&lt;&gt;"",L1401=FALSE),FALSE)</f>
        <v>0</v>
      </c>
    </row>
    <row r="1404" spans="2:27" ht="5.0999999999999996" customHeight="1" x14ac:dyDescent="0.2">
      <c r="B1404" s="207"/>
      <c r="C1404" s="1060"/>
      <c r="D1404" s="1061"/>
      <c r="E1404" s="1256"/>
      <c r="F1404" s="1253"/>
      <c r="G1404" s="1253"/>
      <c r="H1404" s="1253"/>
      <c r="I1404" s="1253"/>
      <c r="J1404" s="1253"/>
      <c r="K1404" s="1253"/>
      <c r="L1404" s="1253"/>
      <c r="M1404" s="1253"/>
      <c r="N1404" s="1254"/>
      <c r="O1404" s="16"/>
      <c r="P1404" s="1037"/>
      <c r="R1404" s="1037"/>
      <c r="AA1404" s="608"/>
    </row>
    <row r="1405" spans="2:27" ht="12.75" customHeight="1" x14ac:dyDescent="0.2">
      <c r="B1405" s="207"/>
      <c r="C1405" s="1060"/>
      <c r="D1405" s="1061"/>
      <c r="E1405" s="1757" t="str">
        <f>Translations!$B$742</f>
        <v>Dalsze strumienie materiałów wsadowych – 1:</v>
      </c>
      <c r="F1405" s="1758"/>
      <c r="G1405" s="1758"/>
      <c r="H1405" s="450" t="str">
        <f>EUconst_Unit</f>
        <v>Jednostka</v>
      </c>
      <c r="I1405" s="451">
        <f>I$1882</f>
        <v>2014</v>
      </c>
      <c r="J1405" s="451">
        <f>J$1882</f>
        <v>2015</v>
      </c>
      <c r="K1405" s="451">
        <f>K$1882</f>
        <v>2016</v>
      </c>
      <c r="L1405" s="451">
        <f>L$1882</f>
        <v>2017</v>
      </c>
      <c r="M1405" s="451">
        <f>M$1882</f>
        <v>2018</v>
      </c>
      <c r="N1405" s="665"/>
      <c r="O1405" s="16"/>
      <c r="P1405" s="1037"/>
      <c r="R1405" s="1037"/>
      <c r="AA1405" s="608"/>
    </row>
    <row r="1406" spans="2:27" ht="12.75" customHeight="1" x14ac:dyDescent="0.2">
      <c r="B1406" s="207"/>
      <c r="C1406" s="1060"/>
      <c r="D1406" s="699" t="s">
        <v>4</v>
      </c>
      <c r="E1406" s="1766" t="str">
        <f>Translations!$B$743</f>
        <v>Ilość wprowadzona lub wyprowadzona</v>
      </c>
      <c r="F1406" s="1767"/>
      <c r="G1406" s="1767"/>
      <c r="H1406" s="454" t="str">
        <f>EUconst_tpa</f>
        <v>t / rok</v>
      </c>
      <c r="I1406" s="331"/>
      <c r="J1406" s="331"/>
      <c r="K1406" s="331"/>
      <c r="L1406" s="331"/>
      <c r="M1406" s="331"/>
      <c r="N1406" s="665"/>
      <c r="O1406" s="16"/>
      <c r="P1406" s="1037"/>
      <c r="R1406" s="1037"/>
      <c r="AA1406" s="345" t="b">
        <f>AA1403</f>
        <v>0</v>
      </c>
    </row>
    <row r="1407" spans="2:27" ht="12.75" customHeight="1" x14ac:dyDescent="0.2">
      <c r="B1407" s="207"/>
      <c r="C1407" s="1060"/>
      <c r="D1407" s="699" t="s">
        <v>6</v>
      </c>
      <c r="E1407" s="1771" t="str">
        <f>Translations!$B$744</f>
        <v>Wartość opałowa netto (NCV) (jeśli dotyczy)</v>
      </c>
      <c r="F1407" s="1771"/>
      <c r="G1407" s="1771"/>
      <c r="H1407" s="541" t="str">
        <f>EUconst_GJpt</f>
        <v>GJ / t</v>
      </c>
      <c r="I1407" s="330"/>
      <c r="J1407" s="330"/>
      <c r="K1407" s="330"/>
      <c r="L1407" s="330"/>
      <c r="M1407" s="330"/>
      <c r="N1407" s="665"/>
      <c r="O1407" s="16"/>
      <c r="P1407" s="1037"/>
      <c r="R1407" s="1037"/>
      <c r="AA1407" s="345" t="b">
        <f>AA1406</f>
        <v>0</v>
      </c>
    </row>
    <row r="1408" spans="2:27" ht="12.75" customHeight="1" thickBot="1" x14ac:dyDescent="0.25">
      <c r="B1408" s="207"/>
      <c r="C1408" s="1060"/>
      <c r="D1408" s="699" t="s">
        <v>316</v>
      </c>
      <c r="E1408" s="1771" t="str">
        <f>Translations!$B$745</f>
        <v>Zawartość węgla (% masy)</v>
      </c>
      <c r="F1408" s="1771"/>
      <c r="G1408" s="1771"/>
      <c r="H1408" s="542" t="s">
        <v>355</v>
      </c>
      <c r="I1408" s="330"/>
      <c r="J1408" s="330"/>
      <c r="K1408" s="330"/>
      <c r="L1408" s="330"/>
      <c r="M1408" s="330"/>
      <c r="N1408" s="665"/>
      <c r="O1408" s="16"/>
      <c r="P1408" s="1037"/>
      <c r="R1408" s="1037"/>
      <c r="AA1408" s="345" t="b">
        <f>AA1407</f>
        <v>0</v>
      </c>
    </row>
    <row r="1409" spans="2:27" ht="12.75" customHeight="1" x14ac:dyDescent="0.2">
      <c r="B1409" s="207"/>
      <c r="C1409" s="1060"/>
      <c r="D1409" s="699" t="s">
        <v>317</v>
      </c>
      <c r="E1409" s="1744" t="str">
        <f>Translations!$B$746</f>
        <v>Zawartość biomasy (jako frakcja węgla)</v>
      </c>
      <c r="F1409" s="1744"/>
      <c r="G1409" s="1744"/>
      <c r="H1409" s="473" t="s">
        <v>355</v>
      </c>
      <c r="I1409" s="329"/>
      <c r="J1409" s="329"/>
      <c r="K1409" s="329"/>
      <c r="L1409" s="329"/>
      <c r="M1409" s="329"/>
      <c r="N1409" s="665"/>
      <c r="O1409" s="16"/>
      <c r="P1409" s="1037"/>
      <c r="R1409" s="1052"/>
      <c r="S1409" s="814">
        <f>I1405</f>
        <v>2014</v>
      </c>
      <c r="T1409" s="814">
        <f>J1405</f>
        <v>2015</v>
      </c>
      <c r="U1409" s="814">
        <f>K1405</f>
        <v>2016</v>
      </c>
      <c r="V1409" s="814">
        <f>L1405</f>
        <v>2017</v>
      </c>
      <c r="W1409" s="815">
        <f>M1405</f>
        <v>2018</v>
      </c>
      <c r="AA1409" s="345" t="b">
        <f>AA1408</f>
        <v>0</v>
      </c>
    </row>
    <row r="1410" spans="2:27" ht="12.75" customHeight="1" thickBot="1" x14ac:dyDescent="0.25">
      <c r="B1410" s="207"/>
      <c r="C1410" s="1060"/>
      <c r="D1410" s="699" t="s">
        <v>318</v>
      </c>
      <c r="E1410" s="1767" t="str">
        <f>Translations!$B$747</f>
        <v>Emisje (kopalne, obliczone)</v>
      </c>
      <c r="F1410" s="1767"/>
      <c r="G1410" s="1767"/>
      <c r="H1410" s="543" t="str">
        <f>EUconst_tCO2pa</f>
        <v>t CO2 / rok</v>
      </c>
      <c r="I1410" s="325" t="str">
        <f>IF(AND(COUNT(I1406:I1409)&gt;0,I1413=""),3.664*I1406*(I1408/100)*(1-I1409/100),"")</f>
        <v/>
      </c>
      <c r="J1410" s="325" t="str">
        <f>IF(AND(COUNT(J1406:J1409)&gt;0,J1413=""),3.664*J1406*(J1408/100)*(1-J1409/100),"")</f>
        <v/>
      </c>
      <c r="K1410" s="325" t="str">
        <f>IF(AND(COUNT(K1406:K1409)&gt;0,K1413=""),3.664*K1406*(K1408/100)*(1-K1409/100),"")</f>
        <v/>
      </c>
      <c r="L1410" s="325" t="str">
        <f>IF(AND(COUNT(L1406:L1409)&gt;0,L1413=""),3.664*L1406*(L1408/100)*(1-L1409/100),"")</f>
        <v/>
      </c>
      <c r="M1410" s="325" t="str">
        <f>IF(AND(COUNT(M1406:M1409)&gt;0,M1413=""),3.664*M1406*(M1408/100)*(1-M1409/100),"")</f>
        <v/>
      </c>
      <c r="N1410" s="665"/>
      <c r="O1410" s="16"/>
      <c r="P1410" s="1062" t="str">
        <f>EUconst_CNTR_EmissionsIntSource1 &amp; I1333</f>
        <v>EmInternalSource1_</v>
      </c>
      <c r="R1410" s="1053" t="str">
        <f>EUconst_CNTR_AttributedEmissions &amp; I1333</f>
        <v>AttrEmissions_</v>
      </c>
      <c r="S1410" s="119" t="str">
        <f>IF(S1333,SUM(I1410),"")</f>
        <v/>
      </c>
      <c r="T1410" s="119" t="str">
        <f>IF(T1333,SUM(J1410),"")</f>
        <v/>
      </c>
      <c r="U1410" s="119" t="str">
        <f>IF(U1333,SUM(K1410),"")</f>
        <v/>
      </c>
      <c r="V1410" s="119" t="str">
        <f>IF(V1333,SUM(L1410),"")</f>
        <v/>
      </c>
      <c r="W1410" s="120" t="str">
        <f>IF(W1333,SUM(M1410),"")</f>
        <v/>
      </c>
      <c r="AA1410" s="608"/>
    </row>
    <row r="1411" spans="2:27" ht="12.75" customHeight="1" x14ac:dyDescent="0.2">
      <c r="B1411" s="207"/>
      <c r="C1411" s="1060"/>
      <c r="D1411" s="699" t="s">
        <v>319</v>
      </c>
      <c r="E1411" s="1769" t="str">
        <f>Translations!$B$748</f>
        <v>Nota uzupełniająca: Emisje pochodzące z biomasy</v>
      </c>
      <c r="F1411" s="1769"/>
      <c r="G1411" s="1769"/>
      <c r="H1411" s="544" t="str">
        <f>EUconst_tCO2pa</f>
        <v>t CO2 / rok</v>
      </c>
      <c r="I1411" s="324" t="str">
        <f>IF(ISNUMBER(I1410),3.664*I1406*(I1408/100)*(I1409/100),"")</f>
        <v/>
      </c>
      <c r="J1411" s="324" t="str">
        <f>IF(ISNUMBER(J1410),3.664*J1406*(J1408/100)*(J1409/100),"")</f>
        <v/>
      </c>
      <c r="K1411" s="324" t="str">
        <f>IF(ISNUMBER(K1410),3.664*K1406*(K1408/100)*(K1409/100),"")</f>
        <v/>
      </c>
      <c r="L1411" s="324" t="str">
        <f>IF(ISNUMBER(L1410),3.664*L1406*(L1408/100)*(L1409/100),"")</f>
        <v/>
      </c>
      <c r="M1411" s="324" t="str">
        <f>IF(ISNUMBER(M1410),3.664*M1406*(M1408/100)*(M1409/100),"")</f>
        <v/>
      </c>
      <c r="N1411" s="665"/>
      <c r="O1411" s="16"/>
      <c r="P1411" s="1037"/>
      <c r="R1411" s="1037"/>
      <c r="AA1411" s="608"/>
    </row>
    <row r="1412" spans="2:27" ht="12.75" customHeight="1" x14ac:dyDescent="0.2">
      <c r="B1412" s="207"/>
      <c r="C1412" s="1060"/>
      <c r="D1412" s="699" t="s">
        <v>320</v>
      </c>
      <c r="E1412" s="1744" t="str">
        <f>Translations!$B$749</f>
        <v>Zawartość energii (obliczona)</v>
      </c>
      <c r="F1412" s="1744"/>
      <c r="G1412" s="1744"/>
      <c r="H1412" s="545" t="str">
        <f>EUconst_TJpa</f>
        <v>TJ / rok</v>
      </c>
      <c r="I1412" s="327" t="str">
        <f>IF(COUNT(I1406:I1407)=2,I1406*I1407/1000,"")</f>
        <v/>
      </c>
      <c r="J1412" s="327" t="str">
        <f>IF(COUNT(J1406:J1407)=2,J1406*J1407/1000,"")</f>
        <v/>
      </c>
      <c r="K1412" s="327" t="str">
        <f>IF(COUNT(K1406:K1407)=2,K1406*K1407/1000,"")</f>
        <v/>
      </c>
      <c r="L1412" s="327" t="str">
        <f>IF(COUNT(L1406:L1407)=2,L1406*L1407/1000,"")</f>
        <v/>
      </c>
      <c r="M1412" s="327" t="str">
        <f>IF(COUNT(M1406:M1407)=2,M1406*M1407/1000,"")</f>
        <v/>
      </c>
      <c r="N1412" s="665"/>
      <c r="O1412" s="16"/>
      <c r="P1412" s="1037"/>
      <c r="R1412" s="1037"/>
      <c r="AA1412" s="608"/>
    </row>
    <row r="1413" spans="2:27" ht="12.75" customHeight="1" x14ac:dyDescent="0.2">
      <c r="B1413" s="207"/>
      <c r="C1413" s="1060"/>
      <c r="D1413" s="699" t="s">
        <v>16</v>
      </c>
      <c r="E1413" s="1770" t="str">
        <f>Translations!$B$750</f>
        <v>Komunikaty o błędach (emisje)</v>
      </c>
      <c r="F1413" s="1770"/>
      <c r="G1413" s="1770"/>
      <c r="H1413" s="546"/>
      <c r="I1413" s="666" t="str">
        <f>IF(COUNT(I1406,I1408:I1409)&gt;0,IF(COUNTIF(I1407:I1409,"&lt;0")&gt;0,EUconst_Negative,IF(COUNT(I1406,I1408:I1409)&lt;3,EUconst_Incomplete,"")),"")</f>
        <v/>
      </c>
      <c r="J1413" s="666" t="str">
        <f>IF(COUNT(J1406,J1408:J1409)&gt;0,IF(COUNTIF(J1407:J1409,"&lt;0")&gt;0,EUconst_Negative,IF(COUNT(J1406,J1408:J1409)&lt;3,EUconst_Incomplete,"")),"")</f>
        <v/>
      </c>
      <c r="K1413" s="666" t="str">
        <f>IF(COUNT(K1406,K1408:K1409)&gt;0,IF(COUNTIF(K1407:K1409,"&lt;0")&gt;0,EUconst_Negative,IF(COUNT(K1406,K1408:K1409)&lt;3,EUconst_Incomplete,"")),"")</f>
        <v/>
      </c>
      <c r="L1413" s="666" t="str">
        <f>IF(COUNT(L1406,L1408:L1409)&gt;0,IF(COUNTIF(L1407:L1409,"&lt;0")&gt;0,EUconst_Negative,IF(COUNT(L1406,L1408:L1409)&lt;3,EUconst_Incomplete,"")),"")</f>
        <v/>
      </c>
      <c r="M1413" s="666" t="str">
        <f>IF(COUNT(M1406,M1408:M1409)&gt;0,IF(COUNTIF(M1407:M1409,"&lt;0")&gt;0,EUconst_Negative,IF(COUNT(M1406,M1408:M1409)&lt;3,EUconst_Incomplete,"")),"")</f>
        <v/>
      </c>
      <c r="N1413" s="665"/>
      <c r="O1413" s="16"/>
      <c r="P1413" s="1037"/>
      <c r="R1413" s="1037"/>
      <c r="AA1413" s="608"/>
    </row>
    <row r="1414" spans="2:27" ht="12.75" customHeight="1" x14ac:dyDescent="0.2">
      <c r="B1414" s="207"/>
      <c r="C1414" s="1060"/>
      <c r="D1414" s="699"/>
      <c r="E1414" s="1061"/>
      <c r="F1414" s="1061"/>
      <c r="G1414" s="1061"/>
      <c r="H1414" s="1061"/>
      <c r="I1414" s="1061"/>
      <c r="J1414" s="1061"/>
      <c r="K1414" s="1061"/>
      <c r="L1414" s="1061"/>
      <c r="M1414" s="1063"/>
      <c r="N1414" s="665"/>
      <c r="O1414" s="16"/>
      <c r="P1414" s="1037"/>
      <c r="R1414" s="1037"/>
      <c r="AA1414" s="608"/>
    </row>
    <row r="1415" spans="2:27" ht="12.75" customHeight="1" x14ac:dyDescent="0.2">
      <c r="B1415" s="207"/>
      <c r="C1415" s="1060"/>
      <c r="D1415" s="699" t="s">
        <v>17</v>
      </c>
      <c r="E1415" s="1760" t="str">
        <f>Translations!$B$751</f>
        <v>Nazwa dalszych strumieni materiałów wsadowych – 2:</v>
      </c>
      <c r="F1415" s="1760"/>
      <c r="G1415" s="1760"/>
      <c r="H1415" s="1760"/>
      <c r="I1415" s="1763"/>
      <c r="J1415" s="1764"/>
      <c r="K1415" s="1764"/>
      <c r="L1415" s="1764"/>
      <c r="M1415" s="1765"/>
      <c r="N1415" s="1254"/>
      <c r="O1415" s="16"/>
      <c r="P1415" s="1037"/>
      <c r="R1415" s="1037"/>
      <c r="AA1415" s="345" t="b">
        <f>AA1403</f>
        <v>0</v>
      </c>
    </row>
    <row r="1416" spans="2:27" ht="5.0999999999999996" customHeight="1" x14ac:dyDescent="0.2">
      <c r="B1416" s="207"/>
      <c r="C1416" s="1060"/>
      <c r="D1416" s="1061"/>
      <c r="E1416" s="1256"/>
      <c r="F1416" s="1253"/>
      <c r="G1416" s="1253"/>
      <c r="H1416" s="1253"/>
      <c r="I1416" s="1253"/>
      <c r="J1416" s="1253"/>
      <c r="K1416" s="1253"/>
      <c r="L1416" s="1253"/>
      <c r="M1416" s="1253"/>
      <c r="N1416" s="1254"/>
      <c r="O1416" s="16"/>
      <c r="P1416" s="1037"/>
      <c r="R1416" s="1037"/>
      <c r="AA1416" s="608"/>
    </row>
    <row r="1417" spans="2:27" ht="12.75" customHeight="1" x14ac:dyDescent="0.2">
      <c r="B1417" s="207"/>
      <c r="C1417" s="1060"/>
      <c r="D1417" s="699"/>
      <c r="E1417" s="1757" t="str">
        <f>Translations!$B$752</f>
        <v>Dalsze strumienie materiałów wsadowych – 2:</v>
      </c>
      <c r="F1417" s="1758"/>
      <c r="G1417" s="1758"/>
      <c r="H1417" s="450" t="str">
        <f>EUconst_Unit</f>
        <v>Jednostka</v>
      </c>
      <c r="I1417" s="451">
        <f>I$1882</f>
        <v>2014</v>
      </c>
      <c r="J1417" s="451">
        <f>J$1882</f>
        <v>2015</v>
      </c>
      <c r="K1417" s="451">
        <f>K$1882</f>
        <v>2016</v>
      </c>
      <c r="L1417" s="451">
        <f>L$1882</f>
        <v>2017</v>
      </c>
      <c r="M1417" s="451">
        <f>M$1882</f>
        <v>2018</v>
      </c>
      <c r="N1417" s="665"/>
      <c r="O1417" s="16"/>
      <c r="P1417" s="1037"/>
      <c r="R1417" s="1037"/>
      <c r="AA1417" s="608"/>
    </row>
    <row r="1418" spans="2:27" ht="12.75" customHeight="1" x14ac:dyDescent="0.2">
      <c r="B1418" s="207"/>
      <c r="C1418" s="1060"/>
      <c r="D1418" s="699" t="s">
        <v>18</v>
      </c>
      <c r="E1418" s="1766" t="str">
        <f>Translations!$B$743</f>
        <v>Ilość wprowadzona lub wyprowadzona</v>
      </c>
      <c r="F1418" s="1767"/>
      <c r="G1418" s="1767"/>
      <c r="H1418" s="454" t="str">
        <f>EUconst_tpa</f>
        <v>t / rok</v>
      </c>
      <c r="I1418" s="331"/>
      <c r="J1418" s="331"/>
      <c r="K1418" s="331"/>
      <c r="L1418" s="331"/>
      <c r="M1418" s="331"/>
      <c r="N1418" s="665"/>
      <c r="O1418" s="16"/>
      <c r="P1418" s="1037"/>
      <c r="R1418" s="1037"/>
      <c r="AA1418" s="345" t="b">
        <f>AA1415</f>
        <v>0</v>
      </c>
    </row>
    <row r="1419" spans="2:27" ht="12.75" customHeight="1" x14ac:dyDescent="0.2">
      <c r="B1419" s="207"/>
      <c r="C1419" s="1060"/>
      <c r="D1419" s="699" t="s">
        <v>454</v>
      </c>
      <c r="E1419" s="1771" t="str">
        <f>Translations!$B$744</f>
        <v>Wartość opałowa netto (NCV) (jeśli dotyczy)</v>
      </c>
      <c r="F1419" s="1771"/>
      <c r="G1419" s="1771"/>
      <c r="H1419" s="541" t="str">
        <f>EUconst_GJpt</f>
        <v>GJ / t</v>
      </c>
      <c r="I1419" s="330"/>
      <c r="J1419" s="330"/>
      <c r="K1419" s="330"/>
      <c r="L1419" s="330"/>
      <c r="M1419" s="330"/>
      <c r="N1419" s="665"/>
      <c r="O1419" s="16"/>
      <c r="P1419" s="1037"/>
      <c r="R1419" s="1037"/>
      <c r="AA1419" s="345" t="b">
        <f>AA1418</f>
        <v>0</v>
      </c>
    </row>
    <row r="1420" spans="2:27" ht="12.75" customHeight="1" thickBot="1" x14ac:dyDescent="0.25">
      <c r="B1420" s="207"/>
      <c r="C1420" s="1060"/>
      <c r="D1420" s="699" t="s">
        <v>455</v>
      </c>
      <c r="E1420" s="1771" t="str">
        <f>Translations!$B$745</f>
        <v>Zawartość węgla (% masy)</v>
      </c>
      <c r="F1420" s="1771"/>
      <c r="G1420" s="1771"/>
      <c r="H1420" s="542" t="s">
        <v>355</v>
      </c>
      <c r="I1420" s="330"/>
      <c r="J1420" s="330"/>
      <c r="K1420" s="330"/>
      <c r="L1420" s="330"/>
      <c r="M1420" s="330"/>
      <c r="N1420" s="665"/>
      <c r="O1420" s="16"/>
      <c r="P1420" s="1037"/>
      <c r="R1420" s="1037"/>
      <c r="AA1420" s="345" t="b">
        <f>AA1419</f>
        <v>0</v>
      </c>
    </row>
    <row r="1421" spans="2:27" ht="12.75" customHeight="1" thickBot="1" x14ac:dyDescent="0.25">
      <c r="B1421" s="207"/>
      <c r="C1421" s="1060"/>
      <c r="D1421" s="699" t="s">
        <v>456</v>
      </c>
      <c r="E1421" s="1744" t="str">
        <f>Translations!$B$746</f>
        <v>Zawartość biomasy (jako frakcja węgla)</v>
      </c>
      <c r="F1421" s="1744"/>
      <c r="G1421" s="1744"/>
      <c r="H1421" s="473" t="s">
        <v>355</v>
      </c>
      <c r="I1421" s="329"/>
      <c r="J1421" s="329"/>
      <c r="K1421" s="329"/>
      <c r="L1421" s="329"/>
      <c r="M1421" s="329"/>
      <c r="N1421" s="665"/>
      <c r="O1421" s="16"/>
      <c r="P1421" s="1037"/>
      <c r="R1421" s="1052"/>
      <c r="S1421" s="814">
        <f>I1417</f>
        <v>2014</v>
      </c>
      <c r="T1421" s="814">
        <f>J1417</f>
        <v>2015</v>
      </c>
      <c r="U1421" s="814">
        <f>K1417</f>
        <v>2016</v>
      </c>
      <c r="V1421" s="814">
        <f>L1417</f>
        <v>2017</v>
      </c>
      <c r="W1421" s="815">
        <f>M1417</f>
        <v>2018</v>
      </c>
      <c r="AA1421" s="168" t="b">
        <f>AA1420</f>
        <v>0</v>
      </c>
    </row>
    <row r="1422" spans="2:27" ht="12.75" customHeight="1" thickBot="1" x14ac:dyDescent="0.25">
      <c r="B1422" s="207"/>
      <c r="C1422" s="1060"/>
      <c r="D1422" s="699" t="s">
        <v>457</v>
      </c>
      <c r="E1422" s="1767" t="str">
        <f>Translations!$B$747</f>
        <v>Emisje (kopalne, obliczone)</v>
      </c>
      <c r="F1422" s="1767"/>
      <c r="G1422" s="1767"/>
      <c r="H1422" s="543" t="str">
        <f>EUconst_tCO2pa</f>
        <v>t CO2 / rok</v>
      </c>
      <c r="I1422" s="325" t="str">
        <f>IF(AND(COUNT(I1418:I1421)&gt;0,I1425=""),3.664*I1418*(I1420/100)*(1-I1421/100),"")</f>
        <v/>
      </c>
      <c r="J1422" s="325" t="str">
        <f>IF(AND(COUNT(J1418:J1421)&gt;0,J1425=""),3.664*J1418*(J1420/100)*(1-J1421/100),"")</f>
        <v/>
      </c>
      <c r="K1422" s="325" t="str">
        <f>IF(AND(COUNT(K1418:K1421)&gt;0,K1425=""),3.664*K1418*(K1420/100)*(1-K1421/100),"")</f>
        <v/>
      </c>
      <c r="L1422" s="325" t="str">
        <f>IF(AND(COUNT(L1418:L1421)&gt;0,L1425=""),3.664*L1418*(L1420/100)*(1-L1421/100),"")</f>
        <v/>
      </c>
      <c r="M1422" s="325" t="str">
        <f>IF(AND(COUNT(M1418:M1421)&gt;0,M1425=""),3.664*M1418*(M1420/100)*(1-M1421/100),"")</f>
        <v/>
      </c>
      <c r="N1422" s="665"/>
      <c r="O1422" s="16"/>
      <c r="P1422" s="1062" t="str">
        <f>EUconst_CNTR_EmissionsIntSource2 &amp; I1333</f>
        <v>EmInternalSource2_</v>
      </c>
      <c r="R1422" s="1053" t="str">
        <f>EUconst_CNTR_AttributedEmissions &amp; I1333</f>
        <v>AttrEmissions_</v>
      </c>
      <c r="S1422" s="119" t="str">
        <f>IF(S1333,SUM(I1422),"")</f>
        <v/>
      </c>
      <c r="T1422" s="119" t="str">
        <f>IF(T1333,SUM(J1422),"")</f>
        <v/>
      </c>
      <c r="U1422" s="119" t="str">
        <f>IF(U1333,SUM(K1422),"")</f>
        <v/>
      </c>
      <c r="V1422" s="119" t="str">
        <f>IF(V1333,SUM(L1422),"")</f>
        <v/>
      </c>
      <c r="W1422" s="120" t="str">
        <f>IF(W1333,SUM(M1422),"")</f>
        <v/>
      </c>
    </row>
    <row r="1423" spans="2:27" ht="12.75" customHeight="1" x14ac:dyDescent="0.2">
      <c r="B1423" s="207"/>
      <c r="C1423" s="1060"/>
      <c r="D1423" s="699" t="s">
        <v>458</v>
      </c>
      <c r="E1423" s="1769" t="str">
        <f>Translations!$B$748</f>
        <v>Nota uzupełniająca: Emisje pochodzące z biomasy</v>
      </c>
      <c r="F1423" s="1769"/>
      <c r="G1423" s="1769"/>
      <c r="H1423" s="544" t="str">
        <f>EUconst_tCO2pa</f>
        <v>t CO2 / rok</v>
      </c>
      <c r="I1423" s="324" t="str">
        <f>IF(ISNUMBER(I1422),3.664*I1418*(I1420/100)*(I1421/100),"")</f>
        <v/>
      </c>
      <c r="J1423" s="324" t="str">
        <f>IF(ISNUMBER(J1422),3.664*J1418*(J1420/100)*(J1421/100),"")</f>
        <v/>
      </c>
      <c r="K1423" s="324" t="str">
        <f>IF(ISNUMBER(K1422),3.664*K1418*(K1420/100)*(K1421/100),"")</f>
        <v/>
      </c>
      <c r="L1423" s="324" t="str">
        <f>IF(ISNUMBER(L1422),3.664*L1418*(L1420/100)*(L1421/100),"")</f>
        <v/>
      </c>
      <c r="M1423" s="324" t="str">
        <f>IF(ISNUMBER(M1422),3.664*M1418*(M1420/100)*(M1421/100),"")</f>
        <v/>
      </c>
      <c r="N1423" s="665"/>
      <c r="O1423" s="16"/>
      <c r="P1423" s="1037"/>
      <c r="R1423" s="1037"/>
    </row>
    <row r="1424" spans="2:27" ht="12.75" customHeight="1" x14ac:dyDescent="0.2">
      <c r="B1424" s="207"/>
      <c r="C1424" s="1060"/>
      <c r="D1424" s="699" t="s">
        <v>459</v>
      </c>
      <c r="E1424" s="1744" t="str">
        <f>Translations!$B$749</f>
        <v>Zawartość energii (obliczona)</v>
      </c>
      <c r="F1424" s="1744"/>
      <c r="G1424" s="1744"/>
      <c r="H1424" s="545" t="str">
        <f>EUconst_TJpa</f>
        <v>TJ / rok</v>
      </c>
      <c r="I1424" s="327" t="str">
        <f>IF(COUNT(I1418:I1419)=2,I1418*I1419/1000,"")</f>
        <v/>
      </c>
      <c r="J1424" s="327" t="str">
        <f>IF(COUNT(J1418:J1419)=2,J1418*J1419/1000,"")</f>
        <v/>
      </c>
      <c r="K1424" s="327" t="str">
        <f>IF(COUNT(K1418:K1419)=2,K1418*K1419/1000,"")</f>
        <v/>
      </c>
      <c r="L1424" s="327" t="str">
        <f>IF(COUNT(L1418:L1419)=2,L1418*L1419/1000,"")</f>
        <v/>
      </c>
      <c r="M1424" s="327" t="str">
        <f>IF(COUNT(M1418:M1419)=2,M1418*M1419/1000,"")</f>
        <v/>
      </c>
      <c r="N1424" s="665"/>
      <c r="O1424" s="16"/>
      <c r="P1424" s="1037"/>
      <c r="R1424" s="1037"/>
    </row>
    <row r="1425" spans="2:24" ht="12.75" customHeight="1" x14ac:dyDescent="0.2">
      <c r="B1425" s="207"/>
      <c r="C1425" s="1060"/>
      <c r="D1425" s="699" t="s">
        <v>455</v>
      </c>
      <c r="E1425" s="1770" t="str">
        <f>Translations!$B$750</f>
        <v>Komunikaty o błędach (emisje)</v>
      </c>
      <c r="F1425" s="1770"/>
      <c r="G1425" s="1770"/>
      <c r="H1425" s="546"/>
      <c r="I1425" s="666" t="str">
        <f>IF(COUNT(I1418,I1420:I1421)&gt;0,IF(COUNTIF(I1419:I1421,"&lt;0")&gt;0,EUconst_Negative,IF(COUNT(I1418,I1420:I1421)&lt;3,EUconst_Incomplete,"")),"")</f>
        <v/>
      </c>
      <c r="J1425" s="666" t="str">
        <f>IF(COUNT(J1418,J1420:J1421)&gt;0,IF(COUNTIF(J1419:J1421,"&lt;0")&gt;0,EUconst_Negative,IF(COUNT(J1418,J1420:J1421)&lt;3,EUconst_Incomplete,"")),"")</f>
        <v/>
      </c>
      <c r="K1425" s="666" t="str">
        <f>IF(COUNT(K1418,K1420:K1421)&gt;0,IF(COUNTIF(K1419:K1421,"&lt;0")&gt;0,EUconst_Negative,IF(COUNT(K1418,K1420:K1421)&lt;3,EUconst_Incomplete,"")),"")</f>
        <v/>
      </c>
      <c r="L1425" s="666" t="str">
        <f>IF(COUNT(L1418,L1420:L1421)&gt;0,IF(COUNTIF(L1419:L1421,"&lt;0")&gt;0,EUconst_Negative,IF(COUNT(L1418,L1420:L1421)&lt;3,EUconst_Incomplete,"")),"")</f>
        <v/>
      </c>
      <c r="M1425" s="666" t="str">
        <f>IF(COUNT(M1418,M1420:M1421)&gt;0,IF(COUNTIF(M1419:M1421,"&lt;0")&gt;0,EUconst_Negative,IF(COUNT(M1418,M1420:M1421)&lt;3,EUconst_Incomplete,"")),"")</f>
        <v/>
      </c>
      <c r="N1425" s="665"/>
      <c r="O1425" s="16"/>
      <c r="P1425" s="1037"/>
      <c r="R1425" s="1037"/>
    </row>
    <row r="1426" spans="2:24" ht="12.75" customHeight="1" x14ac:dyDescent="0.2">
      <c r="B1426" s="207"/>
      <c r="C1426" s="1060"/>
      <c r="D1426" s="1061"/>
      <c r="E1426" s="1061"/>
      <c r="F1426" s="1061"/>
      <c r="G1426" s="1061"/>
      <c r="H1426" s="1061"/>
      <c r="I1426" s="1061"/>
      <c r="J1426" s="1061"/>
      <c r="K1426" s="1061"/>
      <c r="L1426" s="1061"/>
      <c r="M1426" s="1063"/>
      <c r="N1426" s="665"/>
      <c r="O1426" s="16"/>
      <c r="P1426" s="1037"/>
      <c r="R1426" s="1037"/>
    </row>
    <row r="1427" spans="2:24" ht="12.75" customHeight="1" thickBot="1" x14ac:dyDescent="0.25">
      <c r="B1427" s="207"/>
      <c r="C1427" s="1060"/>
      <c r="D1427" s="462" t="s">
        <v>218</v>
      </c>
      <c r="E1427" s="1731" t="str">
        <f>Translations!$B$753</f>
        <v>Ilość gazów cieplarnianych wprowadzonych lub wyprowadzonych w charakterze materiałów wsadowych</v>
      </c>
      <c r="F1427" s="1734"/>
      <c r="G1427" s="1734"/>
      <c r="H1427" s="1734"/>
      <c r="I1427" s="1734"/>
      <c r="J1427" s="1734"/>
      <c r="K1427" s="1734"/>
      <c r="L1427" s="1734"/>
      <c r="M1427" s="1734"/>
      <c r="N1427" s="1735"/>
      <c r="O1427" s="16"/>
      <c r="P1427" s="1037"/>
      <c r="R1427" s="1037"/>
    </row>
    <row r="1428" spans="2:24" ht="12.75" customHeight="1" x14ac:dyDescent="0.2">
      <c r="B1428" s="207"/>
      <c r="C1428" s="1060"/>
      <c r="D1428" s="462"/>
      <c r="E1428" s="1757"/>
      <c r="F1428" s="1758"/>
      <c r="G1428" s="1758"/>
      <c r="H1428" s="450" t="str">
        <f>EUconst_Unit</f>
        <v>Jednostka</v>
      </c>
      <c r="I1428" s="451">
        <f>I$1882</f>
        <v>2014</v>
      </c>
      <c r="J1428" s="451">
        <f>J$1882</f>
        <v>2015</v>
      </c>
      <c r="K1428" s="451">
        <f>K$1882</f>
        <v>2016</v>
      </c>
      <c r="L1428" s="451">
        <f>L$1882</f>
        <v>2017</v>
      </c>
      <c r="M1428" s="451">
        <f>M$1882</f>
        <v>2018</v>
      </c>
      <c r="N1428" s="665"/>
      <c r="O1428" s="16"/>
      <c r="P1428" s="1037"/>
      <c r="R1428" s="1052"/>
      <c r="S1428" s="814">
        <f>I1428</f>
        <v>2014</v>
      </c>
      <c r="T1428" s="814">
        <f>J1428</f>
        <v>2015</v>
      </c>
      <c r="U1428" s="814">
        <f>K1428</f>
        <v>2016</v>
      </c>
      <c r="V1428" s="814">
        <f>L1428</f>
        <v>2017</v>
      </c>
      <c r="W1428" s="815">
        <f>M1428</f>
        <v>2018</v>
      </c>
    </row>
    <row r="1429" spans="2:24" ht="12.75" customHeight="1" thickBot="1" x14ac:dyDescent="0.25">
      <c r="B1429" s="207"/>
      <c r="C1429" s="1060"/>
      <c r="D1429" s="699"/>
      <c r="E1429" s="1739" t="str">
        <f>Translations!$B$756</f>
        <v>Wprowadzone lub wyprowadzone gazy cieplarniane</v>
      </c>
      <c r="F1429" s="1740"/>
      <c r="G1429" s="1740"/>
      <c r="H1429" s="453" t="str">
        <f>EUconst_tCO2epa</f>
        <v>t CO2e/rok</v>
      </c>
      <c r="I1429" s="471"/>
      <c r="J1429" s="471"/>
      <c r="K1429" s="471"/>
      <c r="L1429" s="471"/>
      <c r="M1429" s="471"/>
      <c r="N1429" s="1257"/>
      <c r="O1429" s="16"/>
      <c r="P1429" s="1062" t="str">
        <f>EUconst_CNTR_CO2Feedstock &amp; I1333</f>
        <v>EmCO2Feedstock_</v>
      </c>
      <c r="R1429" s="1053" t="str">
        <f>EUconst_CNTR_AttributedEmissions &amp; I1333</f>
        <v>AttrEmissions_</v>
      </c>
      <c r="S1429" s="119" t="str">
        <f>IF(S1333,SUM(I1429),"")</f>
        <v/>
      </c>
      <c r="T1429" s="119" t="str">
        <f>IF(T1333,SUM(J1429),"")</f>
        <v/>
      </c>
      <c r="U1429" s="119" t="str">
        <f>IF(U1333,SUM(K1429),"")</f>
        <v/>
      </c>
      <c r="V1429" s="119" t="str">
        <f>IF(V1333,SUM(L1429),"")</f>
        <v/>
      </c>
      <c r="W1429" s="120" t="str">
        <f>IF(W1333,SUM(M1429),"")</f>
        <v/>
      </c>
    </row>
    <row r="1430" spans="2:24" ht="12.75" customHeight="1" x14ac:dyDescent="0.2">
      <c r="B1430" s="207"/>
      <c r="C1430" s="1060"/>
      <c r="D1430" s="1061"/>
      <c r="E1430" s="1061"/>
      <c r="F1430" s="1061"/>
      <c r="G1430" s="1061"/>
      <c r="H1430" s="1061"/>
      <c r="I1430" s="1061"/>
      <c r="J1430" s="1061"/>
      <c r="K1430" s="1061"/>
      <c r="L1430" s="1061"/>
      <c r="M1430" s="1063"/>
      <c r="N1430" s="665"/>
      <c r="O1430" s="16"/>
      <c r="P1430" s="1037"/>
      <c r="R1430" s="1037"/>
    </row>
    <row r="1431" spans="2:24" ht="12.75" customHeight="1" x14ac:dyDescent="0.2">
      <c r="B1431" s="207"/>
      <c r="C1431" s="1060"/>
      <c r="D1431" s="462" t="s">
        <v>219</v>
      </c>
      <c r="E1431" s="1731" t="str">
        <f>Translations!$B$757</f>
        <v>Mierzalne ciepło wprowadzone do tej podinstalacji i z niej wyprowadzone</v>
      </c>
      <c r="F1431" s="1734"/>
      <c r="G1431" s="1734"/>
      <c r="H1431" s="1734"/>
      <c r="I1431" s="1734"/>
      <c r="J1431" s="1734"/>
      <c r="K1431" s="1734"/>
      <c r="L1431" s="1734"/>
      <c r="M1431" s="1734"/>
      <c r="N1431" s="1735"/>
      <c r="O1431" s="16"/>
      <c r="P1431" s="1037"/>
      <c r="R1431" s="1037"/>
    </row>
    <row r="1432" spans="2:24" ht="12.75" customHeight="1" thickBot="1" x14ac:dyDescent="0.25">
      <c r="B1432" s="207"/>
      <c r="C1432" s="1060"/>
      <c r="D1432" s="1061"/>
      <c r="E1432" s="1674" t="str">
        <f>Translations!$B$762</f>
        <v>W celu przypisania emisji z kogeneracji (CHP) do wytwarzania ciepła należy zastosować „narzędzie dotyczące CHP” w części D.III. niniejszego formularza.</v>
      </c>
      <c r="F1432" s="1674"/>
      <c r="G1432" s="1674"/>
      <c r="H1432" s="1674"/>
      <c r="I1432" s="1674"/>
      <c r="J1432" s="1674"/>
      <c r="K1432" s="1674"/>
      <c r="L1432" s="1674"/>
      <c r="M1432" s="1674"/>
      <c r="N1432" s="1257"/>
      <c r="O1432" s="16"/>
      <c r="P1432" s="1037"/>
    </row>
    <row r="1433" spans="2:24" ht="12.75" customHeight="1" x14ac:dyDescent="0.2">
      <c r="B1433" s="207"/>
      <c r="C1433" s="1060"/>
      <c r="D1433" s="1061"/>
      <c r="E1433" s="1757" t="str">
        <f>Translations!$B$763</f>
        <v>Całkowite ciepło wprowadzone</v>
      </c>
      <c r="F1433" s="1758"/>
      <c r="G1433" s="1758"/>
      <c r="H1433" s="450" t="str">
        <f>EUconst_Unit</f>
        <v>Jednostka</v>
      </c>
      <c r="I1433" s="451">
        <f>I$1882</f>
        <v>2014</v>
      </c>
      <c r="J1433" s="451">
        <f>J$1882</f>
        <v>2015</v>
      </c>
      <c r="K1433" s="451">
        <f>K$1882</f>
        <v>2016</v>
      </c>
      <c r="L1433" s="451">
        <f>L$1882</f>
        <v>2017</v>
      </c>
      <c r="M1433" s="451">
        <f>M$1882</f>
        <v>2018</v>
      </c>
      <c r="N1433" s="1257"/>
      <c r="O1433" s="16"/>
      <c r="P1433" s="1037"/>
      <c r="R1433" s="1052"/>
      <c r="S1433" s="814">
        <f>I1433</f>
        <v>2014</v>
      </c>
      <c r="T1433" s="814">
        <f>J1433</f>
        <v>2015</v>
      </c>
      <c r="U1433" s="814">
        <f>K1433</f>
        <v>2016</v>
      </c>
      <c r="V1433" s="814">
        <f>L1433</f>
        <v>2017</v>
      </c>
      <c r="W1433" s="815">
        <f>M1433</f>
        <v>2018</v>
      </c>
    </row>
    <row r="1434" spans="2:24" ht="12.75" customHeight="1" x14ac:dyDescent="0.2">
      <c r="B1434" s="207"/>
      <c r="C1434" s="1060"/>
      <c r="D1434" s="699" t="s">
        <v>2</v>
      </c>
      <c r="E1434" s="1739" t="str">
        <f>Translations!$B$764</f>
        <v>Ciepło wprowadzone netto</v>
      </c>
      <c r="F1434" s="1740"/>
      <c r="G1434" s="1740"/>
      <c r="H1434" s="453" t="str">
        <f>EUconst_TJpa</f>
        <v>TJ / rok</v>
      </c>
      <c r="I1434" s="471"/>
      <c r="J1434" s="471"/>
      <c r="K1434" s="471"/>
      <c r="L1434" s="471"/>
      <c r="M1434" s="471"/>
      <c r="N1434" s="702"/>
      <c r="O1434" s="16"/>
      <c r="P1434" s="1062" t="str">
        <f>EUconst_CNTR_HeatImport &amp; I1333</f>
        <v>HeatIm_</v>
      </c>
      <c r="R1434" s="1064" t="str">
        <f>EUconst_ERR_AttrEmBMapplied &amp; I1333</f>
        <v>ERR_AttrEmBM_ </v>
      </c>
      <c r="S1434" s="116">
        <f>IF(AND(I1434&lt;&gt;0,I1435="",EUconst_StatusOfDataCollection=FALSE),1,0)</f>
        <v>0</v>
      </c>
      <c r="T1434" s="116">
        <f>IF(AND(J1434&lt;&gt;0,J1435="",EUconst_StatusOfDataCollection=FALSE),1,0)</f>
        <v>0</v>
      </c>
      <c r="U1434" s="116">
        <f>IF(AND(K1434&lt;&gt;0,K1435="",EUconst_StatusOfDataCollection=FALSE),1,0)</f>
        <v>0</v>
      </c>
      <c r="V1434" s="116">
        <f>IF(AND(L1434&lt;&gt;0,L1435="",EUconst_StatusOfDataCollection=FALSE),1,0)</f>
        <v>0</v>
      </c>
      <c r="W1434" s="117">
        <f>IF(AND(M1434&lt;&gt;0,M1435="",EUconst_StatusOfDataCollection=FALSE),1,0)</f>
        <v>0</v>
      </c>
      <c r="X1434" s="45"/>
    </row>
    <row r="1435" spans="2:24" ht="12.75" customHeight="1" thickBot="1" x14ac:dyDescent="0.25">
      <c r="B1435" s="207"/>
      <c r="C1435" s="1060"/>
      <c r="D1435" s="699" t="s">
        <v>3</v>
      </c>
      <c r="E1435" s="1739" t="str">
        <f>Translations!$B$765</f>
        <v>Właściwy współczynnik emisji (ciepło wprowadzone)</v>
      </c>
      <c r="F1435" s="1740"/>
      <c r="G1435" s="1740"/>
      <c r="H1435" s="453" t="str">
        <f>EUconst_tCO2pTJ</f>
        <v>t CO2 / TJ</v>
      </c>
      <c r="I1435" s="764"/>
      <c r="J1435" s="764"/>
      <c r="K1435" s="764"/>
      <c r="L1435" s="764"/>
      <c r="M1435" s="764"/>
      <c r="N1435" s="665"/>
      <c r="O1435" s="16"/>
      <c r="P1435" s="1062" t="str">
        <f>EUconst_CNTR_HeatImportEF &amp; I1333</f>
        <v>HeatImEF_</v>
      </c>
      <c r="R1435" s="1053" t="str">
        <f>EUconst_CNTR_AttributedEmissions &amp; I1333</f>
        <v>AttrEmissions_</v>
      </c>
      <c r="S1435" s="119" t="str">
        <f>IF(S1333,SUM(I1434)*IF(ISNUMBER(I1435),I1435,EUconst_HeatBMvalue),"")</f>
        <v/>
      </c>
      <c r="T1435" s="119" t="str">
        <f>IF(T1333,SUM(J1434)*IF(ISNUMBER(J1435),J1435,EUconst_HeatBMvalue),"")</f>
        <v/>
      </c>
      <c r="U1435" s="119" t="str">
        <f>IF(U1333,SUM(K1434)*IF(ISNUMBER(K1435),K1435,EUconst_HeatBMvalue),"")</f>
        <v/>
      </c>
      <c r="V1435" s="119" t="str">
        <f>IF(V1333,SUM(L1434)*IF(ISNUMBER(L1435),L1435,EUconst_HeatBMvalue),"")</f>
        <v/>
      </c>
      <c r="W1435" s="120" t="str">
        <f>IF(W1333,SUM(M1434)*IF(ISNUMBER(M1435),M1435,EUconst_HeatBMvalue),"")</f>
        <v/>
      </c>
    </row>
    <row r="1436" spans="2:24" ht="5.0999999999999996" customHeight="1" x14ac:dyDescent="0.2">
      <c r="B1436" s="207"/>
      <c r="C1436" s="1060"/>
      <c r="D1436" s="1061"/>
      <c r="E1436" s="1061"/>
      <c r="F1436" s="1061"/>
      <c r="G1436" s="1061"/>
      <c r="H1436" s="1061"/>
      <c r="I1436" s="1061"/>
      <c r="J1436" s="1061"/>
      <c r="K1436" s="1061"/>
      <c r="L1436" s="1061"/>
      <c r="M1436" s="1063"/>
      <c r="N1436" s="665"/>
      <c r="O1436" s="16"/>
      <c r="P1436" s="1037"/>
      <c r="R1436" s="1037"/>
      <c r="S1436" s="1037"/>
    </row>
    <row r="1437" spans="2:24" ht="12.75" customHeight="1" x14ac:dyDescent="0.2">
      <c r="B1437" s="207"/>
      <c r="C1437" s="1060"/>
      <c r="D1437" s="1061"/>
      <c r="E1437" s="1757" t="str">
        <f>Translations!$B$766</f>
        <v>Szczególne wprowadzenie ciepła</v>
      </c>
      <c r="F1437" s="1757"/>
      <c r="G1437" s="1757"/>
      <c r="H1437" s="450" t="str">
        <f>EUconst_Unit</f>
        <v>Jednostka</v>
      </c>
      <c r="I1437" s="451">
        <f>I$1882</f>
        <v>2014</v>
      </c>
      <c r="J1437" s="451">
        <f>J$1882</f>
        <v>2015</v>
      </c>
      <c r="K1437" s="451">
        <f>K$1882</f>
        <v>2016</v>
      </c>
      <c r="L1437" s="451">
        <f>L$1882</f>
        <v>2017</v>
      </c>
      <c r="M1437" s="451">
        <f>M$1882</f>
        <v>2018</v>
      </c>
      <c r="N1437" s="1257"/>
      <c r="O1437" s="16"/>
      <c r="P1437" s="1037"/>
      <c r="R1437" s="1037"/>
      <c r="S1437" s="1037"/>
    </row>
    <row r="1438" spans="2:24" ht="12.75" customHeight="1" x14ac:dyDescent="0.2">
      <c r="B1438" s="207"/>
      <c r="C1438" s="1060"/>
      <c r="D1438" s="699" t="s">
        <v>4</v>
      </c>
      <c r="E1438" s="1739" t="str">
        <f>Translations!$B$820</f>
        <v>Ciepło wprowadzone netto z masy celulozowej</v>
      </c>
      <c r="F1438" s="1740"/>
      <c r="G1438" s="1740"/>
      <c r="H1438" s="453" t="str">
        <f>EUconst_TJpa</f>
        <v>TJ / rok</v>
      </c>
      <c r="I1438" s="540"/>
      <c r="J1438" s="540"/>
      <c r="K1438" s="540"/>
      <c r="L1438" s="540"/>
      <c r="M1438" s="540"/>
      <c r="N1438" s="702"/>
      <c r="O1438" s="16"/>
      <c r="P1438" s="1062" t="str">
        <f>EUconst_CNTR_HeatImportPulp &amp; I1333</f>
        <v>HeatImPulp_</v>
      </c>
      <c r="R1438" s="1037"/>
      <c r="S1438" s="1037"/>
    </row>
    <row r="1439" spans="2:24" ht="12.75" customHeight="1" x14ac:dyDescent="0.2">
      <c r="B1439" s="207"/>
      <c r="C1439" s="1060"/>
      <c r="D1439" s="699" t="s">
        <v>6</v>
      </c>
      <c r="E1439" s="1739" t="str">
        <f>Translations!$B$768</f>
        <v>Ciepło wprowadzone netto z podinstalacji wytwarzającej kwas azotowy</v>
      </c>
      <c r="F1439" s="1740"/>
      <c r="G1439" s="1740"/>
      <c r="H1439" s="453" t="str">
        <f>EUconst_TJpa</f>
        <v>TJ / rok</v>
      </c>
      <c r="I1439" s="471"/>
      <c r="J1439" s="471"/>
      <c r="K1439" s="471"/>
      <c r="L1439" s="471"/>
      <c r="M1439" s="471"/>
      <c r="N1439" s="702"/>
      <c r="O1439" s="16"/>
      <c r="P1439" s="1062" t="str">
        <f>EUconst_CNTR_HeatImportNitric &amp; I1333</f>
        <v>HeatImNitric_</v>
      </c>
      <c r="R1439" s="1037"/>
      <c r="S1439" s="1037"/>
    </row>
    <row r="1440" spans="2:24" ht="5.0999999999999996" customHeight="1" thickBot="1" x14ac:dyDescent="0.25">
      <c r="B1440" s="207"/>
      <c r="C1440" s="1060"/>
      <c r="D1440" s="1061"/>
      <c r="E1440" s="1061"/>
      <c r="F1440" s="1061"/>
      <c r="G1440" s="1061"/>
      <c r="H1440" s="1061"/>
      <c r="I1440" s="1061"/>
      <c r="J1440" s="1061"/>
      <c r="K1440" s="1061"/>
      <c r="L1440" s="1061"/>
      <c r="M1440" s="1063"/>
      <c r="N1440" s="665"/>
      <c r="O1440" s="16"/>
      <c r="P1440" s="1037"/>
      <c r="R1440" s="1037"/>
      <c r="S1440" s="1037"/>
    </row>
    <row r="1441" spans="2:27" ht="12.75" customHeight="1" x14ac:dyDescent="0.2">
      <c r="B1441" s="207"/>
      <c r="C1441" s="1060"/>
      <c r="D1441" s="1061"/>
      <c r="E1441" s="1757" t="str">
        <f>Translations!$B$769</f>
        <v>Całkowite ciepło wyprowadzone</v>
      </c>
      <c r="F1441" s="1757"/>
      <c r="G1441" s="1757"/>
      <c r="H1441" s="450" t="str">
        <f>EUconst_Unit</f>
        <v>Jednostka</v>
      </c>
      <c r="I1441" s="451">
        <f>I$1882</f>
        <v>2014</v>
      </c>
      <c r="J1441" s="451">
        <f>J$1882</f>
        <v>2015</v>
      </c>
      <c r="K1441" s="451">
        <f>K$1882</f>
        <v>2016</v>
      </c>
      <c r="L1441" s="451">
        <f>L$1882</f>
        <v>2017</v>
      </c>
      <c r="M1441" s="451">
        <f>M$1882</f>
        <v>2018</v>
      </c>
      <c r="N1441" s="1257"/>
      <c r="O1441" s="16"/>
      <c r="P1441" s="1037"/>
      <c r="R1441" s="1052"/>
      <c r="S1441" s="814">
        <f>I1441</f>
        <v>2014</v>
      </c>
      <c r="T1441" s="814">
        <f>J1441</f>
        <v>2015</v>
      </c>
      <c r="U1441" s="814">
        <f>K1441</f>
        <v>2016</v>
      </c>
      <c r="V1441" s="814">
        <f>L1441</f>
        <v>2017</v>
      </c>
      <c r="W1441" s="815">
        <f>M1441</f>
        <v>2018</v>
      </c>
    </row>
    <row r="1442" spans="2:27" ht="12.75" customHeight="1" x14ac:dyDescent="0.2">
      <c r="B1442" s="207"/>
      <c r="C1442" s="1060"/>
      <c r="D1442" s="699" t="s">
        <v>316</v>
      </c>
      <c r="E1442" s="1739" t="str">
        <f>Translations!$B$770</f>
        <v>Ciepło wyprowadzone netto</v>
      </c>
      <c r="F1442" s="1740"/>
      <c r="G1442" s="1740"/>
      <c r="H1442" s="453" t="str">
        <f>EUconst_TJpa</f>
        <v>TJ / rok</v>
      </c>
      <c r="I1442" s="471"/>
      <c r="J1442" s="471"/>
      <c r="K1442" s="471"/>
      <c r="L1442" s="471"/>
      <c r="M1442" s="471"/>
      <c r="N1442" s="702"/>
      <c r="O1442" s="16"/>
      <c r="P1442" s="1062" t="str">
        <f>EUconst_CNTR_HeatExport &amp; I1333</f>
        <v>HeatEx_</v>
      </c>
      <c r="R1442" s="1064" t="str">
        <f>EUconst_ERR_AttrEmBMapplied &amp; I1333</f>
        <v>ERR_AttrEmBM_ </v>
      </c>
      <c r="S1442" s="116">
        <f>IF(AND(I1442&lt;&gt;0,I1443="",EUconst_StatusOfDataCollection=FALSE),1,0)</f>
        <v>0</v>
      </c>
      <c r="T1442" s="116">
        <f>IF(AND(J1442&lt;&gt;0,J1443="",EUconst_StatusOfDataCollection=FALSE),1,0)</f>
        <v>0</v>
      </c>
      <c r="U1442" s="116">
        <f>IF(AND(K1442&lt;&gt;0,K1443="",EUconst_StatusOfDataCollection=FALSE),1,0)</f>
        <v>0</v>
      </c>
      <c r="V1442" s="116">
        <f>IF(AND(L1442&lt;&gt;0,L1443="",EUconst_StatusOfDataCollection=FALSE),1,0)</f>
        <v>0</v>
      </c>
      <c r="W1442" s="117">
        <f>IF(AND(M1442&lt;&gt;0,M1443="",EUconst_StatusOfDataCollection=FALSE),1,0)</f>
        <v>0</v>
      </c>
    </row>
    <row r="1443" spans="2:27" ht="12.75" customHeight="1" thickBot="1" x14ac:dyDescent="0.25">
      <c r="B1443" s="207"/>
      <c r="C1443" s="1060"/>
      <c r="D1443" s="699" t="s">
        <v>317</v>
      </c>
      <c r="E1443" s="1739" t="str">
        <f>Translations!$B$771</f>
        <v>Właściwy współczynnik emisji (ciepło wyprowadzone)</v>
      </c>
      <c r="F1443" s="1740"/>
      <c r="G1443" s="1740"/>
      <c r="H1443" s="453" t="str">
        <f>EUconst_tCO2pTJ</f>
        <v>t CO2 / TJ</v>
      </c>
      <c r="I1443" s="764"/>
      <c r="J1443" s="764"/>
      <c r="K1443" s="764"/>
      <c r="L1443" s="764"/>
      <c r="M1443" s="764"/>
      <c r="N1443" s="665"/>
      <c r="O1443" s="16"/>
      <c r="P1443" s="1062" t="str">
        <f>EUconst_CNTR_HeatExportEF &amp; I1333</f>
        <v>HeatExEF_</v>
      </c>
      <c r="R1443" s="1053" t="str">
        <f>EUconst_CNTR_AttributedEmissions &amp; I1333</f>
        <v>AttrEmissions_</v>
      </c>
      <c r="S1443" s="119" t="str">
        <f>IF(S1333,-SUM(I1442)*IF(INDEX(EUconst_BMlistNumberOfBM,MATCH($I1333,EUconst_BMlistNames,0))=39,0,IF(ISNUMBER(I1443),I1443,EUconst_HeatBMvalue)),"")</f>
        <v/>
      </c>
      <c r="T1443" s="119" t="str">
        <f>IF(T1333,-SUM(J1442)*IF(INDEX(EUconst_BMlistNumberOfBM,MATCH($I1333,EUconst_BMlistNames,0))=39,0,IF(ISNUMBER(J1443),J1443,EUconst_HeatBMvalue)),"")</f>
        <v/>
      </c>
      <c r="U1443" s="119" t="str">
        <f>IF(U1333,-SUM(K1442)*IF(INDEX(EUconst_BMlistNumberOfBM,MATCH($I1333,EUconst_BMlistNames,0))=39,0,IF(ISNUMBER(K1443),K1443,EUconst_HeatBMvalue)),"")</f>
        <v/>
      </c>
      <c r="V1443" s="119" t="str">
        <f>IF(V1333,-SUM(L1442)*IF(INDEX(EUconst_BMlistNumberOfBM,MATCH($I1333,EUconst_BMlistNames,0))=39,0,IF(ISNUMBER(L1443),L1443,EUconst_HeatBMvalue)),"")</f>
        <v/>
      </c>
      <c r="W1443" s="120" t="str">
        <f>IF(W1333,-SUM(M1442)*IF(INDEX(EUconst_BMlistNumberOfBM,MATCH($I1333,EUconst_BMlistNames,0))=39,0,IF(ISNUMBER(M1443),M1443,EUconst_HeatBMvalue)),"")</f>
        <v/>
      </c>
    </row>
    <row r="1444" spans="2:27" ht="12.75" customHeight="1" x14ac:dyDescent="0.2">
      <c r="B1444" s="207"/>
      <c r="C1444" s="1060"/>
      <c r="D1444" s="1061"/>
      <c r="E1444" s="1061"/>
      <c r="F1444" s="1061"/>
      <c r="G1444" s="1061"/>
      <c r="H1444" s="1061"/>
      <c r="I1444" s="1061"/>
      <c r="J1444" s="1061"/>
      <c r="K1444" s="1061"/>
      <c r="L1444" s="1061"/>
      <c r="M1444" s="1063"/>
      <c r="N1444" s="665"/>
      <c r="O1444" s="16"/>
      <c r="P1444" s="1037"/>
      <c r="R1444" s="1037"/>
      <c r="S1444" s="1037"/>
    </row>
    <row r="1445" spans="2:27" ht="12.75" customHeight="1" x14ac:dyDescent="0.2">
      <c r="B1445" s="207"/>
      <c r="C1445" s="1060"/>
      <c r="D1445" s="462" t="s">
        <v>220</v>
      </c>
      <c r="E1445" s="1731" t="str">
        <f>Translations!$B$772</f>
        <v>Bilans gazów odlotowych dla tej podinstalacji</v>
      </c>
      <c r="F1445" s="1734"/>
      <c r="G1445" s="1734"/>
      <c r="H1445" s="1734"/>
      <c r="I1445" s="1734"/>
      <c r="J1445" s="1734"/>
      <c r="K1445" s="1734"/>
      <c r="L1445" s="1734"/>
      <c r="M1445" s="1734"/>
      <c r="N1445" s="1735"/>
      <c r="O1445" s="16"/>
      <c r="P1445" s="1037"/>
      <c r="R1445" s="1037"/>
      <c r="S1445" s="1037"/>
    </row>
    <row r="1446" spans="2:27" ht="5.0999999999999996" customHeight="1" thickBot="1" x14ac:dyDescent="0.25">
      <c r="B1446" s="207"/>
      <c r="C1446" s="1060"/>
      <c r="D1446" s="1061"/>
      <c r="E1446" s="1733"/>
      <c r="F1446" s="1733"/>
      <c r="G1446" s="1733"/>
      <c r="H1446" s="1733"/>
      <c r="I1446" s="1733"/>
      <c r="J1446" s="1733"/>
      <c r="K1446" s="1733"/>
      <c r="L1446" s="1733"/>
      <c r="M1446" s="1733"/>
      <c r="N1446" s="1768"/>
      <c r="O1446" s="16"/>
      <c r="P1446" s="1037"/>
      <c r="R1446" s="1037"/>
      <c r="S1446" s="1037"/>
    </row>
    <row r="1447" spans="2:27" ht="12.75" customHeight="1" thickBot="1" x14ac:dyDescent="0.25">
      <c r="B1447" s="207"/>
      <c r="C1447" s="1060"/>
      <c r="D1447" s="699" t="s">
        <v>2</v>
      </c>
      <c r="E1447" s="1741" t="str">
        <f>Translations!$B$773</f>
        <v>Czy gazy odlotowe dotyczą tej podinstalacji?</v>
      </c>
      <c r="F1447" s="1741"/>
      <c r="G1447" s="1741"/>
      <c r="H1447" s="1741"/>
      <c r="I1447" s="1741"/>
      <c r="J1447" s="1741"/>
      <c r="K1447" s="1742"/>
      <c r="L1447" s="517"/>
      <c r="M1447" s="1253"/>
      <c r="N1447" s="1254"/>
      <c r="O1447" s="16"/>
      <c r="P1447" s="1037"/>
      <c r="R1447" s="1037"/>
      <c r="W1447" s="1048" t="s">
        <v>414</v>
      </c>
      <c r="X1447" s="1046" t="b">
        <f>IF(AND(I1333&lt;&gt;"",ISBLANK(L1447)),EUconst_Error&amp;"BM"&amp;C1333,FALSE)</f>
        <v>0</v>
      </c>
    </row>
    <row r="1448" spans="2:27" ht="5.0999999999999996" customHeight="1" thickBot="1" x14ac:dyDescent="0.25">
      <c r="B1448" s="207"/>
      <c r="C1448" s="1060"/>
      <c r="D1448" s="1061"/>
      <c r="E1448" s="1733"/>
      <c r="F1448" s="1734"/>
      <c r="G1448" s="1734"/>
      <c r="H1448" s="1734"/>
      <c r="I1448" s="1734"/>
      <c r="J1448" s="1734"/>
      <c r="K1448" s="1734"/>
      <c r="L1448" s="1734"/>
      <c r="M1448" s="1734"/>
      <c r="N1448" s="1735"/>
      <c r="O1448" s="16"/>
      <c r="P1448" s="1037"/>
      <c r="R1448" s="1037"/>
      <c r="AA1448" s="422" t="s">
        <v>272</v>
      </c>
    </row>
    <row r="1449" spans="2:27" ht="12.75" customHeight="1" x14ac:dyDescent="0.2">
      <c r="B1449" s="207"/>
      <c r="C1449" s="1060"/>
      <c r="D1449" s="699" t="s">
        <v>3</v>
      </c>
      <c r="E1449" s="1760" t="str">
        <f>Translations!$B$775</f>
        <v>Rodzaje wytworzonych gazów odlotowych:</v>
      </c>
      <c r="F1449" s="1760"/>
      <c r="G1449" s="1760"/>
      <c r="H1449" s="1760"/>
      <c r="I1449" s="1763"/>
      <c r="J1449" s="1764"/>
      <c r="K1449" s="1764"/>
      <c r="L1449" s="1764"/>
      <c r="M1449" s="1765"/>
      <c r="N1449" s="1254"/>
      <c r="O1449" s="16"/>
      <c r="P1449" s="1037"/>
      <c r="R1449" s="1037"/>
      <c r="AA1449" s="646" t="b">
        <f>IF(I1333&lt;&gt;"",AND(L1447&lt;&gt;"",L1447=FALSE),FALSE)</f>
        <v>0</v>
      </c>
    </row>
    <row r="1450" spans="2:27" ht="5.0999999999999996" customHeight="1" x14ac:dyDescent="0.2">
      <c r="B1450" s="207"/>
      <c r="C1450" s="1060"/>
      <c r="D1450" s="1061"/>
      <c r="E1450" s="1733"/>
      <c r="F1450" s="1734"/>
      <c r="G1450" s="1734"/>
      <c r="H1450" s="1734"/>
      <c r="I1450" s="1734"/>
      <c r="J1450" s="1734"/>
      <c r="K1450" s="1734"/>
      <c r="L1450" s="1734"/>
      <c r="M1450" s="1734"/>
      <c r="N1450" s="1735"/>
      <c r="O1450" s="16"/>
      <c r="P1450" s="1037"/>
      <c r="R1450" s="1037"/>
      <c r="S1450" s="1037"/>
      <c r="AA1450" s="608"/>
    </row>
    <row r="1451" spans="2:27" ht="12.75" customHeight="1" x14ac:dyDescent="0.2">
      <c r="B1451" s="207"/>
      <c r="C1451" s="1060"/>
      <c r="D1451" s="1061"/>
      <c r="E1451" s="1757"/>
      <c r="F1451" s="1758"/>
      <c r="G1451" s="1758"/>
      <c r="H1451" s="450" t="str">
        <f>EUconst_Unit</f>
        <v>Jednostka</v>
      </c>
      <c r="I1451" s="451">
        <f>I$1882</f>
        <v>2014</v>
      </c>
      <c r="J1451" s="451">
        <f>J$1882</f>
        <v>2015</v>
      </c>
      <c r="K1451" s="451">
        <f>K$1882</f>
        <v>2016</v>
      </c>
      <c r="L1451" s="451">
        <f>L$1882</f>
        <v>2017</v>
      </c>
      <c r="M1451" s="451">
        <f>M$1882</f>
        <v>2018</v>
      </c>
      <c r="N1451" s="1257"/>
      <c r="O1451" s="16"/>
      <c r="P1451" s="1037"/>
      <c r="R1451" s="1037"/>
      <c r="S1451" s="1037"/>
      <c r="AA1451" s="608"/>
    </row>
    <row r="1452" spans="2:27" ht="12.75" customHeight="1" x14ac:dyDescent="0.2">
      <c r="B1452" s="207"/>
      <c r="C1452" s="1060"/>
      <c r="D1452" s="699" t="s">
        <v>4</v>
      </c>
      <c r="E1452" s="1766" t="str">
        <f>Translations!$B$777</f>
        <v>Ilości wytworzone</v>
      </c>
      <c r="F1452" s="1767"/>
      <c r="G1452" s="1767"/>
      <c r="H1452" s="231"/>
      <c r="I1452" s="472"/>
      <c r="J1452" s="472"/>
      <c r="K1452" s="472"/>
      <c r="L1452" s="472"/>
      <c r="M1452" s="472"/>
      <c r="N1452" s="1257"/>
      <c r="O1452" s="16"/>
      <c r="P1452" s="1037"/>
      <c r="R1452" s="1037"/>
      <c r="S1452" s="1037"/>
      <c r="AA1452" s="345" t="b">
        <f>AA1449</f>
        <v>0</v>
      </c>
    </row>
    <row r="1453" spans="2:27" ht="12.75" customHeight="1" x14ac:dyDescent="0.2">
      <c r="B1453" s="207"/>
      <c r="C1453" s="1060"/>
      <c r="D1453" s="699" t="s">
        <v>6</v>
      </c>
      <c r="E1453" s="1743" t="str">
        <f>Translations!$B$470</f>
        <v>Wartość opałowa</v>
      </c>
      <c r="F1453" s="1744"/>
      <c r="G1453" s="1744"/>
      <c r="H1453" s="56" t="str">
        <f>IF(ISBLANK(H1452),EUconst_GJperUnit,INDEX(EUconst_GJperTorKNm3,MATCH(H1452,EUconst_TonnesOrkNm3pa,0)))</f>
        <v>GJ / Jednostka</v>
      </c>
      <c r="I1453" s="446"/>
      <c r="J1453" s="446"/>
      <c r="K1453" s="446"/>
      <c r="L1453" s="446"/>
      <c r="M1453" s="446"/>
      <c r="N1453" s="1257"/>
      <c r="O1453" s="16"/>
      <c r="R1453" s="1037"/>
      <c r="S1453" s="1037"/>
      <c r="T1453" s="1037"/>
      <c r="U1453" s="1037"/>
      <c r="V1453" s="1037"/>
      <c r="W1453" s="1037"/>
      <c r="AA1453" s="345" t="b">
        <f>AA1452</f>
        <v>0</v>
      </c>
    </row>
    <row r="1454" spans="2:27" ht="12.75" customHeight="1" x14ac:dyDescent="0.2">
      <c r="B1454" s="207"/>
      <c r="C1454" s="1060"/>
      <c r="D1454" s="699" t="s">
        <v>316</v>
      </c>
      <c r="E1454" s="1739" t="str">
        <f>Translations!$B$778</f>
        <v>Gazy odlotowe wytworzone</v>
      </c>
      <c r="F1454" s="1740"/>
      <c r="G1454" s="1740"/>
      <c r="H1454" s="453" t="str">
        <f>EUconst_TJpa</f>
        <v>TJ / rok</v>
      </c>
      <c r="I1454" s="513" t="str">
        <f>IF(COUNT(I1452:I1453)=2,I1452*I1453/1000,"")</f>
        <v/>
      </c>
      <c r="J1454" s="513" t="str">
        <f>IF(COUNT(J1452:J1453)=2,J1452*J1453/1000,"")</f>
        <v/>
      </c>
      <c r="K1454" s="513" t="str">
        <f>IF(COUNT(K1452:K1453)=2,K1452*K1453/1000,"")</f>
        <v/>
      </c>
      <c r="L1454" s="513" t="str">
        <f>IF(COUNT(L1452:L1453)=2,L1452*L1453/1000,"")</f>
        <v/>
      </c>
      <c r="M1454" s="513" t="str">
        <f>IF(COUNT(M1452:M1453)=2,M1452*M1453/1000,"")</f>
        <v/>
      </c>
      <c r="N1454" s="1257"/>
      <c r="O1454" s="16"/>
      <c r="P1454" s="1062" t="str">
        <f>EUconst_CNTR_WGProduced &amp; I1333</f>
        <v>WasteGasProd_</v>
      </c>
      <c r="R1454" s="1037"/>
      <c r="S1454" s="1037"/>
      <c r="T1454" s="1037"/>
      <c r="U1454" s="1037"/>
      <c r="V1454" s="1037"/>
      <c r="W1454" s="1037"/>
      <c r="AA1454" s="608"/>
    </row>
    <row r="1455" spans="2:27" ht="12.75" customHeight="1" x14ac:dyDescent="0.2">
      <c r="B1455" s="207"/>
      <c r="C1455" s="1060"/>
      <c r="D1455" s="699" t="s">
        <v>317</v>
      </c>
      <c r="E1455" s="1739" t="str">
        <f>Translations!$B$779</f>
        <v>Właściwy współczynnik emisji (gazy odlotowe wytworzone)</v>
      </c>
      <c r="F1455" s="1740"/>
      <c r="G1455" s="1740"/>
      <c r="H1455" s="453" t="str">
        <f>EUconst_tCO2pTJ</f>
        <v>t CO2 / TJ</v>
      </c>
      <c r="I1455" s="471"/>
      <c r="J1455" s="471"/>
      <c r="K1455" s="471"/>
      <c r="L1455" s="471"/>
      <c r="M1455" s="471"/>
      <c r="N1455" s="665"/>
      <c r="O1455" s="16"/>
      <c r="P1455" s="1062" t="str">
        <f>EUconst_CNTR_WGProducedEF &amp; I1333</f>
        <v>WasteGasProdEF_</v>
      </c>
      <c r="R1455" s="1037"/>
      <c r="S1455" s="1037"/>
      <c r="T1455" s="1037"/>
      <c r="U1455" s="1037"/>
      <c r="V1455" s="1037"/>
      <c r="W1455" s="1037"/>
      <c r="AA1455" s="345" t="b">
        <f>AA1453</f>
        <v>0</v>
      </c>
    </row>
    <row r="1456" spans="2:27" ht="12.75" customHeight="1" x14ac:dyDescent="0.2">
      <c r="B1456" s="207"/>
      <c r="C1456" s="1060"/>
      <c r="D1456" s="1061"/>
      <c r="E1456" s="1061"/>
      <c r="F1456" s="1061"/>
      <c r="G1456" s="1061"/>
      <c r="H1456" s="1061"/>
      <c r="I1456" s="1061"/>
      <c r="J1456" s="1061"/>
      <c r="K1456" s="1061"/>
      <c r="L1456" s="1061"/>
      <c r="M1456" s="1063"/>
      <c r="N1456" s="665"/>
      <c r="O1456" s="16"/>
      <c r="P1456" s="1037"/>
      <c r="R1456" s="1037"/>
      <c r="S1456" s="1037"/>
      <c r="T1456" s="1037"/>
      <c r="U1456" s="1037"/>
      <c r="V1456" s="1037"/>
      <c r="W1456" s="1037"/>
      <c r="AA1456" s="608"/>
    </row>
    <row r="1457" spans="2:27" ht="12.75" customHeight="1" x14ac:dyDescent="0.2">
      <c r="B1457" s="207"/>
      <c r="C1457" s="1060"/>
      <c r="D1457" s="699" t="s">
        <v>318</v>
      </c>
      <c r="E1457" s="1760" t="str">
        <f>Translations!$B$780</f>
        <v>Rodzaje zużytych gazów odlotowych:</v>
      </c>
      <c r="F1457" s="1760"/>
      <c r="G1457" s="1760"/>
      <c r="H1457" s="1760"/>
      <c r="I1457" s="1763"/>
      <c r="J1457" s="1764"/>
      <c r="K1457" s="1764"/>
      <c r="L1457" s="1764"/>
      <c r="M1457" s="1765"/>
      <c r="N1457" s="1254"/>
      <c r="O1457" s="16"/>
      <c r="P1457" s="1037"/>
      <c r="R1457" s="1037"/>
      <c r="S1457" s="1037"/>
      <c r="T1457" s="1037"/>
      <c r="U1457" s="1037"/>
      <c r="V1457" s="1037"/>
      <c r="W1457" s="1037"/>
      <c r="AA1457" s="345" t="b">
        <f>AA1455</f>
        <v>0</v>
      </c>
    </row>
    <row r="1458" spans="2:27" ht="5.0999999999999996" customHeight="1" x14ac:dyDescent="0.2">
      <c r="B1458" s="207"/>
      <c r="C1458" s="1060"/>
      <c r="D1458" s="699"/>
      <c r="E1458" s="1733"/>
      <c r="F1458" s="1734"/>
      <c r="G1458" s="1734"/>
      <c r="H1458" s="1734"/>
      <c r="I1458" s="1734"/>
      <c r="J1458" s="1734"/>
      <c r="K1458" s="1734"/>
      <c r="L1458" s="1734"/>
      <c r="M1458" s="1734"/>
      <c r="N1458" s="1735"/>
      <c r="O1458" s="16"/>
      <c r="P1458" s="1037"/>
      <c r="R1458" s="1037"/>
      <c r="S1458" s="1037"/>
      <c r="T1458" s="1037"/>
      <c r="U1458" s="1037"/>
      <c r="V1458" s="1037"/>
      <c r="W1458" s="1037"/>
      <c r="AA1458" s="608"/>
    </row>
    <row r="1459" spans="2:27" ht="12.75" customHeight="1" x14ac:dyDescent="0.2">
      <c r="B1459" s="207"/>
      <c r="C1459" s="1060"/>
      <c r="D1459" s="1061"/>
      <c r="E1459" s="1757"/>
      <c r="F1459" s="1758"/>
      <c r="G1459" s="1758"/>
      <c r="H1459" s="450" t="str">
        <f>EUconst_Unit</f>
        <v>Jednostka</v>
      </c>
      <c r="I1459" s="451">
        <f>I$1882</f>
        <v>2014</v>
      </c>
      <c r="J1459" s="451">
        <f>J$1882</f>
        <v>2015</v>
      </c>
      <c r="K1459" s="451">
        <f>K$1882</f>
        <v>2016</v>
      </c>
      <c r="L1459" s="451">
        <f>L$1882</f>
        <v>2017</v>
      </c>
      <c r="M1459" s="451">
        <f>M$1882</f>
        <v>2018</v>
      </c>
      <c r="N1459" s="1257"/>
      <c r="O1459" s="16"/>
      <c r="P1459" s="1037"/>
      <c r="R1459" s="1037"/>
      <c r="S1459" s="1037"/>
      <c r="T1459" s="1037"/>
      <c r="U1459" s="1037"/>
      <c r="V1459" s="1037"/>
      <c r="W1459" s="1037"/>
      <c r="AA1459" s="608"/>
    </row>
    <row r="1460" spans="2:27" ht="12.75" customHeight="1" x14ac:dyDescent="0.2">
      <c r="B1460" s="207"/>
      <c r="C1460" s="1060"/>
      <c r="D1460" s="699" t="s">
        <v>319</v>
      </c>
      <c r="E1460" s="1766" t="str">
        <f>Translations!$B$782</f>
        <v>Ilości zużyte</v>
      </c>
      <c r="F1460" s="1767"/>
      <c r="G1460" s="1767"/>
      <c r="H1460" s="231"/>
      <c r="I1460" s="472"/>
      <c r="J1460" s="472"/>
      <c r="K1460" s="472"/>
      <c r="L1460" s="472"/>
      <c r="M1460" s="472"/>
      <c r="N1460" s="1257"/>
      <c r="O1460" s="16"/>
      <c r="P1460" s="1037"/>
      <c r="R1460" s="1037"/>
      <c r="S1460" s="1037"/>
      <c r="T1460" s="1037"/>
      <c r="U1460" s="1037"/>
      <c r="V1460" s="1037"/>
      <c r="W1460" s="1037"/>
      <c r="AA1460" s="345" t="b">
        <f>AA1457</f>
        <v>0</v>
      </c>
    </row>
    <row r="1461" spans="2:27" ht="12.75" customHeight="1" x14ac:dyDescent="0.2">
      <c r="B1461" s="207"/>
      <c r="C1461" s="1060"/>
      <c r="D1461" s="699" t="s">
        <v>320</v>
      </c>
      <c r="E1461" s="1743" t="str">
        <f>Translations!$B$470</f>
        <v>Wartość opałowa</v>
      </c>
      <c r="F1461" s="1744"/>
      <c r="G1461" s="1744"/>
      <c r="H1461" s="56" t="str">
        <f>IF(ISBLANK(H1460),EUconst_GJperUnit,INDEX(EUconst_GJperTorKNm3,MATCH(H1460,EUconst_TonnesOrkNm3pa,0)))</f>
        <v>GJ / Jednostka</v>
      </c>
      <c r="I1461" s="446"/>
      <c r="J1461" s="446"/>
      <c r="K1461" s="446"/>
      <c r="L1461" s="446"/>
      <c r="M1461" s="446"/>
      <c r="N1461" s="1257"/>
      <c r="O1461" s="16"/>
      <c r="R1461" s="1037"/>
      <c r="S1461" s="1037"/>
      <c r="T1461" s="1037"/>
      <c r="U1461" s="1037"/>
      <c r="V1461" s="1037"/>
      <c r="W1461" s="1037"/>
      <c r="AA1461" s="345" t="b">
        <f>AA1460</f>
        <v>0</v>
      </c>
    </row>
    <row r="1462" spans="2:27" ht="12.75" customHeight="1" x14ac:dyDescent="0.2">
      <c r="B1462" s="207"/>
      <c r="C1462" s="1060"/>
      <c r="D1462" s="699" t="s">
        <v>16</v>
      </c>
      <c r="E1462" s="1739" t="str">
        <f>Translations!$B$783</f>
        <v>Gazy odlotowe zużyte</v>
      </c>
      <c r="F1462" s="1740"/>
      <c r="G1462" s="1740"/>
      <c r="H1462" s="453" t="str">
        <f>EUconst_TJpa</f>
        <v>TJ / rok</v>
      </c>
      <c r="I1462" s="513" t="str">
        <f>IF(COUNT(I1460:I1461)=2,I1460*I1461/1000,"")</f>
        <v/>
      </c>
      <c r="J1462" s="513" t="str">
        <f>IF(COUNT(J1460:J1461)=2,J1460*J1461/1000,"")</f>
        <v/>
      </c>
      <c r="K1462" s="513" t="str">
        <f>IF(COUNT(K1460:K1461)=2,K1460*K1461/1000,"")</f>
        <v/>
      </c>
      <c r="L1462" s="513" t="str">
        <f>IF(COUNT(L1460:L1461)=2,L1460*L1461/1000,"")</f>
        <v/>
      </c>
      <c r="M1462" s="513" t="str">
        <f>IF(COUNT(M1460:M1461)=2,M1460*M1461/1000,"")</f>
        <v/>
      </c>
      <c r="N1462" s="1257"/>
      <c r="O1462" s="16"/>
      <c r="P1462" s="1062" t="str">
        <f>EUconst_CNTR_WGConsumed &amp; I1333</f>
        <v>WasteGasCons_</v>
      </c>
      <c r="R1462" s="1037"/>
      <c r="S1462" s="1037"/>
      <c r="T1462" s="1037"/>
      <c r="U1462" s="1037"/>
      <c r="V1462" s="1037"/>
      <c r="W1462" s="1037"/>
      <c r="AA1462" s="608"/>
    </row>
    <row r="1463" spans="2:27" ht="12.75" customHeight="1" x14ac:dyDescent="0.2">
      <c r="B1463" s="207"/>
      <c r="C1463" s="1060"/>
      <c r="D1463" s="699" t="s">
        <v>17</v>
      </c>
      <c r="E1463" s="1739" t="str">
        <f>Translations!$B$784</f>
        <v>Właściwy współczynnik emisji (gazy odlotowe zużyte)</v>
      </c>
      <c r="F1463" s="1740"/>
      <c r="G1463" s="1740"/>
      <c r="H1463" s="453" t="str">
        <f>EUconst_tCO2pTJ</f>
        <v>t CO2 / TJ</v>
      </c>
      <c r="I1463" s="471"/>
      <c r="J1463" s="471"/>
      <c r="K1463" s="471"/>
      <c r="L1463" s="471"/>
      <c r="M1463" s="471"/>
      <c r="N1463" s="665"/>
      <c r="O1463" s="16"/>
      <c r="P1463" s="1062" t="str">
        <f>EUconst_CNTR_WGConsumedEF &amp; I1333</f>
        <v>WasteGasConsEF_</v>
      </c>
      <c r="R1463" s="1037"/>
      <c r="S1463" s="1037"/>
      <c r="T1463" s="1037"/>
      <c r="U1463" s="1037"/>
      <c r="V1463" s="1037"/>
      <c r="W1463" s="1037"/>
      <c r="AA1463" s="345" t="b">
        <f>AA1461</f>
        <v>0</v>
      </c>
    </row>
    <row r="1464" spans="2:27" ht="12.75" customHeight="1" x14ac:dyDescent="0.2">
      <c r="B1464" s="207"/>
      <c r="C1464" s="1060"/>
      <c r="D1464" s="1061"/>
      <c r="E1464" s="1061"/>
      <c r="F1464" s="1061"/>
      <c r="G1464" s="1061"/>
      <c r="H1464" s="1061"/>
      <c r="I1464" s="1061"/>
      <c r="J1464" s="1061"/>
      <c r="K1464" s="1061"/>
      <c r="L1464" s="1061"/>
      <c r="M1464" s="1063"/>
      <c r="N1464" s="665"/>
      <c r="O1464" s="16"/>
      <c r="P1464" s="1037"/>
      <c r="R1464" s="1037"/>
      <c r="S1464" s="1037"/>
      <c r="AA1464" s="608"/>
    </row>
    <row r="1465" spans="2:27" ht="12.75" customHeight="1" x14ac:dyDescent="0.2">
      <c r="B1465" s="207"/>
      <c r="C1465" s="1060"/>
      <c r="D1465" s="699" t="s">
        <v>18</v>
      </c>
      <c r="E1465" s="1760" t="str">
        <f>Translations!$B$785</f>
        <v>Rodzaje gazów odlotowych spalonych na pochodniach:</v>
      </c>
      <c r="F1465" s="1760"/>
      <c r="G1465" s="1760"/>
      <c r="H1465" s="1760"/>
      <c r="I1465" s="1763"/>
      <c r="J1465" s="1764"/>
      <c r="K1465" s="1764"/>
      <c r="L1465" s="1764"/>
      <c r="M1465" s="1765"/>
      <c r="N1465" s="1254"/>
      <c r="O1465" s="16"/>
      <c r="P1465" s="1037"/>
      <c r="R1465" s="1037"/>
      <c r="AA1465" s="345" t="b">
        <f>AA1455</f>
        <v>0</v>
      </c>
    </row>
    <row r="1466" spans="2:27" ht="5.0999999999999996" customHeight="1" x14ac:dyDescent="0.2">
      <c r="B1466" s="207"/>
      <c r="C1466" s="1060"/>
      <c r="D1466" s="699"/>
      <c r="E1466" s="1733"/>
      <c r="F1466" s="1734"/>
      <c r="G1466" s="1734"/>
      <c r="H1466" s="1734"/>
      <c r="I1466" s="1734"/>
      <c r="J1466" s="1734"/>
      <c r="K1466" s="1734"/>
      <c r="L1466" s="1734"/>
      <c r="M1466" s="1734"/>
      <c r="N1466" s="1735"/>
      <c r="O1466" s="16"/>
      <c r="P1466" s="1037"/>
      <c r="S1466" s="1037"/>
      <c r="AA1466" s="608"/>
    </row>
    <row r="1467" spans="2:27" ht="12.75" customHeight="1" x14ac:dyDescent="0.2">
      <c r="B1467" s="207"/>
      <c r="C1467" s="1060"/>
      <c r="D1467" s="1061"/>
      <c r="E1467" s="1757"/>
      <c r="F1467" s="1758"/>
      <c r="G1467" s="1758"/>
      <c r="H1467" s="450" t="str">
        <f>EUconst_Unit</f>
        <v>Jednostka</v>
      </c>
      <c r="I1467" s="451">
        <f>I$1882</f>
        <v>2014</v>
      </c>
      <c r="J1467" s="451">
        <f>J$1882</f>
        <v>2015</v>
      </c>
      <c r="K1467" s="451">
        <f>K$1882</f>
        <v>2016</v>
      </c>
      <c r="L1467" s="451">
        <f>L$1882</f>
        <v>2017</v>
      </c>
      <c r="M1467" s="451">
        <f>M$1882</f>
        <v>2018</v>
      </c>
      <c r="N1467" s="1257"/>
      <c r="O1467" s="16"/>
      <c r="P1467" s="1037"/>
      <c r="AA1467" s="608"/>
    </row>
    <row r="1468" spans="2:27" ht="12.75" customHeight="1" thickBot="1" x14ac:dyDescent="0.25">
      <c r="B1468" s="207"/>
      <c r="C1468" s="1060"/>
      <c r="D1468" s="699" t="s">
        <v>454</v>
      </c>
      <c r="E1468" s="1766" t="str">
        <f>Translations!$B$789</f>
        <v>Ilości spalone na pochodniach</v>
      </c>
      <c r="F1468" s="1767"/>
      <c r="G1468" s="1767"/>
      <c r="H1468" s="231"/>
      <c r="I1468" s="472"/>
      <c r="J1468" s="472"/>
      <c r="K1468" s="472"/>
      <c r="L1468" s="472"/>
      <c r="M1468" s="472"/>
      <c r="N1468" s="1257"/>
      <c r="O1468" s="16"/>
      <c r="P1468" s="1037"/>
      <c r="R1468" s="1037" t="s">
        <v>546</v>
      </c>
      <c r="AA1468" s="345" t="b">
        <f>AA1465</f>
        <v>0</v>
      </c>
    </row>
    <row r="1469" spans="2:27" ht="12.75" customHeight="1" thickBot="1" x14ac:dyDescent="0.25">
      <c r="B1469" s="207"/>
      <c r="C1469" s="1060"/>
      <c r="D1469" s="699" t="s">
        <v>455</v>
      </c>
      <c r="E1469" s="1743" t="str">
        <f>Translations!$B$470</f>
        <v>Wartość opałowa</v>
      </c>
      <c r="F1469" s="1744"/>
      <c r="G1469" s="1744"/>
      <c r="H1469" s="56" t="str">
        <f>IF(ISBLANK(H1468),EUconst_GJperUnit,INDEX(EUconst_GJperTorKNm3,MATCH(H1468,EUconst_TonnesOrkNm3pa,0)))</f>
        <v>GJ / Jednostka</v>
      </c>
      <c r="I1469" s="446"/>
      <c r="J1469" s="446"/>
      <c r="K1469" s="446"/>
      <c r="L1469" s="446"/>
      <c r="M1469" s="446"/>
      <c r="N1469" s="1257"/>
      <c r="O1469" s="16"/>
      <c r="R1469" s="712" t="s">
        <v>437</v>
      </c>
      <c r="S1469" s="709">
        <f>I1467</f>
        <v>2014</v>
      </c>
      <c r="T1469" s="710">
        <f>J1467</f>
        <v>2015</v>
      </c>
      <c r="U1469" s="710">
        <f>K1467</f>
        <v>2016</v>
      </c>
      <c r="V1469" s="710">
        <f>L1467</f>
        <v>2017</v>
      </c>
      <c r="W1469" s="711">
        <f>M1467</f>
        <v>2018</v>
      </c>
      <c r="AA1469" s="345" t="b">
        <f>AA1468</f>
        <v>0</v>
      </c>
    </row>
    <row r="1470" spans="2:27" ht="12.75" customHeight="1" thickBot="1" x14ac:dyDescent="0.25">
      <c r="B1470" s="207"/>
      <c r="C1470" s="1060"/>
      <c r="D1470" s="699" t="s">
        <v>456</v>
      </c>
      <c r="E1470" s="1739" t="str">
        <f>Translations!$B$790</f>
        <v>Gazy odlotowe spalone na pochodniach</v>
      </c>
      <c r="F1470" s="1740"/>
      <c r="G1470" s="1740"/>
      <c r="H1470" s="453" t="str">
        <f>EUconst_TJpa</f>
        <v>TJ / rok</v>
      </c>
      <c r="I1470" s="513" t="str">
        <f>IF(COUNT(I1468:I1469)=2,I1468*I1469/1000,"")</f>
        <v/>
      </c>
      <c r="J1470" s="513" t="str">
        <f>IF(COUNT(J1468:J1469)=2,J1468*J1469/1000,"")</f>
        <v/>
      </c>
      <c r="K1470" s="513" t="str">
        <f>IF(COUNT(K1468:K1469)=2,K1468*K1469/1000,"")</f>
        <v/>
      </c>
      <c r="L1470" s="513" t="str">
        <f>IF(COUNT(L1468:L1469)=2,L1468*L1469/1000,"")</f>
        <v/>
      </c>
      <c r="M1470" s="513" t="str">
        <f>IF(COUNT(M1468:M1469)=2,M1468*M1469/1000,"")</f>
        <v/>
      </c>
      <c r="N1470" s="1257"/>
      <c r="O1470" s="16"/>
      <c r="P1470" s="1062" t="str">
        <f>EUconst_CNTR_WGFlared &amp; I1333</f>
        <v>WasteGasFlare_</v>
      </c>
      <c r="R1470" s="347" t="str">
        <f>IF(COUNT(S1470:W1470)&gt;0,AVERAGE(S1470:W1470),"")</f>
        <v/>
      </c>
      <c r="S1470" s="442" t="str">
        <f>IF(S1333,IF(ISNUMBER(I1470),I1470,0),"")</f>
        <v/>
      </c>
      <c r="T1470" s="443" t="str">
        <f>IF(T1333,IF(ISNUMBER(J1470),J1470,0),"")</f>
        <v/>
      </c>
      <c r="U1470" s="443" t="str">
        <f>IF(U1333,IF(ISNUMBER(K1470),K1470,0),"")</f>
        <v/>
      </c>
      <c r="V1470" s="443" t="str">
        <f>IF(V1333,IF(ISNUMBER(L1470),L1470,0),"")</f>
        <v/>
      </c>
      <c r="W1470" s="444" t="str">
        <f>IF(W1333,IF(ISNUMBER(M1470),M1470,0),"")</f>
        <v/>
      </c>
      <c r="AA1470" s="608"/>
    </row>
    <row r="1471" spans="2:27" ht="12.75" customHeight="1" thickBot="1" x14ac:dyDescent="0.25">
      <c r="B1471" s="207"/>
      <c r="C1471" s="1060"/>
      <c r="D1471" s="699" t="s">
        <v>457</v>
      </c>
      <c r="E1471" s="1739" t="str">
        <f>Translations!$B$791</f>
        <v>Właściwy współczynnik emisji (gazy odlotowe spalone na pochodniach)</v>
      </c>
      <c r="F1471" s="1740"/>
      <c r="G1471" s="1740"/>
      <c r="H1471" s="453" t="str">
        <f>EUconst_tCO2pTJ</f>
        <v>t CO2 / TJ</v>
      </c>
      <c r="I1471" s="471"/>
      <c r="J1471" s="471"/>
      <c r="K1471" s="471"/>
      <c r="L1471" s="471"/>
      <c r="M1471" s="471"/>
      <c r="N1471" s="665"/>
      <c r="O1471" s="16"/>
      <c r="P1471" s="1062" t="str">
        <f>EUconst_CNTR_WGFlaredEF &amp; I1333</f>
        <v>WasteGasFlareEF_</v>
      </c>
      <c r="R1471" s="854" t="str">
        <f>IF(COUNT(S1471:W1471)&gt;0,AVERAGE(S1471:W1471),"")</f>
        <v/>
      </c>
      <c r="S1471" s="442" t="str">
        <f>IF(S1333,SUM(I1470)*SUM(I1471),"")</f>
        <v/>
      </c>
      <c r="T1471" s="443" t="str">
        <f>IF(T1333,SUM(J1470)*SUM(J1471),"")</f>
        <v/>
      </c>
      <c r="U1471" s="443" t="str">
        <f>IF(U1333,SUM(K1470)*SUM(K1471),"")</f>
        <v/>
      </c>
      <c r="V1471" s="443" t="str">
        <f>IF(V1333,SUM(L1470)*SUM(L1471),"")</f>
        <v/>
      </c>
      <c r="W1471" s="444" t="str">
        <f>IF(W1333,SUM(M1470)*SUM(M1471),"")</f>
        <v/>
      </c>
      <c r="AA1471" s="345" t="b">
        <f>AA1469</f>
        <v>0</v>
      </c>
    </row>
    <row r="1472" spans="2:27" ht="12.75" customHeight="1" x14ac:dyDescent="0.2">
      <c r="B1472" s="207"/>
      <c r="C1472" s="1060"/>
      <c r="D1472" s="1061"/>
      <c r="E1472" s="1061"/>
      <c r="F1472" s="1061"/>
      <c r="G1472" s="1061"/>
      <c r="H1472" s="1061"/>
      <c r="I1472" s="1061"/>
      <c r="J1472" s="1061"/>
      <c r="K1472" s="1061"/>
      <c r="L1472" s="1061"/>
      <c r="M1472" s="1063"/>
      <c r="N1472" s="665"/>
      <c r="O1472" s="16"/>
      <c r="P1472" s="1037"/>
      <c r="R1472" s="1037"/>
      <c r="S1472" s="1037"/>
      <c r="AA1472" s="608"/>
    </row>
    <row r="1473" spans="1:27" ht="12.75" customHeight="1" x14ac:dyDescent="0.2">
      <c r="B1473" s="207"/>
      <c r="C1473" s="1060"/>
      <c r="D1473" s="699" t="s">
        <v>458</v>
      </c>
      <c r="E1473" s="1760" t="str">
        <f>Translations!$B$792</f>
        <v>Rodzaje gazów odlotowych wprowadzonych:</v>
      </c>
      <c r="F1473" s="1760"/>
      <c r="G1473" s="1760"/>
      <c r="H1473" s="1760"/>
      <c r="I1473" s="1763"/>
      <c r="J1473" s="1764"/>
      <c r="K1473" s="1764"/>
      <c r="L1473" s="1764"/>
      <c r="M1473" s="1765"/>
      <c r="N1473" s="665"/>
      <c r="O1473" s="16"/>
      <c r="P1473" s="1037"/>
      <c r="R1473" s="1037"/>
      <c r="AA1473" s="345" t="b">
        <f>AA1453</f>
        <v>0</v>
      </c>
    </row>
    <row r="1474" spans="1:27" ht="5.0999999999999996" customHeight="1" x14ac:dyDescent="0.2">
      <c r="B1474" s="207"/>
      <c r="C1474" s="1060"/>
      <c r="D1474" s="699"/>
      <c r="E1474" s="1730"/>
      <c r="F1474" s="1731"/>
      <c r="G1474" s="1731"/>
      <c r="H1474" s="1731"/>
      <c r="I1474" s="1731"/>
      <c r="J1474" s="1731"/>
      <c r="K1474" s="1731"/>
      <c r="L1474" s="1731"/>
      <c r="M1474" s="1731"/>
      <c r="N1474" s="1732"/>
      <c r="O1474" s="16"/>
      <c r="P1474" s="1037"/>
      <c r="R1474" s="1037"/>
      <c r="S1474" s="1037"/>
      <c r="AA1474" s="608"/>
    </row>
    <row r="1475" spans="1:27" ht="12.75" customHeight="1" x14ac:dyDescent="0.2">
      <c r="B1475" s="207"/>
      <c r="C1475" s="1060"/>
      <c r="D1475" s="1061"/>
      <c r="E1475" s="1757"/>
      <c r="F1475" s="1758"/>
      <c r="G1475" s="1758"/>
      <c r="H1475" s="450" t="str">
        <f>EUconst_Unit</f>
        <v>Jednostka</v>
      </c>
      <c r="I1475" s="451">
        <f>I$1882</f>
        <v>2014</v>
      </c>
      <c r="J1475" s="451">
        <f>J$1882</f>
        <v>2015</v>
      </c>
      <c r="K1475" s="451">
        <f>K$1882</f>
        <v>2016</v>
      </c>
      <c r="L1475" s="451">
        <f>L$1882</f>
        <v>2017</v>
      </c>
      <c r="M1475" s="451">
        <f>M$1882</f>
        <v>2018</v>
      </c>
      <c r="N1475" s="1257"/>
      <c r="O1475" s="16"/>
      <c r="P1475" s="1037"/>
      <c r="R1475" s="1037"/>
      <c r="S1475" s="1037"/>
      <c r="AA1475" s="608"/>
    </row>
    <row r="1476" spans="1:27" ht="12.75" customHeight="1" thickBot="1" x14ac:dyDescent="0.25">
      <c r="B1476" s="207"/>
      <c r="C1476" s="1060"/>
      <c r="D1476" s="699" t="s">
        <v>459</v>
      </c>
      <c r="E1476" s="1766" t="str">
        <f>Translations!$B$795</f>
        <v>Ilości wprowadzone</v>
      </c>
      <c r="F1476" s="1767"/>
      <c r="G1476" s="1767"/>
      <c r="H1476" s="231"/>
      <c r="I1476" s="472"/>
      <c r="J1476" s="472"/>
      <c r="K1476" s="472"/>
      <c r="L1476" s="472"/>
      <c r="M1476" s="472"/>
      <c r="N1476" s="1257"/>
      <c r="O1476" s="16"/>
      <c r="P1476" s="1037"/>
      <c r="R1476" s="1037"/>
      <c r="S1476" s="1037"/>
      <c r="AA1476" s="345" t="b">
        <f>AA1473</f>
        <v>0</v>
      </c>
    </row>
    <row r="1477" spans="1:27" ht="12.75" customHeight="1" x14ac:dyDescent="0.2">
      <c r="B1477" s="207"/>
      <c r="C1477" s="1060"/>
      <c r="D1477" s="699" t="s">
        <v>460</v>
      </c>
      <c r="E1477" s="1743" t="str">
        <f>Translations!$B$470</f>
        <v>Wartość opałowa</v>
      </c>
      <c r="F1477" s="1744"/>
      <c r="G1477" s="1744"/>
      <c r="H1477" s="56" t="str">
        <f>IF(ISBLANK(H1476),EUconst_GJperUnit,INDEX(EUconst_GJperTorKNm3,MATCH(H1476,EUconst_TonnesOrkNm3pa,0)))</f>
        <v>GJ / Jednostka</v>
      </c>
      <c r="I1477" s="446"/>
      <c r="J1477" s="446"/>
      <c r="K1477" s="446"/>
      <c r="L1477" s="446"/>
      <c r="M1477" s="446"/>
      <c r="N1477" s="1257"/>
      <c r="O1477" s="16"/>
      <c r="P1477" s="1065"/>
      <c r="R1477" s="1052"/>
      <c r="S1477" s="814">
        <f>I1475</f>
        <v>2014</v>
      </c>
      <c r="T1477" s="814">
        <f>J1475</f>
        <v>2015</v>
      </c>
      <c r="U1477" s="814">
        <f>K1475</f>
        <v>2016</v>
      </c>
      <c r="V1477" s="814">
        <f>L1475</f>
        <v>2017</v>
      </c>
      <c r="W1477" s="815">
        <f>M1475</f>
        <v>2018</v>
      </c>
      <c r="AA1477" s="345" t="b">
        <f>AA1476</f>
        <v>0</v>
      </c>
    </row>
    <row r="1478" spans="1:27" ht="12.75" customHeight="1" x14ac:dyDescent="0.2">
      <c r="B1478" s="207"/>
      <c r="C1478" s="1060"/>
      <c r="D1478" s="699" t="s">
        <v>461</v>
      </c>
      <c r="E1478" s="1739" t="str">
        <f>Translations!$B$796</f>
        <v>Gazy odlotowe wprowadzone</v>
      </c>
      <c r="F1478" s="1740"/>
      <c r="G1478" s="1740"/>
      <c r="H1478" s="453" t="str">
        <f>EUconst_TJpa</f>
        <v>TJ / rok</v>
      </c>
      <c r="I1478" s="433" t="str">
        <f>IF(COUNT(I1476:I1477)=2,I1476*I1477/1000,"")</f>
        <v/>
      </c>
      <c r="J1478" s="433" t="str">
        <f>IF(COUNT(J1476:J1477)=2,J1476*J1477/1000,"")</f>
        <v/>
      </c>
      <c r="K1478" s="433" t="str">
        <f>IF(COUNT(K1476:K1477)=2,K1476*K1477/1000,"")</f>
        <v/>
      </c>
      <c r="L1478" s="433" t="str">
        <f>IF(COUNT(L1476:L1477)=2,L1476*L1477/1000,"")</f>
        <v/>
      </c>
      <c r="M1478" s="433" t="str">
        <f>IF(COUNT(M1476:M1477)=2,M1476*M1477/1000,"")</f>
        <v/>
      </c>
      <c r="N1478" s="1257"/>
      <c r="O1478" s="16"/>
      <c r="P1478" s="1062" t="str">
        <f>EUconst_CNTR_WGImport &amp; I1333</f>
        <v>WasteGasIm_</v>
      </c>
      <c r="R1478" s="1064" t="str">
        <f>EUconst_ERR_AttrEmBMapplied &amp; I1333</f>
        <v>ERR_AttrEmBM_ </v>
      </c>
      <c r="S1478" s="116">
        <f>IF(AND(I1478&lt;&gt;"",EUconst_StatusOfDataCollection=FALSE),1,0)</f>
        <v>0</v>
      </c>
      <c r="T1478" s="116">
        <f>IF(AND(J1478&lt;&gt;"",EUconst_StatusOfDataCollection=FALSE),1,0)</f>
        <v>0</v>
      </c>
      <c r="U1478" s="116">
        <f>IF(AND(K1478&lt;&gt;"",EUconst_StatusOfDataCollection=FALSE),1,0)</f>
        <v>0</v>
      </c>
      <c r="V1478" s="116">
        <f>IF(AND(L1478&lt;&gt;"",EUconst_StatusOfDataCollection=FALSE),1,0)</f>
        <v>0</v>
      </c>
      <c r="W1478" s="117">
        <f>IF(AND(M1478&lt;&gt;"",EUconst_StatusOfDataCollection=FALSE),1,0)</f>
        <v>0</v>
      </c>
      <c r="AA1478" s="608"/>
    </row>
    <row r="1479" spans="1:27" s="701" customFormat="1" ht="12.75" customHeight="1" thickBot="1" x14ac:dyDescent="0.25">
      <c r="A1479" s="422"/>
      <c r="B1479" s="207"/>
      <c r="C1479" s="1060"/>
      <c r="D1479" s="699" t="s">
        <v>462</v>
      </c>
      <c r="E1479" s="1739" t="str">
        <f>Translations!$B$797</f>
        <v>Właściwy współczynnik emisji (gazy odlotowe wprowadzone)</v>
      </c>
      <c r="F1479" s="1739"/>
      <c r="G1479" s="1739"/>
      <c r="H1479" s="452" t="str">
        <f>EUconst_tCO2pTJ</f>
        <v>t CO2 / TJ</v>
      </c>
      <c r="I1479" s="765"/>
      <c r="J1479" s="765"/>
      <c r="K1479" s="765"/>
      <c r="L1479" s="765"/>
      <c r="M1479" s="765"/>
      <c r="N1479" s="665"/>
      <c r="O1479" s="16"/>
      <c r="P1479" s="1062" t="str">
        <f>EUconst_CNTR_WGImportEF &amp; I1333</f>
        <v>WasteGasImEF_</v>
      </c>
      <c r="Q1479" s="422"/>
      <c r="R1479" s="1053" t="str">
        <f>EUconst_CNTR_AttributedEmissions &amp; I1333</f>
        <v>AttrEmissions_</v>
      </c>
      <c r="S1479" s="119" t="str">
        <f>IF(S1333,SUM(I1478)*EUconst_FuelBMvalue,"")</f>
        <v/>
      </c>
      <c r="T1479" s="119" t="str">
        <f>IF(T1333,SUM(J1478)*EUconst_FuelBMvalue,"")</f>
        <v/>
      </c>
      <c r="U1479" s="119" t="str">
        <f>IF(U1333,SUM(K1478)*EUconst_FuelBMvalue,"")</f>
        <v/>
      </c>
      <c r="V1479" s="119" t="str">
        <f>IF(V1333,SUM(L1478)*EUconst_FuelBMvalue,"")</f>
        <v/>
      </c>
      <c r="W1479" s="120" t="str">
        <f>IF(W1333,SUM(M1478)*EUconst_FuelBMvalue,"")</f>
        <v/>
      </c>
      <c r="X1479" s="422"/>
      <c r="Y1479" s="422"/>
      <c r="Z1479" s="422"/>
      <c r="AA1479" s="345" t="b">
        <f>AA1477</f>
        <v>0</v>
      </c>
    </row>
    <row r="1480" spans="1:27" ht="12.75" customHeight="1" x14ac:dyDescent="0.2">
      <c r="B1480" s="207"/>
      <c r="C1480" s="1060"/>
      <c r="D1480" s="1061"/>
      <c r="E1480" s="1061"/>
      <c r="F1480" s="1061"/>
      <c r="G1480" s="1061"/>
      <c r="H1480" s="1061"/>
      <c r="I1480" s="1061"/>
      <c r="J1480" s="1061"/>
      <c r="K1480" s="1061"/>
      <c r="L1480" s="1061"/>
      <c r="M1480" s="1063"/>
      <c r="N1480" s="665"/>
      <c r="O1480" s="16"/>
      <c r="P1480" s="1037"/>
      <c r="R1480" s="1037"/>
      <c r="S1480" s="1037"/>
      <c r="AA1480" s="608"/>
    </row>
    <row r="1481" spans="1:27" ht="12.75" customHeight="1" x14ac:dyDescent="0.2">
      <c r="B1481" s="207"/>
      <c r="C1481" s="1060"/>
      <c r="D1481" s="699" t="s">
        <v>463</v>
      </c>
      <c r="E1481" s="1760" t="str">
        <f>Translations!$B$798</f>
        <v>Rodzaje wyprowadzonych gazów odlotowych:</v>
      </c>
      <c r="F1481" s="1760"/>
      <c r="G1481" s="1760"/>
      <c r="H1481" s="1760"/>
      <c r="I1481" s="1763"/>
      <c r="J1481" s="1764"/>
      <c r="K1481" s="1764"/>
      <c r="L1481" s="1764"/>
      <c r="M1481" s="1765"/>
      <c r="N1481" s="1254"/>
      <c r="O1481" s="16"/>
      <c r="P1481" s="1037"/>
      <c r="R1481" s="1037"/>
      <c r="AA1481" s="345" t="b">
        <f>AA1476</f>
        <v>0</v>
      </c>
    </row>
    <row r="1482" spans="1:27" ht="5.0999999999999996" customHeight="1" x14ac:dyDescent="0.2">
      <c r="B1482" s="207"/>
      <c r="C1482" s="1060"/>
      <c r="D1482" s="699"/>
      <c r="E1482" s="1733"/>
      <c r="F1482" s="1734"/>
      <c r="G1482" s="1734"/>
      <c r="H1482" s="1734"/>
      <c r="I1482" s="1734"/>
      <c r="J1482" s="1734"/>
      <c r="K1482" s="1734"/>
      <c r="L1482" s="1734"/>
      <c r="M1482" s="1734"/>
      <c r="N1482" s="1735"/>
      <c r="O1482" s="16"/>
      <c r="P1482" s="1037"/>
      <c r="R1482" s="1037"/>
      <c r="S1482" s="1037"/>
      <c r="AA1482" s="608"/>
    </row>
    <row r="1483" spans="1:27" ht="12.75" customHeight="1" x14ac:dyDescent="0.2">
      <c r="B1483" s="207"/>
      <c r="C1483" s="1060"/>
      <c r="D1483" s="1061"/>
      <c r="E1483" s="1757"/>
      <c r="F1483" s="1758"/>
      <c r="G1483" s="1758"/>
      <c r="H1483" s="450" t="str">
        <f>EUconst_Unit</f>
        <v>Jednostka</v>
      </c>
      <c r="I1483" s="451">
        <f>I$1882</f>
        <v>2014</v>
      </c>
      <c r="J1483" s="451">
        <f>J$1882</f>
        <v>2015</v>
      </c>
      <c r="K1483" s="451">
        <f>K$1882</f>
        <v>2016</v>
      </c>
      <c r="L1483" s="451">
        <f>L$1882</f>
        <v>2017</v>
      </c>
      <c r="M1483" s="451">
        <f>M$1882</f>
        <v>2018</v>
      </c>
      <c r="N1483" s="1257"/>
      <c r="O1483" s="16"/>
      <c r="P1483" s="1037"/>
      <c r="R1483" s="1037"/>
      <c r="S1483" s="1037"/>
      <c r="AA1483" s="608"/>
    </row>
    <row r="1484" spans="1:27" ht="12.75" customHeight="1" x14ac:dyDescent="0.2">
      <c r="B1484" s="207"/>
      <c r="C1484" s="1060"/>
      <c r="D1484" s="699" t="s">
        <v>464</v>
      </c>
      <c r="E1484" s="1766" t="str">
        <f>Translations!$B$800</f>
        <v>Ilości wyprowadzone</v>
      </c>
      <c r="F1484" s="1767"/>
      <c r="G1484" s="1767"/>
      <c r="H1484" s="231"/>
      <c r="I1484" s="472"/>
      <c r="J1484" s="472"/>
      <c r="K1484" s="472"/>
      <c r="L1484" s="472"/>
      <c r="M1484" s="472"/>
      <c r="N1484" s="1257"/>
      <c r="O1484" s="16"/>
      <c r="P1484" s="1037"/>
      <c r="R1484" s="1037"/>
      <c r="S1484" s="1037"/>
      <c r="AA1484" s="345" t="b">
        <f>AA1481</f>
        <v>0</v>
      </c>
    </row>
    <row r="1485" spans="1:27" ht="12.75" customHeight="1" thickBot="1" x14ac:dyDescent="0.25">
      <c r="B1485" s="207"/>
      <c r="C1485" s="1060"/>
      <c r="D1485" s="699" t="s">
        <v>643</v>
      </c>
      <c r="E1485" s="1743" t="str">
        <f>Translations!$B$470</f>
        <v>Wartość opałowa</v>
      </c>
      <c r="F1485" s="1744"/>
      <c r="G1485" s="1744"/>
      <c r="H1485" s="56" t="str">
        <f>IF(ISBLANK(H1484),EUconst_GJperUnit,INDEX(EUconst_GJperTorKNm3,MATCH(H1484,EUconst_TonnesOrkNm3pa,0)))</f>
        <v>GJ / Jednostka</v>
      </c>
      <c r="I1485" s="446"/>
      <c r="J1485" s="446"/>
      <c r="K1485" s="446"/>
      <c r="L1485" s="446"/>
      <c r="M1485" s="446"/>
      <c r="N1485" s="1257"/>
      <c r="O1485" s="16"/>
      <c r="P1485" s="1065"/>
      <c r="R1485" s="1037"/>
      <c r="S1485" s="1037"/>
      <c r="AA1485" s="345" t="b">
        <f>AA1484</f>
        <v>0</v>
      </c>
    </row>
    <row r="1486" spans="1:27" ht="12.75" customHeight="1" x14ac:dyDescent="0.2">
      <c r="B1486" s="207"/>
      <c r="C1486" s="1060"/>
      <c r="D1486" s="699" t="s">
        <v>644</v>
      </c>
      <c r="E1486" s="1739" t="str">
        <f>Translations!$B$801</f>
        <v>Gazy odlotowe wyprowadzone</v>
      </c>
      <c r="F1486" s="1740"/>
      <c r="G1486" s="1740"/>
      <c r="H1486" s="453" t="str">
        <f>EUconst_TJpa</f>
        <v>TJ / rok</v>
      </c>
      <c r="I1486" s="433" t="str">
        <f>IF(COUNT(I1484:I1485)=2,I1484*I1485/1000,"")</f>
        <v/>
      </c>
      <c r="J1486" s="433" t="str">
        <f>IF(COUNT(J1484:J1485)=2,J1484*J1485/1000,"")</f>
        <v/>
      </c>
      <c r="K1486" s="433" t="str">
        <f>IF(COUNT(K1484:K1485)=2,K1484*K1485/1000,"")</f>
        <v/>
      </c>
      <c r="L1486" s="433" t="str">
        <f>IF(COUNT(L1484:L1485)=2,L1484*L1485/1000,"")</f>
        <v/>
      </c>
      <c r="M1486" s="433" t="str">
        <f>IF(COUNT(M1484:M1485)=2,M1484*M1485/1000,"")</f>
        <v/>
      </c>
      <c r="N1486" s="702"/>
      <c r="O1486" s="16"/>
      <c r="P1486" s="1062" t="str">
        <f>EUconst_CNTR_WGExport &amp; I1333</f>
        <v>WasteGasEx_</v>
      </c>
      <c r="R1486" s="1052"/>
      <c r="S1486" s="814">
        <f>I1483</f>
        <v>2014</v>
      </c>
      <c r="T1486" s="814">
        <f>J1483</f>
        <v>2015</v>
      </c>
      <c r="U1486" s="814">
        <f>K1483</f>
        <v>2016</v>
      </c>
      <c r="V1486" s="814">
        <f>L1483</f>
        <v>2017</v>
      </c>
      <c r="W1486" s="815">
        <f>M1483</f>
        <v>2018</v>
      </c>
      <c r="AA1486" s="608"/>
    </row>
    <row r="1487" spans="1:27" s="701" customFormat="1" ht="12.75" customHeight="1" thickBot="1" x14ac:dyDescent="0.25">
      <c r="A1487" s="422"/>
      <c r="B1487" s="207"/>
      <c r="C1487" s="1060"/>
      <c r="D1487" s="699" t="s">
        <v>645</v>
      </c>
      <c r="E1487" s="1739" t="str">
        <f>Translations!$B$802</f>
        <v>Właściwy współczynnik emisji (gazy odlotowe wyprowadzone)</v>
      </c>
      <c r="F1487" s="1739"/>
      <c r="G1487" s="1739"/>
      <c r="H1487" s="452" t="str">
        <f>EUconst_tCO2pTJ</f>
        <v>t CO2 / TJ</v>
      </c>
      <c r="I1487" s="765"/>
      <c r="J1487" s="765"/>
      <c r="K1487" s="765"/>
      <c r="L1487" s="765"/>
      <c r="M1487" s="765"/>
      <c r="N1487" s="665"/>
      <c r="O1487" s="16"/>
      <c r="P1487" s="1062" t="str">
        <f>EUconst_CNTR_WGExportEF &amp; I1333</f>
        <v>WasteGasExEF_</v>
      </c>
      <c r="Q1487" s="422"/>
      <c r="R1487" s="1053" t="str">
        <f>EUconst_CNTR_AttributedEmissions &amp; I1333</f>
        <v>AttrEmissions_</v>
      </c>
      <c r="S1487" s="119" t="str">
        <f>IF(S1333,-SUM(I1486)*EUconst_NGEFvalue*EUconst_WasteGasCorrFactor,"")</f>
        <v/>
      </c>
      <c r="T1487" s="119" t="str">
        <f>IF(T1333,-SUM(J1486)*EUconst_NGEFvalue*EUconst_WasteGasCorrFactor,"")</f>
        <v/>
      </c>
      <c r="U1487" s="119" t="str">
        <f>IF(U1333,-SUM(K1486)*EUconst_NGEFvalue*EUconst_WasteGasCorrFactor,"")</f>
        <v/>
      </c>
      <c r="V1487" s="119" t="str">
        <f>IF(V1333,-SUM(L1486)*EUconst_NGEFvalue*EUconst_WasteGasCorrFactor,"")</f>
        <v/>
      </c>
      <c r="W1487" s="120" t="str">
        <f>IF(W1333,-SUM(M1486)*EUconst_NGEFvalue*EUconst_WasteGasCorrFactor,"")</f>
        <v/>
      </c>
      <c r="X1487" s="422"/>
      <c r="Y1487" s="422"/>
      <c r="Z1487" s="422"/>
      <c r="AA1487" s="168" t="b">
        <f>AA1485</f>
        <v>0</v>
      </c>
    </row>
    <row r="1488" spans="1:27" ht="12.75" customHeight="1" x14ac:dyDescent="0.2">
      <c r="B1488" s="207"/>
      <c r="C1488" s="1060"/>
      <c r="D1488" s="1061"/>
      <c r="E1488" s="1061"/>
      <c r="F1488" s="1061"/>
      <c r="G1488" s="1061"/>
      <c r="H1488" s="1061"/>
      <c r="I1488" s="1061"/>
      <c r="J1488" s="1061"/>
      <c r="K1488" s="1061"/>
      <c r="L1488" s="1061"/>
      <c r="M1488" s="1063"/>
      <c r="N1488" s="665"/>
      <c r="O1488" s="16"/>
      <c r="P1488" s="1037"/>
      <c r="R1488" s="1037"/>
    </row>
    <row r="1489" spans="2:27" ht="12.75" customHeight="1" thickBot="1" x14ac:dyDescent="0.25">
      <c r="B1489" s="207"/>
      <c r="C1489" s="1060"/>
      <c r="D1489" s="462" t="s">
        <v>221</v>
      </c>
      <c r="E1489" s="1731" t="str">
        <f>Translations!$B$420</f>
        <v>Wytwarzanie energii elektrycznej</v>
      </c>
      <c r="F1489" s="1734"/>
      <c r="G1489" s="1734"/>
      <c r="H1489" s="1734"/>
      <c r="I1489" s="1734"/>
      <c r="J1489" s="1734"/>
      <c r="K1489" s="1734"/>
      <c r="L1489" s="1734"/>
      <c r="M1489" s="1734"/>
      <c r="N1489" s="1735"/>
      <c r="O1489" s="16"/>
      <c r="P1489" s="1037"/>
      <c r="R1489" s="1037"/>
    </row>
    <row r="1490" spans="2:27" ht="12.75" customHeight="1" x14ac:dyDescent="0.2">
      <c r="B1490" s="207"/>
      <c r="C1490" s="1060"/>
      <c r="D1490" s="462"/>
      <c r="E1490" s="1757"/>
      <c r="F1490" s="1758"/>
      <c r="G1490" s="1758"/>
      <c r="H1490" s="450" t="str">
        <f>EUconst_Unit</f>
        <v>Jednostka</v>
      </c>
      <c r="I1490" s="451">
        <f>I$1882</f>
        <v>2014</v>
      </c>
      <c r="J1490" s="451">
        <f>J$1882</f>
        <v>2015</v>
      </c>
      <c r="K1490" s="451">
        <f>K$1882</f>
        <v>2016</v>
      </c>
      <c r="L1490" s="451">
        <f>L$1882</f>
        <v>2017</v>
      </c>
      <c r="M1490" s="451">
        <f>M$1882</f>
        <v>2018</v>
      </c>
      <c r="N1490" s="665"/>
      <c r="O1490" s="16"/>
      <c r="P1490" s="1037"/>
      <c r="R1490" s="1052"/>
      <c r="S1490" s="814">
        <f>I1490</f>
        <v>2014</v>
      </c>
      <c r="T1490" s="814">
        <f>J1490</f>
        <v>2015</v>
      </c>
      <c r="U1490" s="814">
        <f>K1490</f>
        <v>2016</v>
      </c>
      <c r="V1490" s="814">
        <f>L1490</f>
        <v>2017</v>
      </c>
      <c r="W1490" s="815">
        <f>M1490</f>
        <v>2018</v>
      </c>
    </row>
    <row r="1491" spans="2:27" ht="12.75" customHeight="1" thickBot="1" x14ac:dyDescent="0.25">
      <c r="B1491" s="207"/>
      <c r="C1491" s="1060"/>
      <c r="D1491" s="699"/>
      <c r="E1491" s="1739" t="str">
        <f>Translations!$B$805</f>
        <v>Energia elektryczna wytworzona</v>
      </c>
      <c r="F1491" s="1740"/>
      <c r="G1491" s="1740"/>
      <c r="H1491" s="453" t="str">
        <f>EUconst_MWhpa</f>
        <v>MWh / rok</v>
      </c>
      <c r="I1491" s="471"/>
      <c r="J1491" s="471"/>
      <c r="K1491" s="471"/>
      <c r="L1491" s="471"/>
      <c r="M1491" s="471"/>
      <c r="N1491" s="1257"/>
      <c r="O1491" s="16"/>
      <c r="P1491" s="1062" t="str">
        <f>EUconst_CNTR_ElectricityExported &amp; I1333</f>
        <v>ElecEx_</v>
      </c>
      <c r="R1491" s="1053" t="str">
        <f>EUconst_CNTR_AttributedEmissions &amp; I1333</f>
        <v>AttrEmissions_</v>
      </c>
      <c r="S1491" s="119" t="str">
        <f>IF(S1333,-SUM(I1491)*EUconst_ElBM,"")</f>
        <v/>
      </c>
      <c r="T1491" s="119" t="str">
        <f>IF(T1333,-SUM(J1491)*EUconst_ElBM,"")</f>
        <v/>
      </c>
      <c r="U1491" s="119" t="str">
        <f>IF(U1333,-SUM(K1491)*EUconst_ElBM,"")</f>
        <v/>
      </c>
      <c r="V1491" s="119" t="str">
        <f>IF(V1333,-SUM(L1491)*EUconst_ElBM,"")</f>
        <v/>
      </c>
      <c r="W1491" s="120" t="str">
        <f>IF(W1333,-SUM(M1491)*EUconst_ElBM,"")</f>
        <v/>
      </c>
    </row>
    <row r="1492" spans="2:27" ht="12.75" customHeight="1" x14ac:dyDescent="0.2">
      <c r="B1492" s="207"/>
      <c r="C1492" s="1060"/>
      <c r="D1492" s="1061"/>
      <c r="E1492" s="1061"/>
      <c r="F1492" s="1061"/>
      <c r="G1492" s="1061"/>
      <c r="H1492" s="1061"/>
      <c r="I1492" s="1061"/>
      <c r="J1492" s="1061"/>
      <c r="K1492" s="1061"/>
      <c r="L1492" s="1061"/>
      <c r="M1492" s="1063"/>
      <c r="N1492" s="665"/>
      <c r="O1492" s="16"/>
      <c r="P1492" s="1037"/>
      <c r="R1492" s="1037"/>
      <c r="S1492" s="1037"/>
    </row>
    <row r="1493" spans="2:27" ht="12.75" customHeight="1" thickBot="1" x14ac:dyDescent="0.25">
      <c r="B1493" s="207"/>
      <c r="C1493" s="1060"/>
      <c r="D1493" s="462" t="s">
        <v>79</v>
      </c>
      <c r="E1493" s="1760" t="str">
        <f>Translations!$B$806</f>
        <v>Całkowita ilość wyprodukowanej masy celulozowej</v>
      </c>
      <c r="F1493" s="1760"/>
      <c r="G1493" s="1760"/>
      <c r="H1493" s="1760"/>
      <c r="I1493" s="1760"/>
      <c r="J1493" s="1760"/>
      <c r="K1493" s="1760"/>
      <c r="L1493" s="1760"/>
      <c r="M1493" s="1760"/>
      <c r="N1493" s="1761"/>
      <c r="O1493" s="16"/>
      <c r="S1493" s="1037"/>
    </row>
    <row r="1494" spans="2:27" ht="12.75" customHeight="1" thickBot="1" x14ac:dyDescent="0.25">
      <c r="B1494" s="207"/>
      <c r="C1494" s="1060"/>
      <c r="D1494" s="699"/>
      <c r="E1494" s="1762" t="str">
        <f>IF(I1333="","",IF(INDEX(EUconst_BMlistPulp,MATCH(I1333,EUconst_BMlistNames,0)),I1333,""))</f>
        <v/>
      </c>
      <c r="F1494" s="1762"/>
      <c r="G1494" s="1762"/>
      <c r="H1494" s="453" t="str">
        <f>EUconst_Tons</f>
        <v>tony</v>
      </c>
      <c r="I1494" s="471"/>
      <c r="J1494" s="471"/>
      <c r="K1494" s="471"/>
      <c r="L1494" s="471"/>
      <c r="M1494" s="471"/>
      <c r="N1494" s="1257"/>
      <c r="O1494" s="16"/>
      <c r="P1494" s="1062" t="str">
        <f>EUconst_CNTR_HALPulpTotal &amp; I1333</f>
        <v>HALPulpTotal_</v>
      </c>
      <c r="R1494" s="1037"/>
      <c r="AA1494" s="738" t="b">
        <f>IF(I1333&lt;&gt;"",IF(INDEX(EUconst_BMlistPulp,MATCH(I1333,EUconst_BMlistNames,0))=TRUE,FALSE,TRUE),FALSE)</f>
        <v>0</v>
      </c>
    </row>
    <row r="1495" spans="2:27" ht="12.75" customHeight="1" x14ac:dyDescent="0.2">
      <c r="B1495" s="207"/>
      <c r="C1495" s="1060"/>
      <c r="D1495" s="699"/>
      <c r="E1495" s="699"/>
      <c r="F1495" s="699"/>
      <c r="G1495" s="699"/>
      <c r="H1495" s="699"/>
      <c r="I1495" s="699"/>
      <c r="J1495" s="699"/>
      <c r="K1495" s="699"/>
      <c r="L1495" s="699"/>
      <c r="M1495" s="699"/>
      <c r="N1495" s="1257"/>
      <c r="O1495" s="16"/>
      <c r="P1495" s="1065"/>
      <c r="R1495" s="1037"/>
      <c r="S1495" s="1037"/>
    </row>
    <row r="1496" spans="2:27" ht="12.75" customHeight="1" thickBot="1" x14ac:dyDescent="0.25">
      <c r="B1496" s="207"/>
      <c r="C1496" s="1060"/>
      <c r="D1496" s="462" t="s">
        <v>333</v>
      </c>
      <c r="E1496" s="1731" t="str">
        <f>Translations!$B$810</f>
        <v>Wprowadzanie lub wyprowadzanie produktów pośrednich objętych wskaźnikami emisyjności dla produktów</v>
      </c>
      <c r="F1496" s="1734"/>
      <c r="G1496" s="1734"/>
      <c r="H1496" s="1734"/>
      <c r="I1496" s="1734"/>
      <c r="J1496" s="1734"/>
      <c r="K1496" s="1734"/>
      <c r="L1496" s="1734"/>
      <c r="M1496" s="1734"/>
      <c r="N1496" s="1735"/>
      <c r="O1496" s="16"/>
      <c r="P1496" s="1037"/>
      <c r="R1496" s="1037"/>
      <c r="S1496" s="1037"/>
    </row>
    <row r="1497" spans="2:27" ht="12.75" customHeight="1" thickBot="1" x14ac:dyDescent="0.25">
      <c r="B1497" s="20"/>
      <c r="C1497" s="1060"/>
      <c r="D1497" s="699" t="s">
        <v>2</v>
      </c>
      <c r="E1497" s="1755" t="str">
        <f>Translations!$B$813</f>
        <v>Czy ma miejsce jakiekolwiek wprowadzanie lub wyprowadzanie produktów pośrednich objętych wskaźnikami emisyjności dla produktów?</v>
      </c>
      <c r="F1497" s="1755"/>
      <c r="G1497" s="1755"/>
      <c r="H1497" s="1755"/>
      <c r="I1497" s="1755"/>
      <c r="J1497" s="1755"/>
      <c r="K1497" s="1756"/>
      <c r="L1497" s="517"/>
      <c r="M1497" s="449"/>
      <c r="N1497" s="702"/>
      <c r="O1497" s="16"/>
      <c r="W1497" s="1048" t="s">
        <v>414</v>
      </c>
      <c r="X1497" s="1046" t="b">
        <f>IF(AND(I1333&lt;&gt;"",ISBLANK(L1497)),EUconst_Error&amp;"BM"&amp;C1333,FALSE)</f>
        <v>0</v>
      </c>
    </row>
    <row r="1498" spans="2:27" ht="5.0999999999999996" customHeight="1" x14ac:dyDescent="0.2">
      <c r="B1498" s="207"/>
      <c r="C1498" s="1060"/>
      <c r="D1498" s="699"/>
      <c r="E1498" s="699"/>
      <c r="F1498" s="699"/>
      <c r="G1498" s="699"/>
      <c r="H1498" s="699"/>
      <c r="I1498" s="699"/>
      <c r="J1498" s="699"/>
      <c r="K1498" s="699"/>
      <c r="L1498" s="699"/>
      <c r="M1498" s="699"/>
      <c r="N1498" s="1257"/>
      <c r="O1498" s="16"/>
      <c r="P1498" s="1065"/>
      <c r="R1498" s="1037"/>
      <c r="S1498" s="1037"/>
    </row>
    <row r="1499" spans="2:27" ht="12.75" customHeight="1" thickBot="1" x14ac:dyDescent="0.25">
      <c r="B1499" s="207"/>
      <c r="C1499" s="1060"/>
      <c r="D1499" s="514"/>
      <c r="E1499" s="1757" t="str">
        <f>Translations!$B$814</f>
        <v>Ilości wprowadzone:</v>
      </c>
      <c r="F1499" s="1758"/>
      <c r="G1499" s="1758"/>
      <c r="H1499" s="515" t="str">
        <f>EUconst_Unit</f>
        <v>Jednostka</v>
      </c>
      <c r="I1499" s="451">
        <f>I$1882</f>
        <v>2014</v>
      </c>
      <c r="J1499" s="451">
        <f>J$1882</f>
        <v>2015</v>
      </c>
      <c r="K1499" s="451">
        <f>K$1882</f>
        <v>2016</v>
      </c>
      <c r="L1499" s="451">
        <f>L$1882</f>
        <v>2017</v>
      </c>
      <c r="M1499" s="451">
        <f>M$1882</f>
        <v>2018</v>
      </c>
      <c r="N1499" s="1257"/>
      <c r="O1499" s="16"/>
      <c r="P1499" s="1065"/>
      <c r="R1499" s="1037"/>
      <c r="S1499" s="1037"/>
      <c r="AA1499" s="422" t="s">
        <v>272</v>
      </c>
    </row>
    <row r="1500" spans="2:27" ht="12.75" customHeight="1" x14ac:dyDescent="0.2">
      <c r="B1500" s="207"/>
      <c r="C1500" s="1060"/>
      <c r="D1500" s="516" t="s">
        <v>3</v>
      </c>
      <c r="E1500" s="1759"/>
      <c r="F1500" s="1759"/>
      <c r="G1500" s="1759"/>
      <c r="H1500" s="64" t="str">
        <f>IF(E1500&lt;&gt;"",INDEX(EUconst_BMlistUnits,MATCH(E1500,EUconst_BMlistNames,0)),EUconst_Tons)</f>
        <v>tony</v>
      </c>
      <c r="I1500" s="318"/>
      <c r="J1500" s="318"/>
      <c r="K1500" s="318"/>
      <c r="L1500" s="318"/>
      <c r="M1500" s="318"/>
      <c r="N1500" s="1257"/>
      <c r="O1500" s="16"/>
      <c r="P1500" s="1062" t="str">
        <f>EUconst_CNTR_IntermediateImport &amp; R1500 &amp; "_" &amp; I1333</f>
        <v>IntImp_1_</v>
      </c>
      <c r="R1500" s="1062">
        <v>1</v>
      </c>
      <c r="S1500" s="1037"/>
      <c r="AA1500" s="646" t="b">
        <f>AND(NOT(ISBLANK(L1497)),L1497=FALSE)</f>
        <v>0</v>
      </c>
    </row>
    <row r="1501" spans="2:27" ht="12.75" customHeight="1" x14ac:dyDescent="0.2">
      <c r="B1501" s="207"/>
      <c r="C1501" s="1060"/>
      <c r="D1501" s="516" t="s">
        <v>4</v>
      </c>
      <c r="E1501" s="1747"/>
      <c r="F1501" s="1747"/>
      <c r="G1501" s="1747"/>
      <c r="H1501" s="56" t="str">
        <f>IF(E1501&lt;&gt;"",INDEX(EUconst_BMlistUnits,MATCH(E1501,EUconst_BMlistNames,0)),EUconst_Tons)</f>
        <v>tony</v>
      </c>
      <c r="I1501" s="317"/>
      <c r="J1501" s="317"/>
      <c r="K1501" s="317"/>
      <c r="L1501" s="317"/>
      <c r="M1501" s="317"/>
      <c r="N1501" s="1257"/>
      <c r="O1501" s="16"/>
      <c r="P1501" s="1062" t="str">
        <f>EUconst_CNTR_IntermediateImport &amp; R1501 &amp; "_" &amp; I1333</f>
        <v>IntImp_2_</v>
      </c>
      <c r="R1501" s="1062">
        <v>2</v>
      </c>
      <c r="S1501" s="1037"/>
      <c r="AA1501" s="345" t="b">
        <f>AA1500</f>
        <v>0</v>
      </c>
    </row>
    <row r="1502" spans="2:27" ht="5.0999999999999996" customHeight="1" x14ac:dyDescent="0.2">
      <c r="B1502" s="207"/>
      <c r="C1502" s="1060"/>
      <c r="D1502" s="699"/>
      <c r="E1502" s="699"/>
      <c r="F1502" s="699"/>
      <c r="G1502" s="699"/>
      <c r="H1502" s="699"/>
      <c r="I1502" s="699"/>
      <c r="J1502" s="699"/>
      <c r="K1502" s="699"/>
      <c r="L1502" s="699"/>
      <c r="M1502" s="699"/>
      <c r="N1502" s="1257"/>
      <c r="O1502" s="16"/>
      <c r="P1502" s="1065"/>
      <c r="R1502" s="1037"/>
      <c r="S1502" s="1037"/>
      <c r="AA1502" s="608"/>
    </row>
    <row r="1503" spans="2:27" ht="12.75" customHeight="1" x14ac:dyDescent="0.2">
      <c r="B1503" s="207"/>
      <c r="C1503" s="1060"/>
      <c r="D1503" s="514"/>
      <c r="E1503" s="1757" t="str">
        <f>Translations!$B$815</f>
        <v>Ilości wyprowadzone:</v>
      </c>
      <c r="F1503" s="1758"/>
      <c r="G1503" s="1758"/>
      <c r="H1503" s="515" t="str">
        <f>EUconst_Unit</f>
        <v>Jednostka</v>
      </c>
      <c r="I1503" s="451">
        <f>I$1882</f>
        <v>2014</v>
      </c>
      <c r="J1503" s="451">
        <f>J$1882</f>
        <v>2015</v>
      </c>
      <c r="K1503" s="451">
        <f>K$1882</f>
        <v>2016</v>
      </c>
      <c r="L1503" s="451">
        <f>L$1882</f>
        <v>2017</v>
      </c>
      <c r="M1503" s="451">
        <f>M$1882</f>
        <v>2018</v>
      </c>
      <c r="N1503" s="1257"/>
      <c r="O1503" s="16"/>
      <c r="P1503" s="1065"/>
      <c r="R1503" s="1037"/>
      <c r="S1503" s="1037"/>
      <c r="AA1503" s="608"/>
    </row>
    <row r="1504" spans="2:27" ht="12.75" customHeight="1" x14ac:dyDescent="0.2">
      <c r="B1504" s="207"/>
      <c r="C1504" s="1060"/>
      <c r="D1504" s="516" t="s">
        <v>6</v>
      </c>
      <c r="E1504" s="1759"/>
      <c r="F1504" s="1759"/>
      <c r="G1504" s="1759"/>
      <c r="H1504" s="64" t="str">
        <f>IF(E1504&lt;&gt;"",INDEX(EUconst_BMlistUnits,MATCH(E1504,EUconst_BMlistNames,0)),EUconst_Tons)</f>
        <v>tony</v>
      </c>
      <c r="I1504" s="318"/>
      <c r="J1504" s="318"/>
      <c r="K1504" s="318"/>
      <c r="L1504" s="318"/>
      <c r="M1504" s="318"/>
      <c r="N1504" s="1257"/>
      <c r="O1504" s="16"/>
      <c r="P1504" s="1062" t="str">
        <f>EUconst_CNTR_IntermediateExport &amp; R1500 &amp; "_" &amp; I1333</f>
        <v>IntExp_1_</v>
      </c>
      <c r="R1504" s="1062">
        <v>1</v>
      </c>
      <c r="S1504" s="1037"/>
      <c r="U1504" s="512"/>
      <c r="V1504" s="512"/>
      <c r="AA1504" s="345" t="b">
        <f>AA1500</f>
        <v>0</v>
      </c>
    </row>
    <row r="1505" spans="2:27" ht="12.75" customHeight="1" x14ac:dyDescent="0.2">
      <c r="B1505" s="207"/>
      <c r="C1505" s="1060"/>
      <c r="D1505" s="516" t="s">
        <v>316</v>
      </c>
      <c r="E1505" s="1747"/>
      <c r="F1505" s="1747"/>
      <c r="G1505" s="1747"/>
      <c r="H1505" s="56" t="str">
        <f>IF(E1505&lt;&gt;"",INDEX(EUconst_BMlistUnits,MATCH(E1505,EUconst_BMlistNames,0)),EUconst_Tons)</f>
        <v>tony</v>
      </c>
      <c r="I1505" s="317"/>
      <c r="J1505" s="317"/>
      <c r="K1505" s="317"/>
      <c r="L1505" s="317"/>
      <c r="M1505" s="317"/>
      <c r="N1505" s="1257"/>
      <c r="O1505" s="16"/>
      <c r="P1505" s="1062" t="str">
        <f>EUconst_CNTR_IntermediateExport &amp; R1505 &amp; "_" &amp; I1333</f>
        <v>IntExp_2_</v>
      </c>
      <c r="R1505" s="1062">
        <v>2</v>
      </c>
      <c r="S1505" s="1037"/>
      <c r="U1505" s="512"/>
      <c r="V1505" s="512"/>
      <c r="AA1505" s="345" t="b">
        <f>AA1500</f>
        <v>0</v>
      </c>
    </row>
    <row r="1506" spans="2:27" ht="5.0999999999999996" customHeight="1" x14ac:dyDescent="0.2">
      <c r="B1506" s="207"/>
      <c r="C1506" s="1060"/>
      <c r="D1506" s="699"/>
      <c r="E1506" s="699"/>
      <c r="F1506" s="699"/>
      <c r="G1506" s="699"/>
      <c r="H1506" s="699"/>
      <c r="I1506" s="699"/>
      <c r="J1506" s="699"/>
      <c r="K1506" s="699"/>
      <c r="L1506" s="699"/>
      <c r="M1506" s="699"/>
      <c r="N1506" s="1257"/>
      <c r="O1506" s="16"/>
      <c r="P1506" s="1065"/>
      <c r="R1506" s="1037"/>
      <c r="S1506" s="1037"/>
      <c r="U1506" s="512"/>
      <c r="V1506" s="512"/>
      <c r="AA1506" s="608"/>
    </row>
    <row r="1507" spans="2:27" ht="12.75" customHeight="1" x14ac:dyDescent="0.2">
      <c r="B1507" s="207"/>
      <c r="C1507" s="1060"/>
      <c r="D1507" s="516" t="s">
        <v>317</v>
      </c>
      <c r="E1507" s="1748" t="str">
        <f>Translations!$B$816</f>
        <v>Opis produktów pośrednich wprowadzonych lub wyprowadzonych</v>
      </c>
      <c r="F1507" s="1748"/>
      <c r="G1507" s="1748"/>
      <c r="H1507" s="1748"/>
      <c r="I1507" s="1748"/>
      <c r="J1507" s="1748"/>
      <c r="K1507" s="1748"/>
      <c r="L1507" s="1748"/>
      <c r="M1507" s="1748"/>
      <c r="N1507" s="1257"/>
      <c r="O1507" s="16"/>
      <c r="P1507" s="1065"/>
      <c r="R1507" s="1037"/>
      <c r="S1507" s="1037"/>
      <c r="U1507" s="512"/>
      <c r="V1507" s="512"/>
      <c r="AA1507" s="608"/>
    </row>
    <row r="1508" spans="2:27" ht="12.75" customHeight="1" x14ac:dyDescent="0.2">
      <c r="B1508" s="207"/>
      <c r="C1508" s="1060"/>
      <c r="D1508" s="699"/>
      <c r="E1508" s="1749"/>
      <c r="F1508" s="1750"/>
      <c r="G1508" s="1750"/>
      <c r="H1508" s="1750"/>
      <c r="I1508" s="1750"/>
      <c r="J1508" s="1750"/>
      <c r="K1508" s="1750"/>
      <c r="L1508" s="1750"/>
      <c r="M1508" s="1751"/>
      <c r="N1508" s="1257"/>
      <c r="O1508" s="16"/>
      <c r="P1508" s="1065"/>
      <c r="R1508" s="1037"/>
      <c r="S1508" s="1037"/>
      <c r="U1508" s="512"/>
      <c r="V1508" s="512"/>
      <c r="AA1508" s="345" t="b">
        <f>AA1500</f>
        <v>0</v>
      </c>
    </row>
    <row r="1509" spans="2:27" ht="12.75" customHeight="1" thickBot="1" x14ac:dyDescent="0.25">
      <c r="B1509" s="207"/>
      <c r="C1509" s="1060"/>
      <c r="D1509" s="699"/>
      <c r="E1509" s="1752"/>
      <c r="F1509" s="1753"/>
      <c r="G1509" s="1753"/>
      <c r="H1509" s="1753"/>
      <c r="I1509" s="1753"/>
      <c r="J1509" s="1753"/>
      <c r="K1509" s="1753"/>
      <c r="L1509" s="1753"/>
      <c r="M1509" s="1754"/>
      <c r="N1509" s="1257"/>
      <c r="O1509" s="16"/>
      <c r="P1509" s="1065"/>
      <c r="R1509" s="1037"/>
      <c r="S1509" s="1037"/>
      <c r="U1509" s="512"/>
      <c r="V1509" s="512"/>
      <c r="AA1509" s="168" t="b">
        <f>AA1500</f>
        <v>0</v>
      </c>
    </row>
    <row r="1510" spans="2:27" ht="12.75" customHeight="1" thickBot="1" x14ac:dyDescent="0.25">
      <c r="B1510" s="207"/>
      <c r="C1510" s="1066"/>
      <c r="D1510" s="1067"/>
      <c r="E1510" s="1067"/>
      <c r="F1510" s="1067"/>
      <c r="G1510" s="1067"/>
      <c r="H1510" s="1067"/>
      <c r="I1510" s="1067"/>
      <c r="J1510" s="1067"/>
      <c r="K1510" s="1067"/>
      <c r="L1510" s="1067"/>
      <c r="M1510" s="1068"/>
      <c r="N1510" s="1069"/>
      <c r="O1510" s="16"/>
      <c r="P1510" s="1037"/>
      <c r="R1510" s="1037"/>
      <c r="S1510" s="1037"/>
    </row>
    <row r="1511" spans="2:27" ht="13.5" thickBot="1" x14ac:dyDescent="0.25">
      <c r="B1511" s="20"/>
      <c r="C1511" s="20"/>
      <c r="D1511" s="20"/>
      <c r="E1511" s="20"/>
      <c r="F1511" s="20"/>
      <c r="G1511" s="20"/>
      <c r="H1511" s="20"/>
      <c r="I1511" s="20"/>
      <c r="J1511" s="20"/>
      <c r="K1511" s="20"/>
      <c r="L1511" s="20"/>
      <c r="M1511" s="20"/>
      <c r="N1511" s="20"/>
      <c r="O1511" s="16"/>
      <c r="P1511" s="346" t="str">
        <f>IF(OR(AND(CNTR_ExistProductSubEntries=FALSE,P1333=1),AND(I1333&lt;&gt;"",COUNTIF(P1512:$P$1876,"PRINT")=0)),"PRINT","")</f>
        <v/>
      </c>
      <c r="Q1511" s="422" t="s">
        <v>498</v>
      </c>
      <c r="R1511" s="1037"/>
      <c r="S1511" s="1037"/>
    </row>
    <row r="1512" spans="2:27" ht="5.0999999999999996" customHeight="1" thickBot="1" x14ac:dyDescent="0.25">
      <c r="B1512" s="20"/>
      <c r="C1512" s="1070"/>
      <c r="D1512" s="1070"/>
      <c r="E1512" s="1070"/>
      <c r="F1512" s="1070"/>
      <c r="G1512" s="1070"/>
      <c r="H1512" s="1070"/>
      <c r="I1512" s="1070"/>
      <c r="J1512" s="1070"/>
      <c r="K1512" s="1070"/>
      <c r="L1512" s="1070"/>
      <c r="M1512" s="1070"/>
      <c r="N1512" s="1070"/>
      <c r="O1512" s="16"/>
      <c r="R1512" s="1037"/>
      <c r="S1512" s="1037"/>
    </row>
    <row r="1513" spans="2:27" ht="15.75" thickBot="1" x14ac:dyDescent="0.25">
      <c r="B1513" s="207"/>
      <c r="C1513" s="1047">
        <f>C1333+1</f>
        <v>9</v>
      </c>
      <c r="D1513" s="1439" t="str">
        <f>EUconst_BMSubinst &amp; ":"</f>
        <v>Podinstalacja i wskaźnik emisyjności dla produktów:</v>
      </c>
      <c r="E1513" s="1370"/>
      <c r="F1513" s="1370"/>
      <c r="G1513" s="1370"/>
      <c r="H1513" s="1432"/>
      <c r="I1513" s="1781" t="str">
        <f>IF(INDEX(CNTR_SubInstListIsProdBM,$C1513),INDEX(CNTR_SubInstListNames,$C1513),"")</f>
        <v/>
      </c>
      <c r="J1513" s="1666"/>
      <c r="K1513" s="1666"/>
      <c r="L1513" s="1666"/>
      <c r="M1513" s="1666"/>
      <c r="N1513" s="1383"/>
      <c r="O1513" s="16"/>
      <c r="P1513" s="346">
        <f>C1513</f>
        <v>9</v>
      </c>
      <c r="Q1513" s="1048" t="s">
        <v>234</v>
      </c>
      <c r="R1513" s="1049" t="str">
        <f>IF(I1513="","",INDEX(CNTR_SubInstStartDate,MATCH($I1513,CNTR_SubInstListNames,0)))</f>
        <v/>
      </c>
      <c r="S1513" s="1050" t="b">
        <f>IF($I1513="",FALSE,AND(I$1885, IF($R1513&lt;DATE($L$1882,1,1),YEAR($R1513)&lt;=I$1882,YEAR($R1513-1)&lt;I$1882) ) )</f>
        <v>0</v>
      </c>
      <c r="T1513" s="1050" t="b">
        <f>IF($I1513="",FALSE,AND(J$1885, IF($R1513&lt;DATE($L$1882,1,1),YEAR($R1513)&lt;=J$1882,YEAR($R1513-1)&lt;J$1882) ) )</f>
        <v>0</v>
      </c>
      <c r="U1513" s="1050" t="b">
        <f>IF($I1513="",FALSE,AND(K$1885, IF($R1513&lt;DATE($L$1882,1,1),YEAR($R1513)&lt;=K$1882,YEAR($R1513-1)&lt;K$1882) ) )</f>
        <v>0</v>
      </c>
      <c r="V1513" s="1050" t="b">
        <f>IF($I1513="",FALSE,AND(L$1885, IF($R1513&lt;DATE($L$1882,1,1),YEAR($R1513)&lt;=L$1882,YEAR($R1513-1)&lt;L$1882) ) )</f>
        <v>0</v>
      </c>
      <c r="W1513" s="1050" t="b">
        <f>IF($I1513="",FALSE,AND(M$1885, IF($R1513&lt;DATE($L$1882,1,1),YEAR($R1513)&lt;=M$1882,YEAR($R1513-1)&lt;M$1882) ) )</f>
        <v>0</v>
      </c>
      <c r="Z1513" s="736" t="s">
        <v>550</v>
      </c>
      <c r="AA1513" s="738" t="b">
        <f>AND(CNTR_ExistSubInstEntries,I1513="")</f>
        <v>1</v>
      </c>
    </row>
    <row r="1514" spans="2:27" ht="5.0999999999999996" customHeight="1" x14ac:dyDescent="0.2">
      <c r="B1514" s="207"/>
      <c r="C1514" s="207"/>
      <c r="D1514" s="207"/>
      <c r="E1514" s="207"/>
      <c r="F1514" s="207"/>
      <c r="G1514" s="207"/>
      <c r="H1514" s="207"/>
      <c r="I1514" s="207"/>
      <c r="J1514" s="207"/>
      <c r="K1514" s="207"/>
      <c r="L1514" s="207"/>
      <c r="M1514" s="16"/>
      <c r="N1514" s="16"/>
      <c r="O1514" s="16"/>
      <c r="P1514" s="1037"/>
      <c r="R1514" s="1037"/>
      <c r="S1514" s="1037"/>
    </row>
    <row r="1515" spans="2:27" ht="12.75" customHeight="1" x14ac:dyDescent="0.2">
      <c r="B1515" s="207"/>
      <c r="C1515" s="207"/>
      <c r="D1515" s="207"/>
      <c r="E1515" s="1622" t="str">
        <f>CONCATENATE(EUconst_MsgSeeFirst," (F.I.1)")</f>
        <v>Szczegółowe instrukcje dotyczące wprowadzania danych w tym narzędziu znajdują się w pierwszej kopii tego narzędzia.  (F.I.1)</v>
      </c>
      <c r="F1515" s="1622"/>
      <c r="G1515" s="1622"/>
      <c r="H1515" s="1622"/>
      <c r="I1515" s="1622"/>
      <c r="J1515" s="1622"/>
      <c r="K1515" s="1622"/>
      <c r="L1515" s="1622"/>
      <c r="M1515" s="1622"/>
      <c r="N1515" s="1622"/>
      <c r="O1515" s="16"/>
      <c r="P1515" s="1037"/>
      <c r="R1515" s="1037"/>
      <c r="S1515" s="1037"/>
    </row>
    <row r="1516" spans="2:27" ht="5.0999999999999996" customHeight="1" x14ac:dyDescent="0.2">
      <c r="B1516" s="207"/>
      <c r="C1516" s="207"/>
      <c r="D1516" s="207"/>
      <c r="E1516" s="207"/>
      <c r="F1516" s="207"/>
      <c r="G1516" s="207"/>
      <c r="H1516" s="207"/>
      <c r="I1516" s="207"/>
      <c r="J1516" s="207"/>
      <c r="K1516" s="207"/>
      <c r="L1516" s="207"/>
      <c r="M1516" s="16"/>
      <c r="N1516" s="16"/>
      <c r="O1516" s="16"/>
      <c r="P1516" s="1037"/>
      <c r="R1516" s="1037"/>
      <c r="S1516" s="1037"/>
    </row>
    <row r="1517" spans="2:27" ht="13.5" thickBot="1" x14ac:dyDescent="0.25">
      <c r="B1517" s="207"/>
      <c r="C1517" s="207"/>
      <c r="D1517" s="14" t="s">
        <v>173</v>
      </c>
      <c r="E1517" s="1375" t="str">
        <f>Translations!$B$670</f>
        <v>Historyczne poziomy działalności</v>
      </c>
      <c r="F1517" s="1370"/>
      <c r="G1517" s="1370"/>
      <c r="H1517" s="1370"/>
      <c r="I1517" s="1370"/>
      <c r="J1517" s="1370"/>
      <c r="K1517" s="1370"/>
      <c r="L1517" s="1370"/>
      <c r="M1517" s="1370"/>
      <c r="N1517" s="1370"/>
      <c r="O1517" s="16"/>
      <c r="P1517" s="1037"/>
      <c r="R1517" s="1037"/>
      <c r="S1517" s="1037"/>
    </row>
    <row r="1518" spans="2:27" ht="13.5" customHeight="1" thickBot="1" x14ac:dyDescent="0.25">
      <c r="B1518" s="20"/>
      <c r="C1518" s="20"/>
      <c r="D1518" s="14"/>
      <c r="E1518" s="1430" t="str">
        <f>Translations!$B$676</f>
        <v>Roczne poziomy działalności:</v>
      </c>
      <c r="F1518" s="1430"/>
      <c r="G1518" s="1430"/>
      <c r="H1518" s="34" t="str">
        <f>EUconst_Unit</f>
        <v>Jednostka</v>
      </c>
      <c r="I1518" s="396">
        <f>I$1882</f>
        <v>2014</v>
      </c>
      <c r="J1518" s="396">
        <f>J$1882</f>
        <v>2015</v>
      </c>
      <c r="K1518" s="396">
        <f>K$1882</f>
        <v>2016</v>
      </c>
      <c r="L1518" s="396">
        <f>L$1882</f>
        <v>2017</v>
      </c>
      <c r="M1518" s="421">
        <f>M$1882</f>
        <v>2018</v>
      </c>
      <c r="N1518" s="888" t="str">
        <f>IF(I1513="","",IF(S1523,YEAR(R1513)+1,""))</f>
        <v/>
      </c>
      <c r="O1518" s="16"/>
      <c r="P1518" s="1037"/>
      <c r="Q1518" s="424" t="s">
        <v>432</v>
      </c>
      <c r="R1518" s="276"/>
      <c r="S1518" s="276"/>
      <c r="T1518" s="276"/>
      <c r="U1518" s="276"/>
      <c r="V1518" s="276"/>
      <c r="W1518" s="277"/>
      <c r="Y1518" s="788" t="b">
        <f>IF(CNTR_ExistSubInstEntries,IF(I1513&lt;&gt;"",NOT(S1523),TRUE),FALSE)</f>
        <v>1</v>
      </c>
      <c r="AA1518" s="422" t="s">
        <v>272</v>
      </c>
    </row>
    <row r="1519" spans="2:27" ht="13.5" thickBot="1" x14ac:dyDescent="0.25">
      <c r="B1519" s="20"/>
      <c r="C1519" s="20"/>
      <c r="D1519" s="195" t="s">
        <v>2</v>
      </c>
      <c r="E1519" s="1801" t="str">
        <f>I1513</f>
        <v/>
      </c>
      <c r="F1519" s="1801"/>
      <c r="G1519" s="1801"/>
      <c r="H1519" s="98" t="str">
        <f>IF(INDEX(CNTR_SubInstListIsProdBM,$C1513),INDEX(CNTR_SubInstListHALUnit,$C1513),EUconst_Tons)</f>
        <v>tony</v>
      </c>
      <c r="I1519" s="591"/>
      <c r="J1519" s="591"/>
      <c r="K1519" s="591"/>
      <c r="L1519" s="591"/>
      <c r="M1519" s="886"/>
      <c r="N1519" s="889"/>
      <c r="O1519" s="16"/>
      <c r="P1519" s="164" t="s">
        <v>237</v>
      </c>
      <c r="Q1519" s="1238" t="s">
        <v>2190</v>
      </c>
      <c r="R1519" s="187" t="s">
        <v>437</v>
      </c>
      <c r="S1519" s="442">
        <f>I1518</f>
        <v>2014</v>
      </c>
      <c r="T1519" s="443">
        <f>J1518</f>
        <v>2015</v>
      </c>
      <c r="U1519" s="443">
        <f>K1518</f>
        <v>2016</v>
      </c>
      <c r="V1519" s="443">
        <f>L1518</f>
        <v>2017</v>
      </c>
      <c r="W1519" s="444">
        <f>M1518</f>
        <v>2018</v>
      </c>
      <c r="Y1519" s="963" t="b">
        <f>IF(CNTR_ExistSubInstEntries,IF(AND(I1513&lt;&gt;"",N1520=""),NOT(S1523),TRUE),FALSE)</f>
        <v>1</v>
      </c>
      <c r="Z1519" s="422"/>
      <c r="AA1519" s="646" t="b">
        <f>IF(CNTR_ExistSubInstEntries,AND(I1513&lt;&gt;"",Q1523),FALSE)</f>
        <v>0</v>
      </c>
    </row>
    <row r="1520" spans="2:27" ht="13.5" thickBot="1" x14ac:dyDescent="0.25">
      <c r="B1520" s="20"/>
      <c r="C1520" s="20"/>
      <c r="D1520" s="195" t="s">
        <v>3</v>
      </c>
      <c r="E1520" s="1801" t="str">
        <f>Translations!$B$677</f>
        <v>Z arkusza „H_SpecialBM”:</v>
      </c>
      <c r="F1520" s="1801"/>
      <c r="G1520" s="1801"/>
      <c r="H1520" s="98" t="str">
        <f>H1519</f>
        <v>tony</v>
      </c>
      <c r="I1520" s="321" t="str">
        <f>IF($I1513="","",IF($Q1523,SUMIF(H_SpecialBM!$P$9:$P$384,$P1520,H_SpecialBM!I$9:I$384),""))</f>
        <v/>
      </c>
      <c r="J1520" s="321" t="str">
        <f>IF($I1513="","",IF($Q1523,SUMIF(H_SpecialBM!$P$9:$P$384,$P1520,H_SpecialBM!J$9:J$384),""))</f>
        <v/>
      </c>
      <c r="K1520" s="321" t="str">
        <f>IF($I1513="","",IF($Q1523,SUMIF(H_SpecialBM!$P$9:$P$384,$P1520,H_SpecialBM!K$9:K$384),""))</f>
        <v/>
      </c>
      <c r="L1520" s="321" t="str">
        <f>IF($I1513="","",IF($Q1523,SUMIF(H_SpecialBM!$P$9:$P$384,$P1520,H_SpecialBM!L$9:L$384),""))</f>
        <v/>
      </c>
      <c r="M1520" s="887" t="str">
        <f>IF($I1513="","",IF($Q1523,SUMIF(H_SpecialBM!$P$9:$P$384,$P1520,H_SpecialBM!M$9:M$384),""))</f>
        <v/>
      </c>
      <c r="N1520" s="890" t="str">
        <f>IF($I1513="","",IF(AND($Q1523,$S1523),SUMIF(H_SpecialBM!$P$9:$P$384,$P1520,H_SpecialBM!N$9:N$384),""))</f>
        <v/>
      </c>
      <c r="O1520" s="16"/>
      <c r="P1520" s="1051" t="str">
        <f>EUconst_CNTR_HALspecial&amp;I1513</f>
        <v>HALspecial_</v>
      </c>
      <c r="Q1520" s="179" t="str">
        <f>IF(COUNT($U1520:$V1520)&gt;0,SUM($U1520:$V1520),"")</f>
        <v/>
      </c>
      <c r="R1520" s="439" t="str">
        <f>IF(COUNT(S1520:W1520)&gt;0,AVERAGE(S1520:W1520),"")</f>
        <v/>
      </c>
      <c r="S1520" s="440" t="str">
        <f>IF(S1513,IF(ISNUMBER(I1520),I1520,""),"")</f>
        <v/>
      </c>
      <c r="T1520" s="441" t="str">
        <f>IF(T1513,IF(ISNUMBER(J1520),J1520,""),"")</f>
        <v/>
      </c>
      <c r="U1520" s="441" t="str">
        <f>IF(U1513,IF(ISNUMBER(K1520),K1520,""),"")</f>
        <v/>
      </c>
      <c r="V1520" s="441" t="str">
        <f>IF(V1513,IF(ISNUMBER(L1520),L1520,""),"")</f>
        <v/>
      </c>
      <c r="W1520" s="439" t="str">
        <f>IF(W1513,IF(ISNUMBER(M1520),M1520,""),"")</f>
        <v/>
      </c>
      <c r="Y1520" s="777" t="b">
        <f>OR(Y1518,AA1520)</f>
        <v>1</v>
      </c>
      <c r="AA1520" s="723" t="b">
        <f>Q1523=FALSE</f>
        <v>0</v>
      </c>
    </row>
    <row r="1521" spans="1:27" ht="13.5" thickBot="1" x14ac:dyDescent="0.25">
      <c r="B1521" s="20"/>
      <c r="C1521" s="20"/>
      <c r="D1521" s="195" t="s">
        <v>4</v>
      </c>
      <c r="E1521" s="1801" t="str">
        <f>Translations!$B$678</f>
        <v>Wartości użyte do obliczenia:</v>
      </c>
      <c r="F1521" s="1801"/>
      <c r="G1521" s="1801"/>
      <c r="H1521" s="98" t="str">
        <f>H1520</f>
        <v>tony</v>
      </c>
      <c r="I1521" s="321" t="str">
        <f>IF($I1513="","",IF($Q1523=TRUE,IF(ISNUMBER(I1520),I1520,0),IF(ISNUMBER(I1519),I1519,0)))</f>
        <v/>
      </c>
      <c r="J1521" s="321" t="str">
        <f>IF($I1513="","",IF($Q1523=TRUE,IF(ISNUMBER(J1520),J1520,0),IF(ISNUMBER(J1519),J1519,0)))</f>
        <v/>
      </c>
      <c r="K1521" s="321" t="str">
        <f>IF($I1513="","",IF($Q1523=TRUE,IF(ISNUMBER(K1520),K1520,0),IF(ISNUMBER(K1519),K1519,0)))</f>
        <v/>
      </c>
      <c r="L1521" s="321" t="str">
        <f>IF($I1513="","",IF($Q1523=TRUE,IF(ISNUMBER(L1520),L1520,0),IF(ISNUMBER(L1519),L1519,0)))</f>
        <v/>
      </c>
      <c r="M1521" s="887" t="str">
        <f>IF($I1513="","",IF($Q1523=TRUE,IF(ISNUMBER(M1520),M1520,0),IF(ISNUMBER(M1519),M1519,0)))</f>
        <v/>
      </c>
      <c r="N1521" s="890" t="str">
        <f>IF($I1513="","",IF(S1523,IF($Q1523=TRUE,IF(ISNUMBER(N1520),N1520,0),IF(ISNUMBER(N1519),N1519,0)),""))</f>
        <v/>
      </c>
      <c r="O1521" s="16"/>
      <c r="P1521" s="1051" t="str">
        <f>EUconst_CNTR_HAL&amp;I1513</f>
        <v>HAL_</v>
      </c>
      <c r="Q1521" s="168" t="str">
        <f>IF(COUNT($U1521:$V1521)&gt;0,SUM($U1521:$V1521),"")</f>
        <v/>
      </c>
      <c r="R1521" s="120" t="str">
        <f>IF(COUNT(S1521:W1521)&gt;0,AVERAGE(S1521:W1521),"")</f>
        <v/>
      </c>
      <c r="S1521" s="118" t="str">
        <f>IF(S1513,IF(ISNUMBER(I1521),I1521,""),"")</f>
        <v/>
      </c>
      <c r="T1521" s="119" t="str">
        <f>IF(T1513,IF(ISNUMBER(J1521),J1521,""),"")</f>
        <v/>
      </c>
      <c r="U1521" s="119" t="str">
        <f>IF(U1513,IF(ISNUMBER(K1521),K1521,""),"")</f>
        <v/>
      </c>
      <c r="V1521" s="119" t="str">
        <f>IF(V1513,IF(ISNUMBER(L1521),L1521,""),"")</f>
        <v/>
      </c>
      <c r="W1521" s="120" t="str">
        <f>IF(W1513,IF(ISNUMBER(M1521),M1521,""),"")</f>
        <v/>
      </c>
      <c r="Y1521" s="168" t="b">
        <f>Y1518</f>
        <v>1</v>
      </c>
    </row>
    <row r="1522" spans="1:27" ht="5.0999999999999996" customHeight="1" x14ac:dyDescent="0.2">
      <c r="B1522" s="207"/>
      <c r="C1522" s="207"/>
      <c r="D1522" s="207"/>
      <c r="E1522" s="207"/>
      <c r="F1522" s="207"/>
      <c r="G1522" s="207"/>
      <c r="H1522" s="207"/>
      <c r="I1522" s="207"/>
      <c r="J1522" s="207"/>
      <c r="K1522" s="207"/>
      <c r="L1522" s="207"/>
      <c r="M1522" s="16"/>
      <c r="N1522" s="16"/>
      <c r="O1522" s="16"/>
      <c r="P1522" s="1037"/>
      <c r="R1522" s="1037"/>
      <c r="S1522" s="1037"/>
    </row>
    <row r="1523" spans="1:27" x14ac:dyDescent="0.2">
      <c r="B1523" s="207"/>
      <c r="C1523" s="207"/>
      <c r="D1523" s="14" t="s">
        <v>353</v>
      </c>
      <c r="E1523" s="1375" t="str">
        <f>Translations!$B$679</f>
        <v>Szczególne wymogi w zakresie raportowania:</v>
      </c>
      <c r="F1523" s="1375"/>
      <c r="G1523" s="1637"/>
      <c r="H1523" s="1796" t="str">
        <f>IF(I1513="","",HYPERLINK(INDEX(EUconst_BMlistSpecialJumpTable,MATCH(I1513,EUconst_BMlistNames,0)),INDEX(EUconst_BMlistSpecialReporting,MATCH(I1513,EUconst_BMlistNames,0))))</f>
        <v/>
      </c>
      <c r="I1523" s="1802"/>
      <c r="J1523" s="1802"/>
      <c r="K1523" s="1802"/>
      <c r="L1523" s="1802"/>
      <c r="M1523" s="1802"/>
      <c r="N1523" s="1803"/>
      <c r="O1523" s="16"/>
      <c r="P1523" s="1048" t="s">
        <v>38</v>
      </c>
      <c r="Q1523" s="116" t="str">
        <f>IF(I1513="","",IF(AND(INDEX(EUconst_BMlistSpecialJumpTable,MATCH(I1513,EUconst_BMlistNames,0))&lt;&gt;"",MATCH(I1513,EUconst_BMlistNames,0)&lt;&gt;47),TRUE,FALSE))</f>
        <v/>
      </c>
      <c r="R1523" s="1048" t="s">
        <v>598</v>
      </c>
      <c r="S1523" s="116" t="b">
        <f>IF(I1513="",FALSE,INDEX(CNTR_SubInstLess1Year,MATCH(I1513,CNTR_SubInstListNames,0)))</f>
        <v>0</v>
      </c>
    </row>
    <row r="1524" spans="1:27" ht="12.75" customHeight="1" x14ac:dyDescent="0.2">
      <c r="B1524" s="207"/>
      <c r="C1524" s="207"/>
      <c r="D1524" s="207"/>
      <c r="E1524" s="207"/>
      <c r="F1524" s="207"/>
      <c r="G1524" s="207"/>
      <c r="H1524" s="207"/>
      <c r="I1524" s="207"/>
      <c r="J1524" s="207"/>
      <c r="K1524" s="207"/>
      <c r="L1524" s="207"/>
      <c r="M1524" s="207"/>
      <c r="N1524" s="207"/>
      <c r="O1524" s="16"/>
      <c r="P1524" s="1037"/>
      <c r="R1524" s="1037"/>
      <c r="S1524" s="1037"/>
    </row>
    <row r="1525" spans="1:27" ht="15" customHeight="1" x14ac:dyDescent="0.2">
      <c r="B1525" s="20"/>
      <c r="C1525" s="208"/>
      <c r="D1525" s="1439" t="str">
        <f>Translations!$B$681</f>
        <v>Dodatkowe współczynniki korygujące</v>
      </c>
      <c r="E1525" s="1370"/>
      <c r="F1525" s="1370"/>
      <c r="G1525" s="1370"/>
      <c r="H1525" s="1370"/>
      <c r="I1525" s="1370"/>
      <c r="J1525" s="1370"/>
      <c r="K1525" s="1370"/>
      <c r="L1525" s="1370"/>
      <c r="M1525" s="1370"/>
      <c r="N1525" s="1370"/>
      <c r="O1525" s="16"/>
      <c r="R1525" s="1037"/>
      <c r="S1525" s="1037"/>
    </row>
    <row r="1526" spans="1:27" ht="5.0999999999999996" customHeight="1" x14ac:dyDescent="0.2">
      <c r="B1526" s="207"/>
      <c r="C1526" s="207"/>
      <c r="D1526" s="207"/>
      <c r="E1526" s="207"/>
      <c r="F1526" s="207"/>
      <c r="G1526" s="207"/>
      <c r="H1526" s="207"/>
      <c r="I1526" s="207"/>
      <c r="J1526" s="207"/>
      <c r="K1526" s="207"/>
      <c r="L1526" s="207"/>
      <c r="M1526" s="207"/>
      <c r="N1526" s="207"/>
      <c r="O1526" s="16"/>
      <c r="P1526" s="1037"/>
      <c r="R1526" s="1037"/>
      <c r="S1526" s="1037"/>
    </row>
    <row r="1527" spans="1:27" ht="13.5" thickBot="1" x14ac:dyDescent="0.25">
      <c r="B1527" s="20"/>
      <c r="C1527" s="20"/>
      <c r="D1527" s="14" t="s">
        <v>11</v>
      </c>
      <c r="E1527" s="1375" t="str">
        <f>Translations!$B$682</f>
        <v>Zamienność paliw i energii elektrycznej:</v>
      </c>
      <c r="F1527" s="1370"/>
      <c r="G1527" s="1370"/>
      <c r="H1527" s="1370"/>
      <c r="I1527" s="1432"/>
      <c r="J1527" s="1796" t="str">
        <f>IF(I1513="","",IF(INDEX(EUconst_BMlistElExchangability,MATCH(I1513,EUconst_BMlistNames,0))=TRUE,"",HYPERLINK(Q1527,EUconst_MsgGoOn)))</f>
        <v/>
      </c>
      <c r="K1527" s="1797"/>
      <c r="L1527" s="1797"/>
      <c r="M1527" s="1797"/>
      <c r="N1527" s="1798"/>
      <c r="O1527" s="16"/>
      <c r="P1527" s="2" t="s">
        <v>199</v>
      </c>
      <c r="Q1527" s="346" t="str">
        <f>"#"&amp;ADDRESS(ROW(D1535),COLUMN(D1535))</f>
        <v>#$D$1535</v>
      </c>
      <c r="R1527" s="1037"/>
      <c r="S1527" s="1037"/>
    </row>
    <row r="1528" spans="1:27" s="701" customFormat="1" ht="13.5" thickBot="1" x14ac:dyDescent="0.25">
      <c r="A1528" s="422"/>
      <c r="B1528" s="398"/>
      <c r="C1528" s="398"/>
      <c r="D1528" s="14"/>
      <c r="E1528" s="1430" t="str">
        <f>Translations!$B$686</f>
        <v>Parametr</v>
      </c>
      <c r="F1528" s="1377"/>
      <c r="G1528" s="1377"/>
      <c r="H1528" s="34" t="str">
        <f>EUconst_Unit</f>
        <v>Jednostka</v>
      </c>
      <c r="I1528" s="396">
        <f>I$66</f>
        <v>2014</v>
      </c>
      <c r="J1528" s="396">
        <f>J$66</f>
        <v>2015</v>
      </c>
      <c r="K1528" s="396">
        <f>K$66</f>
        <v>2016</v>
      </c>
      <c r="L1528" s="396">
        <f>L$66</f>
        <v>2017</v>
      </c>
      <c r="M1528" s="421">
        <f>M$66</f>
        <v>2018</v>
      </c>
      <c r="N1528" s="888" t="str">
        <f>IF(AA1529=FALSE,N1518,"")</f>
        <v/>
      </c>
      <c r="O1528" s="16"/>
      <c r="P1528" s="422"/>
      <c r="Q1528" s="422"/>
      <c r="R1528" s="1037"/>
      <c r="S1528" s="1037"/>
      <c r="T1528" s="1037"/>
      <c r="U1528" s="1037"/>
      <c r="V1528" s="1037"/>
      <c r="W1528" s="1037"/>
      <c r="X1528" s="1037"/>
      <c r="Y1528" s="788" t="b">
        <f>OR(Y1518,AA1529)</f>
        <v>1</v>
      </c>
      <c r="Z1528" s="422"/>
      <c r="AA1528" s="1037" t="s">
        <v>381</v>
      </c>
    </row>
    <row r="1529" spans="1:27" s="701" customFormat="1" ht="13.5" thickBot="1" x14ac:dyDescent="0.25">
      <c r="A1529" s="422"/>
      <c r="B1529" s="398"/>
      <c r="C1529" s="398"/>
      <c r="D1529" s="425" t="s">
        <v>2</v>
      </c>
      <c r="E1529" s="1569" t="str">
        <f>Translations!$B$687</f>
        <v>Emisje bezpośrednie</v>
      </c>
      <c r="F1529" s="1569"/>
      <c r="G1529" s="1569"/>
      <c r="H1529" s="581" t="str">
        <f>EUconst_tCO2pa</f>
        <v>t CO2 / rok</v>
      </c>
      <c r="I1529" s="818"/>
      <c r="J1529" s="818"/>
      <c r="K1529" s="819"/>
      <c r="L1529" s="818"/>
      <c r="M1529" s="891"/>
      <c r="N1529" s="903"/>
      <c r="O1529" s="16"/>
      <c r="P1529" s="422"/>
      <c r="Q1529" s="422"/>
      <c r="R1529" s="1037"/>
      <c r="S1529" s="1037"/>
      <c r="T1529" s="1037"/>
      <c r="U1529" s="1037"/>
      <c r="V1529" s="1037"/>
      <c r="W1529" s="1037"/>
      <c r="X1529" s="1037"/>
      <c r="Y1529" s="715" t="b">
        <f>Y1528</f>
        <v>1</v>
      </c>
      <c r="Z1529" s="422"/>
      <c r="AA1529" s="788" t="b">
        <f>IF(CNTR_ExistSubInstEntries,IF(I1513&lt;&gt;"",IF(INDEX(EUconst_BMlistElExchangability,MATCH(I1513,EUconst_BMlistNames,0)),FALSE,TRUE),TRUE),FALSE)</f>
        <v>1</v>
      </c>
    </row>
    <row r="1530" spans="1:27" s="701" customFormat="1" x14ac:dyDescent="0.2">
      <c r="A1530" s="422"/>
      <c r="B1530" s="398"/>
      <c r="C1530" s="398"/>
      <c r="D1530" s="425" t="s">
        <v>3</v>
      </c>
      <c r="E1530" s="1482" t="str">
        <f>Translations!$B$688</f>
        <v>Ciepło wprowadzone netto</v>
      </c>
      <c r="F1530" s="1482"/>
      <c r="G1530" s="1482"/>
      <c r="H1530" s="584" t="str">
        <f>EUconst_TJpa</f>
        <v>TJ / rok</v>
      </c>
      <c r="I1530" s="585" t="str">
        <f>IF($I1513&lt;&gt;"",IF(INDEX(EUconst_BMlistElExchangability,MATCH($I1513,EUconst_BMlistNames,0)),SUM(I1614),""),"")</f>
        <v/>
      </c>
      <c r="J1530" s="585" t="str">
        <f>IF($I1513&lt;&gt;"",IF(INDEX(EUconst_BMlistElExchangability,MATCH($I1513,EUconst_BMlistNames,0)),SUM(J1614),""),"")</f>
        <v/>
      </c>
      <c r="K1530" s="585" t="str">
        <f>IF($I1513&lt;&gt;"",IF(INDEX(EUconst_BMlistElExchangability,MATCH($I1513,EUconst_BMlistNames,0)),SUM(K1614),""),"")</f>
        <v/>
      </c>
      <c r="L1530" s="585" t="str">
        <f>IF($I1513&lt;&gt;"",IF(INDEX(EUconst_BMlistElExchangability,MATCH($I1513,EUconst_BMlistNames,0)),SUM(L1614),""),"")</f>
        <v/>
      </c>
      <c r="M1530" s="892" t="str">
        <f>IF($I1513&lt;&gt;"",IF(INDEX(EUconst_BMlistElExchangability,MATCH($I1513,EUconst_BMlistNames,0)),SUM(M1614),""),"")</f>
        <v/>
      </c>
      <c r="N1530" s="904"/>
      <c r="O1530" s="16"/>
      <c r="P1530" s="422"/>
      <c r="Q1530" s="422"/>
      <c r="R1530" s="1052"/>
      <c r="S1530" s="814">
        <f>I1528</f>
        <v>2014</v>
      </c>
      <c r="T1530" s="814">
        <f>J1528</f>
        <v>2015</v>
      </c>
      <c r="U1530" s="814">
        <f>K1528</f>
        <v>2016</v>
      </c>
      <c r="V1530" s="814">
        <f>L1528</f>
        <v>2017</v>
      </c>
      <c r="W1530" s="815">
        <f>M1528</f>
        <v>2018</v>
      </c>
      <c r="X1530" s="422"/>
      <c r="Y1530" s="715" t="b">
        <f>Y1529</f>
        <v>1</v>
      </c>
      <c r="Z1530" s="422"/>
      <c r="AA1530" s="715" t="b">
        <f>AA1529</f>
        <v>1</v>
      </c>
    </row>
    <row r="1531" spans="1:27" s="701" customFormat="1" ht="12.75" customHeight="1" thickBot="1" x14ac:dyDescent="0.25">
      <c r="A1531" s="422"/>
      <c r="B1531" s="398"/>
      <c r="C1531" s="398"/>
      <c r="D1531" s="425" t="s">
        <v>4</v>
      </c>
      <c r="E1531" s="1799" t="str">
        <f>Translations!$B$689</f>
        <v>Odpowiednie zużycie energii elektrycznej</v>
      </c>
      <c r="F1531" s="1800"/>
      <c r="G1531" s="1800"/>
      <c r="H1531" s="611" t="str">
        <f>EUconst_MWhpa</f>
        <v>MWh / rok</v>
      </c>
      <c r="I1531" s="612"/>
      <c r="J1531" s="612"/>
      <c r="K1531" s="612"/>
      <c r="L1531" s="612"/>
      <c r="M1531" s="893"/>
      <c r="N1531" s="896"/>
      <c r="O1531" s="16"/>
      <c r="P1531" s="185" t="str">
        <f>EUconst_CNTR_HAL&amp;EUconst_CNTR_ELEXCH</f>
        <v>HAL_ELEXCH_</v>
      </c>
      <c r="Q1531" s="185" t="str">
        <f>EUconst_CNTR_HAL&amp;EUconst_CNTR_ELEXCH &amp; I1513</f>
        <v>HAL_ELEXCH_</v>
      </c>
      <c r="R1531" s="1053" t="str">
        <f>EUconst_CNTR_AttributedEmissions &amp; I1513</f>
        <v>AttrEmissions_</v>
      </c>
      <c r="S1531" s="119" t="str">
        <f>IF(S1513,SUM(I1531)*EUconst_ElBM,"")</f>
        <v/>
      </c>
      <c r="T1531" s="119" t="str">
        <f>IF(T1513,SUM(J1531)*EUconst_ElBM,"")</f>
        <v/>
      </c>
      <c r="U1531" s="119" t="str">
        <f>IF(U1513,SUM(K1531)*EUconst_ElBM,"")</f>
        <v/>
      </c>
      <c r="V1531" s="119" t="str">
        <f>IF(V1513,SUM(L1531)*EUconst_ElBM,"")</f>
        <v/>
      </c>
      <c r="W1531" s="120" t="str">
        <f>IF(W1513,SUM(M1531)*EUconst_ElBM,"")</f>
        <v/>
      </c>
      <c r="X1531" s="422" t="str">
        <f>N1528</f>
        <v/>
      </c>
      <c r="Y1531" s="715" t="b">
        <f>Y1530</f>
        <v>1</v>
      </c>
      <c r="Z1531" s="422"/>
      <c r="AA1531" s="715" t="b">
        <f>AA1530</f>
        <v>1</v>
      </c>
    </row>
    <row r="1532" spans="1:27" s="701" customFormat="1" ht="13.5" thickBot="1" x14ac:dyDescent="0.25">
      <c r="A1532" s="422"/>
      <c r="B1532" s="398"/>
      <c r="C1532" s="398"/>
      <c r="D1532" s="425" t="s">
        <v>6</v>
      </c>
      <c r="E1532" s="1569" t="str">
        <f>Translations!$B$690</f>
        <v>Całkowite emisje bezpośrednie</v>
      </c>
      <c r="F1532" s="1569"/>
      <c r="G1532" s="1569"/>
      <c r="H1532" s="581" t="str">
        <f>EUconst_tCO2pa</f>
        <v>t CO2 / rok</v>
      </c>
      <c r="I1532" s="582" t="str">
        <f>IF(ISNUMBER(I1529),I1529+SUM(I1530)*EUconst_HeatBMvalue,"")</f>
        <v/>
      </c>
      <c r="J1532" s="582" t="str">
        <f>IF(ISNUMBER(J1529),J1529+SUM(J1530)*EUconst_HeatBMvalue,"")</f>
        <v/>
      </c>
      <c r="K1532" s="583" t="str">
        <f>IF(ISNUMBER(K1529),K1529+SUM(K1530)*EUconst_HeatBMvalue,"")</f>
        <v/>
      </c>
      <c r="L1532" s="582" t="str">
        <f>IF(ISNUMBER(L1529),L1529+SUM(L1530)*EUconst_HeatBMvalue,"")</f>
        <v/>
      </c>
      <c r="M1532" s="894" t="str">
        <f>IF(ISNUMBER(M1529),M1529+SUM(M1530)*EUconst_HeatBMvalue,"")</f>
        <v/>
      </c>
      <c r="N1532" s="897" t="str">
        <f>IF(AND(S1523,ISNUMBER(N1529)),N1529+SUM(N1530)*EUconst_HeatBMvalue,"")</f>
        <v/>
      </c>
      <c r="O1532" s="16"/>
      <c r="P1532" s="422"/>
      <c r="Q1532" s="422"/>
      <c r="R1532" s="1048" t="s">
        <v>557</v>
      </c>
      <c r="S1532" s="905" t="str">
        <f>IF(S1513,IF(ISNUMBER(I1532),I1532,0),"")</f>
        <v/>
      </c>
      <c r="T1532" s="906" t="str">
        <f>IF(T1513,IF(ISNUMBER(J1532),J1532,0),"")</f>
        <v/>
      </c>
      <c r="U1532" s="906" t="str">
        <f>IF(U1513,IF(ISNUMBER(K1532),K1532,0),"")</f>
        <v/>
      </c>
      <c r="V1532" s="906" t="str">
        <f>IF(V1513,IF(ISNUMBER(L1532),L1532,0),"")</f>
        <v/>
      </c>
      <c r="W1532" s="907" t="str">
        <f>IF(W1513,IF(ISNUMBER(M1532),M1532,0),"")</f>
        <v/>
      </c>
      <c r="X1532" s="911" t="str">
        <f>IF(S1523,IF(ISNUMBER(N1532),N1532,0),"")</f>
        <v/>
      </c>
      <c r="Y1532" s="715" t="b">
        <f>Y1531</f>
        <v>1</v>
      </c>
      <c r="Z1532" s="422"/>
      <c r="AA1532" s="715" t="b">
        <f>AA1531</f>
        <v>1</v>
      </c>
    </row>
    <row r="1533" spans="1:27" s="701" customFormat="1" ht="13.5" thickBot="1" x14ac:dyDescent="0.25">
      <c r="A1533" s="422"/>
      <c r="B1533" s="398"/>
      <c r="C1533" s="398"/>
      <c r="D1533" s="425" t="s">
        <v>316</v>
      </c>
      <c r="E1533" s="1493" t="str">
        <f>Translations!$B$691</f>
        <v>Emisje pośrednie</v>
      </c>
      <c r="F1533" s="1493"/>
      <c r="G1533" s="1493"/>
      <c r="H1533" s="586" t="str">
        <f>EUconst_tCO2pa</f>
        <v>t CO2 / rok</v>
      </c>
      <c r="I1533" s="587" t="str">
        <f t="shared" ref="I1533:N1533" si="32">IF(ISNUMBER(I1531),I1531*EUconst_ElBM,"")</f>
        <v/>
      </c>
      <c r="J1533" s="587" t="str">
        <f t="shared" si="32"/>
        <v/>
      </c>
      <c r="K1533" s="588" t="str">
        <f t="shared" si="32"/>
        <v/>
      </c>
      <c r="L1533" s="587" t="str">
        <f t="shared" si="32"/>
        <v/>
      </c>
      <c r="M1533" s="895" t="str">
        <f t="shared" si="32"/>
        <v/>
      </c>
      <c r="N1533" s="898" t="str">
        <f t="shared" si="32"/>
        <v/>
      </c>
      <c r="O1533" s="16"/>
      <c r="P1533" s="912" t="str">
        <f>EUconst_CNTR_ELEXCH &amp; I1513</f>
        <v>ELEXCH_</v>
      </c>
      <c r="Q1533" s="913" t="str">
        <f>IF(SUM(S1533:X1533)&lt;&gt;0,SUM(S1532:X1532)/SUM(S1533:X1533),EUconst_NA)</f>
        <v>Nie dotyczy</v>
      </c>
      <c r="R1533" s="1048" t="s">
        <v>326</v>
      </c>
      <c r="S1533" s="908" t="str">
        <f>IF(S1513,IF(COUNT(I1532:I1533)&gt;0,SUM(I1532:I1533),0),"")</f>
        <v/>
      </c>
      <c r="T1533" s="909" t="str">
        <f>IF(T1513,IF(COUNT(J1532:J1533)&gt;0,SUM(J1532:J1533),0),"")</f>
        <v/>
      </c>
      <c r="U1533" s="909" t="str">
        <f>IF(U1513,IF(COUNT(K1532:K1533)&gt;0,SUM(K1532:K1533),0),"")</f>
        <v/>
      </c>
      <c r="V1533" s="909" t="str">
        <f>IF(V1513,IF(COUNT(L1532:L1533)&gt;0,SUM(L1532:L1533),0),"")</f>
        <v/>
      </c>
      <c r="W1533" s="910" t="str">
        <f>IF(W1513,IF(COUNT(M1532:M1533)&gt;0,SUM(M1532:M1533),0),"")</f>
        <v/>
      </c>
      <c r="X1533" s="716" t="str">
        <f>IF(S1523,IF(COUNT(N1532:N1533)&gt;0,SUM(N1532:N1533),0),"")</f>
        <v/>
      </c>
      <c r="Y1533" s="716" t="b">
        <f>Y1532</f>
        <v>1</v>
      </c>
      <c r="Z1533" s="422"/>
      <c r="AA1533" s="716" t="b">
        <f>AA1532</f>
        <v>1</v>
      </c>
    </row>
    <row r="1534" spans="1:27" ht="5.0999999999999996" customHeight="1" x14ac:dyDescent="0.2">
      <c r="B1534" s="207"/>
      <c r="C1534" s="207"/>
      <c r="D1534" s="207"/>
      <c r="E1534" s="207"/>
      <c r="F1534" s="207"/>
      <c r="G1534" s="207"/>
      <c r="H1534" s="207"/>
      <c r="I1534" s="207"/>
      <c r="J1534" s="207"/>
      <c r="K1534" s="207"/>
      <c r="L1534" s="207"/>
      <c r="M1534" s="16"/>
      <c r="N1534" s="16"/>
      <c r="O1534" s="16"/>
      <c r="P1534" s="1037"/>
      <c r="X1534" s="422"/>
    </row>
    <row r="1535" spans="1:27" x14ac:dyDescent="0.2">
      <c r="B1535" s="207"/>
      <c r="C1535" s="207"/>
      <c r="D1535" s="14" t="s">
        <v>356</v>
      </c>
      <c r="E1535" s="1375" t="str">
        <f>Translations!$B$692</f>
        <v>Ciepło wprowadzone z instalacji lub od podmiotów nieobjętych EU ETS:</v>
      </c>
      <c r="F1535" s="1375"/>
      <c r="G1535" s="1375"/>
      <c r="H1535" s="1375"/>
      <c r="I1535" s="1637"/>
      <c r="J1535" s="1796" t="str">
        <f>IF(I1513="","",HYPERLINK(Q1535,EUconst_MsgGoOnIfNotRelevant))</f>
        <v/>
      </c>
      <c r="K1535" s="1797"/>
      <c r="L1535" s="1797"/>
      <c r="M1535" s="1797"/>
      <c r="N1535" s="1798"/>
      <c r="O1535" s="16"/>
      <c r="P1535" s="2" t="s">
        <v>199</v>
      </c>
      <c r="Q1535" s="346" t="str">
        <f>"#"&amp;ADDRESS(ROW(D1542),COLUMN(D1542))</f>
        <v>#$D$1542</v>
      </c>
      <c r="X1535" s="422"/>
    </row>
    <row r="1536" spans="1:27" ht="13.5" customHeight="1" thickBot="1" x14ac:dyDescent="0.25">
      <c r="B1536" s="207"/>
      <c r="C1536" s="207"/>
      <c r="D1536" s="16"/>
      <c r="E1536" s="1408"/>
      <c r="F1536" s="1408"/>
      <c r="G1536" s="1408"/>
      <c r="H1536" s="1408"/>
      <c r="I1536" s="1408"/>
      <c r="J1536" s="1408"/>
      <c r="K1536" s="1408"/>
      <c r="L1536" s="1408"/>
      <c r="M1536" s="1408"/>
      <c r="N1536" s="1408"/>
      <c r="O1536" s="16"/>
      <c r="P1536" s="1037"/>
      <c r="R1536" s="1037"/>
      <c r="S1536" s="1037"/>
      <c r="Y1536" s="422" t="s">
        <v>606</v>
      </c>
    </row>
    <row r="1537" spans="2:27" ht="13.5" thickBot="1" x14ac:dyDescent="0.25">
      <c r="B1537" s="20"/>
      <c r="C1537" s="20"/>
      <c r="D1537" s="14"/>
      <c r="E1537" s="1430" t="str">
        <f>Translations!$B$686</f>
        <v>Parametr</v>
      </c>
      <c r="F1537" s="1377"/>
      <c r="G1537" s="1377"/>
      <c r="H1537" s="34" t="str">
        <f>EUconst_Unit</f>
        <v>Jednostka</v>
      </c>
      <c r="I1537" s="396">
        <f>I$66</f>
        <v>2014</v>
      </c>
      <c r="J1537" s="396">
        <f>J$66</f>
        <v>2015</v>
      </c>
      <c r="K1537" s="396">
        <f>K$66</f>
        <v>2016</v>
      </c>
      <c r="L1537" s="396">
        <f>L$66</f>
        <v>2017</v>
      </c>
      <c r="M1537" s="421">
        <f>M$66</f>
        <v>2018</v>
      </c>
      <c r="N1537" s="888" t="str">
        <f>N1528</f>
        <v/>
      </c>
      <c r="O1537" s="16"/>
      <c r="Q1537" s="45"/>
      <c r="R1537" s="1037"/>
      <c r="S1537" s="45">
        <f t="shared" ref="S1537:X1537" si="33">I1537</f>
        <v>2014</v>
      </c>
      <c r="T1537" s="45">
        <f t="shared" si="33"/>
        <v>2015</v>
      </c>
      <c r="U1537" s="45">
        <f t="shared" si="33"/>
        <v>2016</v>
      </c>
      <c r="V1537" s="45">
        <f t="shared" si="33"/>
        <v>2017</v>
      </c>
      <c r="W1537" s="45">
        <f t="shared" si="33"/>
        <v>2018</v>
      </c>
      <c r="X1537" s="422" t="str">
        <f t="shared" si="33"/>
        <v/>
      </c>
      <c r="Y1537" s="749" t="b">
        <f>Y1518</f>
        <v>1</v>
      </c>
      <c r="Z1537" s="45"/>
      <c r="AA1537" s="422" t="s">
        <v>272</v>
      </c>
    </row>
    <row r="1538" spans="2:27" ht="13.5" thickBot="1" x14ac:dyDescent="0.25">
      <c r="B1538" s="20"/>
      <c r="C1538" s="20"/>
      <c r="D1538" s="195" t="s">
        <v>2</v>
      </c>
      <c r="E1538" s="1612" t="str">
        <f>Translations!$B$697</f>
        <v>Mierzalne ciepło wprowadzone z instalacji lub od podmiotów nieobjętych EU ETS:</v>
      </c>
      <c r="F1538" s="1612"/>
      <c r="G1538" s="1612"/>
      <c r="H1538" s="48" t="str">
        <f>EUconst_TJpa</f>
        <v>TJ / rok</v>
      </c>
      <c r="I1538" s="313"/>
      <c r="J1538" s="313"/>
      <c r="K1538" s="313"/>
      <c r="L1538" s="313"/>
      <c r="M1538" s="899"/>
      <c r="N1538" s="902"/>
      <c r="O1538" s="16"/>
      <c r="P1538" s="116" t="str">
        <f>EUconst_CNTR_HAL&amp;EUconst_CNTR_nonETSMeasHeat</f>
        <v>HAL_mierzalne ciepło nieobjęte systemem EU ETS</v>
      </c>
      <c r="R1538" s="1037"/>
      <c r="S1538" s="442" t="str">
        <f>IF(S1513,IF(ISNUMBER(I1538),I1538,0),"")</f>
        <v/>
      </c>
      <c r="T1538" s="443" t="str">
        <f>IF(T1513,IF(ISNUMBER(J1538),J1538,0),"")</f>
        <v/>
      </c>
      <c r="U1538" s="443" t="str">
        <f>IF(U1513,IF(ISNUMBER(K1538),K1538,0),"")</f>
        <v/>
      </c>
      <c r="V1538" s="443" t="str">
        <f>IF(V1513,IF(ISNUMBER(L1538),L1538,0),"")</f>
        <v/>
      </c>
      <c r="W1538" s="444" t="str">
        <f>IF(W1513,IF(ISNUMBER(M1538),M1538,0),"")</f>
        <v/>
      </c>
      <c r="X1538" s="151" t="str">
        <f>IF(S1523,IF(ISNUMBER(N1538),N1538,0),"")</f>
        <v/>
      </c>
      <c r="Y1538" s="716" t="b">
        <f>Y1537</f>
        <v>1</v>
      </c>
      <c r="AA1538" s="646" t="b">
        <f>AND(CNTR_ExistSubInstEntries,I1513="")</f>
        <v>1</v>
      </c>
    </row>
    <row r="1539" spans="2:27" ht="25.5" customHeight="1" thickBot="1" x14ac:dyDescent="0.25">
      <c r="B1539" s="20"/>
      <c r="C1539" s="20"/>
      <c r="D1539" s="195" t="s">
        <v>3</v>
      </c>
      <c r="E1539" s="1618" t="str">
        <f>Translations!$B$698</f>
        <v>Weryfikacja spójności z arkuszem „E_Energy flows”:</v>
      </c>
      <c r="F1539" s="1618"/>
      <c r="G1539" s="1618"/>
      <c r="H1539" s="27" t="s">
        <v>409</v>
      </c>
      <c r="I1539" s="304" t="str">
        <f>IF(AND(ISNUMBER(I1538),ISNUMBER(E_EnergyFlows!I$102)), I1538/E_EnergyFlows!I$102*100,"")</f>
        <v/>
      </c>
      <c r="J1539" s="304" t="str">
        <f>IF(AND(ISNUMBER(J1538),ISNUMBER(E_EnergyFlows!J$102)), J1538/E_EnergyFlows!J$102*100,"")</f>
        <v/>
      </c>
      <c r="K1539" s="304" t="str">
        <f>IF(AND(ISNUMBER(K1538),ISNUMBER(E_EnergyFlows!K$102)), K1538/E_EnergyFlows!K$102*100,"")</f>
        <v/>
      </c>
      <c r="L1539" s="304" t="str">
        <f>IF(AND(ISNUMBER(L1538),ISNUMBER(E_EnergyFlows!L$102)), L1538/E_EnergyFlows!L$102*100,"")</f>
        <v/>
      </c>
      <c r="M1539" s="900" t="str">
        <f>IF(AND(ISNUMBER(M1538),ISNUMBER(E_EnergyFlows!M$102)), M1538/E_EnergyFlows!M$102*100,"")</f>
        <v/>
      </c>
      <c r="N1539" s="147"/>
      <c r="O1539" s="16"/>
      <c r="P1539" s="164" t="str">
        <f>EUconst_CNTR_HEAT &amp; I1513</f>
        <v>HEAT_</v>
      </c>
      <c r="Q1539" s="302" t="str">
        <f>IF(COUNT(S1538:X1538)&gt;0,AVERAGE(S1538:X1538)*EUconst_HeatBMvalue,EUconst_NA)</f>
        <v>Nie dotyczy</v>
      </c>
      <c r="R1539" s="1037"/>
      <c r="S1539" s="1037"/>
      <c r="AA1539" s="608"/>
    </row>
    <row r="1540" spans="2:27" ht="12.75" customHeight="1" x14ac:dyDescent="0.2">
      <c r="B1540" s="20"/>
      <c r="C1540" s="20"/>
      <c r="D1540" s="195" t="s">
        <v>4</v>
      </c>
      <c r="E1540" s="1493" t="str">
        <f>Translations!$B$699</f>
        <v>Weryfikacja spójności z lit. k) ppkt (i):</v>
      </c>
      <c r="F1540" s="1615"/>
      <c r="G1540" s="1615"/>
      <c r="H1540" s="30" t="s">
        <v>409</v>
      </c>
      <c r="I1540" s="303" t="str">
        <f>IF(AND(I1614&gt;0,ISNUMBER(I1538)), I1538/I1614*100,"")</f>
        <v/>
      </c>
      <c r="J1540" s="303" t="str">
        <f>IF(AND(J1614&gt;0,ISNUMBER(J1538)), J1538/J1614*100,"")</f>
        <v/>
      </c>
      <c r="K1540" s="303" t="str">
        <f>IF(AND(K1614&gt;0,ISNUMBER(K1538)), K1538/K1614*100,"")</f>
        <v/>
      </c>
      <c r="L1540" s="303" t="str">
        <f>IF(AND(L1614&gt;0,ISNUMBER(L1538)), L1538/L1614*100,"")</f>
        <v/>
      </c>
      <c r="M1540" s="901" t="str">
        <f>IF(AND(M1614&gt;0,ISNUMBER(M1538)), M1538/M1614*100,"")</f>
        <v/>
      </c>
      <c r="N1540" s="147"/>
      <c r="O1540" s="16"/>
      <c r="R1540" s="1037"/>
      <c r="S1540" s="1037"/>
      <c r="AA1540" s="608"/>
    </row>
    <row r="1541" spans="2:27" ht="12.75" customHeight="1" x14ac:dyDescent="0.2">
      <c r="B1541" s="20"/>
      <c r="C1541" s="20"/>
      <c r="D1541" s="20"/>
      <c r="E1541" s="20"/>
      <c r="F1541" s="20"/>
      <c r="G1541" s="20"/>
      <c r="H1541" s="20"/>
      <c r="I1541" s="107"/>
      <c r="J1541" s="20"/>
      <c r="K1541" s="20"/>
      <c r="L1541" s="20"/>
      <c r="M1541" s="20"/>
      <c r="N1541" s="20"/>
      <c r="O1541" s="16"/>
      <c r="P1541" s="139"/>
      <c r="R1541" s="1037"/>
      <c r="S1541" s="1037"/>
      <c r="AA1541" s="608"/>
    </row>
    <row r="1542" spans="2:27" ht="15" x14ac:dyDescent="0.2">
      <c r="B1542" s="20"/>
      <c r="C1542" s="1054"/>
      <c r="D1542" s="1439" t="str">
        <f>Translations!$B$700</f>
        <v>Szczegółowe dane dotyczące produkcji</v>
      </c>
      <c r="E1542" s="1370"/>
      <c r="F1542" s="1370"/>
      <c r="G1542" s="1370"/>
      <c r="H1542" s="1370"/>
      <c r="I1542" s="1370"/>
      <c r="J1542" s="1370"/>
      <c r="K1542" s="1370"/>
      <c r="L1542" s="1370"/>
      <c r="M1542" s="1370"/>
      <c r="N1542" s="1370"/>
      <c r="O1542" s="16"/>
      <c r="R1542" s="1037"/>
      <c r="S1542" s="1037"/>
      <c r="AA1542" s="608"/>
    </row>
    <row r="1543" spans="2:27" ht="5.0999999999999996" customHeight="1" x14ac:dyDescent="0.2">
      <c r="B1543" s="207"/>
      <c r="C1543" s="207"/>
      <c r="D1543" s="207"/>
      <c r="E1543" s="207"/>
      <c r="F1543" s="207"/>
      <c r="G1543" s="207"/>
      <c r="H1543" s="207"/>
      <c r="I1543" s="207"/>
      <c r="J1543" s="207"/>
      <c r="K1543" s="207"/>
      <c r="L1543" s="207"/>
      <c r="M1543" s="207"/>
      <c r="N1543" s="207"/>
      <c r="O1543" s="16"/>
      <c r="P1543" s="1037"/>
      <c r="Q1543" s="1037"/>
      <c r="R1543" s="1037"/>
      <c r="S1543" s="1037"/>
      <c r="AA1543" s="608"/>
    </row>
    <row r="1544" spans="2:27" x14ac:dyDescent="0.2">
      <c r="B1544" s="207"/>
      <c r="C1544" s="14"/>
      <c r="D1544" s="14" t="s">
        <v>12</v>
      </c>
      <c r="E1544" s="1375" t="str">
        <f>Translations!$B$701</f>
        <v>Identyfikacja produktów wchodzących w zakres tej podinstalacji objętej wskaźnikiem emisyjności dla produktów</v>
      </c>
      <c r="F1544" s="1370"/>
      <c r="G1544" s="1370"/>
      <c r="H1544" s="1370"/>
      <c r="I1544" s="1370"/>
      <c r="J1544" s="1370"/>
      <c r="K1544" s="1370"/>
      <c r="L1544" s="1370"/>
      <c r="M1544" s="1370"/>
      <c r="N1544" s="1370"/>
      <c r="O1544" s="16"/>
      <c r="P1544" s="1037"/>
      <c r="R1544" s="1037"/>
      <c r="S1544" s="1037"/>
      <c r="AA1544" s="608"/>
    </row>
    <row r="1545" spans="2:27" x14ac:dyDescent="0.2">
      <c r="B1545" s="207"/>
      <c r="C1545" s="16"/>
      <c r="D1545" s="16"/>
      <c r="E1545" s="1408" t="str">
        <f>Translations!$B$704</f>
        <v>Wykaz kodów PRODCOM 2010 jest dostępny pod adresem:</v>
      </c>
      <c r="F1545" s="1370"/>
      <c r="G1545" s="1370"/>
      <c r="H1545" s="1370"/>
      <c r="I1545" s="1370"/>
      <c r="J1545" s="1370"/>
      <c r="K1545" s="1370"/>
      <c r="L1545" s="1370"/>
      <c r="M1545" s="1370"/>
      <c r="N1545" s="1370"/>
      <c r="O1545" s="16"/>
      <c r="P1545" s="1037"/>
      <c r="R1545" s="1037"/>
      <c r="S1545" s="1037"/>
      <c r="AA1545" s="608"/>
    </row>
    <row r="1546" spans="2:27" x14ac:dyDescent="0.2">
      <c r="B1546" s="207"/>
      <c r="C1546" s="16"/>
      <c r="D1546" s="16"/>
      <c r="E1546" s="1795" t="str">
        <f>Translations!$B$705</f>
        <v>http://ec.europa.eu/eurostat/ramon/nomenclatures/index.cfm?TargetUrl=LST_CLS_DLD&amp;StrNom=PRD_2010&amp;StrLanguageCode=EN&amp;StrLayoutCode=HIERARCHIChttp://ec.europa.eu/eurostat/ramon/nomenclatures/index.cfm?TargetUrl=LST_CLS_DLD&amp;StrNom=PRD_2010&amp;StrLanguageCode=EN&amp;StrLayoutCode=HIERARCHIC</v>
      </c>
      <c r="F1546" s="1663"/>
      <c r="G1546" s="1663"/>
      <c r="H1546" s="1663"/>
      <c r="I1546" s="1663"/>
      <c r="J1546" s="1663"/>
      <c r="K1546" s="1663"/>
      <c r="L1546" s="1663"/>
      <c r="M1546" s="1663"/>
      <c r="N1546" s="1663"/>
      <c r="O1546" s="16"/>
      <c r="P1546" s="1037"/>
      <c r="R1546" s="1037"/>
      <c r="S1546" s="1037"/>
      <c r="AA1546" s="608"/>
    </row>
    <row r="1547" spans="2:27" ht="5.0999999999999996" customHeight="1" x14ac:dyDescent="0.2">
      <c r="B1547" s="207"/>
      <c r="C1547" s="207"/>
      <c r="D1547" s="207"/>
      <c r="E1547" s="207"/>
      <c r="F1547" s="207"/>
      <c r="G1547" s="207"/>
      <c r="H1547" s="207"/>
      <c r="I1547" s="207"/>
      <c r="J1547" s="207"/>
      <c r="K1547" s="207"/>
      <c r="L1547" s="207"/>
      <c r="M1547" s="207"/>
      <c r="N1547" s="207"/>
      <c r="O1547" s="16"/>
      <c r="P1547" s="1037"/>
      <c r="Q1547" s="1037"/>
      <c r="R1547" s="1037"/>
      <c r="S1547" s="1037"/>
      <c r="AA1547" s="608"/>
    </row>
    <row r="1548" spans="2:27" x14ac:dyDescent="0.2">
      <c r="B1548" s="207"/>
      <c r="C1548" s="14"/>
      <c r="D1548" s="14" t="s">
        <v>13</v>
      </c>
      <c r="E1548" s="1375" t="str">
        <f>Translations!$B$706</f>
        <v>Poszczególne poziomy wytwarzanych produktów wchodzących w zakres tej podinstalacji objętej wskaźnikiem emisyjności dla produktów</v>
      </c>
      <c r="F1548" s="1370"/>
      <c r="G1548" s="1370"/>
      <c r="H1548" s="1370"/>
      <c r="I1548" s="1370"/>
      <c r="J1548" s="1370"/>
      <c r="K1548" s="1370"/>
      <c r="L1548" s="1370"/>
      <c r="M1548" s="1370"/>
      <c r="N1548" s="1370"/>
      <c r="O1548" s="16"/>
      <c r="P1548" s="1037"/>
      <c r="R1548" s="1037"/>
      <c r="S1548" s="1037"/>
      <c r="AA1548" s="608"/>
    </row>
    <row r="1549" spans="2:27" ht="5.0999999999999996" customHeight="1" x14ac:dyDescent="0.2">
      <c r="B1549" s="207"/>
      <c r="C1549" s="207"/>
      <c r="D1549" s="16"/>
      <c r="E1549" s="17"/>
      <c r="F1549" s="17"/>
      <c r="G1549" s="17"/>
      <c r="H1549" s="17"/>
      <c r="I1549" s="17"/>
      <c r="J1549" s="21"/>
      <c r="K1549" s="21"/>
      <c r="L1549" s="21"/>
      <c r="M1549" s="16"/>
      <c r="N1549" s="16"/>
      <c r="O1549" s="16"/>
      <c r="P1549" s="1037"/>
      <c r="R1549" s="1037"/>
      <c r="S1549" s="1037"/>
      <c r="AA1549" s="608"/>
    </row>
    <row r="1550" spans="2:27" ht="25.5" customHeight="1" x14ac:dyDescent="0.2">
      <c r="B1550" s="20"/>
      <c r="C1550" s="20"/>
      <c r="D1550" s="344"/>
      <c r="E1550" s="399" t="s">
        <v>386</v>
      </c>
      <c r="F1550" s="1789" t="str">
        <f>Translations!$B$707</f>
        <v>Nazwa produktu lub grupy produktów</v>
      </c>
      <c r="G1550" s="1790"/>
      <c r="H1550" s="1055" t="str">
        <f>EUconst_Unit</f>
        <v>Jednostka</v>
      </c>
      <c r="I1550" s="396">
        <f>I$1882</f>
        <v>2014</v>
      </c>
      <c r="J1550" s="396">
        <f>J$1882</f>
        <v>2015</v>
      </c>
      <c r="K1550" s="396">
        <f>K$1882</f>
        <v>2016</v>
      </c>
      <c r="L1550" s="396">
        <f>L$1882</f>
        <v>2017</v>
      </c>
      <c r="M1550" s="396">
        <f>M$1882</f>
        <v>2018</v>
      </c>
      <c r="N1550" s="16"/>
      <c r="O1550" s="16"/>
      <c r="R1550" s="1037"/>
      <c r="S1550" s="1037"/>
      <c r="AA1550" s="608"/>
    </row>
    <row r="1551" spans="2:27" x14ac:dyDescent="0.2">
      <c r="B1551" s="20"/>
      <c r="C1551" s="20"/>
      <c r="D1551" s="37">
        <v>1</v>
      </c>
      <c r="E1551" s="1245"/>
      <c r="F1551" s="1791"/>
      <c r="G1551" s="1792"/>
      <c r="H1551" s="804"/>
      <c r="I1551" s="472"/>
      <c r="J1551" s="472"/>
      <c r="K1551" s="472"/>
      <c r="L1551" s="472"/>
      <c r="M1551" s="472"/>
      <c r="N1551" s="16"/>
      <c r="O1551" s="16"/>
      <c r="R1551" s="1037"/>
      <c r="S1551" s="1037"/>
      <c r="AA1551" s="345" t="b">
        <f>AA1538</f>
        <v>1</v>
      </c>
    </row>
    <row r="1552" spans="2:27" x14ac:dyDescent="0.2">
      <c r="B1552" s="20"/>
      <c r="C1552" s="20"/>
      <c r="D1552" s="38">
        <f>D1551+1</f>
        <v>2</v>
      </c>
      <c r="E1552" s="1246"/>
      <c r="F1552" s="1793"/>
      <c r="G1552" s="1794"/>
      <c r="H1552" s="564"/>
      <c r="I1552" s="548"/>
      <c r="J1552" s="548"/>
      <c r="K1552" s="548"/>
      <c r="L1552" s="548"/>
      <c r="M1552" s="548"/>
      <c r="N1552" s="16"/>
      <c r="O1552" s="16"/>
      <c r="R1552" s="1037"/>
      <c r="S1552" s="1037"/>
      <c r="AA1552" s="345" t="b">
        <f>AA1551</f>
        <v>1</v>
      </c>
    </row>
    <row r="1553" spans="2:27" x14ac:dyDescent="0.2">
      <c r="B1553" s="20"/>
      <c r="C1553" s="20"/>
      <c r="D1553" s="38">
        <f t="shared" ref="D1553:D1560" si="34">D1552+1</f>
        <v>3</v>
      </c>
      <c r="E1553" s="1246"/>
      <c r="F1553" s="1784"/>
      <c r="G1553" s="1785"/>
      <c r="H1553" s="564"/>
      <c r="I1553" s="548"/>
      <c r="J1553" s="548"/>
      <c r="K1553" s="548"/>
      <c r="L1553" s="548"/>
      <c r="M1553" s="548"/>
      <c r="N1553" s="16"/>
      <c r="O1553" s="16"/>
      <c r="R1553" s="1037"/>
      <c r="S1553" s="1037"/>
      <c r="AA1553" s="345" t="b">
        <f t="shared" ref="AA1553:AA1561" si="35">AA1552</f>
        <v>1</v>
      </c>
    </row>
    <row r="1554" spans="2:27" x14ac:dyDescent="0.2">
      <c r="B1554" s="20"/>
      <c r="C1554" s="20"/>
      <c r="D1554" s="38">
        <f t="shared" si="34"/>
        <v>4</v>
      </c>
      <c r="E1554" s="1246"/>
      <c r="F1554" s="1784"/>
      <c r="G1554" s="1785"/>
      <c r="H1554" s="564"/>
      <c r="I1554" s="548"/>
      <c r="J1554" s="548"/>
      <c r="K1554" s="548"/>
      <c r="L1554" s="548"/>
      <c r="M1554" s="548"/>
      <c r="N1554" s="16"/>
      <c r="O1554" s="16"/>
      <c r="R1554" s="1037"/>
      <c r="S1554" s="1037"/>
      <c r="AA1554" s="345" t="b">
        <f t="shared" si="35"/>
        <v>1</v>
      </c>
    </row>
    <row r="1555" spans="2:27" x14ac:dyDescent="0.2">
      <c r="B1555" s="20"/>
      <c r="C1555" s="20"/>
      <c r="D1555" s="38">
        <f t="shared" si="34"/>
        <v>5</v>
      </c>
      <c r="E1555" s="1246"/>
      <c r="F1555" s="1784"/>
      <c r="G1555" s="1785"/>
      <c r="H1555" s="564"/>
      <c r="I1555" s="548"/>
      <c r="J1555" s="548"/>
      <c r="K1555" s="548"/>
      <c r="L1555" s="548"/>
      <c r="M1555" s="548"/>
      <c r="N1555" s="16"/>
      <c r="O1555" s="16"/>
      <c r="R1555" s="1037"/>
      <c r="S1555" s="1037"/>
      <c r="AA1555" s="345" t="b">
        <f t="shared" si="35"/>
        <v>1</v>
      </c>
    </row>
    <row r="1556" spans="2:27" x14ac:dyDescent="0.2">
      <c r="B1556" s="20"/>
      <c r="C1556" s="20"/>
      <c r="D1556" s="38">
        <f t="shared" si="34"/>
        <v>6</v>
      </c>
      <c r="E1556" s="1246"/>
      <c r="F1556" s="1784"/>
      <c r="G1556" s="1785"/>
      <c r="H1556" s="564"/>
      <c r="I1556" s="548"/>
      <c r="J1556" s="548"/>
      <c r="K1556" s="548"/>
      <c r="L1556" s="548"/>
      <c r="M1556" s="548"/>
      <c r="N1556" s="16"/>
      <c r="O1556" s="16"/>
      <c r="R1556" s="1037"/>
      <c r="S1556" s="1037"/>
      <c r="AA1556" s="345" t="b">
        <f t="shared" si="35"/>
        <v>1</v>
      </c>
    </row>
    <row r="1557" spans="2:27" x14ac:dyDescent="0.2">
      <c r="B1557" s="20"/>
      <c r="C1557" s="20"/>
      <c r="D1557" s="38">
        <f t="shared" si="34"/>
        <v>7</v>
      </c>
      <c r="E1557" s="1246"/>
      <c r="F1557" s="1784"/>
      <c r="G1557" s="1785"/>
      <c r="H1557" s="564"/>
      <c r="I1557" s="548"/>
      <c r="J1557" s="548"/>
      <c r="K1557" s="548"/>
      <c r="L1557" s="548"/>
      <c r="M1557" s="548"/>
      <c r="N1557" s="16"/>
      <c r="O1557" s="16"/>
      <c r="R1557" s="1037"/>
      <c r="S1557" s="1037"/>
      <c r="AA1557" s="345" t="b">
        <f t="shared" si="35"/>
        <v>1</v>
      </c>
    </row>
    <row r="1558" spans="2:27" x14ac:dyDescent="0.2">
      <c r="B1558" s="20"/>
      <c r="C1558" s="20"/>
      <c r="D1558" s="38">
        <f t="shared" si="34"/>
        <v>8</v>
      </c>
      <c r="E1558" s="1246"/>
      <c r="F1558" s="1784"/>
      <c r="G1558" s="1785"/>
      <c r="H1558" s="564"/>
      <c r="I1558" s="548"/>
      <c r="J1558" s="548"/>
      <c r="K1558" s="548"/>
      <c r="L1558" s="548"/>
      <c r="M1558" s="548"/>
      <c r="N1558" s="16"/>
      <c r="O1558" s="16"/>
      <c r="R1558" s="1037"/>
      <c r="S1558" s="1037"/>
      <c r="AA1558" s="345" t="b">
        <f t="shared" si="35"/>
        <v>1</v>
      </c>
    </row>
    <row r="1559" spans="2:27" x14ac:dyDescent="0.2">
      <c r="B1559" s="20"/>
      <c r="C1559" s="20"/>
      <c r="D1559" s="38">
        <f t="shared" si="34"/>
        <v>9</v>
      </c>
      <c r="E1559" s="1246"/>
      <c r="F1559" s="1784"/>
      <c r="G1559" s="1785"/>
      <c r="H1559" s="564"/>
      <c r="I1559" s="548"/>
      <c r="J1559" s="548"/>
      <c r="K1559" s="548"/>
      <c r="L1559" s="548"/>
      <c r="M1559" s="548"/>
      <c r="N1559" s="16"/>
      <c r="O1559" s="16"/>
      <c r="R1559" s="1037"/>
      <c r="S1559" s="1037"/>
      <c r="AA1559" s="345" t="b">
        <f t="shared" si="35"/>
        <v>1</v>
      </c>
    </row>
    <row r="1560" spans="2:27" x14ac:dyDescent="0.2">
      <c r="B1560" s="20"/>
      <c r="C1560" s="20"/>
      <c r="D1560" s="41">
        <f t="shared" si="34"/>
        <v>10</v>
      </c>
      <c r="E1560" s="1247"/>
      <c r="F1560" s="1786"/>
      <c r="G1560" s="1787"/>
      <c r="H1560" s="565"/>
      <c r="I1560" s="446"/>
      <c r="J1560" s="446"/>
      <c r="K1560" s="446"/>
      <c r="L1560" s="446"/>
      <c r="M1560" s="446"/>
      <c r="N1560" s="16"/>
      <c r="O1560" s="16"/>
      <c r="R1560" s="1037"/>
      <c r="S1560" s="1037"/>
      <c r="AA1560" s="345" t="b">
        <f t="shared" si="35"/>
        <v>1</v>
      </c>
    </row>
    <row r="1561" spans="2:27" ht="12.75" customHeight="1" thickBot="1" x14ac:dyDescent="0.25">
      <c r="B1561" s="20"/>
      <c r="C1561" s="20"/>
      <c r="D1561" s="97"/>
      <c r="E1561" s="1788" t="str">
        <f>Translations!$B$708</f>
        <v>Suma poziomów produkcji</v>
      </c>
      <c r="F1561" s="1788"/>
      <c r="G1561" s="1788"/>
      <c r="H1561" s="737"/>
      <c r="I1561" s="327" t="str">
        <f>IF(COUNT(I1551:I1560)&gt;0,SUM(I1551:I1560),"")</f>
        <v/>
      </c>
      <c r="J1561" s="327" t="str">
        <f>IF(COUNT(J1551:J1560)&gt;0,SUM(J1551:J1560),"")</f>
        <v/>
      </c>
      <c r="K1561" s="327" t="str">
        <f>IF(COUNT(K1551:K1560)&gt;0,SUM(K1551:K1560),"")</f>
        <v/>
      </c>
      <c r="L1561" s="327" t="str">
        <f>IF(COUNT(L1551:L1560)&gt;0,SUM(L1551:L1560),"")</f>
        <v/>
      </c>
      <c r="M1561" s="327" t="str">
        <f>IF(COUNT(M1551:M1560)&gt;0,SUM(M1551:M1560),"")</f>
        <v/>
      </c>
      <c r="N1561" s="16"/>
      <c r="O1561" s="16"/>
      <c r="R1561" s="1037"/>
      <c r="S1561" s="1037"/>
      <c r="AA1561" s="168" t="b">
        <f t="shared" si="35"/>
        <v>1</v>
      </c>
    </row>
    <row r="1562" spans="2:27" ht="12.75" customHeight="1" thickBot="1" x14ac:dyDescent="0.25">
      <c r="B1562" s="207"/>
      <c r="C1562" s="207"/>
      <c r="D1562" s="207"/>
      <c r="E1562" s="207"/>
      <c r="F1562" s="207"/>
      <c r="G1562" s="207"/>
      <c r="H1562" s="207"/>
      <c r="I1562" s="207"/>
      <c r="J1562" s="207"/>
      <c r="K1562" s="207"/>
      <c r="L1562" s="207"/>
      <c r="M1562" s="16"/>
      <c r="N1562" s="16"/>
      <c r="O1562" s="16"/>
      <c r="P1562" s="1037"/>
      <c r="R1562" s="1037"/>
      <c r="S1562" s="1037"/>
    </row>
    <row r="1563" spans="2:27" ht="5.0999999999999996" customHeight="1" x14ac:dyDescent="0.2">
      <c r="B1563" s="207"/>
      <c r="C1563" s="1056"/>
      <c r="D1563" s="1057"/>
      <c r="E1563" s="1057"/>
      <c r="F1563" s="1057"/>
      <c r="G1563" s="1057"/>
      <c r="H1563" s="1057"/>
      <c r="I1563" s="1057"/>
      <c r="J1563" s="1057"/>
      <c r="K1563" s="1057"/>
      <c r="L1563" s="1057"/>
      <c r="M1563" s="1058"/>
      <c r="N1563" s="1059"/>
      <c r="O1563" s="16"/>
      <c r="P1563" s="1037"/>
      <c r="R1563" s="1037"/>
      <c r="S1563" s="1037"/>
    </row>
    <row r="1564" spans="2:27" ht="15" customHeight="1" x14ac:dyDescent="0.2">
      <c r="B1564" s="20"/>
      <c r="C1564" s="1060"/>
      <c r="D1564" s="1776" t="str">
        <f>Translations!$B$709</f>
        <v>Dane wymagane do określenia współczynnika poprawy wskaźników zgodnie z art. 10a ust. 2 dyrektywy w sprawie EU ETS</v>
      </c>
      <c r="E1564" s="1734"/>
      <c r="F1564" s="1734"/>
      <c r="G1564" s="1734"/>
      <c r="H1564" s="1734"/>
      <c r="I1564" s="1734"/>
      <c r="J1564" s="1734"/>
      <c r="K1564" s="1734"/>
      <c r="L1564" s="1734"/>
      <c r="M1564" s="1734"/>
      <c r="N1564" s="1735"/>
      <c r="O1564" s="16"/>
      <c r="R1564" s="1037"/>
      <c r="S1564" s="1037"/>
    </row>
    <row r="1565" spans="2:27" ht="5.0999999999999996" customHeight="1" x14ac:dyDescent="0.2">
      <c r="B1565" s="20"/>
      <c r="C1565" s="460"/>
      <c r="D1565" s="449"/>
      <c r="E1565" s="449"/>
      <c r="F1565" s="449"/>
      <c r="G1565" s="449"/>
      <c r="H1565" s="449"/>
      <c r="I1565" s="449"/>
      <c r="J1565" s="449"/>
      <c r="K1565" s="449"/>
      <c r="L1565" s="449"/>
      <c r="M1565" s="449"/>
      <c r="N1565" s="461"/>
      <c r="O1565" s="16"/>
      <c r="R1565" s="1037"/>
      <c r="S1565" s="1037"/>
    </row>
    <row r="1566" spans="2:27" ht="15" customHeight="1" x14ac:dyDescent="0.2">
      <c r="B1566" s="20"/>
      <c r="C1566" s="460"/>
      <c r="D1566" s="1778" t="str">
        <f>EUconst_BMSubinst &amp; ":"</f>
        <v>Podinstalacja i wskaźnik emisyjności dla produktów:</v>
      </c>
      <c r="E1566" s="1779"/>
      <c r="F1566" s="1779"/>
      <c r="G1566" s="1779"/>
      <c r="H1566" s="1780"/>
      <c r="I1566" s="1781" t="str">
        <f>I1513</f>
        <v/>
      </c>
      <c r="J1566" s="1666"/>
      <c r="K1566" s="1666"/>
      <c r="L1566" s="1666"/>
      <c r="M1566" s="1666"/>
      <c r="N1566" s="1782"/>
      <c r="O1566" s="16"/>
      <c r="R1566" s="1037"/>
      <c r="S1566" s="1037"/>
    </row>
    <row r="1567" spans="2:27" ht="5.0999999999999996" customHeight="1" x14ac:dyDescent="0.2">
      <c r="B1567" s="20"/>
      <c r="C1567" s="460"/>
      <c r="D1567" s="449"/>
      <c r="E1567" s="449"/>
      <c r="F1567" s="449"/>
      <c r="G1567" s="449"/>
      <c r="H1567" s="449"/>
      <c r="I1567" s="449"/>
      <c r="J1567" s="449"/>
      <c r="K1567" s="449"/>
      <c r="L1567" s="449"/>
      <c r="M1567" s="449"/>
      <c r="N1567" s="461"/>
      <c r="O1567" s="16"/>
      <c r="R1567" s="1037"/>
      <c r="S1567" s="1037"/>
    </row>
    <row r="1568" spans="2:27" ht="15" customHeight="1" x14ac:dyDescent="0.2">
      <c r="B1568" s="207"/>
      <c r="C1568" s="1060"/>
      <c r="D1568" s="1061"/>
      <c r="E1568" s="1783" t="str">
        <f>Translations!$B$714</f>
        <v>Po dokonaniu poniższych wpisów emisje, które można przypisać, są obliczane w części K.III.2 arkusza podsumowania.</v>
      </c>
      <c r="F1568" s="1783"/>
      <c r="G1568" s="1783"/>
      <c r="H1568" s="1783"/>
      <c r="I1568" s="1783"/>
      <c r="J1568" s="1783"/>
      <c r="K1568" s="1783"/>
      <c r="L1568" s="1783"/>
      <c r="M1568" s="1783"/>
      <c r="N1568" s="702"/>
      <c r="O1568" s="16"/>
      <c r="P1568" s="1037"/>
    </row>
    <row r="1569" spans="2:27" ht="5.0999999999999996" customHeight="1" x14ac:dyDescent="0.2">
      <c r="B1569" s="20"/>
      <c r="C1569" s="460"/>
      <c r="D1569" s="449"/>
      <c r="E1569" s="449"/>
      <c r="F1569" s="449"/>
      <c r="G1569" s="449"/>
      <c r="H1569" s="449"/>
      <c r="I1569" s="449"/>
      <c r="J1569" s="449"/>
      <c r="K1569" s="449"/>
      <c r="L1569" s="449"/>
      <c r="M1569" s="449"/>
      <c r="N1569" s="461"/>
      <c r="O1569" s="16"/>
      <c r="R1569" s="1037"/>
      <c r="S1569" s="1037"/>
    </row>
    <row r="1570" spans="2:27" ht="12.75" customHeight="1" x14ac:dyDescent="0.2">
      <c r="B1570" s="207"/>
      <c r="C1570" s="1060"/>
      <c r="D1570" s="462" t="s">
        <v>87</v>
      </c>
      <c r="E1570" s="1731" t="str">
        <f>Translations!$B$715</f>
        <v>Emisje, które można bezpośrednio przypisać (DirEm* (plan monitorowania strumieni materiałów wsadowych)) do tej podinstalacji</v>
      </c>
      <c r="F1570" s="1734"/>
      <c r="G1570" s="1734"/>
      <c r="H1570" s="1734"/>
      <c r="I1570" s="1734"/>
      <c r="J1570" s="1734"/>
      <c r="K1570" s="1734"/>
      <c r="L1570" s="1734"/>
      <c r="M1570" s="1734"/>
      <c r="N1570" s="1735"/>
      <c r="O1570" s="16"/>
      <c r="P1570" s="1037"/>
      <c r="R1570" s="1037"/>
      <c r="S1570" s="1037"/>
    </row>
    <row r="1571" spans="2:27" ht="12.75" customHeight="1" thickBot="1" x14ac:dyDescent="0.25">
      <c r="B1571" s="207"/>
      <c r="C1571" s="1060"/>
      <c r="D1571" s="1061"/>
      <c r="E1571" s="1745"/>
      <c r="F1571" s="1745"/>
      <c r="G1571" s="1745"/>
      <c r="H1571" s="1745"/>
      <c r="I1571" s="1745"/>
      <c r="J1571" s="1745"/>
      <c r="K1571" s="1745"/>
      <c r="L1571" s="1745"/>
      <c r="M1571" s="1745"/>
      <c r="N1571" s="1746"/>
      <c r="O1571" s="16"/>
      <c r="P1571" s="1037"/>
      <c r="R1571" s="1037"/>
    </row>
    <row r="1572" spans="2:27" ht="12.75" customHeight="1" x14ac:dyDescent="0.2">
      <c r="B1572" s="207"/>
      <c r="C1572" s="1060"/>
      <c r="D1572" s="462"/>
      <c r="E1572" s="1757" t="str">
        <f>Translations!$B$725</f>
        <v>Emisje, które można bezpośrednio przypisać (DirEm*)</v>
      </c>
      <c r="F1572" s="1758"/>
      <c r="G1572" s="1758"/>
      <c r="H1572" s="450" t="str">
        <f>EUconst_Unit</f>
        <v>Jednostka</v>
      </c>
      <c r="I1572" s="451">
        <f>I$1882</f>
        <v>2014</v>
      </c>
      <c r="J1572" s="451">
        <f>J$1882</f>
        <v>2015</v>
      </c>
      <c r="K1572" s="451">
        <f>K$1882</f>
        <v>2016</v>
      </c>
      <c r="L1572" s="451">
        <f>L$1882</f>
        <v>2017</v>
      </c>
      <c r="M1572" s="451">
        <f>M$1882</f>
        <v>2018</v>
      </c>
      <c r="N1572" s="665"/>
      <c r="O1572" s="16"/>
      <c r="P1572" s="1037"/>
      <c r="R1572" s="1052"/>
      <c r="S1572" s="814">
        <f>I1572</f>
        <v>2014</v>
      </c>
      <c r="T1572" s="814">
        <f>J1572</f>
        <v>2015</v>
      </c>
      <c r="U1572" s="814">
        <f>K1572</f>
        <v>2016</v>
      </c>
      <c r="V1572" s="814">
        <f>L1572</f>
        <v>2017</v>
      </c>
      <c r="W1572" s="815">
        <f>M1572</f>
        <v>2018</v>
      </c>
    </row>
    <row r="1573" spans="2:27" ht="12.75" customHeight="1" thickBot="1" x14ac:dyDescent="0.25">
      <c r="B1573" s="207"/>
      <c r="C1573" s="1060"/>
      <c r="D1573" s="1061"/>
      <c r="E1573" s="1762" t="str">
        <f>I1513</f>
        <v/>
      </c>
      <c r="F1573" s="1762"/>
      <c r="G1573" s="1762"/>
      <c r="H1573" s="452" t="str">
        <f>EUconst_tCO2epa</f>
        <v>t CO2e/rok</v>
      </c>
      <c r="I1573" s="313"/>
      <c r="J1573" s="313"/>
      <c r="K1573" s="313"/>
      <c r="L1573" s="313"/>
      <c r="M1573" s="313"/>
      <c r="N1573" s="665"/>
      <c r="O1573" s="16"/>
      <c r="P1573" s="1062" t="str">
        <f>EUconst_CNTR_Emissions &amp; I1513</f>
        <v>DirEmissions_</v>
      </c>
      <c r="R1573" s="1053" t="str">
        <f>EUconst_CNTR_AttributedEmissions &amp; I1513</f>
        <v>AttrEmissions_</v>
      </c>
      <c r="S1573" s="119" t="str">
        <f>IF(S1513,SUM(I1573),"")</f>
        <v/>
      </c>
      <c r="T1573" s="119" t="str">
        <f>IF(T1513,SUM(J1573),"")</f>
        <v/>
      </c>
      <c r="U1573" s="119" t="str">
        <f>IF(U1513,SUM(K1573),"")</f>
        <v/>
      </c>
      <c r="V1573" s="119" t="str">
        <f>IF(V1513,SUM(L1573),"")</f>
        <v/>
      </c>
      <c r="W1573" s="120" t="str">
        <f>IF(W1513,SUM(M1573),"")</f>
        <v/>
      </c>
    </row>
    <row r="1574" spans="2:27" ht="12.75" customHeight="1" x14ac:dyDescent="0.2">
      <c r="B1574" s="207"/>
      <c r="C1574" s="1060"/>
      <c r="D1574" s="1061"/>
      <c r="E1574" s="1061"/>
      <c r="F1574" s="1061"/>
      <c r="G1574" s="1061"/>
      <c r="H1574" s="1061"/>
      <c r="I1574" s="1061"/>
      <c r="J1574" s="1061"/>
      <c r="K1574" s="1061"/>
      <c r="L1574" s="1061"/>
      <c r="M1574" s="1063"/>
      <c r="N1574" s="665"/>
      <c r="O1574" s="16"/>
      <c r="P1574" s="1037"/>
      <c r="R1574" s="1037"/>
    </row>
    <row r="1575" spans="2:27" ht="12.75" customHeight="1" x14ac:dyDescent="0.2">
      <c r="B1575" s="207"/>
      <c r="C1575" s="1060"/>
      <c r="D1575" s="462" t="s">
        <v>88</v>
      </c>
      <c r="E1575" s="1760" t="str">
        <f>Translations!$B$726</f>
        <v>Wsad paliwa do tej podinstalacji oraz odpowiedni współczynnik emisji</v>
      </c>
      <c r="F1575" s="1760"/>
      <c r="G1575" s="1760"/>
      <c r="H1575" s="1760"/>
      <c r="I1575" s="1760"/>
      <c r="J1575" s="1760"/>
      <c r="K1575" s="1760"/>
      <c r="L1575" s="1760"/>
      <c r="M1575" s="1760"/>
      <c r="N1575" s="1761"/>
      <c r="O1575" s="16"/>
      <c r="P1575" s="1037"/>
      <c r="Q1575" s="1037"/>
      <c r="R1575" s="1037"/>
    </row>
    <row r="1576" spans="2:27" ht="12.75" customHeight="1" x14ac:dyDescent="0.2">
      <c r="B1576" s="207"/>
      <c r="C1576" s="1060"/>
      <c r="D1576" s="462"/>
      <c r="E1576" s="1757"/>
      <c r="F1576" s="1758"/>
      <c r="G1576" s="1758"/>
      <c r="H1576" s="450" t="str">
        <f>EUconst_Unit</f>
        <v>Jednostka</v>
      </c>
      <c r="I1576" s="451">
        <f>I$1882</f>
        <v>2014</v>
      </c>
      <c r="J1576" s="451">
        <f>J$1882</f>
        <v>2015</v>
      </c>
      <c r="K1576" s="451">
        <f>K$1882</f>
        <v>2016</v>
      </c>
      <c r="L1576" s="451">
        <f>L$1882</f>
        <v>2017</v>
      </c>
      <c r="M1576" s="451">
        <f>M$1882</f>
        <v>2018</v>
      </c>
      <c r="N1576" s="665"/>
      <c r="O1576" s="16"/>
      <c r="P1576" s="1037"/>
      <c r="R1576" s="1037"/>
    </row>
    <row r="1577" spans="2:27" ht="12.75" customHeight="1" x14ac:dyDescent="0.2">
      <c r="B1577" s="207"/>
      <c r="C1577" s="1060"/>
      <c r="D1577" s="699" t="s">
        <v>2</v>
      </c>
      <c r="E1577" s="1739" t="str">
        <f>Translations!$B$731</f>
        <v>Wsad paliwa</v>
      </c>
      <c r="F1577" s="1740"/>
      <c r="G1577" s="1740"/>
      <c r="H1577" s="453" t="str">
        <f>EUconst_TJpa</f>
        <v>TJ / rok</v>
      </c>
      <c r="I1577" s="313"/>
      <c r="J1577" s="313"/>
      <c r="K1577" s="313"/>
      <c r="L1577" s="313"/>
      <c r="M1577" s="313"/>
      <c r="N1577" s="702"/>
      <c r="O1577" s="16"/>
      <c r="P1577" s="1062" t="str">
        <f>EUconst_CNTR_FuelInput &amp; I1513</f>
        <v>FuelInput_</v>
      </c>
      <c r="R1577" s="1037"/>
    </row>
    <row r="1578" spans="2:27" ht="12.75" customHeight="1" x14ac:dyDescent="0.2">
      <c r="B1578" s="207"/>
      <c r="C1578" s="1060"/>
      <c r="D1578" s="699" t="s">
        <v>3</v>
      </c>
      <c r="E1578" s="1772" t="str">
        <f>Translations!$B$732</f>
        <v>Ważony współczynnik emisji</v>
      </c>
      <c r="F1578" s="1773"/>
      <c r="G1578" s="1773"/>
      <c r="H1578" s="569" t="str">
        <f>EUconst_tCO2pTJ</f>
        <v>t CO2 / TJ</v>
      </c>
      <c r="I1578" s="323"/>
      <c r="J1578" s="323"/>
      <c r="K1578" s="323"/>
      <c r="L1578" s="323"/>
      <c r="M1578" s="323"/>
      <c r="N1578" s="665"/>
      <c r="O1578" s="16"/>
      <c r="P1578" s="1062" t="str">
        <f>EUconst_CNTR_FuelEF &amp; I1513</f>
        <v>FuelEF_</v>
      </c>
      <c r="R1578" s="1037"/>
    </row>
    <row r="1579" spans="2:27" ht="12.75" customHeight="1" x14ac:dyDescent="0.2">
      <c r="B1579" s="207"/>
      <c r="C1579" s="1060"/>
      <c r="D1579" s="1061"/>
      <c r="E1579" s="1061"/>
      <c r="F1579" s="1061"/>
      <c r="G1579" s="1061"/>
      <c r="H1579" s="1061"/>
      <c r="I1579" s="1061"/>
      <c r="J1579" s="1061"/>
      <c r="K1579" s="1061"/>
      <c r="L1579" s="1061"/>
      <c r="M1579" s="1063"/>
      <c r="N1579" s="665"/>
      <c r="O1579" s="16"/>
      <c r="P1579" s="1037"/>
      <c r="R1579" s="1037"/>
    </row>
    <row r="1580" spans="2:27" ht="12.75" customHeight="1" thickBot="1" x14ac:dyDescent="0.25">
      <c r="B1580" s="207"/>
      <c r="C1580" s="1060"/>
      <c r="D1580" s="462" t="s">
        <v>89</v>
      </c>
      <c r="E1580" s="1760" t="str">
        <f>Translations!$B$733</f>
        <v>Dalsze wewnętrzne strumienie materiałów wsadowych wprowadzane do tej podinstalacji lub z niej wyprowadzane</v>
      </c>
      <c r="F1580" s="1760"/>
      <c r="G1580" s="1760"/>
      <c r="H1580" s="1760"/>
      <c r="I1580" s="1760"/>
      <c r="J1580" s="1760"/>
      <c r="K1580" s="1760"/>
      <c r="L1580" s="1760"/>
      <c r="M1580" s="1760"/>
      <c r="N1580" s="1761"/>
      <c r="O1580" s="16"/>
      <c r="P1580" s="1037"/>
      <c r="Q1580" s="1037"/>
      <c r="R1580" s="1037"/>
    </row>
    <row r="1581" spans="2:27" ht="25.5" customHeight="1" thickBot="1" x14ac:dyDescent="0.25">
      <c r="B1581" s="207"/>
      <c r="C1581" s="1060"/>
      <c r="D1581" s="699" t="s">
        <v>2</v>
      </c>
      <c r="E1581" s="1774" t="str">
        <f>Translations!$B$739</f>
        <v>Czy tej podinstalacji dotyczy więcej wprowadzonych lub wyprowadzonych wewnętrznych strumieni materiałów wsadowych?</v>
      </c>
      <c r="F1581" s="1774"/>
      <c r="G1581" s="1774"/>
      <c r="H1581" s="1774"/>
      <c r="I1581" s="1774"/>
      <c r="J1581" s="1774"/>
      <c r="K1581" s="1775"/>
      <c r="L1581" s="517"/>
      <c r="M1581" s="1253"/>
      <c r="N1581" s="1254"/>
      <c r="O1581" s="16"/>
      <c r="P1581" s="1037"/>
      <c r="R1581" s="1037"/>
      <c r="W1581" s="1048" t="s">
        <v>414</v>
      </c>
      <c r="X1581" s="1046" t="b">
        <f>IF(AND(I1513&lt;&gt;"",ISBLANK(L1581)),EUconst_Error&amp;"BM"&amp;C1513,FALSE)</f>
        <v>0</v>
      </c>
    </row>
    <row r="1582" spans="2:27" ht="5.0999999999999996" customHeight="1" thickBot="1" x14ac:dyDescent="0.25">
      <c r="B1582" s="207"/>
      <c r="C1582" s="1060"/>
      <c r="D1582" s="1061"/>
      <c r="E1582" s="1733"/>
      <c r="F1582" s="1734"/>
      <c r="G1582" s="1734"/>
      <c r="H1582" s="1734"/>
      <c r="I1582" s="1734"/>
      <c r="J1582" s="1734"/>
      <c r="K1582" s="1734"/>
      <c r="L1582" s="1734"/>
      <c r="M1582" s="1734"/>
      <c r="N1582" s="1735"/>
      <c r="O1582" s="16"/>
      <c r="P1582" s="1037"/>
      <c r="R1582" s="1037"/>
      <c r="AA1582" s="422" t="s">
        <v>272</v>
      </c>
    </row>
    <row r="1583" spans="2:27" ht="12.75" customHeight="1" x14ac:dyDescent="0.2">
      <c r="B1583" s="207"/>
      <c r="C1583" s="1060"/>
      <c r="D1583" s="699" t="s">
        <v>3</v>
      </c>
      <c r="E1583" s="1760" t="str">
        <f>Translations!$B$741</f>
        <v>Nazwa dalszych strumieni materiałów wsadowych – 1:</v>
      </c>
      <c r="F1583" s="1760"/>
      <c r="G1583" s="1760"/>
      <c r="H1583" s="1760"/>
      <c r="I1583" s="1763"/>
      <c r="J1583" s="1764"/>
      <c r="K1583" s="1764"/>
      <c r="L1583" s="1764"/>
      <c r="M1583" s="1765"/>
      <c r="N1583" s="664"/>
      <c r="O1583" s="16"/>
      <c r="P1583" s="1037"/>
      <c r="R1583" s="1037"/>
      <c r="AA1583" s="646" t="b">
        <f>IF(I1513&lt;&gt;"",AND(L1581&lt;&gt;"",L1581=FALSE),FALSE)</f>
        <v>0</v>
      </c>
    </row>
    <row r="1584" spans="2:27" ht="5.0999999999999996" customHeight="1" x14ac:dyDescent="0.2">
      <c r="B1584" s="207"/>
      <c r="C1584" s="1060"/>
      <c r="D1584" s="1061"/>
      <c r="E1584" s="1256"/>
      <c r="F1584" s="1253"/>
      <c r="G1584" s="1253"/>
      <c r="H1584" s="1253"/>
      <c r="I1584" s="1253"/>
      <c r="J1584" s="1253"/>
      <c r="K1584" s="1253"/>
      <c r="L1584" s="1253"/>
      <c r="M1584" s="1253"/>
      <c r="N1584" s="1254"/>
      <c r="O1584" s="16"/>
      <c r="P1584" s="1037"/>
      <c r="R1584" s="1037"/>
      <c r="AA1584" s="608"/>
    </row>
    <row r="1585" spans="2:27" ht="12.75" customHeight="1" x14ac:dyDescent="0.2">
      <c r="B1585" s="207"/>
      <c r="C1585" s="1060"/>
      <c r="D1585" s="1061"/>
      <c r="E1585" s="1757" t="str">
        <f>Translations!$B$742</f>
        <v>Dalsze strumienie materiałów wsadowych – 1:</v>
      </c>
      <c r="F1585" s="1758"/>
      <c r="G1585" s="1758"/>
      <c r="H1585" s="450" t="str">
        <f>EUconst_Unit</f>
        <v>Jednostka</v>
      </c>
      <c r="I1585" s="451">
        <f>I$1882</f>
        <v>2014</v>
      </c>
      <c r="J1585" s="451">
        <f>J$1882</f>
        <v>2015</v>
      </c>
      <c r="K1585" s="451">
        <f>K$1882</f>
        <v>2016</v>
      </c>
      <c r="L1585" s="451">
        <f>L$1882</f>
        <v>2017</v>
      </c>
      <c r="M1585" s="451">
        <f>M$1882</f>
        <v>2018</v>
      </c>
      <c r="N1585" s="665"/>
      <c r="O1585" s="16"/>
      <c r="P1585" s="1037"/>
      <c r="R1585" s="1037"/>
      <c r="AA1585" s="608"/>
    </row>
    <row r="1586" spans="2:27" ht="12.75" customHeight="1" x14ac:dyDescent="0.2">
      <c r="B1586" s="207"/>
      <c r="C1586" s="1060"/>
      <c r="D1586" s="699" t="s">
        <v>4</v>
      </c>
      <c r="E1586" s="1766" t="str">
        <f>Translations!$B$743</f>
        <v>Ilość wprowadzona lub wyprowadzona</v>
      </c>
      <c r="F1586" s="1767"/>
      <c r="G1586" s="1767"/>
      <c r="H1586" s="454" t="str">
        <f>EUconst_tpa</f>
        <v>t / rok</v>
      </c>
      <c r="I1586" s="331"/>
      <c r="J1586" s="331"/>
      <c r="K1586" s="331"/>
      <c r="L1586" s="331"/>
      <c r="M1586" s="331"/>
      <c r="N1586" s="665"/>
      <c r="O1586" s="16"/>
      <c r="P1586" s="1037"/>
      <c r="R1586" s="1037"/>
      <c r="AA1586" s="345" t="b">
        <f>AA1583</f>
        <v>0</v>
      </c>
    </row>
    <row r="1587" spans="2:27" ht="12.75" customHeight="1" x14ac:dyDescent="0.2">
      <c r="B1587" s="207"/>
      <c r="C1587" s="1060"/>
      <c r="D1587" s="699" t="s">
        <v>6</v>
      </c>
      <c r="E1587" s="1771" t="str">
        <f>Translations!$B$744</f>
        <v>Wartość opałowa netto (NCV) (jeśli dotyczy)</v>
      </c>
      <c r="F1587" s="1771"/>
      <c r="G1587" s="1771"/>
      <c r="H1587" s="541" t="str">
        <f>EUconst_GJpt</f>
        <v>GJ / t</v>
      </c>
      <c r="I1587" s="330"/>
      <c r="J1587" s="330"/>
      <c r="K1587" s="330"/>
      <c r="L1587" s="330"/>
      <c r="M1587" s="330"/>
      <c r="N1587" s="665"/>
      <c r="O1587" s="16"/>
      <c r="P1587" s="1037"/>
      <c r="R1587" s="1037"/>
      <c r="AA1587" s="345" t="b">
        <f>AA1586</f>
        <v>0</v>
      </c>
    </row>
    <row r="1588" spans="2:27" ht="12.75" customHeight="1" thickBot="1" x14ac:dyDescent="0.25">
      <c r="B1588" s="207"/>
      <c r="C1588" s="1060"/>
      <c r="D1588" s="699" t="s">
        <v>316</v>
      </c>
      <c r="E1588" s="1771" t="str">
        <f>Translations!$B$745</f>
        <v>Zawartość węgla (% masy)</v>
      </c>
      <c r="F1588" s="1771"/>
      <c r="G1588" s="1771"/>
      <c r="H1588" s="542" t="s">
        <v>355</v>
      </c>
      <c r="I1588" s="330"/>
      <c r="J1588" s="330"/>
      <c r="K1588" s="330"/>
      <c r="L1588" s="330"/>
      <c r="M1588" s="330"/>
      <c r="N1588" s="665"/>
      <c r="O1588" s="16"/>
      <c r="P1588" s="1037"/>
      <c r="R1588" s="1037"/>
      <c r="AA1588" s="345" t="b">
        <f>AA1587</f>
        <v>0</v>
      </c>
    </row>
    <row r="1589" spans="2:27" ht="12.75" customHeight="1" x14ac:dyDescent="0.2">
      <c r="B1589" s="207"/>
      <c r="C1589" s="1060"/>
      <c r="D1589" s="699" t="s">
        <v>317</v>
      </c>
      <c r="E1589" s="1744" t="str">
        <f>Translations!$B$746</f>
        <v>Zawartość biomasy (jako frakcja węgla)</v>
      </c>
      <c r="F1589" s="1744"/>
      <c r="G1589" s="1744"/>
      <c r="H1589" s="473" t="s">
        <v>355</v>
      </c>
      <c r="I1589" s="329"/>
      <c r="J1589" s="329"/>
      <c r="K1589" s="329"/>
      <c r="L1589" s="329"/>
      <c r="M1589" s="329"/>
      <c r="N1589" s="665"/>
      <c r="O1589" s="16"/>
      <c r="P1589" s="1037"/>
      <c r="R1589" s="1052"/>
      <c r="S1589" s="814">
        <f>I1585</f>
        <v>2014</v>
      </c>
      <c r="T1589" s="814">
        <f>J1585</f>
        <v>2015</v>
      </c>
      <c r="U1589" s="814">
        <f>K1585</f>
        <v>2016</v>
      </c>
      <c r="V1589" s="814">
        <f>L1585</f>
        <v>2017</v>
      </c>
      <c r="W1589" s="815">
        <f>M1585</f>
        <v>2018</v>
      </c>
      <c r="AA1589" s="345" t="b">
        <f>AA1588</f>
        <v>0</v>
      </c>
    </row>
    <row r="1590" spans="2:27" ht="12.75" customHeight="1" thickBot="1" x14ac:dyDescent="0.25">
      <c r="B1590" s="207"/>
      <c r="C1590" s="1060"/>
      <c r="D1590" s="699" t="s">
        <v>318</v>
      </c>
      <c r="E1590" s="1767" t="str">
        <f>Translations!$B$747</f>
        <v>Emisje (kopalne, obliczone)</v>
      </c>
      <c r="F1590" s="1767"/>
      <c r="G1590" s="1767"/>
      <c r="H1590" s="543" t="str">
        <f>EUconst_tCO2pa</f>
        <v>t CO2 / rok</v>
      </c>
      <c r="I1590" s="325" t="str">
        <f>IF(AND(COUNT(I1586:I1589)&gt;0,I1593=""),3.664*I1586*(I1588/100)*(1-I1589/100),"")</f>
        <v/>
      </c>
      <c r="J1590" s="325" t="str">
        <f>IF(AND(COUNT(J1586:J1589)&gt;0,J1593=""),3.664*J1586*(J1588/100)*(1-J1589/100),"")</f>
        <v/>
      </c>
      <c r="K1590" s="325" t="str">
        <f>IF(AND(COUNT(K1586:K1589)&gt;0,K1593=""),3.664*K1586*(K1588/100)*(1-K1589/100),"")</f>
        <v/>
      </c>
      <c r="L1590" s="325" t="str">
        <f>IF(AND(COUNT(L1586:L1589)&gt;0,L1593=""),3.664*L1586*(L1588/100)*(1-L1589/100),"")</f>
        <v/>
      </c>
      <c r="M1590" s="325" t="str">
        <f>IF(AND(COUNT(M1586:M1589)&gt;0,M1593=""),3.664*M1586*(M1588/100)*(1-M1589/100),"")</f>
        <v/>
      </c>
      <c r="N1590" s="665"/>
      <c r="O1590" s="16"/>
      <c r="P1590" s="1062" t="str">
        <f>EUconst_CNTR_EmissionsIntSource1 &amp; I1513</f>
        <v>EmInternalSource1_</v>
      </c>
      <c r="R1590" s="1053" t="str">
        <f>EUconst_CNTR_AttributedEmissions &amp; I1513</f>
        <v>AttrEmissions_</v>
      </c>
      <c r="S1590" s="119" t="str">
        <f>IF(S1513,SUM(I1590),"")</f>
        <v/>
      </c>
      <c r="T1590" s="119" t="str">
        <f>IF(T1513,SUM(J1590),"")</f>
        <v/>
      </c>
      <c r="U1590" s="119" t="str">
        <f>IF(U1513,SUM(K1590),"")</f>
        <v/>
      </c>
      <c r="V1590" s="119" t="str">
        <f>IF(V1513,SUM(L1590),"")</f>
        <v/>
      </c>
      <c r="W1590" s="120" t="str">
        <f>IF(W1513,SUM(M1590),"")</f>
        <v/>
      </c>
      <c r="AA1590" s="608"/>
    </row>
    <row r="1591" spans="2:27" ht="12.75" customHeight="1" x14ac:dyDescent="0.2">
      <c r="B1591" s="207"/>
      <c r="C1591" s="1060"/>
      <c r="D1591" s="699" t="s">
        <v>319</v>
      </c>
      <c r="E1591" s="1769" t="str">
        <f>Translations!$B$748</f>
        <v>Nota uzupełniająca: Emisje pochodzące z biomasy</v>
      </c>
      <c r="F1591" s="1769"/>
      <c r="G1591" s="1769"/>
      <c r="H1591" s="544" t="str">
        <f>EUconst_tCO2pa</f>
        <v>t CO2 / rok</v>
      </c>
      <c r="I1591" s="324" t="str">
        <f>IF(ISNUMBER(I1590),3.664*I1586*(I1588/100)*(I1589/100),"")</f>
        <v/>
      </c>
      <c r="J1591" s="324" t="str">
        <f>IF(ISNUMBER(J1590),3.664*J1586*(J1588/100)*(J1589/100),"")</f>
        <v/>
      </c>
      <c r="K1591" s="324" t="str">
        <f>IF(ISNUMBER(K1590),3.664*K1586*(K1588/100)*(K1589/100),"")</f>
        <v/>
      </c>
      <c r="L1591" s="324" t="str">
        <f>IF(ISNUMBER(L1590),3.664*L1586*(L1588/100)*(L1589/100),"")</f>
        <v/>
      </c>
      <c r="M1591" s="324" t="str">
        <f>IF(ISNUMBER(M1590),3.664*M1586*(M1588/100)*(M1589/100),"")</f>
        <v/>
      </c>
      <c r="N1591" s="665"/>
      <c r="O1591" s="16"/>
      <c r="P1591" s="1037"/>
      <c r="R1591" s="1037"/>
      <c r="AA1591" s="608"/>
    </row>
    <row r="1592" spans="2:27" ht="12.75" customHeight="1" x14ac:dyDescent="0.2">
      <c r="B1592" s="207"/>
      <c r="C1592" s="1060"/>
      <c r="D1592" s="699" t="s">
        <v>320</v>
      </c>
      <c r="E1592" s="1744" t="str">
        <f>Translations!$B$749</f>
        <v>Zawartość energii (obliczona)</v>
      </c>
      <c r="F1592" s="1744"/>
      <c r="G1592" s="1744"/>
      <c r="H1592" s="545" t="str">
        <f>EUconst_TJpa</f>
        <v>TJ / rok</v>
      </c>
      <c r="I1592" s="327" t="str">
        <f>IF(COUNT(I1586:I1587)=2,I1586*I1587/1000,"")</f>
        <v/>
      </c>
      <c r="J1592" s="327" t="str">
        <f>IF(COUNT(J1586:J1587)=2,J1586*J1587/1000,"")</f>
        <v/>
      </c>
      <c r="K1592" s="327" t="str">
        <f>IF(COUNT(K1586:K1587)=2,K1586*K1587/1000,"")</f>
        <v/>
      </c>
      <c r="L1592" s="327" t="str">
        <f>IF(COUNT(L1586:L1587)=2,L1586*L1587/1000,"")</f>
        <v/>
      </c>
      <c r="M1592" s="327" t="str">
        <f>IF(COUNT(M1586:M1587)=2,M1586*M1587/1000,"")</f>
        <v/>
      </c>
      <c r="N1592" s="665"/>
      <c r="O1592" s="16"/>
      <c r="P1592" s="1037"/>
      <c r="R1592" s="1037"/>
      <c r="AA1592" s="608"/>
    </row>
    <row r="1593" spans="2:27" ht="12.75" customHeight="1" x14ac:dyDescent="0.2">
      <c r="B1593" s="207"/>
      <c r="C1593" s="1060"/>
      <c r="D1593" s="699" t="s">
        <v>16</v>
      </c>
      <c r="E1593" s="1770" t="str">
        <f>Translations!$B$750</f>
        <v>Komunikaty o błędach (emisje)</v>
      </c>
      <c r="F1593" s="1770"/>
      <c r="G1593" s="1770"/>
      <c r="H1593" s="546"/>
      <c r="I1593" s="666" t="str">
        <f>IF(COUNT(I1586,I1588:I1589)&gt;0,IF(COUNTIF(I1587:I1589,"&lt;0")&gt;0,EUconst_Negative,IF(COUNT(I1586,I1588:I1589)&lt;3,EUconst_Incomplete,"")),"")</f>
        <v/>
      </c>
      <c r="J1593" s="666" t="str">
        <f>IF(COUNT(J1586,J1588:J1589)&gt;0,IF(COUNTIF(J1587:J1589,"&lt;0")&gt;0,EUconst_Negative,IF(COUNT(J1586,J1588:J1589)&lt;3,EUconst_Incomplete,"")),"")</f>
        <v/>
      </c>
      <c r="K1593" s="666" t="str">
        <f>IF(COUNT(K1586,K1588:K1589)&gt;0,IF(COUNTIF(K1587:K1589,"&lt;0")&gt;0,EUconst_Negative,IF(COUNT(K1586,K1588:K1589)&lt;3,EUconst_Incomplete,"")),"")</f>
        <v/>
      </c>
      <c r="L1593" s="666" t="str">
        <f>IF(COUNT(L1586,L1588:L1589)&gt;0,IF(COUNTIF(L1587:L1589,"&lt;0")&gt;0,EUconst_Negative,IF(COUNT(L1586,L1588:L1589)&lt;3,EUconst_Incomplete,"")),"")</f>
        <v/>
      </c>
      <c r="M1593" s="666" t="str">
        <f>IF(COUNT(M1586,M1588:M1589)&gt;0,IF(COUNTIF(M1587:M1589,"&lt;0")&gt;0,EUconst_Negative,IF(COUNT(M1586,M1588:M1589)&lt;3,EUconst_Incomplete,"")),"")</f>
        <v/>
      </c>
      <c r="N1593" s="665"/>
      <c r="O1593" s="16"/>
      <c r="P1593" s="1037"/>
      <c r="R1593" s="1037"/>
      <c r="AA1593" s="608"/>
    </row>
    <row r="1594" spans="2:27" ht="12.75" customHeight="1" x14ac:dyDescent="0.2">
      <c r="B1594" s="207"/>
      <c r="C1594" s="1060"/>
      <c r="D1594" s="699"/>
      <c r="E1594" s="1061"/>
      <c r="F1594" s="1061"/>
      <c r="G1594" s="1061"/>
      <c r="H1594" s="1061"/>
      <c r="I1594" s="1061"/>
      <c r="J1594" s="1061"/>
      <c r="K1594" s="1061"/>
      <c r="L1594" s="1061"/>
      <c r="M1594" s="1063"/>
      <c r="N1594" s="665"/>
      <c r="O1594" s="16"/>
      <c r="P1594" s="1037"/>
      <c r="R1594" s="1037"/>
      <c r="AA1594" s="608"/>
    </row>
    <row r="1595" spans="2:27" ht="12.75" customHeight="1" x14ac:dyDescent="0.2">
      <c r="B1595" s="207"/>
      <c r="C1595" s="1060"/>
      <c r="D1595" s="699" t="s">
        <v>17</v>
      </c>
      <c r="E1595" s="1760" t="str">
        <f>Translations!$B$751</f>
        <v>Nazwa dalszych strumieni materiałów wsadowych – 2:</v>
      </c>
      <c r="F1595" s="1760"/>
      <c r="G1595" s="1760"/>
      <c r="H1595" s="1760"/>
      <c r="I1595" s="1763"/>
      <c r="J1595" s="1764"/>
      <c r="K1595" s="1764"/>
      <c r="L1595" s="1764"/>
      <c r="M1595" s="1765"/>
      <c r="N1595" s="1254"/>
      <c r="O1595" s="16"/>
      <c r="P1595" s="1037"/>
      <c r="R1595" s="1037"/>
      <c r="AA1595" s="345" t="b">
        <f>AA1583</f>
        <v>0</v>
      </c>
    </row>
    <row r="1596" spans="2:27" ht="5.0999999999999996" customHeight="1" x14ac:dyDescent="0.2">
      <c r="B1596" s="207"/>
      <c r="C1596" s="1060"/>
      <c r="D1596" s="1061"/>
      <c r="E1596" s="1256"/>
      <c r="F1596" s="1253"/>
      <c r="G1596" s="1253"/>
      <c r="H1596" s="1253"/>
      <c r="I1596" s="1253"/>
      <c r="J1596" s="1253"/>
      <c r="K1596" s="1253"/>
      <c r="L1596" s="1253"/>
      <c r="M1596" s="1253"/>
      <c r="N1596" s="1254"/>
      <c r="O1596" s="16"/>
      <c r="P1596" s="1037"/>
      <c r="R1596" s="1037"/>
      <c r="AA1596" s="608"/>
    </row>
    <row r="1597" spans="2:27" ht="12.75" customHeight="1" x14ac:dyDescent="0.2">
      <c r="B1597" s="207"/>
      <c r="C1597" s="1060"/>
      <c r="D1597" s="699"/>
      <c r="E1597" s="1757" t="str">
        <f>Translations!$B$752</f>
        <v>Dalsze strumienie materiałów wsadowych – 2:</v>
      </c>
      <c r="F1597" s="1758"/>
      <c r="G1597" s="1758"/>
      <c r="H1597" s="450" t="str">
        <f>EUconst_Unit</f>
        <v>Jednostka</v>
      </c>
      <c r="I1597" s="451">
        <f>I$1882</f>
        <v>2014</v>
      </c>
      <c r="J1597" s="451">
        <f>J$1882</f>
        <v>2015</v>
      </c>
      <c r="K1597" s="451">
        <f>K$1882</f>
        <v>2016</v>
      </c>
      <c r="L1597" s="451">
        <f>L$1882</f>
        <v>2017</v>
      </c>
      <c r="M1597" s="451">
        <f>M$1882</f>
        <v>2018</v>
      </c>
      <c r="N1597" s="665"/>
      <c r="O1597" s="16"/>
      <c r="P1597" s="1037"/>
      <c r="R1597" s="1037"/>
      <c r="AA1597" s="608"/>
    </row>
    <row r="1598" spans="2:27" ht="12.75" customHeight="1" x14ac:dyDescent="0.2">
      <c r="B1598" s="207"/>
      <c r="C1598" s="1060"/>
      <c r="D1598" s="699" t="s">
        <v>18</v>
      </c>
      <c r="E1598" s="1766" t="str">
        <f>Translations!$B$743</f>
        <v>Ilość wprowadzona lub wyprowadzona</v>
      </c>
      <c r="F1598" s="1767"/>
      <c r="G1598" s="1767"/>
      <c r="H1598" s="454" t="str">
        <f>EUconst_tpa</f>
        <v>t / rok</v>
      </c>
      <c r="I1598" s="331"/>
      <c r="J1598" s="331"/>
      <c r="K1598" s="331"/>
      <c r="L1598" s="331"/>
      <c r="M1598" s="331"/>
      <c r="N1598" s="665"/>
      <c r="O1598" s="16"/>
      <c r="P1598" s="1037"/>
      <c r="R1598" s="1037"/>
      <c r="AA1598" s="345" t="b">
        <f>AA1595</f>
        <v>0</v>
      </c>
    </row>
    <row r="1599" spans="2:27" ht="12.75" customHeight="1" x14ac:dyDescent="0.2">
      <c r="B1599" s="207"/>
      <c r="C1599" s="1060"/>
      <c r="D1599" s="699" t="s">
        <v>454</v>
      </c>
      <c r="E1599" s="1771" t="str">
        <f>Translations!$B$744</f>
        <v>Wartość opałowa netto (NCV) (jeśli dotyczy)</v>
      </c>
      <c r="F1599" s="1771"/>
      <c r="G1599" s="1771"/>
      <c r="H1599" s="541" t="str">
        <f>EUconst_GJpt</f>
        <v>GJ / t</v>
      </c>
      <c r="I1599" s="330"/>
      <c r="J1599" s="330"/>
      <c r="K1599" s="330"/>
      <c r="L1599" s="330"/>
      <c r="M1599" s="330"/>
      <c r="N1599" s="665"/>
      <c r="O1599" s="16"/>
      <c r="P1599" s="1037"/>
      <c r="R1599" s="1037"/>
      <c r="AA1599" s="345" t="b">
        <f>AA1598</f>
        <v>0</v>
      </c>
    </row>
    <row r="1600" spans="2:27" ht="12.75" customHeight="1" thickBot="1" x14ac:dyDescent="0.25">
      <c r="B1600" s="207"/>
      <c r="C1600" s="1060"/>
      <c r="D1600" s="699" t="s">
        <v>455</v>
      </c>
      <c r="E1600" s="1771" t="str">
        <f>Translations!$B$745</f>
        <v>Zawartość węgla (% masy)</v>
      </c>
      <c r="F1600" s="1771"/>
      <c r="G1600" s="1771"/>
      <c r="H1600" s="542" t="s">
        <v>355</v>
      </c>
      <c r="I1600" s="330"/>
      <c r="J1600" s="330"/>
      <c r="K1600" s="330"/>
      <c r="L1600" s="330"/>
      <c r="M1600" s="330"/>
      <c r="N1600" s="665"/>
      <c r="O1600" s="16"/>
      <c r="P1600" s="1037"/>
      <c r="R1600" s="1037"/>
      <c r="AA1600" s="345" t="b">
        <f>AA1599</f>
        <v>0</v>
      </c>
    </row>
    <row r="1601" spans="2:27" ht="12.75" customHeight="1" thickBot="1" x14ac:dyDescent="0.25">
      <c r="B1601" s="207"/>
      <c r="C1601" s="1060"/>
      <c r="D1601" s="699" t="s">
        <v>456</v>
      </c>
      <c r="E1601" s="1744" t="str">
        <f>Translations!$B$746</f>
        <v>Zawartość biomasy (jako frakcja węgla)</v>
      </c>
      <c r="F1601" s="1744"/>
      <c r="G1601" s="1744"/>
      <c r="H1601" s="473" t="s">
        <v>355</v>
      </c>
      <c r="I1601" s="329"/>
      <c r="J1601" s="329"/>
      <c r="K1601" s="329"/>
      <c r="L1601" s="329"/>
      <c r="M1601" s="329"/>
      <c r="N1601" s="665"/>
      <c r="O1601" s="16"/>
      <c r="P1601" s="1037"/>
      <c r="R1601" s="1052"/>
      <c r="S1601" s="814">
        <f>I1597</f>
        <v>2014</v>
      </c>
      <c r="T1601" s="814">
        <f>J1597</f>
        <v>2015</v>
      </c>
      <c r="U1601" s="814">
        <f>K1597</f>
        <v>2016</v>
      </c>
      <c r="V1601" s="814">
        <f>L1597</f>
        <v>2017</v>
      </c>
      <c r="W1601" s="815">
        <f>M1597</f>
        <v>2018</v>
      </c>
      <c r="AA1601" s="168" t="b">
        <f>AA1600</f>
        <v>0</v>
      </c>
    </row>
    <row r="1602" spans="2:27" ht="12.75" customHeight="1" thickBot="1" x14ac:dyDescent="0.25">
      <c r="B1602" s="207"/>
      <c r="C1602" s="1060"/>
      <c r="D1602" s="699" t="s">
        <v>457</v>
      </c>
      <c r="E1602" s="1767" t="str">
        <f>Translations!$B$747</f>
        <v>Emisje (kopalne, obliczone)</v>
      </c>
      <c r="F1602" s="1767"/>
      <c r="G1602" s="1767"/>
      <c r="H1602" s="543" t="str">
        <f>EUconst_tCO2pa</f>
        <v>t CO2 / rok</v>
      </c>
      <c r="I1602" s="325" t="str">
        <f>IF(AND(COUNT(I1598:I1601)&gt;0,I1605=""),3.664*I1598*(I1600/100)*(1-I1601/100),"")</f>
        <v/>
      </c>
      <c r="J1602" s="325" t="str">
        <f>IF(AND(COUNT(J1598:J1601)&gt;0,J1605=""),3.664*J1598*(J1600/100)*(1-J1601/100),"")</f>
        <v/>
      </c>
      <c r="K1602" s="325" t="str">
        <f>IF(AND(COUNT(K1598:K1601)&gt;0,K1605=""),3.664*K1598*(K1600/100)*(1-K1601/100),"")</f>
        <v/>
      </c>
      <c r="L1602" s="325" t="str">
        <f>IF(AND(COUNT(L1598:L1601)&gt;0,L1605=""),3.664*L1598*(L1600/100)*(1-L1601/100),"")</f>
        <v/>
      </c>
      <c r="M1602" s="325" t="str">
        <f>IF(AND(COUNT(M1598:M1601)&gt;0,M1605=""),3.664*M1598*(M1600/100)*(1-M1601/100),"")</f>
        <v/>
      </c>
      <c r="N1602" s="665"/>
      <c r="O1602" s="16"/>
      <c r="P1602" s="1062" t="str">
        <f>EUconst_CNTR_EmissionsIntSource2 &amp; I1513</f>
        <v>EmInternalSource2_</v>
      </c>
      <c r="R1602" s="1053" t="str">
        <f>EUconst_CNTR_AttributedEmissions &amp; I1513</f>
        <v>AttrEmissions_</v>
      </c>
      <c r="S1602" s="119" t="str">
        <f>IF(S1513,SUM(I1602),"")</f>
        <v/>
      </c>
      <c r="T1602" s="119" t="str">
        <f>IF(T1513,SUM(J1602),"")</f>
        <v/>
      </c>
      <c r="U1602" s="119" t="str">
        <f>IF(U1513,SUM(K1602),"")</f>
        <v/>
      </c>
      <c r="V1602" s="119" t="str">
        <f>IF(V1513,SUM(L1602),"")</f>
        <v/>
      </c>
      <c r="W1602" s="120" t="str">
        <f>IF(W1513,SUM(M1602),"")</f>
        <v/>
      </c>
    </row>
    <row r="1603" spans="2:27" ht="12.75" customHeight="1" x14ac:dyDescent="0.2">
      <c r="B1603" s="207"/>
      <c r="C1603" s="1060"/>
      <c r="D1603" s="699" t="s">
        <v>458</v>
      </c>
      <c r="E1603" s="1769" t="str">
        <f>Translations!$B$748</f>
        <v>Nota uzupełniająca: Emisje pochodzące z biomasy</v>
      </c>
      <c r="F1603" s="1769"/>
      <c r="G1603" s="1769"/>
      <c r="H1603" s="544" t="str">
        <f>EUconst_tCO2pa</f>
        <v>t CO2 / rok</v>
      </c>
      <c r="I1603" s="324" t="str">
        <f>IF(ISNUMBER(I1602),3.664*I1598*(I1600/100)*(I1601/100),"")</f>
        <v/>
      </c>
      <c r="J1603" s="324" t="str">
        <f>IF(ISNUMBER(J1602),3.664*J1598*(J1600/100)*(J1601/100),"")</f>
        <v/>
      </c>
      <c r="K1603" s="324" t="str">
        <f>IF(ISNUMBER(K1602),3.664*K1598*(K1600/100)*(K1601/100),"")</f>
        <v/>
      </c>
      <c r="L1603" s="324" t="str">
        <f>IF(ISNUMBER(L1602),3.664*L1598*(L1600/100)*(L1601/100),"")</f>
        <v/>
      </c>
      <c r="M1603" s="324" t="str">
        <f>IF(ISNUMBER(M1602),3.664*M1598*(M1600/100)*(M1601/100),"")</f>
        <v/>
      </c>
      <c r="N1603" s="665"/>
      <c r="O1603" s="16"/>
      <c r="P1603" s="1037"/>
      <c r="R1603" s="1037"/>
    </row>
    <row r="1604" spans="2:27" ht="12.75" customHeight="1" x14ac:dyDescent="0.2">
      <c r="B1604" s="207"/>
      <c r="C1604" s="1060"/>
      <c r="D1604" s="699" t="s">
        <v>459</v>
      </c>
      <c r="E1604" s="1744" t="str">
        <f>Translations!$B$749</f>
        <v>Zawartość energii (obliczona)</v>
      </c>
      <c r="F1604" s="1744"/>
      <c r="G1604" s="1744"/>
      <c r="H1604" s="545" t="str">
        <f>EUconst_TJpa</f>
        <v>TJ / rok</v>
      </c>
      <c r="I1604" s="327" t="str">
        <f>IF(COUNT(I1598:I1599)=2,I1598*I1599/1000,"")</f>
        <v/>
      </c>
      <c r="J1604" s="327" t="str">
        <f>IF(COUNT(J1598:J1599)=2,J1598*J1599/1000,"")</f>
        <v/>
      </c>
      <c r="K1604" s="327" t="str">
        <f>IF(COUNT(K1598:K1599)=2,K1598*K1599/1000,"")</f>
        <v/>
      </c>
      <c r="L1604" s="327" t="str">
        <f>IF(COUNT(L1598:L1599)=2,L1598*L1599/1000,"")</f>
        <v/>
      </c>
      <c r="M1604" s="327" t="str">
        <f>IF(COUNT(M1598:M1599)=2,M1598*M1599/1000,"")</f>
        <v/>
      </c>
      <c r="N1604" s="665"/>
      <c r="O1604" s="16"/>
      <c r="P1604" s="1037"/>
      <c r="R1604" s="1037"/>
    </row>
    <row r="1605" spans="2:27" ht="12.75" customHeight="1" x14ac:dyDescent="0.2">
      <c r="B1605" s="207"/>
      <c r="C1605" s="1060"/>
      <c r="D1605" s="699" t="s">
        <v>455</v>
      </c>
      <c r="E1605" s="1770" t="str">
        <f>Translations!$B$750</f>
        <v>Komunikaty o błędach (emisje)</v>
      </c>
      <c r="F1605" s="1770"/>
      <c r="G1605" s="1770"/>
      <c r="H1605" s="546"/>
      <c r="I1605" s="666" t="str">
        <f>IF(COUNT(I1598,I1600:I1601)&gt;0,IF(COUNTIF(I1599:I1601,"&lt;0")&gt;0,EUconst_Negative,IF(COUNT(I1598,I1600:I1601)&lt;3,EUconst_Incomplete,"")),"")</f>
        <v/>
      </c>
      <c r="J1605" s="666" t="str">
        <f>IF(COUNT(J1598,J1600:J1601)&gt;0,IF(COUNTIF(J1599:J1601,"&lt;0")&gt;0,EUconst_Negative,IF(COUNT(J1598,J1600:J1601)&lt;3,EUconst_Incomplete,"")),"")</f>
        <v/>
      </c>
      <c r="K1605" s="666" t="str">
        <f>IF(COUNT(K1598,K1600:K1601)&gt;0,IF(COUNTIF(K1599:K1601,"&lt;0")&gt;0,EUconst_Negative,IF(COUNT(K1598,K1600:K1601)&lt;3,EUconst_Incomplete,"")),"")</f>
        <v/>
      </c>
      <c r="L1605" s="666" t="str">
        <f>IF(COUNT(L1598,L1600:L1601)&gt;0,IF(COUNTIF(L1599:L1601,"&lt;0")&gt;0,EUconst_Negative,IF(COUNT(L1598,L1600:L1601)&lt;3,EUconst_Incomplete,"")),"")</f>
        <v/>
      </c>
      <c r="M1605" s="666" t="str">
        <f>IF(COUNT(M1598,M1600:M1601)&gt;0,IF(COUNTIF(M1599:M1601,"&lt;0")&gt;0,EUconst_Negative,IF(COUNT(M1598,M1600:M1601)&lt;3,EUconst_Incomplete,"")),"")</f>
        <v/>
      </c>
      <c r="N1605" s="665"/>
      <c r="O1605" s="16"/>
      <c r="P1605" s="1037"/>
      <c r="R1605" s="1037"/>
    </row>
    <row r="1606" spans="2:27" ht="12.75" customHeight="1" x14ac:dyDescent="0.2">
      <c r="B1606" s="207"/>
      <c r="C1606" s="1060"/>
      <c r="D1606" s="1061"/>
      <c r="E1606" s="1061"/>
      <c r="F1606" s="1061"/>
      <c r="G1606" s="1061"/>
      <c r="H1606" s="1061"/>
      <c r="I1606" s="1061"/>
      <c r="J1606" s="1061"/>
      <c r="K1606" s="1061"/>
      <c r="L1606" s="1061"/>
      <c r="M1606" s="1063"/>
      <c r="N1606" s="665"/>
      <c r="O1606" s="16"/>
      <c r="P1606" s="1037"/>
      <c r="R1606" s="1037"/>
    </row>
    <row r="1607" spans="2:27" ht="12.75" customHeight="1" thickBot="1" x14ac:dyDescent="0.25">
      <c r="B1607" s="207"/>
      <c r="C1607" s="1060"/>
      <c r="D1607" s="462" t="s">
        <v>218</v>
      </c>
      <c r="E1607" s="1731" t="str">
        <f>Translations!$B$753</f>
        <v>Ilość gazów cieplarnianych wprowadzonych lub wyprowadzonych w charakterze materiałów wsadowych</v>
      </c>
      <c r="F1607" s="1734"/>
      <c r="G1607" s="1734"/>
      <c r="H1607" s="1734"/>
      <c r="I1607" s="1734"/>
      <c r="J1607" s="1734"/>
      <c r="K1607" s="1734"/>
      <c r="L1607" s="1734"/>
      <c r="M1607" s="1734"/>
      <c r="N1607" s="1735"/>
      <c r="O1607" s="16"/>
      <c r="P1607" s="1037"/>
      <c r="R1607" s="1037"/>
    </row>
    <row r="1608" spans="2:27" ht="12.75" customHeight="1" x14ac:dyDescent="0.2">
      <c r="B1608" s="207"/>
      <c r="C1608" s="1060"/>
      <c r="D1608" s="462"/>
      <c r="E1608" s="1757"/>
      <c r="F1608" s="1758"/>
      <c r="G1608" s="1758"/>
      <c r="H1608" s="450" t="str">
        <f>EUconst_Unit</f>
        <v>Jednostka</v>
      </c>
      <c r="I1608" s="451">
        <f>I$1882</f>
        <v>2014</v>
      </c>
      <c r="J1608" s="451">
        <f>J$1882</f>
        <v>2015</v>
      </c>
      <c r="K1608" s="451">
        <f>K$1882</f>
        <v>2016</v>
      </c>
      <c r="L1608" s="451">
        <f>L$1882</f>
        <v>2017</v>
      </c>
      <c r="M1608" s="451">
        <f>M$1882</f>
        <v>2018</v>
      </c>
      <c r="N1608" s="665"/>
      <c r="O1608" s="16"/>
      <c r="P1608" s="1037"/>
      <c r="R1608" s="1052"/>
      <c r="S1608" s="814">
        <f>I1608</f>
        <v>2014</v>
      </c>
      <c r="T1608" s="814">
        <f>J1608</f>
        <v>2015</v>
      </c>
      <c r="U1608" s="814">
        <f>K1608</f>
        <v>2016</v>
      </c>
      <c r="V1608" s="814">
        <f>L1608</f>
        <v>2017</v>
      </c>
      <c r="W1608" s="815">
        <f>M1608</f>
        <v>2018</v>
      </c>
    </row>
    <row r="1609" spans="2:27" ht="12.75" customHeight="1" thickBot="1" x14ac:dyDescent="0.25">
      <c r="B1609" s="207"/>
      <c r="C1609" s="1060"/>
      <c r="D1609" s="699"/>
      <c r="E1609" s="1739" t="str">
        <f>Translations!$B$756</f>
        <v>Wprowadzone lub wyprowadzone gazy cieplarniane</v>
      </c>
      <c r="F1609" s="1740"/>
      <c r="G1609" s="1740"/>
      <c r="H1609" s="453" t="str">
        <f>EUconst_tCO2epa</f>
        <v>t CO2e/rok</v>
      </c>
      <c r="I1609" s="471"/>
      <c r="J1609" s="471"/>
      <c r="K1609" s="471"/>
      <c r="L1609" s="471"/>
      <c r="M1609" s="471"/>
      <c r="N1609" s="1257"/>
      <c r="O1609" s="16"/>
      <c r="P1609" s="1062" t="str">
        <f>EUconst_CNTR_CO2Feedstock &amp; I1513</f>
        <v>EmCO2Feedstock_</v>
      </c>
      <c r="R1609" s="1053" t="str">
        <f>EUconst_CNTR_AttributedEmissions &amp; I1513</f>
        <v>AttrEmissions_</v>
      </c>
      <c r="S1609" s="119" t="str">
        <f>IF(S1513,SUM(I1609),"")</f>
        <v/>
      </c>
      <c r="T1609" s="119" t="str">
        <f>IF(T1513,SUM(J1609),"")</f>
        <v/>
      </c>
      <c r="U1609" s="119" t="str">
        <f>IF(U1513,SUM(K1609),"")</f>
        <v/>
      </c>
      <c r="V1609" s="119" t="str">
        <f>IF(V1513,SUM(L1609),"")</f>
        <v/>
      </c>
      <c r="W1609" s="120" t="str">
        <f>IF(W1513,SUM(M1609),"")</f>
        <v/>
      </c>
    </row>
    <row r="1610" spans="2:27" ht="12.75" customHeight="1" x14ac:dyDescent="0.2">
      <c r="B1610" s="207"/>
      <c r="C1610" s="1060"/>
      <c r="D1610" s="1061"/>
      <c r="E1610" s="1061"/>
      <c r="F1610" s="1061"/>
      <c r="G1610" s="1061"/>
      <c r="H1610" s="1061"/>
      <c r="I1610" s="1061"/>
      <c r="J1610" s="1061"/>
      <c r="K1610" s="1061"/>
      <c r="L1610" s="1061"/>
      <c r="M1610" s="1063"/>
      <c r="N1610" s="665"/>
      <c r="O1610" s="16"/>
      <c r="P1610" s="1037"/>
      <c r="R1610" s="1037"/>
    </row>
    <row r="1611" spans="2:27" ht="12.75" customHeight="1" x14ac:dyDescent="0.2">
      <c r="B1611" s="207"/>
      <c r="C1611" s="1060"/>
      <c r="D1611" s="462" t="s">
        <v>219</v>
      </c>
      <c r="E1611" s="1731" t="str">
        <f>Translations!$B$757</f>
        <v>Mierzalne ciepło wprowadzone do tej podinstalacji i z niej wyprowadzone</v>
      </c>
      <c r="F1611" s="1734"/>
      <c r="G1611" s="1734"/>
      <c r="H1611" s="1734"/>
      <c r="I1611" s="1734"/>
      <c r="J1611" s="1734"/>
      <c r="K1611" s="1734"/>
      <c r="L1611" s="1734"/>
      <c r="M1611" s="1734"/>
      <c r="N1611" s="1735"/>
      <c r="O1611" s="16"/>
      <c r="P1611" s="1037"/>
      <c r="R1611" s="1037"/>
    </row>
    <row r="1612" spans="2:27" ht="12.75" customHeight="1" thickBot="1" x14ac:dyDescent="0.25">
      <c r="B1612" s="207"/>
      <c r="C1612" s="1060"/>
      <c r="D1612" s="1061"/>
      <c r="E1612" s="1674" t="str">
        <f>Translations!$B$762</f>
        <v>W celu przypisania emisji z kogeneracji (CHP) do wytwarzania ciepła należy zastosować „narzędzie dotyczące CHP” w części D.III. niniejszego formularza.</v>
      </c>
      <c r="F1612" s="1674"/>
      <c r="G1612" s="1674"/>
      <c r="H1612" s="1674"/>
      <c r="I1612" s="1674"/>
      <c r="J1612" s="1674"/>
      <c r="K1612" s="1674"/>
      <c r="L1612" s="1674"/>
      <c r="M1612" s="1674"/>
      <c r="N1612" s="1257"/>
      <c r="O1612" s="16"/>
      <c r="P1612" s="1037"/>
    </row>
    <row r="1613" spans="2:27" ht="12.75" customHeight="1" x14ac:dyDescent="0.2">
      <c r="B1613" s="207"/>
      <c r="C1613" s="1060"/>
      <c r="D1613" s="1061"/>
      <c r="E1613" s="1757" t="str">
        <f>Translations!$B$763</f>
        <v>Całkowite ciepło wprowadzone</v>
      </c>
      <c r="F1613" s="1758"/>
      <c r="G1613" s="1758"/>
      <c r="H1613" s="450" t="str">
        <f>EUconst_Unit</f>
        <v>Jednostka</v>
      </c>
      <c r="I1613" s="451">
        <f>I$1882</f>
        <v>2014</v>
      </c>
      <c r="J1613" s="451">
        <f>J$1882</f>
        <v>2015</v>
      </c>
      <c r="K1613" s="451">
        <f>K$1882</f>
        <v>2016</v>
      </c>
      <c r="L1613" s="451">
        <f>L$1882</f>
        <v>2017</v>
      </c>
      <c r="M1613" s="451">
        <f>M$1882</f>
        <v>2018</v>
      </c>
      <c r="N1613" s="1257"/>
      <c r="O1613" s="16"/>
      <c r="P1613" s="1037"/>
      <c r="R1613" s="1052"/>
      <c r="S1613" s="814">
        <f>I1613</f>
        <v>2014</v>
      </c>
      <c r="T1613" s="814">
        <f>J1613</f>
        <v>2015</v>
      </c>
      <c r="U1613" s="814">
        <f>K1613</f>
        <v>2016</v>
      </c>
      <c r="V1613" s="814">
        <f>L1613</f>
        <v>2017</v>
      </c>
      <c r="W1613" s="815">
        <f>M1613</f>
        <v>2018</v>
      </c>
    </row>
    <row r="1614" spans="2:27" ht="12.75" customHeight="1" x14ac:dyDescent="0.2">
      <c r="B1614" s="207"/>
      <c r="C1614" s="1060"/>
      <c r="D1614" s="699" t="s">
        <v>2</v>
      </c>
      <c r="E1614" s="1739" t="str">
        <f>Translations!$B$764</f>
        <v>Ciepło wprowadzone netto</v>
      </c>
      <c r="F1614" s="1740"/>
      <c r="G1614" s="1740"/>
      <c r="H1614" s="453" t="str">
        <f>EUconst_TJpa</f>
        <v>TJ / rok</v>
      </c>
      <c r="I1614" s="471"/>
      <c r="J1614" s="471"/>
      <c r="K1614" s="471"/>
      <c r="L1614" s="471"/>
      <c r="M1614" s="471"/>
      <c r="N1614" s="702"/>
      <c r="O1614" s="16"/>
      <c r="P1614" s="1062" t="str">
        <f>EUconst_CNTR_HeatImport &amp; I1513</f>
        <v>HeatIm_</v>
      </c>
      <c r="R1614" s="1064" t="str">
        <f>EUconst_ERR_AttrEmBMapplied &amp; I1513</f>
        <v>ERR_AttrEmBM_ </v>
      </c>
      <c r="S1614" s="116">
        <f>IF(AND(I1614&lt;&gt;0,I1615="",EUconst_StatusOfDataCollection=FALSE),1,0)</f>
        <v>0</v>
      </c>
      <c r="T1614" s="116">
        <f>IF(AND(J1614&lt;&gt;0,J1615="",EUconst_StatusOfDataCollection=FALSE),1,0)</f>
        <v>0</v>
      </c>
      <c r="U1614" s="116">
        <f>IF(AND(K1614&lt;&gt;0,K1615="",EUconst_StatusOfDataCollection=FALSE),1,0)</f>
        <v>0</v>
      </c>
      <c r="V1614" s="116">
        <f>IF(AND(L1614&lt;&gt;0,L1615="",EUconst_StatusOfDataCollection=FALSE),1,0)</f>
        <v>0</v>
      </c>
      <c r="W1614" s="117">
        <f>IF(AND(M1614&lt;&gt;0,M1615="",EUconst_StatusOfDataCollection=FALSE),1,0)</f>
        <v>0</v>
      </c>
      <c r="X1614" s="45"/>
    </row>
    <row r="1615" spans="2:27" ht="12.75" customHeight="1" thickBot="1" x14ac:dyDescent="0.25">
      <c r="B1615" s="207"/>
      <c r="C1615" s="1060"/>
      <c r="D1615" s="699" t="s">
        <v>3</v>
      </c>
      <c r="E1615" s="1739" t="str">
        <f>Translations!$B$765</f>
        <v>Właściwy współczynnik emisji (ciepło wprowadzone)</v>
      </c>
      <c r="F1615" s="1740"/>
      <c r="G1615" s="1740"/>
      <c r="H1615" s="453" t="str">
        <f>EUconst_tCO2pTJ</f>
        <v>t CO2 / TJ</v>
      </c>
      <c r="I1615" s="764"/>
      <c r="J1615" s="764"/>
      <c r="K1615" s="764"/>
      <c r="L1615" s="764"/>
      <c r="M1615" s="764"/>
      <c r="N1615" s="665"/>
      <c r="O1615" s="16"/>
      <c r="P1615" s="1062" t="str">
        <f>EUconst_CNTR_HeatImportEF &amp; I1513</f>
        <v>HeatImEF_</v>
      </c>
      <c r="R1615" s="1053" t="str">
        <f>EUconst_CNTR_AttributedEmissions &amp; I1513</f>
        <v>AttrEmissions_</v>
      </c>
      <c r="S1615" s="119" t="str">
        <f>IF(S1513,SUM(I1614)*IF(ISNUMBER(I1615),I1615,EUconst_HeatBMvalue),"")</f>
        <v/>
      </c>
      <c r="T1615" s="119" t="str">
        <f>IF(T1513,SUM(J1614)*IF(ISNUMBER(J1615),J1615,EUconst_HeatBMvalue),"")</f>
        <v/>
      </c>
      <c r="U1615" s="119" t="str">
        <f>IF(U1513,SUM(K1614)*IF(ISNUMBER(K1615),K1615,EUconst_HeatBMvalue),"")</f>
        <v/>
      </c>
      <c r="V1615" s="119" t="str">
        <f>IF(V1513,SUM(L1614)*IF(ISNUMBER(L1615),L1615,EUconst_HeatBMvalue),"")</f>
        <v/>
      </c>
      <c r="W1615" s="120" t="str">
        <f>IF(W1513,SUM(M1614)*IF(ISNUMBER(M1615),M1615,EUconst_HeatBMvalue),"")</f>
        <v/>
      </c>
    </row>
    <row r="1616" spans="2:27" ht="5.0999999999999996" customHeight="1" x14ac:dyDescent="0.2">
      <c r="B1616" s="207"/>
      <c r="C1616" s="1060"/>
      <c r="D1616" s="1061"/>
      <c r="E1616" s="1061"/>
      <c r="F1616" s="1061"/>
      <c r="G1616" s="1061"/>
      <c r="H1616" s="1061"/>
      <c r="I1616" s="1061"/>
      <c r="J1616" s="1061"/>
      <c r="K1616" s="1061"/>
      <c r="L1616" s="1061"/>
      <c r="M1616" s="1063"/>
      <c r="N1616" s="665"/>
      <c r="O1616" s="16"/>
      <c r="P1616" s="1037"/>
      <c r="R1616" s="1037"/>
      <c r="S1616" s="1037"/>
    </row>
    <row r="1617" spans="2:27" ht="12.75" customHeight="1" x14ac:dyDescent="0.2">
      <c r="B1617" s="207"/>
      <c r="C1617" s="1060"/>
      <c r="D1617" s="1061"/>
      <c r="E1617" s="1757" t="str">
        <f>Translations!$B$766</f>
        <v>Szczególne wprowadzenie ciepła</v>
      </c>
      <c r="F1617" s="1757"/>
      <c r="G1617" s="1757"/>
      <c r="H1617" s="450" t="str">
        <f>EUconst_Unit</f>
        <v>Jednostka</v>
      </c>
      <c r="I1617" s="451">
        <f>I$1882</f>
        <v>2014</v>
      </c>
      <c r="J1617" s="451">
        <f>J$1882</f>
        <v>2015</v>
      </c>
      <c r="K1617" s="451">
        <f>K$1882</f>
        <v>2016</v>
      </c>
      <c r="L1617" s="451">
        <f>L$1882</f>
        <v>2017</v>
      </c>
      <c r="M1617" s="451">
        <f>M$1882</f>
        <v>2018</v>
      </c>
      <c r="N1617" s="1257"/>
      <c r="O1617" s="16"/>
      <c r="P1617" s="1037"/>
      <c r="R1617" s="1037"/>
      <c r="S1617" s="1037"/>
    </row>
    <row r="1618" spans="2:27" ht="12.75" customHeight="1" x14ac:dyDescent="0.2">
      <c r="B1618" s="207"/>
      <c r="C1618" s="1060"/>
      <c r="D1618" s="699" t="s">
        <v>4</v>
      </c>
      <c r="E1618" s="1739" t="str">
        <f>Translations!$B$820</f>
        <v>Ciepło wprowadzone netto z masy celulozowej</v>
      </c>
      <c r="F1618" s="1740"/>
      <c r="G1618" s="1740"/>
      <c r="H1618" s="453" t="str">
        <f>EUconst_TJpa</f>
        <v>TJ / rok</v>
      </c>
      <c r="I1618" s="540"/>
      <c r="J1618" s="540"/>
      <c r="K1618" s="540"/>
      <c r="L1618" s="540"/>
      <c r="M1618" s="540"/>
      <c r="N1618" s="702"/>
      <c r="O1618" s="16"/>
      <c r="P1618" s="1062" t="str">
        <f>EUconst_CNTR_HeatImportPulp &amp; I1513</f>
        <v>HeatImPulp_</v>
      </c>
      <c r="R1618" s="1037"/>
      <c r="S1618" s="1037"/>
    </row>
    <row r="1619" spans="2:27" ht="12.75" customHeight="1" x14ac:dyDescent="0.2">
      <c r="B1619" s="207"/>
      <c r="C1619" s="1060"/>
      <c r="D1619" s="699" t="s">
        <v>6</v>
      </c>
      <c r="E1619" s="1739" t="str">
        <f>Translations!$B$768</f>
        <v>Ciepło wprowadzone netto z podinstalacji wytwarzającej kwas azotowy</v>
      </c>
      <c r="F1619" s="1740"/>
      <c r="G1619" s="1740"/>
      <c r="H1619" s="453" t="str">
        <f>EUconst_TJpa</f>
        <v>TJ / rok</v>
      </c>
      <c r="I1619" s="471"/>
      <c r="J1619" s="471"/>
      <c r="K1619" s="471"/>
      <c r="L1619" s="471"/>
      <c r="M1619" s="471"/>
      <c r="N1619" s="702"/>
      <c r="O1619" s="16"/>
      <c r="P1619" s="1062" t="str">
        <f>EUconst_CNTR_HeatImportNitric &amp; I1513</f>
        <v>HeatImNitric_</v>
      </c>
      <c r="R1619" s="1037"/>
      <c r="S1619" s="1037"/>
    </row>
    <row r="1620" spans="2:27" ht="5.0999999999999996" customHeight="1" thickBot="1" x14ac:dyDescent="0.25">
      <c r="B1620" s="207"/>
      <c r="C1620" s="1060"/>
      <c r="D1620" s="1061"/>
      <c r="E1620" s="1061"/>
      <c r="F1620" s="1061"/>
      <c r="G1620" s="1061"/>
      <c r="H1620" s="1061"/>
      <c r="I1620" s="1061"/>
      <c r="J1620" s="1061"/>
      <c r="K1620" s="1061"/>
      <c r="L1620" s="1061"/>
      <c r="M1620" s="1063"/>
      <c r="N1620" s="665"/>
      <c r="O1620" s="16"/>
      <c r="P1620" s="1037"/>
      <c r="R1620" s="1037"/>
      <c r="S1620" s="1037"/>
    </row>
    <row r="1621" spans="2:27" ht="12.75" customHeight="1" x14ac:dyDescent="0.2">
      <c r="B1621" s="207"/>
      <c r="C1621" s="1060"/>
      <c r="D1621" s="1061"/>
      <c r="E1621" s="1757" t="str">
        <f>Translations!$B$769</f>
        <v>Całkowite ciepło wyprowadzone</v>
      </c>
      <c r="F1621" s="1757"/>
      <c r="G1621" s="1757"/>
      <c r="H1621" s="450" t="str">
        <f>EUconst_Unit</f>
        <v>Jednostka</v>
      </c>
      <c r="I1621" s="451">
        <f>I$1882</f>
        <v>2014</v>
      </c>
      <c r="J1621" s="451">
        <f>J$1882</f>
        <v>2015</v>
      </c>
      <c r="K1621" s="451">
        <f>K$1882</f>
        <v>2016</v>
      </c>
      <c r="L1621" s="451">
        <f>L$1882</f>
        <v>2017</v>
      </c>
      <c r="M1621" s="451">
        <f>M$1882</f>
        <v>2018</v>
      </c>
      <c r="N1621" s="1257"/>
      <c r="O1621" s="16"/>
      <c r="P1621" s="1037"/>
      <c r="R1621" s="1052"/>
      <c r="S1621" s="814">
        <f>I1621</f>
        <v>2014</v>
      </c>
      <c r="T1621" s="814">
        <f>J1621</f>
        <v>2015</v>
      </c>
      <c r="U1621" s="814">
        <f>K1621</f>
        <v>2016</v>
      </c>
      <c r="V1621" s="814">
        <f>L1621</f>
        <v>2017</v>
      </c>
      <c r="W1621" s="815">
        <f>M1621</f>
        <v>2018</v>
      </c>
    </row>
    <row r="1622" spans="2:27" ht="12.75" customHeight="1" x14ac:dyDescent="0.2">
      <c r="B1622" s="207"/>
      <c r="C1622" s="1060"/>
      <c r="D1622" s="699" t="s">
        <v>316</v>
      </c>
      <c r="E1622" s="1739" t="str">
        <f>Translations!$B$770</f>
        <v>Ciepło wyprowadzone netto</v>
      </c>
      <c r="F1622" s="1740"/>
      <c r="G1622" s="1740"/>
      <c r="H1622" s="453" t="str">
        <f>EUconst_TJpa</f>
        <v>TJ / rok</v>
      </c>
      <c r="I1622" s="471"/>
      <c r="J1622" s="471"/>
      <c r="K1622" s="471"/>
      <c r="L1622" s="471"/>
      <c r="M1622" s="471"/>
      <c r="N1622" s="702"/>
      <c r="O1622" s="16"/>
      <c r="P1622" s="1062" t="str">
        <f>EUconst_CNTR_HeatExport &amp; I1513</f>
        <v>HeatEx_</v>
      </c>
      <c r="R1622" s="1064" t="str">
        <f>EUconst_ERR_AttrEmBMapplied &amp; I1513</f>
        <v>ERR_AttrEmBM_ </v>
      </c>
      <c r="S1622" s="116">
        <f>IF(AND(I1622&lt;&gt;0,I1623="",EUconst_StatusOfDataCollection=FALSE),1,0)</f>
        <v>0</v>
      </c>
      <c r="T1622" s="116">
        <f>IF(AND(J1622&lt;&gt;0,J1623="",EUconst_StatusOfDataCollection=FALSE),1,0)</f>
        <v>0</v>
      </c>
      <c r="U1622" s="116">
        <f>IF(AND(K1622&lt;&gt;0,K1623="",EUconst_StatusOfDataCollection=FALSE),1,0)</f>
        <v>0</v>
      </c>
      <c r="V1622" s="116">
        <f>IF(AND(L1622&lt;&gt;0,L1623="",EUconst_StatusOfDataCollection=FALSE),1,0)</f>
        <v>0</v>
      </c>
      <c r="W1622" s="117">
        <f>IF(AND(M1622&lt;&gt;0,M1623="",EUconst_StatusOfDataCollection=FALSE),1,0)</f>
        <v>0</v>
      </c>
    </row>
    <row r="1623" spans="2:27" ht="12.75" customHeight="1" thickBot="1" x14ac:dyDescent="0.25">
      <c r="B1623" s="207"/>
      <c r="C1623" s="1060"/>
      <c r="D1623" s="699" t="s">
        <v>317</v>
      </c>
      <c r="E1623" s="1739" t="str">
        <f>Translations!$B$771</f>
        <v>Właściwy współczynnik emisji (ciepło wyprowadzone)</v>
      </c>
      <c r="F1623" s="1740"/>
      <c r="G1623" s="1740"/>
      <c r="H1623" s="453" t="str">
        <f>EUconst_tCO2pTJ</f>
        <v>t CO2 / TJ</v>
      </c>
      <c r="I1623" s="764"/>
      <c r="J1623" s="764"/>
      <c r="K1623" s="764"/>
      <c r="L1623" s="764"/>
      <c r="M1623" s="764"/>
      <c r="N1623" s="665"/>
      <c r="O1623" s="16"/>
      <c r="P1623" s="1062" t="str">
        <f>EUconst_CNTR_HeatExportEF &amp; I1513</f>
        <v>HeatExEF_</v>
      </c>
      <c r="R1623" s="1053" t="str">
        <f>EUconst_CNTR_AttributedEmissions &amp; I1513</f>
        <v>AttrEmissions_</v>
      </c>
      <c r="S1623" s="119" t="str">
        <f>IF(S1513,-SUM(I1622)*IF(INDEX(EUconst_BMlistNumberOfBM,MATCH($I1513,EUconst_BMlistNames,0))=39,0,IF(ISNUMBER(I1623),I1623,EUconst_HeatBMvalue)),"")</f>
        <v/>
      </c>
      <c r="T1623" s="119" t="str">
        <f>IF(T1513,-SUM(J1622)*IF(INDEX(EUconst_BMlistNumberOfBM,MATCH($I1513,EUconst_BMlistNames,0))=39,0,IF(ISNUMBER(J1623),J1623,EUconst_HeatBMvalue)),"")</f>
        <v/>
      </c>
      <c r="U1623" s="119" t="str">
        <f>IF(U1513,-SUM(K1622)*IF(INDEX(EUconst_BMlistNumberOfBM,MATCH($I1513,EUconst_BMlistNames,0))=39,0,IF(ISNUMBER(K1623),K1623,EUconst_HeatBMvalue)),"")</f>
        <v/>
      </c>
      <c r="V1623" s="119" t="str">
        <f>IF(V1513,-SUM(L1622)*IF(INDEX(EUconst_BMlistNumberOfBM,MATCH($I1513,EUconst_BMlistNames,0))=39,0,IF(ISNUMBER(L1623),L1623,EUconst_HeatBMvalue)),"")</f>
        <v/>
      </c>
      <c r="W1623" s="120" t="str">
        <f>IF(W1513,-SUM(M1622)*IF(INDEX(EUconst_BMlistNumberOfBM,MATCH($I1513,EUconst_BMlistNames,0))=39,0,IF(ISNUMBER(M1623),M1623,EUconst_HeatBMvalue)),"")</f>
        <v/>
      </c>
    </row>
    <row r="1624" spans="2:27" ht="12.75" customHeight="1" x14ac:dyDescent="0.2">
      <c r="B1624" s="207"/>
      <c r="C1624" s="1060"/>
      <c r="D1624" s="1061"/>
      <c r="E1624" s="1061"/>
      <c r="F1624" s="1061"/>
      <c r="G1624" s="1061"/>
      <c r="H1624" s="1061"/>
      <c r="I1624" s="1061"/>
      <c r="J1624" s="1061"/>
      <c r="K1624" s="1061"/>
      <c r="L1624" s="1061"/>
      <c r="M1624" s="1063"/>
      <c r="N1624" s="665"/>
      <c r="O1624" s="16"/>
      <c r="P1624" s="1037"/>
      <c r="R1624" s="1037"/>
      <c r="S1624" s="1037"/>
    </row>
    <row r="1625" spans="2:27" ht="12.75" customHeight="1" x14ac:dyDescent="0.2">
      <c r="B1625" s="207"/>
      <c r="C1625" s="1060"/>
      <c r="D1625" s="462" t="s">
        <v>220</v>
      </c>
      <c r="E1625" s="1731" t="str">
        <f>Translations!$B$772</f>
        <v>Bilans gazów odlotowych dla tej podinstalacji</v>
      </c>
      <c r="F1625" s="1734"/>
      <c r="G1625" s="1734"/>
      <c r="H1625" s="1734"/>
      <c r="I1625" s="1734"/>
      <c r="J1625" s="1734"/>
      <c r="K1625" s="1734"/>
      <c r="L1625" s="1734"/>
      <c r="M1625" s="1734"/>
      <c r="N1625" s="1735"/>
      <c r="O1625" s="16"/>
      <c r="P1625" s="1037"/>
      <c r="R1625" s="1037"/>
      <c r="S1625" s="1037"/>
    </row>
    <row r="1626" spans="2:27" ht="5.0999999999999996" customHeight="1" thickBot="1" x14ac:dyDescent="0.25">
      <c r="B1626" s="207"/>
      <c r="C1626" s="1060"/>
      <c r="D1626" s="1061"/>
      <c r="E1626" s="1733"/>
      <c r="F1626" s="1733"/>
      <c r="G1626" s="1733"/>
      <c r="H1626" s="1733"/>
      <c r="I1626" s="1733"/>
      <c r="J1626" s="1733"/>
      <c r="K1626" s="1733"/>
      <c r="L1626" s="1733"/>
      <c r="M1626" s="1733"/>
      <c r="N1626" s="1768"/>
      <c r="O1626" s="16"/>
      <c r="P1626" s="1037"/>
      <c r="R1626" s="1037"/>
      <c r="S1626" s="1037"/>
    </row>
    <row r="1627" spans="2:27" ht="12.75" customHeight="1" thickBot="1" x14ac:dyDescent="0.25">
      <c r="B1627" s="207"/>
      <c r="C1627" s="1060"/>
      <c r="D1627" s="699" t="s">
        <v>2</v>
      </c>
      <c r="E1627" s="1741" t="str">
        <f>Translations!$B$773</f>
        <v>Czy gazy odlotowe dotyczą tej podinstalacji?</v>
      </c>
      <c r="F1627" s="1741"/>
      <c r="G1627" s="1741"/>
      <c r="H1627" s="1741"/>
      <c r="I1627" s="1741"/>
      <c r="J1627" s="1741"/>
      <c r="K1627" s="1742"/>
      <c r="L1627" s="517"/>
      <c r="M1627" s="1253"/>
      <c r="N1627" s="1254"/>
      <c r="O1627" s="16"/>
      <c r="P1627" s="1037"/>
      <c r="R1627" s="1037"/>
      <c r="W1627" s="1048" t="s">
        <v>414</v>
      </c>
      <c r="X1627" s="1046" t="b">
        <f>IF(AND(I1513&lt;&gt;"",ISBLANK(L1627)),EUconst_Error&amp;"BM"&amp;C1513,FALSE)</f>
        <v>0</v>
      </c>
    </row>
    <row r="1628" spans="2:27" ht="5.0999999999999996" customHeight="1" thickBot="1" x14ac:dyDescent="0.25">
      <c r="B1628" s="207"/>
      <c r="C1628" s="1060"/>
      <c r="D1628" s="1061"/>
      <c r="E1628" s="1733"/>
      <c r="F1628" s="1734"/>
      <c r="G1628" s="1734"/>
      <c r="H1628" s="1734"/>
      <c r="I1628" s="1734"/>
      <c r="J1628" s="1734"/>
      <c r="K1628" s="1734"/>
      <c r="L1628" s="1734"/>
      <c r="M1628" s="1734"/>
      <c r="N1628" s="1735"/>
      <c r="O1628" s="16"/>
      <c r="P1628" s="1037"/>
      <c r="R1628" s="1037"/>
      <c r="AA1628" s="422" t="s">
        <v>272</v>
      </c>
    </row>
    <row r="1629" spans="2:27" ht="12.75" customHeight="1" x14ac:dyDescent="0.2">
      <c r="B1629" s="207"/>
      <c r="C1629" s="1060"/>
      <c r="D1629" s="699" t="s">
        <v>3</v>
      </c>
      <c r="E1629" s="1760" t="str">
        <f>Translations!$B$775</f>
        <v>Rodzaje wytworzonych gazów odlotowych:</v>
      </c>
      <c r="F1629" s="1760"/>
      <c r="G1629" s="1760"/>
      <c r="H1629" s="1760"/>
      <c r="I1629" s="1763"/>
      <c r="J1629" s="1764"/>
      <c r="K1629" s="1764"/>
      <c r="L1629" s="1764"/>
      <c r="M1629" s="1765"/>
      <c r="N1629" s="1254"/>
      <c r="O1629" s="16"/>
      <c r="P1629" s="1037"/>
      <c r="R1629" s="1037"/>
      <c r="AA1629" s="646" t="b">
        <f>IF(I1513&lt;&gt;"",AND(L1627&lt;&gt;"",L1627=FALSE),FALSE)</f>
        <v>0</v>
      </c>
    </row>
    <row r="1630" spans="2:27" ht="5.0999999999999996" customHeight="1" x14ac:dyDescent="0.2">
      <c r="B1630" s="207"/>
      <c r="C1630" s="1060"/>
      <c r="D1630" s="1061"/>
      <c r="E1630" s="1733"/>
      <c r="F1630" s="1734"/>
      <c r="G1630" s="1734"/>
      <c r="H1630" s="1734"/>
      <c r="I1630" s="1734"/>
      <c r="J1630" s="1734"/>
      <c r="K1630" s="1734"/>
      <c r="L1630" s="1734"/>
      <c r="M1630" s="1734"/>
      <c r="N1630" s="1735"/>
      <c r="O1630" s="16"/>
      <c r="P1630" s="1037"/>
      <c r="R1630" s="1037"/>
      <c r="S1630" s="1037"/>
      <c r="AA1630" s="608"/>
    </row>
    <row r="1631" spans="2:27" ht="12.75" customHeight="1" x14ac:dyDescent="0.2">
      <c r="B1631" s="207"/>
      <c r="C1631" s="1060"/>
      <c r="D1631" s="1061"/>
      <c r="E1631" s="1757"/>
      <c r="F1631" s="1758"/>
      <c r="G1631" s="1758"/>
      <c r="H1631" s="450" t="str">
        <f>EUconst_Unit</f>
        <v>Jednostka</v>
      </c>
      <c r="I1631" s="451">
        <f>I$1882</f>
        <v>2014</v>
      </c>
      <c r="J1631" s="451">
        <f>J$1882</f>
        <v>2015</v>
      </c>
      <c r="K1631" s="451">
        <f>K$1882</f>
        <v>2016</v>
      </c>
      <c r="L1631" s="451">
        <f>L$1882</f>
        <v>2017</v>
      </c>
      <c r="M1631" s="451">
        <f>M$1882</f>
        <v>2018</v>
      </c>
      <c r="N1631" s="1257"/>
      <c r="O1631" s="16"/>
      <c r="P1631" s="1037"/>
      <c r="R1631" s="1037"/>
      <c r="S1631" s="1037"/>
      <c r="AA1631" s="608"/>
    </row>
    <row r="1632" spans="2:27" ht="12.75" customHeight="1" x14ac:dyDescent="0.2">
      <c r="B1632" s="207"/>
      <c r="C1632" s="1060"/>
      <c r="D1632" s="699" t="s">
        <v>4</v>
      </c>
      <c r="E1632" s="1766" t="str">
        <f>Translations!$B$777</f>
        <v>Ilości wytworzone</v>
      </c>
      <c r="F1632" s="1767"/>
      <c r="G1632" s="1767"/>
      <c r="H1632" s="231"/>
      <c r="I1632" s="472"/>
      <c r="J1632" s="472"/>
      <c r="K1632" s="472"/>
      <c r="L1632" s="472"/>
      <c r="M1632" s="472"/>
      <c r="N1632" s="1257"/>
      <c r="O1632" s="16"/>
      <c r="P1632" s="1037"/>
      <c r="R1632" s="1037"/>
      <c r="S1632" s="1037"/>
      <c r="AA1632" s="345" t="b">
        <f>AA1629</f>
        <v>0</v>
      </c>
    </row>
    <row r="1633" spans="2:27" ht="12.75" customHeight="1" x14ac:dyDescent="0.2">
      <c r="B1633" s="207"/>
      <c r="C1633" s="1060"/>
      <c r="D1633" s="699" t="s">
        <v>6</v>
      </c>
      <c r="E1633" s="1743" t="str">
        <f>Translations!$B$470</f>
        <v>Wartość opałowa</v>
      </c>
      <c r="F1633" s="1744"/>
      <c r="G1633" s="1744"/>
      <c r="H1633" s="56" t="str">
        <f>IF(ISBLANK(H1632),EUconst_GJperUnit,INDEX(EUconst_GJperTorKNm3,MATCH(H1632,EUconst_TonnesOrkNm3pa,0)))</f>
        <v>GJ / Jednostka</v>
      </c>
      <c r="I1633" s="446"/>
      <c r="J1633" s="446"/>
      <c r="K1633" s="446"/>
      <c r="L1633" s="446"/>
      <c r="M1633" s="446"/>
      <c r="N1633" s="1257"/>
      <c r="O1633" s="16"/>
      <c r="R1633" s="1037"/>
      <c r="S1633" s="1037"/>
      <c r="T1633" s="1037"/>
      <c r="U1633" s="1037"/>
      <c r="V1633" s="1037"/>
      <c r="W1633" s="1037"/>
      <c r="AA1633" s="345" t="b">
        <f>AA1632</f>
        <v>0</v>
      </c>
    </row>
    <row r="1634" spans="2:27" ht="12.75" customHeight="1" x14ac:dyDescent="0.2">
      <c r="B1634" s="207"/>
      <c r="C1634" s="1060"/>
      <c r="D1634" s="699" t="s">
        <v>316</v>
      </c>
      <c r="E1634" s="1739" t="str">
        <f>Translations!$B$778</f>
        <v>Gazy odlotowe wytworzone</v>
      </c>
      <c r="F1634" s="1740"/>
      <c r="G1634" s="1740"/>
      <c r="H1634" s="453" t="str">
        <f>EUconst_TJpa</f>
        <v>TJ / rok</v>
      </c>
      <c r="I1634" s="513" t="str">
        <f>IF(COUNT(I1632:I1633)=2,I1632*I1633/1000,"")</f>
        <v/>
      </c>
      <c r="J1634" s="513" t="str">
        <f>IF(COUNT(J1632:J1633)=2,J1632*J1633/1000,"")</f>
        <v/>
      </c>
      <c r="K1634" s="513" t="str">
        <f>IF(COUNT(K1632:K1633)=2,K1632*K1633/1000,"")</f>
        <v/>
      </c>
      <c r="L1634" s="513" t="str">
        <f>IF(COUNT(L1632:L1633)=2,L1632*L1633/1000,"")</f>
        <v/>
      </c>
      <c r="M1634" s="513" t="str">
        <f>IF(COUNT(M1632:M1633)=2,M1632*M1633/1000,"")</f>
        <v/>
      </c>
      <c r="N1634" s="1257"/>
      <c r="O1634" s="16"/>
      <c r="P1634" s="1062" t="str">
        <f>EUconst_CNTR_WGProduced &amp; I1513</f>
        <v>WasteGasProd_</v>
      </c>
      <c r="R1634" s="1037"/>
      <c r="S1634" s="1037"/>
      <c r="T1634" s="1037"/>
      <c r="U1634" s="1037"/>
      <c r="V1634" s="1037"/>
      <c r="W1634" s="1037"/>
      <c r="AA1634" s="608"/>
    </row>
    <row r="1635" spans="2:27" ht="12.75" customHeight="1" x14ac:dyDescent="0.2">
      <c r="B1635" s="207"/>
      <c r="C1635" s="1060"/>
      <c r="D1635" s="699" t="s">
        <v>317</v>
      </c>
      <c r="E1635" s="1739" t="str">
        <f>Translations!$B$779</f>
        <v>Właściwy współczynnik emisji (gazy odlotowe wytworzone)</v>
      </c>
      <c r="F1635" s="1740"/>
      <c r="G1635" s="1740"/>
      <c r="H1635" s="453" t="str">
        <f>EUconst_tCO2pTJ</f>
        <v>t CO2 / TJ</v>
      </c>
      <c r="I1635" s="471"/>
      <c r="J1635" s="471"/>
      <c r="K1635" s="471"/>
      <c r="L1635" s="471"/>
      <c r="M1635" s="471"/>
      <c r="N1635" s="665"/>
      <c r="O1635" s="16"/>
      <c r="P1635" s="1062" t="str">
        <f>EUconst_CNTR_WGProducedEF &amp; I1513</f>
        <v>WasteGasProdEF_</v>
      </c>
      <c r="R1635" s="1037"/>
      <c r="S1635" s="1037"/>
      <c r="T1635" s="1037"/>
      <c r="U1635" s="1037"/>
      <c r="V1635" s="1037"/>
      <c r="W1635" s="1037"/>
      <c r="AA1635" s="345" t="b">
        <f>AA1633</f>
        <v>0</v>
      </c>
    </row>
    <row r="1636" spans="2:27" ht="12.75" customHeight="1" x14ac:dyDescent="0.2">
      <c r="B1636" s="207"/>
      <c r="C1636" s="1060"/>
      <c r="D1636" s="1061"/>
      <c r="E1636" s="1061"/>
      <c r="F1636" s="1061"/>
      <c r="G1636" s="1061"/>
      <c r="H1636" s="1061"/>
      <c r="I1636" s="1061"/>
      <c r="J1636" s="1061"/>
      <c r="K1636" s="1061"/>
      <c r="L1636" s="1061"/>
      <c r="M1636" s="1063"/>
      <c r="N1636" s="665"/>
      <c r="O1636" s="16"/>
      <c r="P1636" s="1037"/>
      <c r="R1636" s="1037"/>
      <c r="S1636" s="1037"/>
      <c r="T1636" s="1037"/>
      <c r="U1636" s="1037"/>
      <c r="V1636" s="1037"/>
      <c r="W1636" s="1037"/>
      <c r="AA1636" s="608"/>
    </row>
    <row r="1637" spans="2:27" ht="12.75" customHeight="1" x14ac:dyDescent="0.2">
      <c r="B1637" s="207"/>
      <c r="C1637" s="1060"/>
      <c r="D1637" s="699" t="s">
        <v>318</v>
      </c>
      <c r="E1637" s="1760" t="str">
        <f>Translations!$B$780</f>
        <v>Rodzaje zużytych gazów odlotowych:</v>
      </c>
      <c r="F1637" s="1760"/>
      <c r="G1637" s="1760"/>
      <c r="H1637" s="1760"/>
      <c r="I1637" s="1763"/>
      <c r="J1637" s="1764"/>
      <c r="K1637" s="1764"/>
      <c r="L1637" s="1764"/>
      <c r="M1637" s="1765"/>
      <c r="N1637" s="1254"/>
      <c r="O1637" s="16"/>
      <c r="P1637" s="1037"/>
      <c r="R1637" s="1037"/>
      <c r="S1637" s="1037"/>
      <c r="T1637" s="1037"/>
      <c r="U1637" s="1037"/>
      <c r="V1637" s="1037"/>
      <c r="W1637" s="1037"/>
      <c r="AA1637" s="345" t="b">
        <f>AA1635</f>
        <v>0</v>
      </c>
    </row>
    <row r="1638" spans="2:27" ht="5.0999999999999996" customHeight="1" x14ac:dyDescent="0.2">
      <c r="B1638" s="207"/>
      <c r="C1638" s="1060"/>
      <c r="D1638" s="699"/>
      <c r="E1638" s="1733"/>
      <c r="F1638" s="1734"/>
      <c r="G1638" s="1734"/>
      <c r="H1638" s="1734"/>
      <c r="I1638" s="1734"/>
      <c r="J1638" s="1734"/>
      <c r="K1638" s="1734"/>
      <c r="L1638" s="1734"/>
      <c r="M1638" s="1734"/>
      <c r="N1638" s="1735"/>
      <c r="O1638" s="16"/>
      <c r="P1638" s="1037"/>
      <c r="R1638" s="1037"/>
      <c r="S1638" s="1037"/>
      <c r="T1638" s="1037"/>
      <c r="U1638" s="1037"/>
      <c r="V1638" s="1037"/>
      <c r="W1638" s="1037"/>
      <c r="AA1638" s="608"/>
    </row>
    <row r="1639" spans="2:27" ht="12.75" customHeight="1" x14ac:dyDescent="0.2">
      <c r="B1639" s="207"/>
      <c r="C1639" s="1060"/>
      <c r="D1639" s="1061"/>
      <c r="E1639" s="1757"/>
      <c r="F1639" s="1758"/>
      <c r="G1639" s="1758"/>
      <c r="H1639" s="450" t="str">
        <f>EUconst_Unit</f>
        <v>Jednostka</v>
      </c>
      <c r="I1639" s="451">
        <f>I$1882</f>
        <v>2014</v>
      </c>
      <c r="J1639" s="451">
        <f>J$1882</f>
        <v>2015</v>
      </c>
      <c r="K1639" s="451">
        <f>K$1882</f>
        <v>2016</v>
      </c>
      <c r="L1639" s="451">
        <f>L$1882</f>
        <v>2017</v>
      </c>
      <c r="M1639" s="451">
        <f>M$1882</f>
        <v>2018</v>
      </c>
      <c r="N1639" s="1257"/>
      <c r="O1639" s="16"/>
      <c r="P1639" s="1037"/>
      <c r="R1639" s="1037"/>
      <c r="S1639" s="1037"/>
      <c r="T1639" s="1037"/>
      <c r="U1639" s="1037"/>
      <c r="V1639" s="1037"/>
      <c r="W1639" s="1037"/>
      <c r="AA1639" s="608"/>
    </row>
    <row r="1640" spans="2:27" ht="12.75" customHeight="1" x14ac:dyDescent="0.2">
      <c r="B1640" s="207"/>
      <c r="C1640" s="1060"/>
      <c r="D1640" s="699" t="s">
        <v>319</v>
      </c>
      <c r="E1640" s="1766" t="str">
        <f>Translations!$B$782</f>
        <v>Ilości zużyte</v>
      </c>
      <c r="F1640" s="1767"/>
      <c r="G1640" s="1767"/>
      <c r="H1640" s="231"/>
      <c r="I1640" s="472"/>
      <c r="J1640" s="472"/>
      <c r="K1640" s="472"/>
      <c r="L1640" s="472"/>
      <c r="M1640" s="472"/>
      <c r="N1640" s="1257"/>
      <c r="O1640" s="16"/>
      <c r="P1640" s="1037"/>
      <c r="R1640" s="1037"/>
      <c r="S1640" s="1037"/>
      <c r="T1640" s="1037"/>
      <c r="U1640" s="1037"/>
      <c r="V1640" s="1037"/>
      <c r="W1640" s="1037"/>
      <c r="AA1640" s="345" t="b">
        <f>AA1637</f>
        <v>0</v>
      </c>
    </row>
    <row r="1641" spans="2:27" ht="12.75" customHeight="1" x14ac:dyDescent="0.2">
      <c r="B1641" s="207"/>
      <c r="C1641" s="1060"/>
      <c r="D1641" s="699" t="s">
        <v>320</v>
      </c>
      <c r="E1641" s="1743" t="str">
        <f>Translations!$B$470</f>
        <v>Wartość opałowa</v>
      </c>
      <c r="F1641" s="1744"/>
      <c r="G1641" s="1744"/>
      <c r="H1641" s="56" t="str">
        <f>IF(ISBLANK(H1640),EUconst_GJperUnit,INDEX(EUconst_GJperTorKNm3,MATCH(H1640,EUconst_TonnesOrkNm3pa,0)))</f>
        <v>GJ / Jednostka</v>
      </c>
      <c r="I1641" s="446"/>
      <c r="J1641" s="446"/>
      <c r="K1641" s="446"/>
      <c r="L1641" s="446"/>
      <c r="M1641" s="446"/>
      <c r="N1641" s="1257"/>
      <c r="O1641" s="16"/>
      <c r="R1641" s="1037"/>
      <c r="S1641" s="1037"/>
      <c r="T1641" s="1037"/>
      <c r="U1641" s="1037"/>
      <c r="V1641" s="1037"/>
      <c r="W1641" s="1037"/>
      <c r="AA1641" s="345" t="b">
        <f>AA1640</f>
        <v>0</v>
      </c>
    </row>
    <row r="1642" spans="2:27" ht="12.75" customHeight="1" x14ac:dyDescent="0.2">
      <c r="B1642" s="207"/>
      <c r="C1642" s="1060"/>
      <c r="D1642" s="699" t="s">
        <v>16</v>
      </c>
      <c r="E1642" s="1739" t="str">
        <f>Translations!$B$783</f>
        <v>Gazy odlotowe zużyte</v>
      </c>
      <c r="F1642" s="1740"/>
      <c r="G1642" s="1740"/>
      <c r="H1642" s="453" t="str">
        <f>EUconst_TJpa</f>
        <v>TJ / rok</v>
      </c>
      <c r="I1642" s="513" t="str">
        <f>IF(COUNT(I1640:I1641)=2,I1640*I1641/1000,"")</f>
        <v/>
      </c>
      <c r="J1642" s="513" t="str">
        <f>IF(COUNT(J1640:J1641)=2,J1640*J1641/1000,"")</f>
        <v/>
      </c>
      <c r="K1642" s="513" t="str">
        <f>IF(COUNT(K1640:K1641)=2,K1640*K1641/1000,"")</f>
        <v/>
      </c>
      <c r="L1642" s="513" t="str">
        <f>IF(COUNT(L1640:L1641)=2,L1640*L1641/1000,"")</f>
        <v/>
      </c>
      <c r="M1642" s="513" t="str">
        <f>IF(COUNT(M1640:M1641)=2,M1640*M1641/1000,"")</f>
        <v/>
      </c>
      <c r="N1642" s="1257"/>
      <c r="O1642" s="16"/>
      <c r="P1642" s="1062" t="str">
        <f>EUconst_CNTR_WGConsumed &amp; I1513</f>
        <v>WasteGasCons_</v>
      </c>
      <c r="R1642" s="1037"/>
      <c r="S1642" s="1037"/>
      <c r="T1642" s="1037"/>
      <c r="U1642" s="1037"/>
      <c r="V1642" s="1037"/>
      <c r="W1642" s="1037"/>
      <c r="AA1642" s="608"/>
    </row>
    <row r="1643" spans="2:27" ht="12.75" customHeight="1" x14ac:dyDescent="0.2">
      <c r="B1643" s="207"/>
      <c r="C1643" s="1060"/>
      <c r="D1643" s="699" t="s">
        <v>17</v>
      </c>
      <c r="E1643" s="1739" t="str">
        <f>Translations!$B$784</f>
        <v>Właściwy współczynnik emisji (gazy odlotowe zużyte)</v>
      </c>
      <c r="F1643" s="1740"/>
      <c r="G1643" s="1740"/>
      <c r="H1643" s="453" t="str">
        <f>EUconst_tCO2pTJ</f>
        <v>t CO2 / TJ</v>
      </c>
      <c r="I1643" s="471"/>
      <c r="J1643" s="471"/>
      <c r="K1643" s="471"/>
      <c r="L1643" s="471"/>
      <c r="M1643" s="471"/>
      <c r="N1643" s="665"/>
      <c r="O1643" s="16"/>
      <c r="P1643" s="1062" t="str">
        <f>EUconst_CNTR_WGConsumedEF &amp; I1513</f>
        <v>WasteGasConsEF_</v>
      </c>
      <c r="R1643" s="1037"/>
      <c r="S1643" s="1037"/>
      <c r="T1643" s="1037"/>
      <c r="U1643" s="1037"/>
      <c r="V1643" s="1037"/>
      <c r="W1643" s="1037"/>
      <c r="AA1643" s="345" t="b">
        <f>AA1641</f>
        <v>0</v>
      </c>
    </row>
    <row r="1644" spans="2:27" ht="12.75" customHeight="1" x14ac:dyDescent="0.2">
      <c r="B1644" s="207"/>
      <c r="C1644" s="1060"/>
      <c r="D1644" s="1061"/>
      <c r="E1644" s="1061"/>
      <c r="F1644" s="1061"/>
      <c r="G1644" s="1061"/>
      <c r="H1644" s="1061"/>
      <c r="I1644" s="1061"/>
      <c r="J1644" s="1061"/>
      <c r="K1644" s="1061"/>
      <c r="L1644" s="1061"/>
      <c r="M1644" s="1063"/>
      <c r="N1644" s="665"/>
      <c r="O1644" s="16"/>
      <c r="P1644" s="1037"/>
      <c r="R1644" s="1037"/>
      <c r="S1644" s="1037"/>
      <c r="AA1644" s="608"/>
    </row>
    <row r="1645" spans="2:27" ht="12.75" customHeight="1" x14ac:dyDescent="0.2">
      <c r="B1645" s="207"/>
      <c r="C1645" s="1060"/>
      <c r="D1645" s="699" t="s">
        <v>18</v>
      </c>
      <c r="E1645" s="1760" t="str">
        <f>Translations!$B$785</f>
        <v>Rodzaje gazów odlotowych spalonych na pochodniach:</v>
      </c>
      <c r="F1645" s="1760"/>
      <c r="G1645" s="1760"/>
      <c r="H1645" s="1760"/>
      <c r="I1645" s="1763"/>
      <c r="J1645" s="1764"/>
      <c r="K1645" s="1764"/>
      <c r="L1645" s="1764"/>
      <c r="M1645" s="1765"/>
      <c r="N1645" s="1254"/>
      <c r="O1645" s="16"/>
      <c r="P1645" s="1037"/>
      <c r="R1645" s="1037"/>
      <c r="AA1645" s="345" t="b">
        <f>AA1635</f>
        <v>0</v>
      </c>
    </row>
    <row r="1646" spans="2:27" ht="5.0999999999999996" customHeight="1" x14ac:dyDescent="0.2">
      <c r="B1646" s="207"/>
      <c r="C1646" s="1060"/>
      <c r="D1646" s="699"/>
      <c r="E1646" s="1733"/>
      <c r="F1646" s="1734"/>
      <c r="G1646" s="1734"/>
      <c r="H1646" s="1734"/>
      <c r="I1646" s="1734"/>
      <c r="J1646" s="1734"/>
      <c r="K1646" s="1734"/>
      <c r="L1646" s="1734"/>
      <c r="M1646" s="1734"/>
      <c r="N1646" s="1735"/>
      <c r="O1646" s="16"/>
      <c r="P1646" s="1037"/>
      <c r="S1646" s="1037"/>
      <c r="AA1646" s="608"/>
    </row>
    <row r="1647" spans="2:27" ht="12.75" customHeight="1" x14ac:dyDescent="0.2">
      <c r="B1647" s="207"/>
      <c r="C1647" s="1060"/>
      <c r="D1647" s="1061"/>
      <c r="E1647" s="1757"/>
      <c r="F1647" s="1758"/>
      <c r="G1647" s="1758"/>
      <c r="H1647" s="450" t="str">
        <f>EUconst_Unit</f>
        <v>Jednostka</v>
      </c>
      <c r="I1647" s="451">
        <f>I$1882</f>
        <v>2014</v>
      </c>
      <c r="J1647" s="451">
        <f>J$1882</f>
        <v>2015</v>
      </c>
      <c r="K1647" s="451">
        <f>K$1882</f>
        <v>2016</v>
      </c>
      <c r="L1647" s="451">
        <f>L$1882</f>
        <v>2017</v>
      </c>
      <c r="M1647" s="451">
        <f>M$1882</f>
        <v>2018</v>
      </c>
      <c r="N1647" s="1257"/>
      <c r="O1647" s="16"/>
      <c r="P1647" s="1037"/>
      <c r="AA1647" s="608"/>
    </row>
    <row r="1648" spans="2:27" ht="12.75" customHeight="1" thickBot="1" x14ac:dyDescent="0.25">
      <c r="B1648" s="207"/>
      <c r="C1648" s="1060"/>
      <c r="D1648" s="699" t="s">
        <v>454</v>
      </c>
      <c r="E1648" s="1766" t="str">
        <f>Translations!$B$789</f>
        <v>Ilości spalone na pochodniach</v>
      </c>
      <c r="F1648" s="1767"/>
      <c r="G1648" s="1767"/>
      <c r="H1648" s="231"/>
      <c r="I1648" s="472"/>
      <c r="J1648" s="472"/>
      <c r="K1648" s="472"/>
      <c r="L1648" s="472"/>
      <c r="M1648" s="472"/>
      <c r="N1648" s="1257"/>
      <c r="O1648" s="16"/>
      <c r="P1648" s="1037"/>
      <c r="R1648" s="1037" t="s">
        <v>546</v>
      </c>
      <c r="AA1648" s="345" t="b">
        <f>AA1645</f>
        <v>0</v>
      </c>
    </row>
    <row r="1649" spans="1:27" ht="12.75" customHeight="1" thickBot="1" x14ac:dyDescent="0.25">
      <c r="B1649" s="207"/>
      <c r="C1649" s="1060"/>
      <c r="D1649" s="699" t="s">
        <v>455</v>
      </c>
      <c r="E1649" s="1743" t="str">
        <f>Translations!$B$470</f>
        <v>Wartość opałowa</v>
      </c>
      <c r="F1649" s="1744"/>
      <c r="G1649" s="1744"/>
      <c r="H1649" s="56" t="str">
        <f>IF(ISBLANK(H1648),EUconst_GJperUnit,INDEX(EUconst_GJperTorKNm3,MATCH(H1648,EUconst_TonnesOrkNm3pa,0)))</f>
        <v>GJ / Jednostka</v>
      </c>
      <c r="I1649" s="446"/>
      <c r="J1649" s="446"/>
      <c r="K1649" s="446"/>
      <c r="L1649" s="446"/>
      <c r="M1649" s="446"/>
      <c r="N1649" s="1257"/>
      <c r="O1649" s="16"/>
      <c r="R1649" s="712" t="s">
        <v>437</v>
      </c>
      <c r="S1649" s="709">
        <f>I1647</f>
        <v>2014</v>
      </c>
      <c r="T1649" s="710">
        <f>J1647</f>
        <v>2015</v>
      </c>
      <c r="U1649" s="710">
        <f>K1647</f>
        <v>2016</v>
      </c>
      <c r="V1649" s="710">
        <f>L1647</f>
        <v>2017</v>
      </c>
      <c r="W1649" s="711">
        <f>M1647</f>
        <v>2018</v>
      </c>
      <c r="AA1649" s="345" t="b">
        <f>AA1648</f>
        <v>0</v>
      </c>
    </row>
    <row r="1650" spans="1:27" ht="12.75" customHeight="1" thickBot="1" x14ac:dyDescent="0.25">
      <c r="B1650" s="207"/>
      <c r="C1650" s="1060"/>
      <c r="D1650" s="699" t="s">
        <v>456</v>
      </c>
      <c r="E1650" s="1739" t="str">
        <f>Translations!$B$790</f>
        <v>Gazy odlotowe spalone na pochodniach</v>
      </c>
      <c r="F1650" s="1740"/>
      <c r="G1650" s="1740"/>
      <c r="H1650" s="453" t="str">
        <f>EUconst_TJpa</f>
        <v>TJ / rok</v>
      </c>
      <c r="I1650" s="513" t="str">
        <f>IF(COUNT(I1648:I1649)=2,I1648*I1649/1000,"")</f>
        <v/>
      </c>
      <c r="J1650" s="513" t="str">
        <f>IF(COUNT(J1648:J1649)=2,J1648*J1649/1000,"")</f>
        <v/>
      </c>
      <c r="K1650" s="513" t="str">
        <f>IF(COUNT(K1648:K1649)=2,K1648*K1649/1000,"")</f>
        <v/>
      </c>
      <c r="L1650" s="513" t="str">
        <f>IF(COUNT(L1648:L1649)=2,L1648*L1649/1000,"")</f>
        <v/>
      </c>
      <c r="M1650" s="513" t="str">
        <f>IF(COUNT(M1648:M1649)=2,M1648*M1649/1000,"")</f>
        <v/>
      </c>
      <c r="N1650" s="1257"/>
      <c r="O1650" s="16"/>
      <c r="P1650" s="1062" t="str">
        <f>EUconst_CNTR_WGFlared &amp; I1513</f>
        <v>WasteGasFlare_</v>
      </c>
      <c r="R1650" s="347" t="str">
        <f>IF(COUNT(S1650:W1650)&gt;0,AVERAGE(S1650:W1650),"")</f>
        <v/>
      </c>
      <c r="S1650" s="442" t="str">
        <f>IF(S1513,IF(ISNUMBER(I1650),I1650,0),"")</f>
        <v/>
      </c>
      <c r="T1650" s="443" t="str">
        <f>IF(T1513,IF(ISNUMBER(J1650),J1650,0),"")</f>
        <v/>
      </c>
      <c r="U1650" s="443" t="str">
        <f>IF(U1513,IF(ISNUMBER(K1650),K1650,0),"")</f>
        <v/>
      </c>
      <c r="V1650" s="443" t="str">
        <f>IF(V1513,IF(ISNUMBER(L1650),L1650,0),"")</f>
        <v/>
      </c>
      <c r="W1650" s="444" t="str">
        <f>IF(W1513,IF(ISNUMBER(M1650),M1650,0),"")</f>
        <v/>
      </c>
      <c r="AA1650" s="608"/>
    </row>
    <row r="1651" spans="1:27" ht="12.75" customHeight="1" thickBot="1" x14ac:dyDescent="0.25">
      <c r="B1651" s="207"/>
      <c r="C1651" s="1060"/>
      <c r="D1651" s="699" t="s">
        <v>457</v>
      </c>
      <c r="E1651" s="1739" t="str">
        <f>Translations!$B$791</f>
        <v>Właściwy współczynnik emisji (gazy odlotowe spalone na pochodniach)</v>
      </c>
      <c r="F1651" s="1740"/>
      <c r="G1651" s="1740"/>
      <c r="H1651" s="453" t="str">
        <f>EUconst_tCO2pTJ</f>
        <v>t CO2 / TJ</v>
      </c>
      <c r="I1651" s="471"/>
      <c r="J1651" s="471"/>
      <c r="K1651" s="471"/>
      <c r="L1651" s="471"/>
      <c r="M1651" s="471"/>
      <c r="N1651" s="665"/>
      <c r="O1651" s="16"/>
      <c r="P1651" s="1062" t="str">
        <f>EUconst_CNTR_WGFlaredEF &amp; I1513</f>
        <v>WasteGasFlareEF_</v>
      </c>
      <c r="R1651" s="854" t="str">
        <f>IF(COUNT(S1651:W1651)&gt;0,AVERAGE(S1651:W1651),"")</f>
        <v/>
      </c>
      <c r="S1651" s="442" t="str">
        <f>IF(S1513,SUM(I1650)*SUM(I1651),"")</f>
        <v/>
      </c>
      <c r="T1651" s="443" t="str">
        <f>IF(T1513,SUM(J1650)*SUM(J1651),"")</f>
        <v/>
      </c>
      <c r="U1651" s="443" t="str">
        <f>IF(U1513,SUM(K1650)*SUM(K1651),"")</f>
        <v/>
      </c>
      <c r="V1651" s="443" t="str">
        <f>IF(V1513,SUM(L1650)*SUM(L1651),"")</f>
        <v/>
      </c>
      <c r="W1651" s="444" t="str">
        <f>IF(W1513,SUM(M1650)*SUM(M1651),"")</f>
        <v/>
      </c>
      <c r="AA1651" s="345" t="b">
        <f>AA1649</f>
        <v>0</v>
      </c>
    </row>
    <row r="1652" spans="1:27" ht="12.75" customHeight="1" x14ac:dyDescent="0.2">
      <c r="B1652" s="207"/>
      <c r="C1652" s="1060"/>
      <c r="D1652" s="1061"/>
      <c r="E1652" s="1061"/>
      <c r="F1652" s="1061"/>
      <c r="G1652" s="1061"/>
      <c r="H1652" s="1061"/>
      <c r="I1652" s="1061"/>
      <c r="J1652" s="1061"/>
      <c r="K1652" s="1061"/>
      <c r="L1652" s="1061"/>
      <c r="M1652" s="1063"/>
      <c r="N1652" s="665"/>
      <c r="O1652" s="16"/>
      <c r="P1652" s="1037"/>
      <c r="R1652" s="1037"/>
      <c r="S1652" s="1037"/>
      <c r="AA1652" s="608"/>
    </row>
    <row r="1653" spans="1:27" ht="12.75" customHeight="1" x14ac:dyDescent="0.2">
      <c r="B1653" s="207"/>
      <c r="C1653" s="1060"/>
      <c r="D1653" s="699" t="s">
        <v>458</v>
      </c>
      <c r="E1653" s="1760" t="str">
        <f>Translations!$B$792</f>
        <v>Rodzaje gazów odlotowych wprowadzonych:</v>
      </c>
      <c r="F1653" s="1760"/>
      <c r="G1653" s="1760"/>
      <c r="H1653" s="1760"/>
      <c r="I1653" s="1763"/>
      <c r="J1653" s="1764"/>
      <c r="K1653" s="1764"/>
      <c r="L1653" s="1764"/>
      <c r="M1653" s="1765"/>
      <c r="N1653" s="665"/>
      <c r="O1653" s="16"/>
      <c r="P1653" s="1037"/>
      <c r="R1653" s="1037"/>
      <c r="AA1653" s="345" t="b">
        <f>AA1633</f>
        <v>0</v>
      </c>
    </row>
    <row r="1654" spans="1:27" ht="5.0999999999999996" customHeight="1" x14ac:dyDescent="0.2">
      <c r="B1654" s="207"/>
      <c r="C1654" s="1060"/>
      <c r="D1654" s="699"/>
      <c r="E1654" s="1730"/>
      <c r="F1654" s="1731"/>
      <c r="G1654" s="1731"/>
      <c r="H1654" s="1731"/>
      <c r="I1654" s="1731"/>
      <c r="J1654" s="1731"/>
      <c r="K1654" s="1731"/>
      <c r="L1654" s="1731"/>
      <c r="M1654" s="1731"/>
      <c r="N1654" s="1732"/>
      <c r="O1654" s="16"/>
      <c r="P1654" s="1037"/>
      <c r="R1654" s="1037"/>
      <c r="S1654" s="1037"/>
      <c r="AA1654" s="608"/>
    </row>
    <row r="1655" spans="1:27" ht="12.75" customHeight="1" x14ac:dyDescent="0.2">
      <c r="B1655" s="207"/>
      <c r="C1655" s="1060"/>
      <c r="D1655" s="1061"/>
      <c r="E1655" s="1757"/>
      <c r="F1655" s="1758"/>
      <c r="G1655" s="1758"/>
      <c r="H1655" s="450" t="str">
        <f>EUconst_Unit</f>
        <v>Jednostka</v>
      </c>
      <c r="I1655" s="451">
        <f>I$1882</f>
        <v>2014</v>
      </c>
      <c r="J1655" s="451">
        <f>J$1882</f>
        <v>2015</v>
      </c>
      <c r="K1655" s="451">
        <f>K$1882</f>
        <v>2016</v>
      </c>
      <c r="L1655" s="451">
        <f>L$1882</f>
        <v>2017</v>
      </c>
      <c r="M1655" s="451">
        <f>M$1882</f>
        <v>2018</v>
      </c>
      <c r="N1655" s="1257"/>
      <c r="O1655" s="16"/>
      <c r="P1655" s="1037"/>
      <c r="R1655" s="1037"/>
      <c r="S1655" s="1037"/>
      <c r="AA1655" s="608"/>
    </row>
    <row r="1656" spans="1:27" ht="12.75" customHeight="1" thickBot="1" x14ac:dyDescent="0.25">
      <c r="B1656" s="207"/>
      <c r="C1656" s="1060"/>
      <c r="D1656" s="699" t="s">
        <v>459</v>
      </c>
      <c r="E1656" s="1766" t="str">
        <f>Translations!$B$795</f>
        <v>Ilości wprowadzone</v>
      </c>
      <c r="F1656" s="1767"/>
      <c r="G1656" s="1767"/>
      <c r="H1656" s="231"/>
      <c r="I1656" s="472"/>
      <c r="J1656" s="472"/>
      <c r="K1656" s="472"/>
      <c r="L1656" s="472"/>
      <c r="M1656" s="472"/>
      <c r="N1656" s="1257"/>
      <c r="O1656" s="16"/>
      <c r="P1656" s="1037"/>
      <c r="R1656" s="1037"/>
      <c r="S1656" s="1037"/>
      <c r="AA1656" s="345" t="b">
        <f>AA1653</f>
        <v>0</v>
      </c>
    </row>
    <row r="1657" spans="1:27" ht="12.75" customHeight="1" x14ac:dyDescent="0.2">
      <c r="B1657" s="207"/>
      <c r="C1657" s="1060"/>
      <c r="D1657" s="699" t="s">
        <v>460</v>
      </c>
      <c r="E1657" s="1743" t="str">
        <f>Translations!$B$470</f>
        <v>Wartość opałowa</v>
      </c>
      <c r="F1657" s="1744"/>
      <c r="G1657" s="1744"/>
      <c r="H1657" s="56" t="str">
        <f>IF(ISBLANK(H1656),EUconst_GJperUnit,INDEX(EUconst_GJperTorKNm3,MATCH(H1656,EUconst_TonnesOrkNm3pa,0)))</f>
        <v>GJ / Jednostka</v>
      </c>
      <c r="I1657" s="446"/>
      <c r="J1657" s="446"/>
      <c r="K1657" s="446"/>
      <c r="L1657" s="446"/>
      <c r="M1657" s="446"/>
      <c r="N1657" s="1257"/>
      <c r="O1657" s="16"/>
      <c r="P1657" s="1065"/>
      <c r="R1657" s="1052"/>
      <c r="S1657" s="814">
        <f>I1655</f>
        <v>2014</v>
      </c>
      <c r="T1657" s="814">
        <f>J1655</f>
        <v>2015</v>
      </c>
      <c r="U1657" s="814">
        <f>K1655</f>
        <v>2016</v>
      </c>
      <c r="V1657" s="814">
        <f>L1655</f>
        <v>2017</v>
      </c>
      <c r="W1657" s="815">
        <f>M1655</f>
        <v>2018</v>
      </c>
      <c r="AA1657" s="345" t="b">
        <f>AA1656</f>
        <v>0</v>
      </c>
    </row>
    <row r="1658" spans="1:27" ht="12.75" customHeight="1" x14ac:dyDescent="0.2">
      <c r="B1658" s="207"/>
      <c r="C1658" s="1060"/>
      <c r="D1658" s="699" t="s">
        <v>461</v>
      </c>
      <c r="E1658" s="1739" t="str">
        <f>Translations!$B$796</f>
        <v>Gazy odlotowe wprowadzone</v>
      </c>
      <c r="F1658" s="1740"/>
      <c r="G1658" s="1740"/>
      <c r="H1658" s="453" t="str">
        <f>EUconst_TJpa</f>
        <v>TJ / rok</v>
      </c>
      <c r="I1658" s="433" t="str">
        <f>IF(COUNT(I1656:I1657)=2,I1656*I1657/1000,"")</f>
        <v/>
      </c>
      <c r="J1658" s="433" t="str">
        <f>IF(COUNT(J1656:J1657)=2,J1656*J1657/1000,"")</f>
        <v/>
      </c>
      <c r="K1658" s="433" t="str">
        <f>IF(COUNT(K1656:K1657)=2,K1656*K1657/1000,"")</f>
        <v/>
      </c>
      <c r="L1658" s="433" t="str">
        <f>IF(COUNT(L1656:L1657)=2,L1656*L1657/1000,"")</f>
        <v/>
      </c>
      <c r="M1658" s="433" t="str">
        <f>IF(COUNT(M1656:M1657)=2,M1656*M1657/1000,"")</f>
        <v/>
      </c>
      <c r="N1658" s="1257"/>
      <c r="O1658" s="16"/>
      <c r="P1658" s="1062" t="str">
        <f>EUconst_CNTR_WGImport &amp; I1513</f>
        <v>WasteGasIm_</v>
      </c>
      <c r="R1658" s="1064" t="str">
        <f>EUconst_ERR_AttrEmBMapplied &amp; I1513</f>
        <v>ERR_AttrEmBM_ </v>
      </c>
      <c r="S1658" s="116">
        <f>IF(AND(I1658&lt;&gt;"",EUconst_StatusOfDataCollection=FALSE),1,0)</f>
        <v>0</v>
      </c>
      <c r="T1658" s="116">
        <f>IF(AND(J1658&lt;&gt;"",EUconst_StatusOfDataCollection=FALSE),1,0)</f>
        <v>0</v>
      </c>
      <c r="U1658" s="116">
        <f>IF(AND(K1658&lt;&gt;"",EUconst_StatusOfDataCollection=FALSE),1,0)</f>
        <v>0</v>
      </c>
      <c r="V1658" s="116">
        <f>IF(AND(L1658&lt;&gt;"",EUconst_StatusOfDataCollection=FALSE),1,0)</f>
        <v>0</v>
      </c>
      <c r="W1658" s="117">
        <f>IF(AND(M1658&lt;&gt;"",EUconst_StatusOfDataCollection=FALSE),1,0)</f>
        <v>0</v>
      </c>
      <c r="AA1658" s="608"/>
    </row>
    <row r="1659" spans="1:27" s="701" customFormat="1" ht="12.75" customHeight="1" thickBot="1" x14ac:dyDescent="0.25">
      <c r="A1659" s="422"/>
      <c r="B1659" s="207"/>
      <c r="C1659" s="1060"/>
      <c r="D1659" s="699" t="s">
        <v>462</v>
      </c>
      <c r="E1659" s="1739" t="str">
        <f>Translations!$B$797</f>
        <v>Właściwy współczynnik emisji (gazy odlotowe wprowadzone)</v>
      </c>
      <c r="F1659" s="1739"/>
      <c r="G1659" s="1739"/>
      <c r="H1659" s="452" t="str">
        <f>EUconst_tCO2pTJ</f>
        <v>t CO2 / TJ</v>
      </c>
      <c r="I1659" s="765"/>
      <c r="J1659" s="765"/>
      <c r="K1659" s="765"/>
      <c r="L1659" s="765"/>
      <c r="M1659" s="765"/>
      <c r="N1659" s="665"/>
      <c r="O1659" s="16"/>
      <c r="P1659" s="1062" t="str">
        <f>EUconst_CNTR_WGImportEF &amp; I1513</f>
        <v>WasteGasImEF_</v>
      </c>
      <c r="Q1659" s="422"/>
      <c r="R1659" s="1053" t="str">
        <f>EUconst_CNTR_AttributedEmissions &amp; I1513</f>
        <v>AttrEmissions_</v>
      </c>
      <c r="S1659" s="119" t="str">
        <f>IF(S1513,SUM(I1658)*EUconst_FuelBMvalue,"")</f>
        <v/>
      </c>
      <c r="T1659" s="119" t="str">
        <f>IF(T1513,SUM(J1658)*EUconst_FuelBMvalue,"")</f>
        <v/>
      </c>
      <c r="U1659" s="119" t="str">
        <f>IF(U1513,SUM(K1658)*EUconst_FuelBMvalue,"")</f>
        <v/>
      </c>
      <c r="V1659" s="119" t="str">
        <f>IF(V1513,SUM(L1658)*EUconst_FuelBMvalue,"")</f>
        <v/>
      </c>
      <c r="W1659" s="120" t="str">
        <f>IF(W1513,SUM(M1658)*EUconst_FuelBMvalue,"")</f>
        <v/>
      </c>
      <c r="X1659" s="422"/>
      <c r="Y1659" s="422"/>
      <c r="Z1659" s="422"/>
      <c r="AA1659" s="345" t="b">
        <f>AA1657</f>
        <v>0</v>
      </c>
    </row>
    <row r="1660" spans="1:27" ht="12.75" customHeight="1" x14ac:dyDescent="0.2">
      <c r="B1660" s="207"/>
      <c r="C1660" s="1060"/>
      <c r="D1660" s="1061"/>
      <c r="E1660" s="1061"/>
      <c r="F1660" s="1061"/>
      <c r="G1660" s="1061"/>
      <c r="H1660" s="1061"/>
      <c r="I1660" s="1061"/>
      <c r="J1660" s="1061"/>
      <c r="K1660" s="1061"/>
      <c r="L1660" s="1061"/>
      <c r="M1660" s="1063"/>
      <c r="N1660" s="665"/>
      <c r="O1660" s="16"/>
      <c r="P1660" s="1037"/>
      <c r="R1660" s="1037"/>
      <c r="S1660" s="1037"/>
      <c r="AA1660" s="608"/>
    </row>
    <row r="1661" spans="1:27" ht="12.75" customHeight="1" x14ac:dyDescent="0.2">
      <c r="B1661" s="207"/>
      <c r="C1661" s="1060"/>
      <c r="D1661" s="699" t="s">
        <v>463</v>
      </c>
      <c r="E1661" s="1760" t="str">
        <f>Translations!$B$798</f>
        <v>Rodzaje wyprowadzonych gazów odlotowych:</v>
      </c>
      <c r="F1661" s="1760"/>
      <c r="G1661" s="1760"/>
      <c r="H1661" s="1760"/>
      <c r="I1661" s="1763"/>
      <c r="J1661" s="1764"/>
      <c r="K1661" s="1764"/>
      <c r="L1661" s="1764"/>
      <c r="M1661" s="1765"/>
      <c r="N1661" s="1254"/>
      <c r="O1661" s="16"/>
      <c r="P1661" s="1037"/>
      <c r="R1661" s="1037"/>
      <c r="AA1661" s="345" t="b">
        <f>AA1656</f>
        <v>0</v>
      </c>
    </row>
    <row r="1662" spans="1:27" ht="5.0999999999999996" customHeight="1" x14ac:dyDescent="0.2">
      <c r="B1662" s="207"/>
      <c r="C1662" s="1060"/>
      <c r="D1662" s="699"/>
      <c r="E1662" s="1733"/>
      <c r="F1662" s="1734"/>
      <c r="G1662" s="1734"/>
      <c r="H1662" s="1734"/>
      <c r="I1662" s="1734"/>
      <c r="J1662" s="1734"/>
      <c r="K1662" s="1734"/>
      <c r="L1662" s="1734"/>
      <c r="M1662" s="1734"/>
      <c r="N1662" s="1735"/>
      <c r="O1662" s="16"/>
      <c r="P1662" s="1037"/>
      <c r="R1662" s="1037"/>
      <c r="S1662" s="1037"/>
      <c r="AA1662" s="608"/>
    </row>
    <row r="1663" spans="1:27" ht="12.75" customHeight="1" x14ac:dyDescent="0.2">
      <c r="B1663" s="207"/>
      <c r="C1663" s="1060"/>
      <c r="D1663" s="1061"/>
      <c r="E1663" s="1757"/>
      <c r="F1663" s="1758"/>
      <c r="G1663" s="1758"/>
      <c r="H1663" s="450" t="str">
        <f>EUconst_Unit</f>
        <v>Jednostka</v>
      </c>
      <c r="I1663" s="451">
        <f>I$1882</f>
        <v>2014</v>
      </c>
      <c r="J1663" s="451">
        <f>J$1882</f>
        <v>2015</v>
      </c>
      <c r="K1663" s="451">
        <f>K$1882</f>
        <v>2016</v>
      </c>
      <c r="L1663" s="451">
        <f>L$1882</f>
        <v>2017</v>
      </c>
      <c r="M1663" s="451">
        <f>M$1882</f>
        <v>2018</v>
      </c>
      <c r="N1663" s="1257"/>
      <c r="O1663" s="16"/>
      <c r="P1663" s="1037"/>
      <c r="R1663" s="1037"/>
      <c r="S1663" s="1037"/>
      <c r="AA1663" s="608"/>
    </row>
    <row r="1664" spans="1:27" ht="12.75" customHeight="1" x14ac:dyDescent="0.2">
      <c r="B1664" s="207"/>
      <c r="C1664" s="1060"/>
      <c r="D1664" s="699" t="s">
        <v>464</v>
      </c>
      <c r="E1664" s="1766" t="str">
        <f>Translations!$B$800</f>
        <v>Ilości wyprowadzone</v>
      </c>
      <c r="F1664" s="1767"/>
      <c r="G1664" s="1767"/>
      <c r="H1664" s="231"/>
      <c r="I1664" s="472"/>
      <c r="J1664" s="472"/>
      <c r="K1664" s="472"/>
      <c r="L1664" s="472"/>
      <c r="M1664" s="472"/>
      <c r="N1664" s="1257"/>
      <c r="O1664" s="16"/>
      <c r="P1664" s="1037"/>
      <c r="R1664" s="1037"/>
      <c r="S1664" s="1037"/>
      <c r="AA1664" s="345" t="b">
        <f>AA1661</f>
        <v>0</v>
      </c>
    </row>
    <row r="1665" spans="1:27" ht="12.75" customHeight="1" thickBot="1" x14ac:dyDescent="0.25">
      <c r="B1665" s="207"/>
      <c r="C1665" s="1060"/>
      <c r="D1665" s="699" t="s">
        <v>643</v>
      </c>
      <c r="E1665" s="1743" t="str">
        <f>Translations!$B$470</f>
        <v>Wartość opałowa</v>
      </c>
      <c r="F1665" s="1744"/>
      <c r="G1665" s="1744"/>
      <c r="H1665" s="56" t="str">
        <f>IF(ISBLANK(H1664),EUconst_GJperUnit,INDEX(EUconst_GJperTorKNm3,MATCH(H1664,EUconst_TonnesOrkNm3pa,0)))</f>
        <v>GJ / Jednostka</v>
      </c>
      <c r="I1665" s="446"/>
      <c r="J1665" s="446"/>
      <c r="K1665" s="446"/>
      <c r="L1665" s="446"/>
      <c r="M1665" s="446"/>
      <c r="N1665" s="1257"/>
      <c r="O1665" s="16"/>
      <c r="P1665" s="1065"/>
      <c r="R1665" s="1037"/>
      <c r="S1665" s="1037"/>
      <c r="AA1665" s="345" t="b">
        <f>AA1664</f>
        <v>0</v>
      </c>
    </row>
    <row r="1666" spans="1:27" ht="12.75" customHeight="1" x14ac:dyDescent="0.2">
      <c r="B1666" s="207"/>
      <c r="C1666" s="1060"/>
      <c r="D1666" s="699" t="s">
        <v>644</v>
      </c>
      <c r="E1666" s="1739" t="str">
        <f>Translations!$B$801</f>
        <v>Gazy odlotowe wyprowadzone</v>
      </c>
      <c r="F1666" s="1740"/>
      <c r="G1666" s="1740"/>
      <c r="H1666" s="453" t="str">
        <f>EUconst_TJpa</f>
        <v>TJ / rok</v>
      </c>
      <c r="I1666" s="433" t="str">
        <f>IF(COUNT(I1664:I1665)=2,I1664*I1665/1000,"")</f>
        <v/>
      </c>
      <c r="J1666" s="433" t="str">
        <f>IF(COUNT(J1664:J1665)=2,J1664*J1665/1000,"")</f>
        <v/>
      </c>
      <c r="K1666" s="433" t="str">
        <f>IF(COUNT(K1664:K1665)=2,K1664*K1665/1000,"")</f>
        <v/>
      </c>
      <c r="L1666" s="433" t="str">
        <f>IF(COUNT(L1664:L1665)=2,L1664*L1665/1000,"")</f>
        <v/>
      </c>
      <c r="M1666" s="433" t="str">
        <f>IF(COUNT(M1664:M1665)=2,M1664*M1665/1000,"")</f>
        <v/>
      </c>
      <c r="N1666" s="702"/>
      <c r="O1666" s="16"/>
      <c r="P1666" s="1062" t="str">
        <f>EUconst_CNTR_WGExport &amp; I1513</f>
        <v>WasteGasEx_</v>
      </c>
      <c r="R1666" s="1052"/>
      <c r="S1666" s="814">
        <f>I1663</f>
        <v>2014</v>
      </c>
      <c r="T1666" s="814">
        <f>J1663</f>
        <v>2015</v>
      </c>
      <c r="U1666" s="814">
        <f>K1663</f>
        <v>2016</v>
      </c>
      <c r="V1666" s="814">
        <f>L1663</f>
        <v>2017</v>
      </c>
      <c r="W1666" s="815">
        <f>M1663</f>
        <v>2018</v>
      </c>
      <c r="AA1666" s="608"/>
    </row>
    <row r="1667" spans="1:27" s="701" customFormat="1" ht="12.75" customHeight="1" thickBot="1" x14ac:dyDescent="0.25">
      <c r="A1667" s="422"/>
      <c r="B1667" s="207"/>
      <c r="C1667" s="1060"/>
      <c r="D1667" s="699" t="s">
        <v>645</v>
      </c>
      <c r="E1667" s="1739" t="str">
        <f>Translations!$B$802</f>
        <v>Właściwy współczynnik emisji (gazy odlotowe wyprowadzone)</v>
      </c>
      <c r="F1667" s="1739"/>
      <c r="G1667" s="1739"/>
      <c r="H1667" s="452" t="str">
        <f>EUconst_tCO2pTJ</f>
        <v>t CO2 / TJ</v>
      </c>
      <c r="I1667" s="765"/>
      <c r="J1667" s="765"/>
      <c r="K1667" s="765"/>
      <c r="L1667" s="765"/>
      <c r="M1667" s="765"/>
      <c r="N1667" s="665"/>
      <c r="O1667" s="16"/>
      <c r="P1667" s="1062" t="str">
        <f>EUconst_CNTR_WGExportEF &amp; I1513</f>
        <v>WasteGasExEF_</v>
      </c>
      <c r="Q1667" s="422"/>
      <c r="R1667" s="1053" t="str">
        <f>EUconst_CNTR_AttributedEmissions &amp; I1513</f>
        <v>AttrEmissions_</v>
      </c>
      <c r="S1667" s="119" t="str">
        <f>IF(S1513,-SUM(I1666)*EUconst_NGEFvalue*EUconst_WasteGasCorrFactor,"")</f>
        <v/>
      </c>
      <c r="T1667" s="119" t="str">
        <f>IF(T1513,-SUM(J1666)*EUconst_NGEFvalue*EUconst_WasteGasCorrFactor,"")</f>
        <v/>
      </c>
      <c r="U1667" s="119" t="str">
        <f>IF(U1513,-SUM(K1666)*EUconst_NGEFvalue*EUconst_WasteGasCorrFactor,"")</f>
        <v/>
      </c>
      <c r="V1667" s="119" t="str">
        <f>IF(V1513,-SUM(L1666)*EUconst_NGEFvalue*EUconst_WasteGasCorrFactor,"")</f>
        <v/>
      </c>
      <c r="W1667" s="120" t="str">
        <f>IF(W1513,-SUM(M1666)*EUconst_NGEFvalue*EUconst_WasteGasCorrFactor,"")</f>
        <v/>
      </c>
      <c r="X1667" s="422"/>
      <c r="Y1667" s="422"/>
      <c r="Z1667" s="422"/>
      <c r="AA1667" s="168" t="b">
        <f>AA1665</f>
        <v>0</v>
      </c>
    </row>
    <row r="1668" spans="1:27" ht="12.75" customHeight="1" x14ac:dyDescent="0.2">
      <c r="B1668" s="207"/>
      <c r="C1668" s="1060"/>
      <c r="D1668" s="1061"/>
      <c r="E1668" s="1061"/>
      <c r="F1668" s="1061"/>
      <c r="G1668" s="1061"/>
      <c r="H1668" s="1061"/>
      <c r="I1668" s="1061"/>
      <c r="J1668" s="1061"/>
      <c r="K1668" s="1061"/>
      <c r="L1668" s="1061"/>
      <c r="M1668" s="1063"/>
      <c r="N1668" s="665"/>
      <c r="O1668" s="16"/>
      <c r="P1668" s="1037"/>
      <c r="R1668" s="1037"/>
    </row>
    <row r="1669" spans="1:27" ht="12.75" customHeight="1" thickBot="1" x14ac:dyDescent="0.25">
      <c r="B1669" s="207"/>
      <c r="C1669" s="1060"/>
      <c r="D1669" s="462" t="s">
        <v>221</v>
      </c>
      <c r="E1669" s="1731" t="str">
        <f>Translations!$B$420</f>
        <v>Wytwarzanie energii elektrycznej</v>
      </c>
      <c r="F1669" s="1734"/>
      <c r="G1669" s="1734"/>
      <c r="H1669" s="1734"/>
      <c r="I1669" s="1734"/>
      <c r="J1669" s="1734"/>
      <c r="K1669" s="1734"/>
      <c r="L1669" s="1734"/>
      <c r="M1669" s="1734"/>
      <c r="N1669" s="1735"/>
      <c r="O1669" s="16"/>
      <c r="P1669" s="1037"/>
      <c r="R1669" s="1037"/>
    </row>
    <row r="1670" spans="1:27" ht="12.75" customHeight="1" x14ac:dyDescent="0.2">
      <c r="B1670" s="207"/>
      <c r="C1670" s="1060"/>
      <c r="D1670" s="462"/>
      <c r="E1670" s="1757"/>
      <c r="F1670" s="1758"/>
      <c r="G1670" s="1758"/>
      <c r="H1670" s="450" t="str">
        <f>EUconst_Unit</f>
        <v>Jednostka</v>
      </c>
      <c r="I1670" s="451">
        <f>I$1882</f>
        <v>2014</v>
      </c>
      <c r="J1670" s="451">
        <f>J$1882</f>
        <v>2015</v>
      </c>
      <c r="K1670" s="451">
        <f>K$1882</f>
        <v>2016</v>
      </c>
      <c r="L1670" s="451">
        <f>L$1882</f>
        <v>2017</v>
      </c>
      <c r="M1670" s="451">
        <f>M$1882</f>
        <v>2018</v>
      </c>
      <c r="N1670" s="665"/>
      <c r="O1670" s="16"/>
      <c r="P1670" s="1037"/>
      <c r="R1670" s="1052"/>
      <c r="S1670" s="814">
        <f>I1670</f>
        <v>2014</v>
      </c>
      <c r="T1670" s="814">
        <f>J1670</f>
        <v>2015</v>
      </c>
      <c r="U1670" s="814">
        <f>K1670</f>
        <v>2016</v>
      </c>
      <c r="V1670" s="814">
        <f>L1670</f>
        <v>2017</v>
      </c>
      <c r="W1670" s="815">
        <f>M1670</f>
        <v>2018</v>
      </c>
    </row>
    <row r="1671" spans="1:27" ht="12.75" customHeight="1" thickBot="1" x14ac:dyDescent="0.25">
      <c r="B1671" s="207"/>
      <c r="C1671" s="1060"/>
      <c r="D1671" s="699"/>
      <c r="E1671" s="1739" t="str">
        <f>Translations!$B$805</f>
        <v>Energia elektryczna wytworzona</v>
      </c>
      <c r="F1671" s="1740"/>
      <c r="G1671" s="1740"/>
      <c r="H1671" s="453" t="str">
        <f>EUconst_MWhpa</f>
        <v>MWh / rok</v>
      </c>
      <c r="I1671" s="471"/>
      <c r="J1671" s="471"/>
      <c r="K1671" s="471"/>
      <c r="L1671" s="471"/>
      <c r="M1671" s="471"/>
      <c r="N1671" s="1257"/>
      <c r="O1671" s="16"/>
      <c r="P1671" s="1062" t="str">
        <f>EUconst_CNTR_ElectricityExported &amp; I1513</f>
        <v>ElecEx_</v>
      </c>
      <c r="R1671" s="1053" t="str">
        <f>EUconst_CNTR_AttributedEmissions &amp; I1513</f>
        <v>AttrEmissions_</v>
      </c>
      <c r="S1671" s="119" t="str">
        <f>IF(S1513,-SUM(I1671)*EUconst_ElBM,"")</f>
        <v/>
      </c>
      <c r="T1671" s="119" t="str">
        <f>IF(T1513,-SUM(J1671)*EUconst_ElBM,"")</f>
        <v/>
      </c>
      <c r="U1671" s="119" t="str">
        <f>IF(U1513,-SUM(K1671)*EUconst_ElBM,"")</f>
        <v/>
      </c>
      <c r="V1671" s="119" t="str">
        <f>IF(V1513,-SUM(L1671)*EUconst_ElBM,"")</f>
        <v/>
      </c>
      <c r="W1671" s="120" t="str">
        <f>IF(W1513,-SUM(M1671)*EUconst_ElBM,"")</f>
        <v/>
      </c>
    </row>
    <row r="1672" spans="1:27" ht="12.75" customHeight="1" x14ac:dyDescent="0.2">
      <c r="B1672" s="207"/>
      <c r="C1672" s="1060"/>
      <c r="D1672" s="1061"/>
      <c r="E1672" s="1061"/>
      <c r="F1672" s="1061"/>
      <c r="G1672" s="1061"/>
      <c r="H1672" s="1061"/>
      <c r="I1672" s="1061"/>
      <c r="J1672" s="1061"/>
      <c r="K1672" s="1061"/>
      <c r="L1672" s="1061"/>
      <c r="M1672" s="1063"/>
      <c r="N1672" s="665"/>
      <c r="O1672" s="16"/>
      <c r="P1672" s="1037"/>
      <c r="R1672" s="1037"/>
      <c r="S1672" s="1037"/>
    </row>
    <row r="1673" spans="1:27" ht="12.75" customHeight="1" thickBot="1" x14ac:dyDescent="0.25">
      <c r="B1673" s="207"/>
      <c r="C1673" s="1060"/>
      <c r="D1673" s="462" t="s">
        <v>79</v>
      </c>
      <c r="E1673" s="1760" t="str">
        <f>Translations!$B$806</f>
        <v>Całkowita ilość wyprodukowanej masy celulozowej</v>
      </c>
      <c r="F1673" s="1760"/>
      <c r="G1673" s="1760"/>
      <c r="H1673" s="1760"/>
      <c r="I1673" s="1760"/>
      <c r="J1673" s="1760"/>
      <c r="K1673" s="1760"/>
      <c r="L1673" s="1760"/>
      <c r="M1673" s="1760"/>
      <c r="N1673" s="1761"/>
      <c r="O1673" s="16"/>
      <c r="S1673" s="1037"/>
    </row>
    <row r="1674" spans="1:27" ht="12.75" customHeight="1" thickBot="1" x14ac:dyDescent="0.25">
      <c r="B1674" s="207"/>
      <c r="C1674" s="1060"/>
      <c r="D1674" s="699"/>
      <c r="E1674" s="1762" t="str">
        <f>IF(I1513="","",IF(INDEX(EUconst_BMlistPulp,MATCH(I1513,EUconst_BMlistNames,0)),I1513,""))</f>
        <v/>
      </c>
      <c r="F1674" s="1762"/>
      <c r="G1674" s="1762"/>
      <c r="H1674" s="453" t="str">
        <f>EUconst_Tons</f>
        <v>tony</v>
      </c>
      <c r="I1674" s="471"/>
      <c r="J1674" s="471"/>
      <c r="K1674" s="471"/>
      <c r="L1674" s="471"/>
      <c r="M1674" s="471"/>
      <c r="N1674" s="1257"/>
      <c r="O1674" s="16"/>
      <c r="P1674" s="1062" t="str">
        <f>EUconst_CNTR_HALPulpTotal &amp; I1513</f>
        <v>HALPulpTotal_</v>
      </c>
      <c r="R1674" s="1037"/>
      <c r="AA1674" s="738" t="b">
        <f>IF(I1513&lt;&gt;"",IF(INDEX(EUconst_BMlistPulp,MATCH(I1513,EUconst_BMlistNames,0))=TRUE,FALSE,TRUE),FALSE)</f>
        <v>0</v>
      </c>
    </row>
    <row r="1675" spans="1:27" ht="12.75" customHeight="1" x14ac:dyDescent="0.2">
      <c r="B1675" s="207"/>
      <c r="C1675" s="1060"/>
      <c r="D1675" s="699"/>
      <c r="E1675" s="699"/>
      <c r="F1675" s="699"/>
      <c r="G1675" s="699"/>
      <c r="H1675" s="699"/>
      <c r="I1675" s="699"/>
      <c r="J1675" s="699"/>
      <c r="K1675" s="699"/>
      <c r="L1675" s="699"/>
      <c r="M1675" s="699"/>
      <c r="N1675" s="1257"/>
      <c r="O1675" s="16"/>
      <c r="P1675" s="1065"/>
      <c r="R1675" s="1037"/>
      <c r="S1675" s="1037"/>
    </row>
    <row r="1676" spans="1:27" ht="12.75" customHeight="1" thickBot="1" x14ac:dyDescent="0.25">
      <c r="B1676" s="207"/>
      <c r="C1676" s="1060"/>
      <c r="D1676" s="462" t="s">
        <v>333</v>
      </c>
      <c r="E1676" s="1731" t="str">
        <f>Translations!$B$810</f>
        <v>Wprowadzanie lub wyprowadzanie produktów pośrednich objętych wskaźnikami emisyjności dla produktów</v>
      </c>
      <c r="F1676" s="1734"/>
      <c r="G1676" s="1734"/>
      <c r="H1676" s="1734"/>
      <c r="I1676" s="1734"/>
      <c r="J1676" s="1734"/>
      <c r="K1676" s="1734"/>
      <c r="L1676" s="1734"/>
      <c r="M1676" s="1734"/>
      <c r="N1676" s="1735"/>
      <c r="O1676" s="16"/>
      <c r="P1676" s="1037"/>
      <c r="R1676" s="1037"/>
      <c r="S1676" s="1037"/>
    </row>
    <row r="1677" spans="1:27" ht="12.75" customHeight="1" thickBot="1" x14ac:dyDescent="0.25">
      <c r="B1677" s="20"/>
      <c r="C1677" s="1060"/>
      <c r="D1677" s="699" t="s">
        <v>2</v>
      </c>
      <c r="E1677" s="1755" t="str">
        <f>Translations!$B$813</f>
        <v>Czy ma miejsce jakiekolwiek wprowadzanie lub wyprowadzanie produktów pośrednich objętych wskaźnikami emisyjności dla produktów?</v>
      </c>
      <c r="F1677" s="1755"/>
      <c r="G1677" s="1755"/>
      <c r="H1677" s="1755"/>
      <c r="I1677" s="1755"/>
      <c r="J1677" s="1755"/>
      <c r="K1677" s="1756"/>
      <c r="L1677" s="517"/>
      <c r="M1677" s="449"/>
      <c r="N1677" s="702"/>
      <c r="O1677" s="16"/>
      <c r="W1677" s="1048" t="s">
        <v>414</v>
      </c>
      <c r="X1677" s="1046" t="b">
        <f>IF(AND(I1513&lt;&gt;"",ISBLANK(L1677)),EUconst_Error&amp;"BM"&amp;C1513,FALSE)</f>
        <v>0</v>
      </c>
    </row>
    <row r="1678" spans="1:27" ht="5.0999999999999996" customHeight="1" x14ac:dyDescent="0.2">
      <c r="B1678" s="207"/>
      <c r="C1678" s="1060"/>
      <c r="D1678" s="699"/>
      <c r="E1678" s="699"/>
      <c r="F1678" s="699"/>
      <c r="G1678" s="699"/>
      <c r="H1678" s="699"/>
      <c r="I1678" s="699"/>
      <c r="J1678" s="699"/>
      <c r="K1678" s="699"/>
      <c r="L1678" s="699"/>
      <c r="M1678" s="699"/>
      <c r="N1678" s="1257"/>
      <c r="O1678" s="16"/>
      <c r="P1678" s="1065"/>
      <c r="R1678" s="1037"/>
      <c r="S1678" s="1037"/>
    </row>
    <row r="1679" spans="1:27" ht="12.75" customHeight="1" thickBot="1" x14ac:dyDescent="0.25">
      <c r="B1679" s="207"/>
      <c r="C1679" s="1060"/>
      <c r="D1679" s="514"/>
      <c r="E1679" s="1757" t="str">
        <f>Translations!$B$814</f>
        <v>Ilości wprowadzone:</v>
      </c>
      <c r="F1679" s="1758"/>
      <c r="G1679" s="1758"/>
      <c r="H1679" s="515" t="str">
        <f>EUconst_Unit</f>
        <v>Jednostka</v>
      </c>
      <c r="I1679" s="451">
        <f>I$1882</f>
        <v>2014</v>
      </c>
      <c r="J1679" s="451">
        <f>J$1882</f>
        <v>2015</v>
      </c>
      <c r="K1679" s="451">
        <f>K$1882</f>
        <v>2016</v>
      </c>
      <c r="L1679" s="451">
        <f>L$1882</f>
        <v>2017</v>
      </c>
      <c r="M1679" s="451">
        <f>M$1882</f>
        <v>2018</v>
      </c>
      <c r="N1679" s="1257"/>
      <c r="O1679" s="16"/>
      <c r="P1679" s="1065"/>
      <c r="R1679" s="1037"/>
      <c r="S1679" s="1037"/>
      <c r="AA1679" s="422" t="s">
        <v>272</v>
      </c>
    </row>
    <row r="1680" spans="1:27" ht="12.75" customHeight="1" x14ac:dyDescent="0.2">
      <c r="B1680" s="207"/>
      <c r="C1680" s="1060"/>
      <c r="D1680" s="516" t="s">
        <v>3</v>
      </c>
      <c r="E1680" s="1759"/>
      <c r="F1680" s="1759"/>
      <c r="G1680" s="1759"/>
      <c r="H1680" s="64" t="str">
        <f>IF(E1680&lt;&gt;"",INDEX(EUconst_BMlistUnits,MATCH(E1680,EUconst_BMlistNames,0)),EUconst_Tons)</f>
        <v>tony</v>
      </c>
      <c r="I1680" s="318"/>
      <c r="J1680" s="318"/>
      <c r="K1680" s="318"/>
      <c r="L1680" s="318"/>
      <c r="M1680" s="318"/>
      <c r="N1680" s="1257"/>
      <c r="O1680" s="16"/>
      <c r="P1680" s="1062" t="str">
        <f>EUconst_CNTR_IntermediateImport &amp; R1680 &amp; "_" &amp; I1513</f>
        <v>IntImp_1_</v>
      </c>
      <c r="R1680" s="1062">
        <v>1</v>
      </c>
      <c r="S1680" s="1037"/>
      <c r="AA1680" s="646" t="b">
        <f>AND(NOT(ISBLANK(L1677)),L1677=FALSE)</f>
        <v>0</v>
      </c>
    </row>
    <row r="1681" spans="2:27" ht="12.75" customHeight="1" x14ac:dyDescent="0.2">
      <c r="B1681" s="207"/>
      <c r="C1681" s="1060"/>
      <c r="D1681" s="516" t="s">
        <v>4</v>
      </c>
      <c r="E1681" s="1747"/>
      <c r="F1681" s="1747"/>
      <c r="G1681" s="1747"/>
      <c r="H1681" s="56" t="str">
        <f>IF(E1681&lt;&gt;"",INDEX(EUconst_BMlistUnits,MATCH(E1681,EUconst_BMlistNames,0)),EUconst_Tons)</f>
        <v>tony</v>
      </c>
      <c r="I1681" s="317"/>
      <c r="J1681" s="317"/>
      <c r="K1681" s="317"/>
      <c r="L1681" s="317"/>
      <c r="M1681" s="317"/>
      <c r="N1681" s="1257"/>
      <c r="O1681" s="16"/>
      <c r="P1681" s="1062" t="str">
        <f>EUconst_CNTR_IntermediateImport &amp; R1681 &amp; "_" &amp; I1513</f>
        <v>IntImp_2_</v>
      </c>
      <c r="R1681" s="1062">
        <v>2</v>
      </c>
      <c r="S1681" s="1037"/>
      <c r="AA1681" s="345" t="b">
        <f>AA1680</f>
        <v>0</v>
      </c>
    </row>
    <row r="1682" spans="2:27" ht="5.0999999999999996" customHeight="1" x14ac:dyDescent="0.2">
      <c r="B1682" s="207"/>
      <c r="C1682" s="1060"/>
      <c r="D1682" s="699"/>
      <c r="E1682" s="699"/>
      <c r="F1682" s="699"/>
      <c r="G1682" s="699"/>
      <c r="H1682" s="699"/>
      <c r="I1682" s="699"/>
      <c r="J1682" s="699"/>
      <c r="K1682" s="699"/>
      <c r="L1682" s="699"/>
      <c r="M1682" s="699"/>
      <c r="N1682" s="1257"/>
      <c r="O1682" s="16"/>
      <c r="P1682" s="1065"/>
      <c r="R1682" s="1037"/>
      <c r="S1682" s="1037"/>
      <c r="AA1682" s="608"/>
    </row>
    <row r="1683" spans="2:27" ht="12.75" customHeight="1" x14ac:dyDescent="0.2">
      <c r="B1683" s="207"/>
      <c r="C1683" s="1060"/>
      <c r="D1683" s="514"/>
      <c r="E1683" s="1757" t="str">
        <f>Translations!$B$815</f>
        <v>Ilości wyprowadzone:</v>
      </c>
      <c r="F1683" s="1758"/>
      <c r="G1683" s="1758"/>
      <c r="H1683" s="515" t="str">
        <f>EUconst_Unit</f>
        <v>Jednostka</v>
      </c>
      <c r="I1683" s="451">
        <f>I$1882</f>
        <v>2014</v>
      </c>
      <c r="J1683" s="451">
        <f>J$1882</f>
        <v>2015</v>
      </c>
      <c r="K1683" s="451">
        <f>K$1882</f>
        <v>2016</v>
      </c>
      <c r="L1683" s="451">
        <f>L$1882</f>
        <v>2017</v>
      </c>
      <c r="M1683" s="451">
        <f>M$1882</f>
        <v>2018</v>
      </c>
      <c r="N1683" s="1257"/>
      <c r="O1683" s="16"/>
      <c r="P1683" s="1065"/>
      <c r="R1683" s="1037"/>
      <c r="S1683" s="1037"/>
      <c r="AA1683" s="608"/>
    </row>
    <row r="1684" spans="2:27" ht="12.75" customHeight="1" x14ac:dyDescent="0.2">
      <c r="B1684" s="207"/>
      <c r="C1684" s="1060"/>
      <c r="D1684" s="516" t="s">
        <v>6</v>
      </c>
      <c r="E1684" s="1759"/>
      <c r="F1684" s="1759"/>
      <c r="G1684" s="1759"/>
      <c r="H1684" s="64" t="str">
        <f>IF(E1684&lt;&gt;"",INDEX(EUconst_BMlistUnits,MATCH(E1684,EUconst_BMlistNames,0)),EUconst_Tons)</f>
        <v>tony</v>
      </c>
      <c r="I1684" s="318"/>
      <c r="J1684" s="318"/>
      <c r="K1684" s="318"/>
      <c r="L1684" s="318"/>
      <c r="M1684" s="318"/>
      <c r="N1684" s="1257"/>
      <c r="O1684" s="16"/>
      <c r="P1684" s="1062" t="str">
        <f>EUconst_CNTR_IntermediateExport &amp; R1680 &amp; "_" &amp; I1513</f>
        <v>IntExp_1_</v>
      </c>
      <c r="R1684" s="1062">
        <v>1</v>
      </c>
      <c r="S1684" s="1037"/>
      <c r="U1684" s="512"/>
      <c r="V1684" s="512"/>
      <c r="AA1684" s="345" t="b">
        <f>AA1680</f>
        <v>0</v>
      </c>
    </row>
    <row r="1685" spans="2:27" ht="12.75" customHeight="1" x14ac:dyDescent="0.2">
      <c r="B1685" s="207"/>
      <c r="C1685" s="1060"/>
      <c r="D1685" s="516" t="s">
        <v>316</v>
      </c>
      <c r="E1685" s="1747"/>
      <c r="F1685" s="1747"/>
      <c r="G1685" s="1747"/>
      <c r="H1685" s="56" t="str">
        <f>IF(E1685&lt;&gt;"",INDEX(EUconst_BMlistUnits,MATCH(E1685,EUconst_BMlistNames,0)),EUconst_Tons)</f>
        <v>tony</v>
      </c>
      <c r="I1685" s="317"/>
      <c r="J1685" s="317"/>
      <c r="K1685" s="317"/>
      <c r="L1685" s="317"/>
      <c r="M1685" s="317"/>
      <c r="N1685" s="1257"/>
      <c r="O1685" s="16"/>
      <c r="P1685" s="1062" t="str">
        <f>EUconst_CNTR_IntermediateExport &amp; R1685 &amp; "_" &amp; I1513</f>
        <v>IntExp_2_</v>
      </c>
      <c r="R1685" s="1062">
        <v>2</v>
      </c>
      <c r="S1685" s="1037"/>
      <c r="U1685" s="512"/>
      <c r="V1685" s="512"/>
      <c r="AA1685" s="345" t="b">
        <f>AA1680</f>
        <v>0</v>
      </c>
    </row>
    <row r="1686" spans="2:27" ht="5.0999999999999996" customHeight="1" x14ac:dyDescent="0.2">
      <c r="B1686" s="207"/>
      <c r="C1686" s="1060"/>
      <c r="D1686" s="699"/>
      <c r="E1686" s="699"/>
      <c r="F1686" s="699"/>
      <c r="G1686" s="699"/>
      <c r="H1686" s="699"/>
      <c r="I1686" s="699"/>
      <c r="J1686" s="699"/>
      <c r="K1686" s="699"/>
      <c r="L1686" s="699"/>
      <c r="M1686" s="699"/>
      <c r="N1686" s="1257"/>
      <c r="O1686" s="16"/>
      <c r="P1686" s="1065"/>
      <c r="R1686" s="1037"/>
      <c r="S1686" s="1037"/>
      <c r="U1686" s="512"/>
      <c r="V1686" s="512"/>
      <c r="AA1686" s="608"/>
    </row>
    <row r="1687" spans="2:27" ht="12.75" customHeight="1" x14ac:dyDescent="0.2">
      <c r="B1687" s="207"/>
      <c r="C1687" s="1060"/>
      <c r="D1687" s="516" t="s">
        <v>317</v>
      </c>
      <c r="E1687" s="1748" t="str">
        <f>Translations!$B$816</f>
        <v>Opis produktów pośrednich wprowadzonych lub wyprowadzonych</v>
      </c>
      <c r="F1687" s="1748"/>
      <c r="G1687" s="1748"/>
      <c r="H1687" s="1748"/>
      <c r="I1687" s="1748"/>
      <c r="J1687" s="1748"/>
      <c r="K1687" s="1748"/>
      <c r="L1687" s="1748"/>
      <c r="M1687" s="1748"/>
      <c r="N1687" s="1257"/>
      <c r="O1687" s="16"/>
      <c r="P1687" s="1065"/>
      <c r="R1687" s="1037"/>
      <c r="S1687" s="1037"/>
      <c r="U1687" s="512"/>
      <c r="V1687" s="512"/>
      <c r="AA1687" s="608"/>
    </row>
    <row r="1688" spans="2:27" ht="12.75" customHeight="1" x14ac:dyDescent="0.2">
      <c r="B1688" s="207"/>
      <c r="C1688" s="1060"/>
      <c r="D1688" s="699"/>
      <c r="E1688" s="1749"/>
      <c r="F1688" s="1750"/>
      <c r="G1688" s="1750"/>
      <c r="H1688" s="1750"/>
      <c r="I1688" s="1750"/>
      <c r="J1688" s="1750"/>
      <c r="K1688" s="1750"/>
      <c r="L1688" s="1750"/>
      <c r="M1688" s="1751"/>
      <c r="N1688" s="1257"/>
      <c r="O1688" s="16"/>
      <c r="P1688" s="1065"/>
      <c r="R1688" s="1037"/>
      <c r="S1688" s="1037"/>
      <c r="U1688" s="512"/>
      <c r="V1688" s="512"/>
      <c r="AA1688" s="345" t="b">
        <f>AA1680</f>
        <v>0</v>
      </c>
    </row>
    <row r="1689" spans="2:27" ht="12.75" customHeight="1" thickBot="1" x14ac:dyDescent="0.25">
      <c r="B1689" s="207"/>
      <c r="C1689" s="1060"/>
      <c r="D1689" s="699"/>
      <c r="E1689" s="1752"/>
      <c r="F1689" s="1753"/>
      <c r="G1689" s="1753"/>
      <c r="H1689" s="1753"/>
      <c r="I1689" s="1753"/>
      <c r="J1689" s="1753"/>
      <c r="K1689" s="1753"/>
      <c r="L1689" s="1753"/>
      <c r="M1689" s="1754"/>
      <c r="N1689" s="1257"/>
      <c r="O1689" s="16"/>
      <c r="P1689" s="1065"/>
      <c r="R1689" s="1037"/>
      <c r="S1689" s="1037"/>
      <c r="U1689" s="512"/>
      <c r="V1689" s="512"/>
      <c r="AA1689" s="168" t="b">
        <f>AA1680</f>
        <v>0</v>
      </c>
    </row>
    <row r="1690" spans="2:27" ht="12.75" customHeight="1" thickBot="1" x14ac:dyDescent="0.25">
      <c r="B1690" s="207"/>
      <c r="C1690" s="1066"/>
      <c r="D1690" s="1067"/>
      <c r="E1690" s="1067"/>
      <c r="F1690" s="1067"/>
      <c r="G1690" s="1067"/>
      <c r="H1690" s="1067"/>
      <c r="I1690" s="1067"/>
      <c r="J1690" s="1067"/>
      <c r="K1690" s="1067"/>
      <c r="L1690" s="1067"/>
      <c r="M1690" s="1068"/>
      <c r="N1690" s="1069"/>
      <c r="O1690" s="16"/>
      <c r="P1690" s="1037"/>
      <c r="R1690" s="1037"/>
      <c r="S1690" s="1037"/>
    </row>
    <row r="1691" spans="2:27" ht="13.5" thickBot="1" x14ac:dyDescent="0.25">
      <c r="B1691" s="20"/>
      <c r="C1691" s="20"/>
      <c r="D1691" s="20"/>
      <c r="E1691" s="20"/>
      <c r="F1691" s="20"/>
      <c r="G1691" s="20"/>
      <c r="H1691" s="20"/>
      <c r="I1691" s="20"/>
      <c r="J1691" s="20"/>
      <c r="K1691" s="20"/>
      <c r="L1691" s="20"/>
      <c r="M1691" s="20"/>
      <c r="N1691" s="20"/>
      <c r="O1691" s="16"/>
      <c r="P1691" s="346" t="str">
        <f>IF(OR(AND(CNTR_ExistProductSubEntries=FALSE,P1513=1),AND(I1513&lt;&gt;"",COUNTIF(P1692:$P$1876,"PRINT")=0)),"PRINT","")</f>
        <v/>
      </c>
      <c r="Q1691" s="422" t="s">
        <v>498</v>
      </c>
      <c r="R1691" s="1037"/>
      <c r="S1691" s="1037"/>
    </row>
    <row r="1692" spans="2:27" ht="5.0999999999999996" customHeight="1" thickBot="1" x14ac:dyDescent="0.25">
      <c r="B1692" s="20"/>
      <c r="C1692" s="1070"/>
      <c r="D1692" s="1070"/>
      <c r="E1692" s="1070"/>
      <c r="F1692" s="1070"/>
      <c r="G1692" s="1070"/>
      <c r="H1692" s="1070"/>
      <c r="I1692" s="1070"/>
      <c r="J1692" s="1070"/>
      <c r="K1692" s="1070"/>
      <c r="L1692" s="1070"/>
      <c r="M1692" s="1070"/>
      <c r="N1692" s="1070"/>
      <c r="O1692" s="16"/>
      <c r="R1692" s="1037"/>
      <c r="S1692" s="1037"/>
    </row>
    <row r="1693" spans="2:27" ht="15.75" thickBot="1" x14ac:dyDescent="0.25">
      <c r="B1693" s="207"/>
      <c r="C1693" s="1047">
        <f>C1513+1</f>
        <v>10</v>
      </c>
      <c r="D1693" s="1439" t="str">
        <f>EUconst_BMSubinst &amp; ":"</f>
        <v>Podinstalacja i wskaźnik emisyjności dla produktów:</v>
      </c>
      <c r="E1693" s="1370"/>
      <c r="F1693" s="1370"/>
      <c r="G1693" s="1370"/>
      <c r="H1693" s="1432"/>
      <c r="I1693" s="1781" t="str">
        <f>IF(INDEX(CNTR_SubInstListIsProdBM,$C1693),INDEX(CNTR_SubInstListNames,$C1693),"")</f>
        <v/>
      </c>
      <c r="J1693" s="1666"/>
      <c r="K1693" s="1666"/>
      <c r="L1693" s="1666"/>
      <c r="M1693" s="1666"/>
      <c r="N1693" s="1383"/>
      <c r="O1693" s="16"/>
      <c r="P1693" s="346">
        <f>C1693</f>
        <v>10</v>
      </c>
      <c r="Q1693" s="1048" t="s">
        <v>234</v>
      </c>
      <c r="R1693" s="1049" t="str">
        <f>IF(I1693="","",INDEX(CNTR_SubInstStartDate,MATCH($I1693,CNTR_SubInstListNames,0)))</f>
        <v/>
      </c>
      <c r="S1693" s="1050" t="b">
        <f>IF($I1693="",FALSE,AND(I$1885, IF($R1693&lt;DATE($L$1882,1,1),YEAR($R1693)&lt;=I$1882,YEAR($R1693-1)&lt;I$1882) ) )</f>
        <v>0</v>
      </c>
      <c r="T1693" s="1050" t="b">
        <f>IF($I1693="",FALSE,AND(J$1885, IF($R1693&lt;DATE($L$1882,1,1),YEAR($R1693)&lt;=J$1882,YEAR($R1693-1)&lt;J$1882) ) )</f>
        <v>0</v>
      </c>
      <c r="U1693" s="1050" t="b">
        <f>IF($I1693="",FALSE,AND(K$1885, IF($R1693&lt;DATE($L$1882,1,1),YEAR($R1693)&lt;=K$1882,YEAR($R1693-1)&lt;K$1882) ) )</f>
        <v>0</v>
      </c>
      <c r="V1693" s="1050" t="b">
        <f>IF($I1693="",FALSE,AND(L$1885, IF($R1693&lt;DATE($L$1882,1,1),YEAR($R1693)&lt;=L$1882,YEAR($R1693-1)&lt;L$1882) ) )</f>
        <v>0</v>
      </c>
      <c r="W1693" s="1050" t="b">
        <f>IF($I1693="",FALSE,AND(M$1885, IF($R1693&lt;DATE($L$1882,1,1),YEAR($R1693)&lt;=M$1882,YEAR($R1693-1)&lt;M$1882) ) )</f>
        <v>0</v>
      </c>
      <c r="Z1693" s="736" t="s">
        <v>550</v>
      </c>
      <c r="AA1693" s="738" t="b">
        <f>AND(CNTR_ExistSubInstEntries,I1693="")</f>
        <v>1</v>
      </c>
    </row>
    <row r="1694" spans="2:27" ht="5.0999999999999996" customHeight="1" x14ac:dyDescent="0.2">
      <c r="B1694" s="207"/>
      <c r="C1694" s="207"/>
      <c r="D1694" s="207"/>
      <c r="E1694" s="207"/>
      <c r="F1694" s="207"/>
      <c r="G1694" s="207"/>
      <c r="H1694" s="207"/>
      <c r="I1694" s="207"/>
      <c r="J1694" s="207"/>
      <c r="K1694" s="207"/>
      <c r="L1694" s="207"/>
      <c r="M1694" s="16"/>
      <c r="N1694" s="16"/>
      <c r="O1694" s="16"/>
      <c r="P1694" s="1037"/>
      <c r="R1694" s="1037"/>
      <c r="S1694" s="1037"/>
    </row>
    <row r="1695" spans="2:27" ht="12.75" customHeight="1" x14ac:dyDescent="0.2">
      <c r="B1695" s="207"/>
      <c r="C1695" s="207"/>
      <c r="D1695" s="207"/>
      <c r="E1695" s="1622" t="str">
        <f>CONCATENATE(EUconst_MsgSeeFirst," (F.I.1)")</f>
        <v>Szczegółowe instrukcje dotyczące wprowadzania danych w tym narzędziu znajdują się w pierwszej kopii tego narzędzia.  (F.I.1)</v>
      </c>
      <c r="F1695" s="1622"/>
      <c r="G1695" s="1622"/>
      <c r="H1695" s="1622"/>
      <c r="I1695" s="1622"/>
      <c r="J1695" s="1622"/>
      <c r="K1695" s="1622"/>
      <c r="L1695" s="1622"/>
      <c r="M1695" s="1622"/>
      <c r="N1695" s="1622"/>
      <c r="O1695" s="16"/>
      <c r="P1695" s="1037"/>
      <c r="R1695" s="1037"/>
      <c r="S1695" s="1037"/>
    </row>
    <row r="1696" spans="2:27" ht="5.0999999999999996" customHeight="1" x14ac:dyDescent="0.2">
      <c r="B1696" s="207"/>
      <c r="C1696" s="207"/>
      <c r="D1696" s="207"/>
      <c r="E1696" s="207"/>
      <c r="F1696" s="207"/>
      <c r="G1696" s="207"/>
      <c r="H1696" s="207"/>
      <c r="I1696" s="207"/>
      <c r="J1696" s="207"/>
      <c r="K1696" s="207"/>
      <c r="L1696" s="207"/>
      <c r="M1696" s="16"/>
      <c r="N1696" s="16"/>
      <c r="O1696" s="16"/>
      <c r="P1696" s="1037"/>
      <c r="R1696" s="1037"/>
      <c r="S1696" s="1037"/>
    </row>
    <row r="1697" spans="1:27" ht="13.5" thickBot="1" x14ac:dyDescent="0.25">
      <c r="B1697" s="207"/>
      <c r="C1697" s="207"/>
      <c r="D1697" s="14" t="s">
        <v>173</v>
      </c>
      <c r="E1697" s="1375" t="str">
        <f>Translations!$B$670</f>
        <v>Historyczne poziomy działalności</v>
      </c>
      <c r="F1697" s="1370"/>
      <c r="G1697" s="1370"/>
      <c r="H1697" s="1370"/>
      <c r="I1697" s="1370"/>
      <c r="J1697" s="1370"/>
      <c r="K1697" s="1370"/>
      <c r="L1697" s="1370"/>
      <c r="M1697" s="1370"/>
      <c r="N1697" s="1370"/>
      <c r="O1697" s="16"/>
      <c r="P1697" s="1037"/>
      <c r="R1697" s="1037"/>
      <c r="S1697" s="1037"/>
    </row>
    <row r="1698" spans="1:27" ht="13.5" customHeight="1" thickBot="1" x14ac:dyDescent="0.25">
      <c r="B1698" s="20"/>
      <c r="C1698" s="20"/>
      <c r="D1698" s="14"/>
      <c r="E1698" s="1430" t="str">
        <f>Translations!$B$676</f>
        <v>Roczne poziomy działalności:</v>
      </c>
      <c r="F1698" s="1430"/>
      <c r="G1698" s="1430"/>
      <c r="H1698" s="34" t="str">
        <f>EUconst_Unit</f>
        <v>Jednostka</v>
      </c>
      <c r="I1698" s="396">
        <f>I$1882</f>
        <v>2014</v>
      </c>
      <c r="J1698" s="396">
        <f>J$1882</f>
        <v>2015</v>
      </c>
      <c r="K1698" s="396">
        <f>K$1882</f>
        <v>2016</v>
      </c>
      <c r="L1698" s="396">
        <f>L$1882</f>
        <v>2017</v>
      </c>
      <c r="M1698" s="421">
        <f>M$1882</f>
        <v>2018</v>
      </c>
      <c r="N1698" s="888" t="str">
        <f>IF(I1693="","",IF(S1703,YEAR(R1693)+1,""))</f>
        <v/>
      </c>
      <c r="O1698" s="16"/>
      <c r="P1698" s="1037"/>
      <c r="Q1698" s="424" t="s">
        <v>432</v>
      </c>
      <c r="R1698" s="276"/>
      <c r="S1698" s="276"/>
      <c r="T1698" s="276"/>
      <c r="U1698" s="276"/>
      <c r="V1698" s="276"/>
      <c r="W1698" s="277"/>
      <c r="Y1698" s="788" t="b">
        <f>IF(CNTR_ExistSubInstEntries,IF(I1693&lt;&gt;"",NOT(S1703),TRUE),FALSE)</f>
        <v>1</v>
      </c>
      <c r="AA1698" s="422" t="s">
        <v>272</v>
      </c>
    </row>
    <row r="1699" spans="1:27" ht="13.5" thickBot="1" x14ac:dyDescent="0.25">
      <c r="B1699" s="20"/>
      <c r="C1699" s="20"/>
      <c r="D1699" s="195" t="s">
        <v>2</v>
      </c>
      <c r="E1699" s="1801" t="str">
        <f>I1693</f>
        <v/>
      </c>
      <c r="F1699" s="1801"/>
      <c r="G1699" s="1801"/>
      <c r="H1699" s="98" t="str">
        <f>IF(INDEX(CNTR_SubInstListIsProdBM,$C1693),INDEX(CNTR_SubInstListHALUnit,$C1693),EUconst_Tons)</f>
        <v>tony</v>
      </c>
      <c r="I1699" s="591"/>
      <c r="J1699" s="591"/>
      <c r="K1699" s="591"/>
      <c r="L1699" s="591"/>
      <c r="M1699" s="886"/>
      <c r="N1699" s="889"/>
      <c r="O1699" s="16"/>
      <c r="P1699" s="164" t="s">
        <v>237</v>
      </c>
      <c r="Q1699" s="1238" t="s">
        <v>2190</v>
      </c>
      <c r="R1699" s="187" t="s">
        <v>437</v>
      </c>
      <c r="S1699" s="442">
        <f>I1698</f>
        <v>2014</v>
      </c>
      <c r="T1699" s="443">
        <f>J1698</f>
        <v>2015</v>
      </c>
      <c r="U1699" s="443">
        <f>K1698</f>
        <v>2016</v>
      </c>
      <c r="V1699" s="443">
        <f>L1698</f>
        <v>2017</v>
      </c>
      <c r="W1699" s="444">
        <f>M1698</f>
        <v>2018</v>
      </c>
      <c r="Y1699" s="963" t="b">
        <f>IF(CNTR_ExistSubInstEntries,IF(AND(I1693&lt;&gt;"",N1700=""),NOT(S1703),TRUE),FALSE)</f>
        <v>1</v>
      </c>
      <c r="Z1699" s="422"/>
      <c r="AA1699" s="646" t="b">
        <f>IF(CNTR_ExistSubInstEntries,AND(I1693&lt;&gt;"",Q1703),FALSE)</f>
        <v>0</v>
      </c>
    </row>
    <row r="1700" spans="1:27" ht="13.5" thickBot="1" x14ac:dyDescent="0.25">
      <c r="B1700" s="20"/>
      <c r="C1700" s="20"/>
      <c r="D1700" s="195" t="s">
        <v>3</v>
      </c>
      <c r="E1700" s="1801" t="str">
        <f>Translations!$B$677</f>
        <v>Z arkusza „H_SpecialBM”:</v>
      </c>
      <c r="F1700" s="1801"/>
      <c r="G1700" s="1801"/>
      <c r="H1700" s="98" t="str">
        <f>H1699</f>
        <v>tony</v>
      </c>
      <c r="I1700" s="321" t="str">
        <f>IF($I1693="","",IF($Q1703,SUMIF(H_SpecialBM!$P$9:$P$384,$P1700,H_SpecialBM!I$9:I$384),""))</f>
        <v/>
      </c>
      <c r="J1700" s="321" t="str">
        <f>IF($I1693="","",IF($Q1703,SUMIF(H_SpecialBM!$P$9:$P$384,$P1700,H_SpecialBM!J$9:J$384),""))</f>
        <v/>
      </c>
      <c r="K1700" s="321" t="str">
        <f>IF($I1693="","",IF($Q1703,SUMIF(H_SpecialBM!$P$9:$P$384,$P1700,H_SpecialBM!K$9:K$384),""))</f>
        <v/>
      </c>
      <c r="L1700" s="321" t="str">
        <f>IF($I1693="","",IF($Q1703,SUMIF(H_SpecialBM!$P$9:$P$384,$P1700,H_SpecialBM!L$9:L$384),""))</f>
        <v/>
      </c>
      <c r="M1700" s="887" t="str">
        <f>IF($I1693="","",IF($Q1703,SUMIF(H_SpecialBM!$P$9:$P$384,$P1700,H_SpecialBM!M$9:M$384),""))</f>
        <v/>
      </c>
      <c r="N1700" s="890" t="str">
        <f>IF($I1693="","",IF(AND($Q1703,$S1703),SUMIF(H_SpecialBM!$P$9:$P$384,$P1700,H_SpecialBM!N$9:N$384),""))</f>
        <v/>
      </c>
      <c r="O1700" s="16"/>
      <c r="P1700" s="1051" t="str">
        <f>EUconst_CNTR_HALspecial&amp;I1693</f>
        <v>HALspecial_</v>
      </c>
      <c r="Q1700" s="179" t="str">
        <f>IF(COUNT($U1700:$V1700)&gt;0,SUM($U1700:$V1700),"")</f>
        <v/>
      </c>
      <c r="R1700" s="439" t="str">
        <f>IF(COUNT(S1700:W1700)&gt;0,AVERAGE(S1700:W1700),"")</f>
        <v/>
      </c>
      <c r="S1700" s="440" t="str">
        <f>IF(S1693,IF(ISNUMBER(I1700),I1700,""),"")</f>
        <v/>
      </c>
      <c r="T1700" s="441" t="str">
        <f>IF(T1693,IF(ISNUMBER(J1700),J1700,""),"")</f>
        <v/>
      </c>
      <c r="U1700" s="441" t="str">
        <f>IF(U1693,IF(ISNUMBER(K1700),K1700,""),"")</f>
        <v/>
      </c>
      <c r="V1700" s="441" t="str">
        <f>IF(V1693,IF(ISNUMBER(L1700),L1700,""),"")</f>
        <v/>
      </c>
      <c r="W1700" s="439" t="str">
        <f>IF(W1693,IF(ISNUMBER(M1700),M1700,""),"")</f>
        <v/>
      </c>
      <c r="Y1700" s="777" t="b">
        <f>OR(Y1698,AA1700)</f>
        <v>1</v>
      </c>
      <c r="AA1700" s="723" t="b">
        <f>Q1703=FALSE</f>
        <v>0</v>
      </c>
    </row>
    <row r="1701" spans="1:27" ht="13.5" thickBot="1" x14ac:dyDescent="0.25">
      <c r="B1701" s="20"/>
      <c r="C1701" s="20"/>
      <c r="D1701" s="195" t="s">
        <v>4</v>
      </c>
      <c r="E1701" s="1801" t="str">
        <f>Translations!$B$678</f>
        <v>Wartości użyte do obliczenia:</v>
      </c>
      <c r="F1701" s="1801"/>
      <c r="G1701" s="1801"/>
      <c r="H1701" s="98" t="str">
        <f>H1700</f>
        <v>tony</v>
      </c>
      <c r="I1701" s="321" t="str">
        <f>IF($I1693="","",IF($Q1703=TRUE,IF(ISNUMBER(I1700),I1700,0),IF(ISNUMBER(I1699),I1699,0)))</f>
        <v/>
      </c>
      <c r="J1701" s="321" t="str">
        <f>IF($I1693="","",IF($Q1703=TRUE,IF(ISNUMBER(J1700),J1700,0),IF(ISNUMBER(J1699),J1699,0)))</f>
        <v/>
      </c>
      <c r="K1701" s="321" t="str">
        <f>IF($I1693="","",IF($Q1703=TRUE,IF(ISNUMBER(K1700),K1700,0),IF(ISNUMBER(K1699),K1699,0)))</f>
        <v/>
      </c>
      <c r="L1701" s="321" t="str">
        <f>IF($I1693="","",IF($Q1703=TRUE,IF(ISNUMBER(L1700),L1700,0),IF(ISNUMBER(L1699),L1699,0)))</f>
        <v/>
      </c>
      <c r="M1701" s="887" t="str">
        <f>IF($I1693="","",IF($Q1703=TRUE,IF(ISNUMBER(M1700),M1700,0),IF(ISNUMBER(M1699),M1699,0)))</f>
        <v/>
      </c>
      <c r="N1701" s="890" t="str">
        <f>IF($I1693="","",IF(S1703,IF($Q1703=TRUE,IF(ISNUMBER(N1700),N1700,0),IF(ISNUMBER(N1699),N1699,0)),""))</f>
        <v/>
      </c>
      <c r="O1701" s="16"/>
      <c r="P1701" s="1051" t="str">
        <f>EUconst_CNTR_HAL&amp;I1693</f>
        <v>HAL_</v>
      </c>
      <c r="Q1701" s="168" t="str">
        <f>IF(COUNT($U1701:$V1701)&gt;0,SUM($U1701:$V1701),"")</f>
        <v/>
      </c>
      <c r="R1701" s="120" t="str">
        <f>IF(COUNT(S1701:W1701)&gt;0,AVERAGE(S1701:W1701),"")</f>
        <v/>
      </c>
      <c r="S1701" s="118" t="str">
        <f>IF(S1693,IF(ISNUMBER(I1701),I1701,""),"")</f>
        <v/>
      </c>
      <c r="T1701" s="119" t="str">
        <f>IF(T1693,IF(ISNUMBER(J1701),J1701,""),"")</f>
        <v/>
      </c>
      <c r="U1701" s="119" t="str">
        <f>IF(U1693,IF(ISNUMBER(K1701),K1701,""),"")</f>
        <v/>
      </c>
      <c r="V1701" s="119" t="str">
        <f>IF(V1693,IF(ISNUMBER(L1701),L1701,""),"")</f>
        <v/>
      </c>
      <c r="W1701" s="120" t="str">
        <f>IF(W1693,IF(ISNUMBER(M1701),M1701,""),"")</f>
        <v/>
      </c>
      <c r="Y1701" s="168" t="b">
        <f>Y1698</f>
        <v>1</v>
      </c>
    </row>
    <row r="1702" spans="1:27" ht="5.0999999999999996" customHeight="1" x14ac:dyDescent="0.2">
      <c r="B1702" s="207"/>
      <c r="C1702" s="207"/>
      <c r="D1702" s="207"/>
      <c r="E1702" s="207"/>
      <c r="F1702" s="207"/>
      <c r="G1702" s="207"/>
      <c r="H1702" s="207"/>
      <c r="I1702" s="207"/>
      <c r="J1702" s="207"/>
      <c r="K1702" s="207"/>
      <c r="L1702" s="207"/>
      <c r="M1702" s="16"/>
      <c r="N1702" s="16"/>
      <c r="O1702" s="16"/>
      <c r="P1702" s="1037"/>
      <c r="R1702" s="1037"/>
      <c r="S1702" s="1037"/>
    </row>
    <row r="1703" spans="1:27" x14ac:dyDescent="0.2">
      <c r="B1703" s="207"/>
      <c r="C1703" s="207"/>
      <c r="D1703" s="14" t="s">
        <v>353</v>
      </c>
      <c r="E1703" s="1375" t="str">
        <f>Translations!$B$679</f>
        <v>Szczególne wymogi w zakresie raportowania:</v>
      </c>
      <c r="F1703" s="1375"/>
      <c r="G1703" s="1637"/>
      <c r="H1703" s="1796" t="str">
        <f>IF(I1693="","",HYPERLINK(INDEX(EUconst_BMlistSpecialJumpTable,MATCH(I1693,EUconst_BMlistNames,0)),INDEX(EUconst_BMlistSpecialReporting,MATCH(I1693,EUconst_BMlistNames,0))))</f>
        <v/>
      </c>
      <c r="I1703" s="1802"/>
      <c r="J1703" s="1802"/>
      <c r="K1703" s="1802"/>
      <c r="L1703" s="1802"/>
      <c r="M1703" s="1802"/>
      <c r="N1703" s="1803"/>
      <c r="O1703" s="16"/>
      <c r="P1703" s="1048" t="s">
        <v>38</v>
      </c>
      <c r="Q1703" s="116" t="str">
        <f>IF(I1693="","",IF(AND(INDEX(EUconst_BMlistSpecialJumpTable,MATCH(I1693,EUconst_BMlistNames,0))&lt;&gt;"",MATCH(I1693,EUconst_BMlistNames,0)&lt;&gt;47),TRUE,FALSE))</f>
        <v/>
      </c>
      <c r="R1703" s="1048" t="s">
        <v>598</v>
      </c>
      <c r="S1703" s="116" t="b">
        <f>IF(I1693="",FALSE,INDEX(CNTR_SubInstLess1Year,MATCH(I1693,CNTR_SubInstListNames,0)))</f>
        <v>0</v>
      </c>
    </row>
    <row r="1704" spans="1:27" ht="12.75" customHeight="1" x14ac:dyDescent="0.2">
      <c r="B1704" s="207"/>
      <c r="C1704" s="207"/>
      <c r="D1704" s="207"/>
      <c r="E1704" s="207"/>
      <c r="F1704" s="207"/>
      <c r="G1704" s="207"/>
      <c r="H1704" s="207"/>
      <c r="I1704" s="207"/>
      <c r="J1704" s="207"/>
      <c r="K1704" s="207"/>
      <c r="L1704" s="207"/>
      <c r="M1704" s="207"/>
      <c r="N1704" s="207"/>
      <c r="O1704" s="16"/>
      <c r="P1704" s="1037"/>
      <c r="R1704" s="1037"/>
      <c r="S1704" s="1037"/>
    </row>
    <row r="1705" spans="1:27" ht="15" customHeight="1" x14ac:dyDescent="0.2">
      <c r="B1705" s="20"/>
      <c r="C1705" s="208"/>
      <c r="D1705" s="1439" t="str">
        <f>Translations!$B$681</f>
        <v>Dodatkowe współczynniki korygujące</v>
      </c>
      <c r="E1705" s="1370"/>
      <c r="F1705" s="1370"/>
      <c r="G1705" s="1370"/>
      <c r="H1705" s="1370"/>
      <c r="I1705" s="1370"/>
      <c r="J1705" s="1370"/>
      <c r="K1705" s="1370"/>
      <c r="L1705" s="1370"/>
      <c r="M1705" s="1370"/>
      <c r="N1705" s="1370"/>
      <c r="O1705" s="16"/>
      <c r="R1705" s="1037"/>
      <c r="S1705" s="1037"/>
    </row>
    <row r="1706" spans="1:27" ht="5.0999999999999996" customHeight="1" x14ac:dyDescent="0.2">
      <c r="B1706" s="207"/>
      <c r="C1706" s="207"/>
      <c r="D1706" s="207"/>
      <c r="E1706" s="207"/>
      <c r="F1706" s="207"/>
      <c r="G1706" s="207"/>
      <c r="H1706" s="207"/>
      <c r="I1706" s="207"/>
      <c r="J1706" s="207"/>
      <c r="K1706" s="207"/>
      <c r="L1706" s="207"/>
      <c r="M1706" s="207"/>
      <c r="N1706" s="207"/>
      <c r="O1706" s="16"/>
      <c r="P1706" s="1037"/>
      <c r="R1706" s="1037"/>
      <c r="S1706" s="1037"/>
    </row>
    <row r="1707" spans="1:27" ht="13.5" thickBot="1" x14ac:dyDescent="0.25">
      <c r="B1707" s="20"/>
      <c r="C1707" s="20"/>
      <c r="D1707" s="14" t="s">
        <v>11</v>
      </c>
      <c r="E1707" s="1375" t="str">
        <f>Translations!$B$682</f>
        <v>Zamienność paliw i energii elektrycznej:</v>
      </c>
      <c r="F1707" s="1370"/>
      <c r="G1707" s="1370"/>
      <c r="H1707" s="1370"/>
      <c r="I1707" s="1432"/>
      <c r="J1707" s="1796" t="str">
        <f>IF(I1693="","",IF(INDEX(EUconst_BMlistElExchangability,MATCH(I1693,EUconst_BMlistNames,0))=TRUE,"",HYPERLINK(Q1707,EUconst_MsgGoOn)))</f>
        <v/>
      </c>
      <c r="K1707" s="1797"/>
      <c r="L1707" s="1797"/>
      <c r="M1707" s="1797"/>
      <c r="N1707" s="1798"/>
      <c r="O1707" s="16"/>
      <c r="P1707" s="2" t="s">
        <v>199</v>
      </c>
      <c r="Q1707" s="346" t="str">
        <f>"#"&amp;ADDRESS(ROW(D1715),COLUMN(D1715))</f>
        <v>#$D$1715</v>
      </c>
      <c r="R1707" s="1037"/>
      <c r="S1707" s="1037"/>
    </row>
    <row r="1708" spans="1:27" s="701" customFormat="1" ht="13.5" thickBot="1" x14ac:dyDescent="0.25">
      <c r="A1708" s="422"/>
      <c r="B1708" s="398"/>
      <c r="C1708" s="398"/>
      <c r="D1708" s="14"/>
      <c r="E1708" s="1430" t="str">
        <f>Translations!$B$686</f>
        <v>Parametr</v>
      </c>
      <c r="F1708" s="1377"/>
      <c r="G1708" s="1377"/>
      <c r="H1708" s="34" t="str">
        <f>EUconst_Unit</f>
        <v>Jednostka</v>
      </c>
      <c r="I1708" s="396">
        <f>I$66</f>
        <v>2014</v>
      </c>
      <c r="J1708" s="396">
        <f>J$66</f>
        <v>2015</v>
      </c>
      <c r="K1708" s="396">
        <f>K$66</f>
        <v>2016</v>
      </c>
      <c r="L1708" s="396">
        <f>L$66</f>
        <v>2017</v>
      </c>
      <c r="M1708" s="421">
        <f>M$66</f>
        <v>2018</v>
      </c>
      <c r="N1708" s="888" t="str">
        <f>IF(AA1709=FALSE,N1698,"")</f>
        <v/>
      </c>
      <c r="O1708" s="16"/>
      <c r="P1708" s="422"/>
      <c r="Q1708" s="422"/>
      <c r="R1708" s="1037"/>
      <c r="S1708" s="1037"/>
      <c r="T1708" s="1037"/>
      <c r="U1708" s="1037"/>
      <c r="V1708" s="1037"/>
      <c r="W1708" s="1037"/>
      <c r="X1708" s="1037"/>
      <c r="Y1708" s="788" t="b">
        <f>OR(Y1698,AA1709)</f>
        <v>1</v>
      </c>
      <c r="Z1708" s="422"/>
      <c r="AA1708" s="1037" t="s">
        <v>381</v>
      </c>
    </row>
    <row r="1709" spans="1:27" s="701" customFormat="1" ht="13.5" thickBot="1" x14ac:dyDescent="0.25">
      <c r="A1709" s="422"/>
      <c r="B1709" s="398"/>
      <c r="C1709" s="398"/>
      <c r="D1709" s="425" t="s">
        <v>2</v>
      </c>
      <c r="E1709" s="1569" t="str">
        <f>Translations!$B$687</f>
        <v>Emisje bezpośrednie</v>
      </c>
      <c r="F1709" s="1569"/>
      <c r="G1709" s="1569"/>
      <c r="H1709" s="581" t="str">
        <f>EUconst_tCO2pa</f>
        <v>t CO2 / rok</v>
      </c>
      <c r="I1709" s="818"/>
      <c r="J1709" s="818"/>
      <c r="K1709" s="819"/>
      <c r="L1709" s="818"/>
      <c r="M1709" s="891"/>
      <c r="N1709" s="903"/>
      <c r="O1709" s="16"/>
      <c r="P1709" s="422"/>
      <c r="Q1709" s="422"/>
      <c r="R1709" s="1037"/>
      <c r="S1709" s="1037"/>
      <c r="T1709" s="1037"/>
      <c r="U1709" s="1037"/>
      <c r="V1709" s="1037"/>
      <c r="W1709" s="1037"/>
      <c r="X1709" s="1037"/>
      <c r="Y1709" s="715" t="b">
        <f>Y1708</f>
        <v>1</v>
      </c>
      <c r="Z1709" s="422"/>
      <c r="AA1709" s="788" t="b">
        <f>IF(CNTR_ExistSubInstEntries,IF(I1693&lt;&gt;"",IF(INDEX(EUconst_BMlistElExchangability,MATCH(I1693,EUconst_BMlistNames,0)),FALSE,TRUE),TRUE),FALSE)</f>
        <v>1</v>
      </c>
    </row>
    <row r="1710" spans="1:27" s="701" customFormat="1" x14ac:dyDescent="0.2">
      <c r="A1710" s="422"/>
      <c r="B1710" s="398"/>
      <c r="C1710" s="398"/>
      <c r="D1710" s="425" t="s">
        <v>3</v>
      </c>
      <c r="E1710" s="1482" t="str">
        <f>Translations!$B$688</f>
        <v>Ciepło wprowadzone netto</v>
      </c>
      <c r="F1710" s="1482"/>
      <c r="G1710" s="1482"/>
      <c r="H1710" s="584" t="str">
        <f>EUconst_TJpa</f>
        <v>TJ / rok</v>
      </c>
      <c r="I1710" s="585" t="str">
        <f>IF($I1693&lt;&gt;"",IF(INDEX(EUconst_BMlistElExchangability,MATCH($I1693,EUconst_BMlistNames,0)),SUM(I1794),""),"")</f>
        <v/>
      </c>
      <c r="J1710" s="585" t="str">
        <f>IF($I1693&lt;&gt;"",IF(INDEX(EUconst_BMlistElExchangability,MATCH($I1693,EUconst_BMlistNames,0)),SUM(J1794),""),"")</f>
        <v/>
      </c>
      <c r="K1710" s="585" t="str">
        <f>IF($I1693&lt;&gt;"",IF(INDEX(EUconst_BMlistElExchangability,MATCH($I1693,EUconst_BMlistNames,0)),SUM(K1794),""),"")</f>
        <v/>
      </c>
      <c r="L1710" s="585" t="str">
        <f>IF($I1693&lt;&gt;"",IF(INDEX(EUconst_BMlistElExchangability,MATCH($I1693,EUconst_BMlistNames,0)),SUM(L1794),""),"")</f>
        <v/>
      </c>
      <c r="M1710" s="892" t="str">
        <f>IF($I1693&lt;&gt;"",IF(INDEX(EUconst_BMlistElExchangability,MATCH($I1693,EUconst_BMlistNames,0)),SUM(M1794),""),"")</f>
        <v/>
      </c>
      <c r="N1710" s="904"/>
      <c r="O1710" s="16"/>
      <c r="P1710" s="422"/>
      <c r="Q1710" s="422"/>
      <c r="R1710" s="1052"/>
      <c r="S1710" s="814">
        <f>I1708</f>
        <v>2014</v>
      </c>
      <c r="T1710" s="814">
        <f>J1708</f>
        <v>2015</v>
      </c>
      <c r="U1710" s="814">
        <f>K1708</f>
        <v>2016</v>
      </c>
      <c r="V1710" s="814">
        <f>L1708</f>
        <v>2017</v>
      </c>
      <c r="W1710" s="815">
        <f>M1708</f>
        <v>2018</v>
      </c>
      <c r="X1710" s="422"/>
      <c r="Y1710" s="715" t="b">
        <f>Y1709</f>
        <v>1</v>
      </c>
      <c r="Z1710" s="422"/>
      <c r="AA1710" s="715" t="b">
        <f>AA1709</f>
        <v>1</v>
      </c>
    </row>
    <row r="1711" spans="1:27" s="701" customFormat="1" ht="12.75" customHeight="1" thickBot="1" x14ac:dyDescent="0.25">
      <c r="A1711" s="422"/>
      <c r="B1711" s="398"/>
      <c r="C1711" s="398"/>
      <c r="D1711" s="425" t="s">
        <v>4</v>
      </c>
      <c r="E1711" s="1799" t="str">
        <f>Translations!$B$689</f>
        <v>Odpowiednie zużycie energii elektrycznej</v>
      </c>
      <c r="F1711" s="1800"/>
      <c r="G1711" s="1800"/>
      <c r="H1711" s="611" t="str">
        <f>EUconst_MWhpa</f>
        <v>MWh / rok</v>
      </c>
      <c r="I1711" s="612"/>
      <c r="J1711" s="612"/>
      <c r="K1711" s="612"/>
      <c r="L1711" s="612"/>
      <c r="M1711" s="893"/>
      <c r="N1711" s="896"/>
      <c r="O1711" s="16"/>
      <c r="P1711" s="185" t="str">
        <f>EUconst_CNTR_HAL&amp;EUconst_CNTR_ELEXCH</f>
        <v>HAL_ELEXCH_</v>
      </c>
      <c r="Q1711" s="185" t="str">
        <f>EUconst_CNTR_HAL&amp;EUconst_CNTR_ELEXCH &amp; I1693</f>
        <v>HAL_ELEXCH_</v>
      </c>
      <c r="R1711" s="1053" t="str">
        <f>EUconst_CNTR_AttributedEmissions &amp; I1693</f>
        <v>AttrEmissions_</v>
      </c>
      <c r="S1711" s="119" t="str">
        <f>IF(S1693,SUM(I1711)*EUconst_ElBM,"")</f>
        <v/>
      </c>
      <c r="T1711" s="119" t="str">
        <f>IF(T1693,SUM(J1711)*EUconst_ElBM,"")</f>
        <v/>
      </c>
      <c r="U1711" s="119" t="str">
        <f>IF(U1693,SUM(K1711)*EUconst_ElBM,"")</f>
        <v/>
      </c>
      <c r="V1711" s="119" t="str">
        <f>IF(V1693,SUM(L1711)*EUconst_ElBM,"")</f>
        <v/>
      </c>
      <c r="W1711" s="120" t="str">
        <f>IF(W1693,SUM(M1711)*EUconst_ElBM,"")</f>
        <v/>
      </c>
      <c r="X1711" s="422" t="str">
        <f>N1708</f>
        <v/>
      </c>
      <c r="Y1711" s="715" t="b">
        <f>Y1710</f>
        <v>1</v>
      </c>
      <c r="Z1711" s="422"/>
      <c r="AA1711" s="715" t="b">
        <f>AA1710</f>
        <v>1</v>
      </c>
    </row>
    <row r="1712" spans="1:27" s="701" customFormat="1" ht="13.5" thickBot="1" x14ac:dyDescent="0.25">
      <c r="A1712" s="422"/>
      <c r="B1712" s="398"/>
      <c r="C1712" s="398"/>
      <c r="D1712" s="425" t="s">
        <v>6</v>
      </c>
      <c r="E1712" s="1569" t="str">
        <f>Translations!$B$690</f>
        <v>Całkowite emisje bezpośrednie</v>
      </c>
      <c r="F1712" s="1569"/>
      <c r="G1712" s="1569"/>
      <c r="H1712" s="581" t="str">
        <f>EUconst_tCO2pa</f>
        <v>t CO2 / rok</v>
      </c>
      <c r="I1712" s="582" t="str">
        <f>IF(ISNUMBER(I1709),I1709+SUM(I1710)*EUconst_HeatBMvalue,"")</f>
        <v/>
      </c>
      <c r="J1712" s="582" t="str">
        <f>IF(ISNUMBER(J1709),J1709+SUM(J1710)*EUconst_HeatBMvalue,"")</f>
        <v/>
      </c>
      <c r="K1712" s="583" t="str">
        <f>IF(ISNUMBER(K1709),K1709+SUM(K1710)*EUconst_HeatBMvalue,"")</f>
        <v/>
      </c>
      <c r="L1712" s="582" t="str">
        <f>IF(ISNUMBER(L1709),L1709+SUM(L1710)*EUconst_HeatBMvalue,"")</f>
        <v/>
      </c>
      <c r="M1712" s="894" t="str">
        <f>IF(ISNUMBER(M1709),M1709+SUM(M1710)*EUconst_HeatBMvalue,"")</f>
        <v/>
      </c>
      <c r="N1712" s="897" t="str">
        <f>IF(AND(S1703,ISNUMBER(N1709)),N1709+SUM(N1710)*EUconst_HeatBMvalue,"")</f>
        <v/>
      </c>
      <c r="O1712" s="16"/>
      <c r="P1712" s="422"/>
      <c r="Q1712" s="422"/>
      <c r="R1712" s="1048" t="s">
        <v>557</v>
      </c>
      <c r="S1712" s="905" t="str">
        <f>IF(S1693,IF(ISNUMBER(I1712),I1712,0),"")</f>
        <v/>
      </c>
      <c r="T1712" s="906" t="str">
        <f>IF(T1693,IF(ISNUMBER(J1712),J1712,0),"")</f>
        <v/>
      </c>
      <c r="U1712" s="906" t="str">
        <f>IF(U1693,IF(ISNUMBER(K1712),K1712,0),"")</f>
        <v/>
      </c>
      <c r="V1712" s="906" t="str">
        <f>IF(V1693,IF(ISNUMBER(L1712),L1712,0),"")</f>
        <v/>
      </c>
      <c r="W1712" s="907" t="str">
        <f>IF(W1693,IF(ISNUMBER(M1712),M1712,0),"")</f>
        <v/>
      </c>
      <c r="X1712" s="911" t="str">
        <f>IF(S1703,IF(ISNUMBER(N1712),N1712,0),"")</f>
        <v/>
      </c>
      <c r="Y1712" s="715" t="b">
        <f>Y1711</f>
        <v>1</v>
      </c>
      <c r="Z1712" s="422"/>
      <c r="AA1712" s="715" t="b">
        <f>AA1711</f>
        <v>1</v>
      </c>
    </row>
    <row r="1713" spans="1:27" s="701" customFormat="1" ht="13.5" thickBot="1" x14ac:dyDescent="0.25">
      <c r="A1713" s="422"/>
      <c r="B1713" s="398"/>
      <c r="C1713" s="398"/>
      <c r="D1713" s="425" t="s">
        <v>316</v>
      </c>
      <c r="E1713" s="1493" t="str">
        <f>Translations!$B$691</f>
        <v>Emisje pośrednie</v>
      </c>
      <c r="F1713" s="1493"/>
      <c r="G1713" s="1493"/>
      <c r="H1713" s="586" t="str">
        <f>EUconst_tCO2pa</f>
        <v>t CO2 / rok</v>
      </c>
      <c r="I1713" s="587" t="str">
        <f t="shared" ref="I1713:N1713" si="36">IF(ISNUMBER(I1711),I1711*EUconst_ElBM,"")</f>
        <v/>
      </c>
      <c r="J1713" s="587" t="str">
        <f t="shared" si="36"/>
        <v/>
      </c>
      <c r="K1713" s="588" t="str">
        <f t="shared" si="36"/>
        <v/>
      </c>
      <c r="L1713" s="587" t="str">
        <f t="shared" si="36"/>
        <v/>
      </c>
      <c r="M1713" s="895" t="str">
        <f t="shared" si="36"/>
        <v/>
      </c>
      <c r="N1713" s="898" t="str">
        <f t="shared" si="36"/>
        <v/>
      </c>
      <c r="O1713" s="16"/>
      <c r="P1713" s="912" t="str">
        <f>EUconst_CNTR_ELEXCH &amp; I1693</f>
        <v>ELEXCH_</v>
      </c>
      <c r="Q1713" s="913" t="str">
        <f>IF(SUM(S1713:X1713)&lt;&gt;0,SUM(S1712:X1712)/SUM(S1713:X1713),EUconst_NA)</f>
        <v>Nie dotyczy</v>
      </c>
      <c r="R1713" s="1048" t="s">
        <v>326</v>
      </c>
      <c r="S1713" s="908" t="str">
        <f>IF(S1693,IF(COUNT(I1712:I1713)&gt;0,SUM(I1712:I1713),0),"")</f>
        <v/>
      </c>
      <c r="T1713" s="909" t="str">
        <f>IF(T1693,IF(COUNT(J1712:J1713)&gt;0,SUM(J1712:J1713),0),"")</f>
        <v/>
      </c>
      <c r="U1713" s="909" t="str">
        <f>IF(U1693,IF(COUNT(K1712:K1713)&gt;0,SUM(K1712:K1713),0),"")</f>
        <v/>
      </c>
      <c r="V1713" s="909" t="str">
        <f>IF(V1693,IF(COUNT(L1712:L1713)&gt;0,SUM(L1712:L1713),0),"")</f>
        <v/>
      </c>
      <c r="W1713" s="910" t="str">
        <f>IF(W1693,IF(COUNT(M1712:M1713)&gt;0,SUM(M1712:M1713),0),"")</f>
        <v/>
      </c>
      <c r="X1713" s="716" t="str">
        <f>IF(S1703,IF(COUNT(N1712:N1713)&gt;0,SUM(N1712:N1713),0),"")</f>
        <v/>
      </c>
      <c r="Y1713" s="716" t="b">
        <f>Y1712</f>
        <v>1</v>
      </c>
      <c r="Z1713" s="422"/>
      <c r="AA1713" s="716" t="b">
        <f>AA1712</f>
        <v>1</v>
      </c>
    </row>
    <row r="1714" spans="1:27" ht="5.0999999999999996" customHeight="1" x14ac:dyDescent="0.2">
      <c r="B1714" s="207"/>
      <c r="C1714" s="207"/>
      <c r="D1714" s="207"/>
      <c r="E1714" s="207"/>
      <c r="F1714" s="207"/>
      <c r="G1714" s="207"/>
      <c r="H1714" s="207"/>
      <c r="I1714" s="207"/>
      <c r="J1714" s="207"/>
      <c r="K1714" s="207"/>
      <c r="L1714" s="207"/>
      <c r="M1714" s="16"/>
      <c r="N1714" s="16"/>
      <c r="O1714" s="16"/>
      <c r="P1714" s="1037"/>
      <c r="X1714" s="422"/>
    </row>
    <row r="1715" spans="1:27" x14ac:dyDescent="0.2">
      <c r="B1715" s="207"/>
      <c r="C1715" s="207"/>
      <c r="D1715" s="14" t="s">
        <v>356</v>
      </c>
      <c r="E1715" s="1375" t="str">
        <f>Translations!$B$692</f>
        <v>Ciepło wprowadzone z instalacji lub od podmiotów nieobjętych EU ETS:</v>
      </c>
      <c r="F1715" s="1375"/>
      <c r="G1715" s="1375"/>
      <c r="H1715" s="1375"/>
      <c r="I1715" s="1637"/>
      <c r="J1715" s="1796" t="str">
        <f>IF(I1693="","",HYPERLINK(Q1715,EUconst_MsgGoOnIfNotRelevant))</f>
        <v/>
      </c>
      <c r="K1715" s="1797"/>
      <c r="L1715" s="1797"/>
      <c r="M1715" s="1797"/>
      <c r="N1715" s="1798"/>
      <c r="O1715" s="16"/>
      <c r="P1715" s="2" t="s">
        <v>199</v>
      </c>
      <c r="Q1715" s="346" t="str">
        <f>"#"&amp;ADDRESS(ROW(D1722),COLUMN(D1722))</f>
        <v>#$D$1722</v>
      </c>
      <c r="X1715" s="422"/>
    </row>
    <row r="1716" spans="1:27" ht="13.5" customHeight="1" thickBot="1" x14ac:dyDescent="0.25">
      <c r="B1716" s="207"/>
      <c r="C1716" s="207"/>
      <c r="D1716" s="16"/>
      <c r="E1716" s="1408"/>
      <c r="F1716" s="1408"/>
      <c r="G1716" s="1408"/>
      <c r="H1716" s="1408"/>
      <c r="I1716" s="1408"/>
      <c r="J1716" s="1408"/>
      <c r="K1716" s="1408"/>
      <c r="L1716" s="1408"/>
      <c r="M1716" s="1408"/>
      <c r="N1716" s="1408"/>
      <c r="O1716" s="16"/>
      <c r="P1716" s="1037"/>
      <c r="R1716" s="1037"/>
      <c r="S1716" s="1037"/>
      <c r="Y1716" s="422" t="s">
        <v>606</v>
      </c>
    </row>
    <row r="1717" spans="1:27" ht="13.5" thickBot="1" x14ac:dyDescent="0.25">
      <c r="B1717" s="20"/>
      <c r="C1717" s="20"/>
      <c r="D1717" s="14"/>
      <c r="E1717" s="1430" t="str">
        <f>Translations!$B$686</f>
        <v>Parametr</v>
      </c>
      <c r="F1717" s="1377"/>
      <c r="G1717" s="1377"/>
      <c r="H1717" s="34" t="str">
        <f>EUconst_Unit</f>
        <v>Jednostka</v>
      </c>
      <c r="I1717" s="396">
        <f>I$66</f>
        <v>2014</v>
      </c>
      <c r="J1717" s="396">
        <f>J$66</f>
        <v>2015</v>
      </c>
      <c r="K1717" s="396">
        <f>K$66</f>
        <v>2016</v>
      </c>
      <c r="L1717" s="396">
        <f>L$66</f>
        <v>2017</v>
      </c>
      <c r="M1717" s="421">
        <f>M$66</f>
        <v>2018</v>
      </c>
      <c r="N1717" s="888" t="str">
        <f>N1708</f>
        <v/>
      </c>
      <c r="O1717" s="16"/>
      <c r="Q1717" s="45"/>
      <c r="R1717" s="1037"/>
      <c r="S1717" s="45">
        <f t="shared" ref="S1717:X1717" si="37">I1717</f>
        <v>2014</v>
      </c>
      <c r="T1717" s="45">
        <f t="shared" si="37"/>
        <v>2015</v>
      </c>
      <c r="U1717" s="45">
        <f t="shared" si="37"/>
        <v>2016</v>
      </c>
      <c r="V1717" s="45">
        <f t="shared" si="37"/>
        <v>2017</v>
      </c>
      <c r="W1717" s="45">
        <f t="shared" si="37"/>
        <v>2018</v>
      </c>
      <c r="X1717" s="422" t="str">
        <f t="shared" si="37"/>
        <v/>
      </c>
      <c r="Y1717" s="749" t="b">
        <f>Y1698</f>
        <v>1</v>
      </c>
      <c r="Z1717" s="45"/>
      <c r="AA1717" s="422" t="s">
        <v>272</v>
      </c>
    </row>
    <row r="1718" spans="1:27" ht="13.5" thickBot="1" x14ac:dyDescent="0.25">
      <c r="B1718" s="20"/>
      <c r="C1718" s="20"/>
      <c r="D1718" s="195" t="s">
        <v>2</v>
      </c>
      <c r="E1718" s="1612" t="str">
        <f>Translations!$B$697</f>
        <v>Mierzalne ciepło wprowadzone z instalacji lub od podmiotów nieobjętych EU ETS:</v>
      </c>
      <c r="F1718" s="1612"/>
      <c r="G1718" s="1612"/>
      <c r="H1718" s="48" t="str">
        <f>EUconst_TJpa</f>
        <v>TJ / rok</v>
      </c>
      <c r="I1718" s="313"/>
      <c r="J1718" s="313"/>
      <c r="K1718" s="313"/>
      <c r="L1718" s="313"/>
      <c r="M1718" s="899"/>
      <c r="N1718" s="902"/>
      <c r="O1718" s="16"/>
      <c r="P1718" s="116" t="str">
        <f>EUconst_CNTR_HAL&amp;EUconst_CNTR_nonETSMeasHeat</f>
        <v>HAL_mierzalne ciepło nieobjęte systemem EU ETS</v>
      </c>
      <c r="R1718" s="1037"/>
      <c r="S1718" s="442" t="str">
        <f>IF(S1693,IF(ISNUMBER(I1718),I1718,0),"")</f>
        <v/>
      </c>
      <c r="T1718" s="443" t="str">
        <f>IF(T1693,IF(ISNUMBER(J1718),J1718,0),"")</f>
        <v/>
      </c>
      <c r="U1718" s="443" t="str">
        <f>IF(U1693,IF(ISNUMBER(K1718),K1718,0),"")</f>
        <v/>
      </c>
      <c r="V1718" s="443" t="str">
        <f>IF(V1693,IF(ISNUMBER(L1718),L1718,0),"")</f>
        <v/>
      </c>
      <c r="W1718" s="444" t="str">
        <f>IF(W1693,IF(ISNUMBER(M1718),M1718,0),"")</f>
        <v/>
      </c>
      <c r="X1718" s="151" t="str">
        <f>IF(S1703,IF(ISNUMBER(N1718),N1718,0),"")</f>
        <v/>
      </c>
      <c r="Y1718" s="716" t="b">
        <f>Y1717</f>
        <v>1</v>
      </c>
      <c r="AA1718" s="646" t="b">
        <f>AND(CNTR_ExistSubInstEntries,I1693="")</f>
        <v>1</v>
      </c>
    </row>
    <row r="1719" spans="1:27" ht="25.5" customHeight="1" thickBot="1" x14ac:dyDescent="0.25">
      <c r="B1719" s="20"/>
      <c r="C1719" s="20"/>
      <c r="D1719" s="195" t="s">
        <v>3</v>
      </c>
      <c r="E1719" s="1618" t="str">
        <f>Translations!$B$698</f>
        <v>Weryfikacja spójności z arkuszem „E_Energy flows”:</v>
      </c>
      <c r="F1719" s="1618"/>
      <c r="G1719" s="1618"/>
      <c r="H1719" s="27" t="s">
        <v>409</v>
      </c>
      <c r="I1719" s="304" t="str">
        <f>IF(AND(ISNUMBER(I1718),ISNUMBER(E_EnergyFlows!I$102)), I1718/E_EnergyFlows!I$102*100,"")</f>
        <v/>
      </c>
      <c r="J1719" s="304" t="str">
        <f>IF(AND(ISNUMBER(J1718),ISNUMBER(E_EnergyFlows!J$102)), J1718/E_EnergyFlows!J$102*100,"")</f>
        <v/>
      </c>
      <c r="K1719" s="304" t="str">
        <f>IF(AND(ISNUMBER(K1718),ISNUMBER(E_EnergyFlows!K$102)), K1718/E_EnergyFlows!K$102*100,"")</f>
        <v/>
      </c>
      <c r="L1719" s="304" t="str">
        <f>IF(AND(ISNUMBER(L1718),ISNUMBER(E_EnergyFlows!L$102)), L1718/E_EnergyFlows!L$102*100,"")</f>
        <v/>
      </c>
      <c r="M1719" s="900" t="str">
        <f>IF(AND(ISNUMBER(M1718),ISNUMBER(E_EnergyFlows!M$102)), M1718/E_EnergyFlows!M$102*100,"")</f>
        <v/>
      </c>
      <c r="N1719" s="147"/>
      <c r="O1719" s="16"/>
      <c r="P1719" s="164" t="str">
        <f>EUconst_CNTR_HEAT &amp; I1693</f>
        <v>HEAT_</v>
      </c>
      <c r="Q1719" s="302" t="str">
        <f>IF(COUNT(S1718:X1718)&gt;0,AVERAGE(S1718:X1718)*EUconst_HeatBMvalue,EUconst_NA)</f>
        <v>Nie dotyczy</v>
      </c>
      <c r="R1719" s="1037"/>
      <c r="S1719" s="1037"/>
      <c r="AA1719" s="608"/>
    </row>
    <row r="1720" spans="1:27" ht="12.75" customHeight="1" x14ac:dyDescent="0.2">
      <c r="B1720" s="20"/>
      <c r="C1720" s="20"/>
      <c r="D1720" s="195" t="s">
        <v>4</v>
      </c>
      <c r="E1720" s="1493" t="str">
        <f>Translations!$B$699</f>
        <v>Weryfikacja spójności z lit. k) ppkt (i):</v>
      </c>
      <c r="F1720" s="1615"/>
      <c r="G1720" s="1615"/>
      <c r="H1720" s="30" t="s">
        <v>409</v>
      </c>
      <c r="I1720" s="303" t="str">
        <f>IF(AND(I1794&gt;0,ISNUMBER(I1718)), I1718/I1794*100,"")</f>
        <v/>
      </c>
      <c r="J1720" s="303" t="str">
        <f>IF(AND(J1794&gt;0,ISNUMBER(J1718)), J1718/J1794*100,"")</f>
        <v/>
      </c>
      <c r="K1720" s="303" t="str">
        <f>IF(AND(K1794&gt;0,ISNUMBER(K1718)), K1718/K1794*100,"")</f>
        <v/>
      </c>
      <c r="L1720" s="303" t="str">
        <f>IF(AND(L1794&gt;0,ISNUMBER(L1718)), L1718/L1794*100,"")</f>
        <v/>
      </c>
      <c r="M1720" s="901" t="str">
        <f>IF(AND(M1794&gt;0,ISNUMBER(M1718)), M1718/M1794*100,"")</f>
        <v/>
      </c>
      <c r="N1720" s="147"/>
      <c r="O1720" s="16"/>
      <c r="R1720" s="1037"/>
      <c r="S1720" s="1037"/>
      <c r="AA1720" s="608"/>
    </row>
    <row r="1721" spans="1:27" ht="12.75" customHeight="1" x14ac:dyDescent="0.2">
      <c r="B1721" s="20"/>
      <c r="C1721" s="20"/>
      <c r="D1721" s="20"/>
      <c r="E1721" s="20"/>
      <c r="F1721" s="20"/>
      <c r="G1721" s="20"/>
      <c r="H1721" s="20"/>
      <c r="I1721" s="107"/>
      <c r="J1721" s="20"/>
      <c r="K1721" s="20"/>
      <c r="L1721" s="20"/>
      <c r="M1721" s="20"/>
      <c r="N1721" s="20"/>
      <c r="O1721" s="16"/>
      <c r="P1721" s="139"/>
      <c r="R1721" s="1037"/>
      <c r="S1721" s="1037"/>
      <c r="AA1721" s="608"/>
    </row>
    <row r="1722" spans="1:27" ht="15" x14ac:dyDescent="0.2">
      <c r="B1722" s="20"/>
      <c r="C1722" s="1054"/>
      <c r="D1722" s="1439" t="str">
        <f>Translations!$B$700</f>
        <v>Szczegółowe dane dotyczące produkcji</v>
      </c>
      <c r="E1722" s="1370"/>
      <c r="F1722" s="1370"/>
      <c r="G1722" s="1370"/>
      <c r="H1722" s="1370"/>
      <c r="I1722" s="1370"/>
      <c r="J1722" s="1370"/>
      <c r="K1722" s="1370"/>
      <c r="L1722" s="1370"/>
      <c r="M1722" s="1370"/>
      <c r="N1722" s="1370"/>
      <c r="O1722" s="16"/>
      <c r="R1722" s="1037"/>
      <c r="S1722" s="1037"/>
      <c r="AA1722" s="608"/>
    </row>
    <row r="1723" spans="1:27" ht="5.0999999999999996" customHeight="1" x14ac:dyDescent="0.2">
      <c r="B1723" s="207"/>
      <c r="C1723" s="207"/>
      <c r="D1723" s="207"/>
      <c r="E1723" s="207"/>
      <c r="F1723" s="207"/>
      <c r="G1723" s="207"/>
      <c r="H1723" s="207"/>
      <c r="I1723" s="207"/>
      <c r="J1723" s="207"/>
      <c r="K1723" s="207"/>
      <c r="L1723" s="207"/>
      <c r="M1723" s="207"/>
      <c r="N1723" s="207"/>
      <c r="O1723" s="16"/>
      <c r="P1723" s="1037"/>
      <c r="Q1723" s="1037"/>
      <c r="R1723" s="1037"/>
      <c r="S1723" s="1037"/>
      <c r="AA1723" s="608"/>
    </row>
    <row r="1724" spans="1:27" x14ac:dyDescent="0.2">
      <c r="B1724" s="207"/>
      <c r="C1724" s="14"/>
      <c r="D1724" s="14" t="s">
        <v>12</v>
      </c>
      <c r="E1724" s="1375" t="str">
        <f>Translations!$B$701</f>
        <v>Identyfikacja produktów wchodzących w zakres tej podinstalacji objętej wskaźnikiem emisyjności dla produktów</v>
      </c>
      <c r="F1724" s="1370"/>
      <c r="G1724" s="1370"/>
      <c r="H1724" s="1370"/>
      <c r="I1724" s="1370"/>
      <c r="J1724" s="1370"/>
      <c r="K1724" s="1370"/>
      <c r="L1724" s="1370"/>
      <c r="M1724" s="1370"/>
      <c r="N1724" s="1370"/>
      <c r="O1724" s="16"/>
      <c r="P1724" s="1037"/>
      <c r="R1724" s="1037"/>
      <c r="S1724" s="1037"/>
      <c r="AA1724" s="608"/>
    </row>
    <row r="1725" spans="1:27" x14ac:dyDescent="0.2">
      <c r="B1725" s="207"/>
      <c r="C1725" s="16"/>
      <c r="D1725" s="16"/>
      <c r="E1725" s="1408" t="str">
        <f>Translations!$B$704</f>
        <v>Wykaz kodów PRODCOM 2010 jest dostępny pod adresem:</v>
      </c>
      <c r="F1725" s="1370"/>
      <c r="G1725" s="1370"/>
      <c r="H1725" s="1370"/>
      <c r="I1725" s="1370"/>
      <c r="J1725" s="1370"/>
      <c r="K1725" s="1370"/>
      <c r="L1725" s="1370"/>
      <c r="M1725" s="1370"/>
      <c r="N1725" s="1370"/>
      <c r="O1725" s="16"/>
      <c r="P1725" s="1037"/>
      <c r="R1725" s="1037"/>
      <c r="S1725" s="1037"/>
      <c r="AA1725" s="608"/>
    </row>
    <row r="1726" spans="1:27" x14ac:dyDescent="0.2">
      <c r="B1726" s="207"/>
      <c r="C1726" s="16"/>
      <c r="D1726" s="16"/>
      <c r="E1726" s="1795" t="str">
        <f>Translations!$B$705</f>
        <v>http://ec.europa.eu/eurostat/ramon/nomenclatures/index.cfm?TargetUrl=LST_CLS_DLD&amp;StrNom=PRD_2010&amp;StrLanguageCode=EN&amp;StrLayoutCode=HIERARCHIChttp://ec.europa.eu/eurostat/ramon/nomenclatures/index.cfm?TargetUrl=LST_CLS_DLD&amp;StrNom=PRD_2010&amp;StrLanguageCode=EN&amp;StrLayoutCode=HIERARCHIC</v>
      </c>
      <c r="F1726" s="1663"/>
      <c r="G1726" s="1663"/>
      <c r="H1726" s="1663"/>
      <c r="I1726" s="1663"/>
      <c r="J1726" s="1663"/>
      <c r="K1726" s="1663"/>
      <c r="L1726" s="1663"/>
      <c r="M1726" s="1663"/>
      <c r="N1726" s="1663"/>
      <c r="O1726" s="16"/>
      <c r="P1726" s="1037"/>
      <c r="R1726" s="1037"/>
      <c r="S1726" s="1037"/>
      <c r="AA1726" s="608"/>
    </row>
    <row r="1727" spans="1:27" ht="5.0999999999999996" customHeight="1" x14ac:dyDescent="0.2">
      <c r="B1727" s="207"/>
      <c r="C1727" s="207"/>
      <c r="D1727" s="207"/>
      <c r="E1727" s="207"/>
      <c r="F1727" s="207"/>
      <c r="G1727" s="207"/>
      <c r="H1727" s="207"/>
      <c r="I1727" s="207"/>
      <c r="J1727" s="207"/>
      <c r="K1727" s="207"/>
      <c r="L1727" s="207"/>
      <c r="M1727" s="207"/>
      <c r="N1727" s="207"/>
      <c r="O1727" s="16"/>
      <c r="P1727" s="1037"/>
      <c r="Q1727" s="1037"/>
      <c r="R1727" s="1037"/>
      <c r="S1727" s="1037"/>
      <c r="AA1727" s="608"/>
    </row>
    <row r="1728" spans="1:27" x14ac:dyDescent="0.2">
      <c r="B1728" s="207"/>
      <c r="C1728" s="14"/>
      <c r="D1728" s="14" t="s">
        <v>13</v>
      </c>
      <c r="E1728" s="1375" t="str">
        <f>Translations!$B$706</f>
        <v>Poszczególne poziomy wytwarzanych produktów wchodzących w zakres tej podinstalacji objętej wskaźnikiem emisyjności dla produktów</v>
      </c>
      <c r="F1728" s="1370"/>
      <c r="G1728" s="1370"/>
      <c r="H1728" s="1370"/>
      <c r="I1728" s="1370"/>
      <c r="J1728" s="1370"/>
      <c r="K1728" s="1370"/>
      <c r="L1728" s="1370"/>
      <c r="M1728" s="1370"/>
      <c r="N1728" s="1370"/>
      <c r="O1728" s="16"/>
      <c r="P1728" s="1037"/>
      <c r="R1728" s="1037"/>
      <c r="S1728" s="1037"/>
      <c r="AA1728" s="608"/>
    </row>
    <row r="1729" spans="2:27" ht="5.0999999999999996" customHeight="1" x14ac:dyDescent="0.2">
      <c r="B1729" s="207"/>
      <c r="C1729" s="207"/>
      <c r="D1729" s="16"/>
      <c r="E1729" s="17"/>
      <c r="F1729" s="17"/>
      <c r="G1729" s="17"/>
      <c r="H1729" s="17"/>
      <c r="I1729" s="17"/>
      <c r="J1729" s="21"/>
      <c r="K1729" s="21"/>
      <c r="L1729" s="21"/>
      <c r="M1729" s="16"/>
      <c r="N1729" s="16"/>
      <c r="O1729" s="16"/>
      <c r="P1729" s="1037"/>
      <c r="R1729" s="1037"/>
      <c r="S1729" s="1037"/>
      <c r="AA1729" s="608"/>
    </row>
    <row r="1730" spans="2:27" ht="25.5" customHeight="1" x14ac:dyDescent="0.2">
      <c r="B1730" s="20"/>
      <c r="C1730" s="20"/>
      <c r="D1730" s="344"/>
      <c r="E1730" s="399" t="s">
        <v>386</v>
      </c>
      <c r="F1730" s="1789" t="str">
        <f>Translations!$B$707</f>
        <v>Nazwa produktu lub grupy produktów</v>
      </c>
      <c r="G1730" s="1790"/>
      <c r="H1730" s="1055" t="str">
        <f>EUconst_Unit</f>
        <v>Jednostka</v>
      </c>
      <c r="I1730" s="396">
        <f>I$1882</f>
        <v>2014</v>
      </c>
      <c r="J1730" s="396">
        <f>J$1882</f>
        <v>2015</v>
      </c>
      <c r="K1730" s="396">
        <f>K$1882</f>
        <v>2016</v>
      </c>
      <c r="L1730" s="396">
        <f>L$1882</f>
        <v>2017</v>
      </c>
      <c r="M1730" s="396">
        <f>M$1882</f>
        <v>2018</v>
      </c>
      <c r="N1730" s="16"/>
      <c r="O1730" s="16"/>
      <c r="R1730" s="1037"/>
      <c r="S1730" s="1037"/>
      <c r="AA1730" s="608"/>
    </row>
    <row r="1731" spans="2:27" x14ac:dyDescent="0.2">
      <c r="B1731" s="20"/>
      <c r="C1731" s="20"/>
      <c r="D1731" s="37">
        <v>1</v>
      </c>
      <c r="E1731" s="1245"/>
      <c r="F1731" s="1791"/>
      <c r="G1731" s="1792"/>
      <c r="H1731" s="804"/>
      <c r="I1731" s="472"/>
      <c r="J1731" s="472"/>
      <c r="K1731" s="472"/>
      <c r="L1731" s="472"/>
      <c r="M1731" s="472"/>
      <c r="N1731" s="16"/>
      <c r="O1731" s="16"/>
      <c r="R1731" s="1037"/>
      <c r="S1731" s="1037"/>
      <c r="AA1731" s="345" t="b">
        <f>AA1718</f>
        <v>1</v>
      </c>
    </row>
    <row r="1732" spans="2:27" x14ac:dyDescent="0.2">
      <c r="B1732" s="20"/>
      <c r="C1732" s="20"/>
      <c r="D1732" s="38">
        <f>D1731+1</f>
        <v>2</v>
      </c>
      <c r="E1732" s="1246"/>
      <c r="F1732" s="1793"/>
      <c r="G1732" s="1794"/>
      <c r="H1732" s="564"/>
      <c r="I1732" s="548"/>
      <c r="J1732" s="548"/>
      <c r="K1732" s="548"/>
      <c r="L1732" s="548"/>
      <c r="M1732" s="548"/>
      <c r="N1732" s="16"/>
      <c r="O1732" s="16"/>
      <c r="R1732" s="1037"/>
      <c r="S1732" s="1037"/>
      <c r="AA1732" s="345" t="b">
        <f>AA1731</f>
        <v>1</v>
      </c>
    </row>
    <row r="1733" spans="2:27" x14ac:dyDescent="0.2">
      <c r="B1733" s="20"/>
      <c r="C1733" s="20"/>
      <c r="D1733" s="38">
        <f t="shared" ref="D1733:D1740" si="38">D1732+1</f>
        <v>3</v>
      </c>
      <c r="E1733" s="1246"/>
      <c r="F1733" s="1784"/>
      <c r="G1733" s="1785"/>
      <c r="H1733" s="564"/>
      <c r="I1733" s="548"/>
      <c r="J1733" s="548"/>
      <c r="K1733" s="548"/>
      <c r="L1733" s="548"/>
      <c r="M1733" s="548"/>
      <c r="N1733" s="16"/>
      <c r="O1733" s="16"/>
      <c r="R1733" s="1037"/>
      <c r="S1733" s="1037"/>
      <c r="AA1733" s="345" t="b">
        <f t="shared" ref="AA1733:AA1741" si="39">AA1732</f>
        <v>1</v>
      </c>
    </row>
    <row r="1734" spans="2:27" x14ac:dyDescent="0.2">
      <c r="B1734" s="20"/>
      <c r="C1734" s="20"/>
      <c r="D1734" s="38">
        <f t="shared" si="38"/>
        <v>4</v>
      </c>
      <c r="E1734" s="1246"/>
      <c r="F1734" s="1784"/>
      <c r="G1734" s="1785"/>
      <c r="H1734" s="564"/>
      <c r="I1734" s="548"/>
      <c r="J1734" s="548"/>
      <c r="K1734" s="548"/>
      <c r="L1734" s="548"/>
      <c r="M1734" s="548"/>
      <c r="N1734" s="16"/>
      <c r="O1734" s="16"/>
      <c r="R1734" s="1037"/>
      <c r="S1734" s="1037"/>
      <c r="AA1734" s="345" t="b">
        <f t="shared" si="39"/>
        <v>1</v>
      </c>
    </row>
    <row r="1735" spans="2:27" x14ac:dyDescent="0.2">
      <c r="B1735" s="20"/>
      <c r="C1735" s="20"/>
      <c r="D1735" s="38">
        <f t="shared" si="38"/>
        <v>5</v>
      </c>
      <c r="E1735" s="1246"/>
      <c r="F1735" s="1784"/>
      <c r="G1735" s="1785"/>
      <c r="H1735" s="564"/>
      <c r="I1735" s="548"/>
      <c r="J1735" s="548"/>
      <c r="K1735" s="548"/>
      <c r="L1735" s="548"/>
      <c r="M1735" s="548"/>
      <c r="N1735" s="16"/>
      <c r="O1735" s="16"/>
      <c r="R1735" s="1037"/>
      <c r="S1735" s="1037"/>
      <c r="AA1735" s="345" t="b">
        <f t="shared" si="39"/>
        <v>1</v>
      </c>
    </row>
    <row r="1736" spans="2:27" x14ac:dyDescent="0.2">
      <c r="B1736" s="20"/>
      <c r="C1736" s="20"/>
      <c r="D1736" s="38">
        <f t="shared" si="38"/>
        <v>6</v>
      </c>
      <c r="E1736" s="1246"/>
      <c r="F1736" s="1784"/>
      <c r="G1736" s="1785"/>
      <c r="H1736" s="564"/>
      <c r="I1736" s="548"/>
      <c r="J1736" s="548"/>
      <c r="K1736" s="548"/>
      <c r="L1736" s="548"/>
      <c r="M1736" s="548"/>
      <c r="N1736" s="16"/>
      <c r="O1736" s="16"/>
      <c r="R1736" s="1037"/>
      <c r="S1736" s="1037"/>
      <c r="AA1736" s="345" t="b">
        <f t="shared" si="39"/>
        <v>1</v>
      </c>
    </row>
    <row r="1737" spans="2:27" x14ac:dyDescent="0.2">
      <c r="B1737" s="20"/>
      <c r="C1737" s="20"/>
      <c r="D1737" s="38">
        <f t="shared" si="38"/>
        <v>7</v>
      </c>
      <c r="E1737" s="1246"/>
      <c r="F1737" s="1784"/>
      <c r="G1737" s="1785"/>
      <c r="H1737" s="564"/>
      <c r="I1737" s="548"/>
      <c r="J1737" s="548"/>
      <c r="K1737" s="548"/>
      <c r="L1737" s="548"/>
      <c r="M1737" s="548"/>
      <c r="N1737" s="16"/>
      <c r="O1737" s="16"/>
      <c r="R1737" s="1037"/>
      <c r="S1737" s="1037"/>
      <c r="AA1737" s="345" t="b">
        <f t="shared" si="39"/>
        <v>1</v>
      </c>
    </row>
    <row r="1738" spans="2:27" x14ac:dyDescent="0.2">
      <c r="B1738" s="20"/>
      <c r="C1738" s="20"/>
      <c r="D1738" s="38">
        <f t="shared" si="38"/>
        <v>8</v>
      </c>
      <c r="E1738" s="1246"/>
      <c r="F1738" s="1784"/>
      <c r="G1738" s="1785"/>
      <c r="H1738" s="564"/>
      <c r="I1738" s="548"/>
      <c r="J1738" s="548"/>
      <c r="K1738" s="548"/>
      <c r="L1738" s="548"/>
      <c r="M1738" s="548"/>
      <c r="N1738" s="16"/>
      <c r="O1738" s="16"/>
      <c r="R1738" s="1037"/>
      <c r="S1738" s="1037"/>
      <c r="AA1738" s="345" t="b">
        <f t="shared" si="39"/>
        <v>1</v>
      </c>
    </row>
    <row r="1739" spans="2:27" x14ac:dyDescent="0.2">
      <c r="B1739" s="20"/>
      <c r="C1739" s="20"/>
      <c r="D1739" s="38">
        <f t="shared" si="38"/>
        <v>9</v>
      </c>
      <c r="E1739" s="1246"/>
      <c r="F1739" s="1784"/>
      <c r="G1739" s="1785"/>
      <c r="H1739" s="564"/>
      <c r="I1739" s="548"/>
      <c r="J1739" s="548"/>
      <c r="K1739" s="548"/>
      <c r="L1739" s="548"/>
      <c r="M1739" s="548"/>
      <c r="N1739" s="16"/>
      <c r="O1739" s="16"/>
      <c r="R1739" s="1037"/>
      <c r="S1739" s="1037"/>
      <c r="AA1739" s="345" t="b">
        <f t="shared" si="39"/>
        <v>1</v>
      </c>
    </row>
    <row r="1740" spans="2:27" x14ac:dyDescent="0.2">
      <c r="B1740" s="20"/>
      <c r="C1740" s="20"/>
      <c r="D1740" s="41">
        <f t="shared" si="38"/>
        <v>10</v>
      </c>
      <c r="E1740" s="1247"/>
      <c r="F1740" s="1786"/>
      <c r="G1740" s="1787"/>
      <c r="H1740" s="565"/>
      <c r="I1740" s="446"/>
      <c r="J1740" s="446"/>
      <c r="K1740" s="446"/>
      <c r="L1740" s="446"/>
      <c r="M1740" s="446"/>
      <c r="N1740" s="16"/>
      <c r="O1740" s="16"/>
      <c r="R1740" s="1037"/>
      <c r="S1740" s="1037"/>
      <c r="AA1740" s="345" t="b">
        <f t="shared" si="39"/>
        <v>1</v>
      </c>
    </row>
    <row r="1741" spans="2:27" ht="12.75" customHeight="1" thickBot="1" x14ac:dyDescent="0.25">
      <c r="B1741" s="20"/>
      <c r="C1741" s="20"/>
      <c r="D1741" s="97"/>
      <c r="E1741" s="1788" t="str">
        <f>Translations!$B$708</f>
        <v>Suma poziomów produkcji</v>
      </c>
      <c r="F1741" s="1788"/>
      <c r="G1741" s="1788"/>
      <c r="H1741" s="737"/>
      <c r="I1741" s="327" t="str">
        <f>IF(COUNT(I1731:I1740)&gt;0,SUM(I1731:I1740),"")</f>
        <v/>
      </c>
      <c r="J1741" s="327" t="str">
        <f>IF(COUNT(J1731:J1740)&gt;0,SUM(J1731:J1740),"")</f>
        <v/>
      </c>
      <c r="K1741" s="327" t="str">
        <f>IF(COUNT(K1731:K1740)&gt;0,SUM(K1731:K1740),"")</f>
        <v/>
      </c>
      <c r="L1741" s="327" t="str">
        <f>IF(COUNT(L1731:L1740)&gt;0,SUM(L1731:L1740),"")</f>
        <v/>
      </c>
      <c r="M1741" s="327" t="str">
        <f>IF(COUNT(M1731:M1740)&gt;0,SUM(M1731:M1740),"")</f>
        <v/>
      </c>
      <c r="N1741" s="16"/>
      <c r="O1741" s="16"/>
      <c r="R1741" s="1037"/>
      <c r="S1741" s="1037"/>
      <c r="AA1741" s="168" t="b">
        <f t="shared" si="39"/>
        <v>1</v>
      </c>
    </row>
    <row r="1742" spans="2:27" ht="12.75" customHeight="1" thickBot="1" x14ac:dyDescent="0.25">
      <c r="B1742" s="207"/>
      <c r="C1742" s="207"/>
      <c r="D1742" s="207"/>
      <c r="E1742" s="207"/>
      <c r="F1742" s="207"/>
      <c r="G1742" s="207"/>
      <c r="H1742" s="207"/>
      <c r="I1742" s="207"/>
      <c r="J1742" s="207"/>
      <c r="K1742" s="207"/>
      <c r="L1742" s="207"/>
      <c r="M1742" s="16"/>
      <c r="N1742" s="16"/>
      <c r="O1742" s="16"/>
      <c r="P1742" s="1037"/>
      <c r="R1742" s="1037"/>
      <c r="S1742" s="1037"/>
    </row>
    <row r="1743" spans="2:27" ht="5.0999999999999996" customHeight="1" x14ac:dyDescent="0.2">
      <c r="B1743" s="207"/>
      <c r="C1743" s="1056"/>
      <c r="D1743" s="1057"/>
      <c r="E1743" s="1057"/>
      <c r="F1743" s="1057"/>
      <c r="G1743" s="1057"/>
      <c r="H1743" s="1057"/>
      <c r="I1743" s="1057"/>
      <c r="J1743" s="1057"/>
      <c r="K1743" s="1057"/>
      <c r="L1743" s="1057"/>
      <c r="M1743" s="1058"/>
      <c r="N1743" s="1059"/>
      <c r="O1743" s="16"/>
      <c r="P1743" s="1037"/>
      <c r="R1743" s="1037"/>
      <c r="S1743" s="1037"/>
    </row>
    <row r="1744" spans="2:27" ht="15" customHeight="1" x14ac:dyDescent="0.2">
      <c r="B1744" s="20"/>
      <c r="C1744" s="1060"/>
      <c r="D1744" s="1776" t="str">
        <f>Translations!$B$709</f>
        <v>Dane wymagane do określenia współczynnika poprawy wskaźników zgodnie z art. 10a ust. 2 dyrektywy w sprawie EU ETS</v>
      </c>
      <c r="E1744" s="1734"/>
      <c r="F1744" s="1734"/>
      <c r="G1744" s="1734"/>
      <c r="H1744" s="1734"/>
      <c r="I1744" s="1734"/>
      <c r="J1744" s="1734"/>
      <c r="K1744" s="1734"/>
      <c r="L1744" s="1734"/>
      <c r="M1744" s="1734"/>
      <c r="N1744" s="1735"/>
      <c r="O1744" s="16"/>
      <c r="R1744" s="1037"/>
      <c r="S1744" s="1037"/>
    </row>
    <row r="1745" spans="2:23" ht="5.0999999999999996" customHeight="1" x14ac:dyDescent="0.2">
      <c r="B1745" s="20"/>
      <c r="C1745" s="460"/>
      <c r="D1745" s="449"/>
      <c r="E1745" s="449"/>
      <c r="F1745" s="449"/>
      <c r="G1745" s="449"/>
      <c r="H1745" s="449"/>
      <c r="I1745" s="449"/>
      <c r="J1745" s="449"/>
      <c r="K1745" s="449"/>
      <c r="L1745" s="449"/>
      <c r="M1745" s="449"/>
      <c r="N1745" s="461"/>
      <c r="O1745" s="16"/>
      <c r="R1745" s="1037"/>
      <c r="S1745" s="1037"/>
    </row>
    <row r="1746" spans="2:23" ht="15" customHeight="1" x14ac:dyDescent="0.2">
      <c r="B1746" s="20"/>
      <c r="C1746" s="460"/>
      <c r="D1746" s="1778" t="str">
        <f>EUconst_BMSubinst &amp; ":"</f>
        <v>Podinstalacja i wskaźnik emisyjności dla produktów:</v>
      </c>
      <c r="E1746" s="1779"/>
      <c r="F1746" s="1779"/>
      <c r="G1746" s="1779"/>
      <c r="H1746" s="1780"/>
      <c r="I1746" s="1781" t="str">
        <f>I1693</f>
        <v/>
      </c>
      <c r="J1746" s="1666"/>
      <c r="K1746" s="1666"/>
      <c r="L1746" s="1666"/>
      <c r="M1746" s="1666"/>
      <c r="N1746" s="1782"/>
      <c r="O1746" s="16"/>
      <c r="R1746" s="1037"/>
      <c r="S1746" s="1037"/>
    </row>
    <row r="1747" spans="2:23" ht="5.0999999999999996" customHeight="1" x14ac:dyDescent="0.2">
      <c r="B1747" s="20"/>
      <c r="C1747" s="460"/>
      <c r="D1747" s="449"/>
      <c r="E1747" s="449"/>
      <c r="F1747" s="449"/>
      <c r="G1747" s="449"/>
      <c r="H1747" s="449"/>
      <c r="I1747" s="449"/>
      <c r="J1747" s="449"/>
      <c r="K1747" s="449"/>
      <c r="L1747" s="449"/>
      <c r="M1747" s="449"/>
      <c r="N1747" s="461"/>
      <c r="O1747" s="16"/>
      <c r="R1747" s="1037"/>
      <c r="S1747" s="1037"/>
    </row>
    <row r="1748" spans="2:23" ht="15" customHeight="1" x14ac:dyDescent="0.2">
      <c r="B1748" s="207"/>
      <c r="C1748" s="1060"/>
      <c r="D1748" s="1061"/>
      <c r="E1748" s="1783" t="str">
        <f>Translations!$B$714</f>
        <v>Po dokonaniu poniższych wpisów emisje, które można przypisać, są obliczane w części K.III.2 arkusza podsumowania.</v>
      </c>
      <c r="F1748" s="1783"/>
      <c r="G1748" s="1783"/>
      <c r="H1748" s="1783"/>
      <c r="I1748" s="1783"/>
      <c r="J1748" s="1783"/>
      <c r="K1748" s="1783"/>
      <c r="L1748" s="1783"/>
      <c r="M1748" s="1783"/>
      <c r="N1748" s="702"/>
      <c r="O1748" s="16"/>
      <c r="P1748" s="1037"/>
    </row>
    <row r="1749" spans="2:23" ht="5.0999999999999996" customHeight="1" x14ac:dyDescent="0.2">
      <c r="B1749" s="20"/>
      <c r="C1749" s="460"/>
      <c r="D1749" s="449"/>
      <c r="E1749" s="449"/>
      <c r="F1749" s="449"/>
      <c r="G1749" s="449"/>
      <c r="H1749" s="449"/>
      <c r="I1749" s="449"/>
      <c r="J1749" s="449"/>
      <c r="K1749" s="449"/>
      <c r="L1749" s="449"/>
      <c r="M1749" s="449"/>
      <c r="N1749" s="461"/>
      <c r="O1749" s="16"/>
      <c r="R1749" s="1037"/>
      <c r="S1749" s="1037"/>
    </row>
    <row r="1750" spans="2:23" ht="12.75" customHeight="1" x14ac:dyDescent="0.2">
      <c r="B1750" s="207"/>
      <c r="C1750" s="1060"/>
      <c r="D1750" s="462" t="s">
        <v>87</v>
      </c>
      <c r="E1750" s="1731" t="str">
        <f>Translations!$B$715</f>
        <v>Emisje, które można bezpośrednio przypisać (DirEm* (plan monitorowania strumieni materiałów wsadowych)) do tej podinstalacji</v>
      </c>
      <c r="F1750" s="1734"/>
      <c r="G1750" s="1734"/>
      <c r="H1750" s="1734"/>
      <c r="I1750" s="1734"/>
      <c r="J1750" s="1734"/>
      <c r="K1750" s="1734"/>
      <c r="L1750" s="1734"/>
      <c r="M1750" s="1734"/>
      <c r="N1750" s="1735"/>
      <c r="O1750" s="16"/>
      <c r="P1750" s="1037"/>
      <c r="R1750" s="1037"/>
      <c r="S1750" s="1037"/>
    </row>
    <row r="1751" spans="2:23" ht="12.75" customHeight="1" thickBot="1" x14ac:dyDescent="0.25">
      <c r="B1751" s="207"/>
      <c r="C1751" s="1060"/>
      <c r="D1751" s="1061"/>
      <c r="E1751" s="1745"/>
      <c r="F1751" s="1745"/>
      <c r="G1751" s="1745"/>
      <c r="H1751" s="1745"/>
      <c r="I1751" s="1745"/>
      <c r="J1751" s="1745"/>
      <c r="K1751" s="1745"/>
      <c r="L1751" s="1745"/>
      <c r="M1751" s="1745"/>
      <c r="N1751" s="1746"/>
      <c r="O1751" s="16"/>
      <c r="P1751" s="1037"/>
      <c r="R1751" s="1037"/>
    </row>
    <row r="1752" spans="2:23" ht="12.75" customHeight="1" x14ac:dyDescent="0.2">
      <c r="B1752" s="207"/>
      <c r="C1752" s="1060"/>
      <c r="D1752" s="462"/>
      <c r="E1752" s="1757" t="str">
        <f>Translations!$B$725</f>
        <v>Emisje, które można bezpośrednio przypisać (DirEm*)</v>
      </c>
      <c r="F1752" s="1758"/>
      <c r="G1752" s="1758"/>
      <c r="H1752" s="450" t="str">
        <f>EUconst_Unit</f>
        <v>Jednostka</v>
      </c>
      <c r="I1752" s="451">
        <f>I$1882</f>
        <v>2014</v>
      </c>
      <c r="J1752" s="451">
        <f>J$1882</f>
        <v>2015</v>
      </c>
      <c r="K1752" s="451">
        <f>K$1882</f>
        <v>2016</v>
      </c>
      <c r="L1752" s="451">
        <f>L$1882</f>
        <v>2017</v>
      </c>
      <c r="M1752" s="451">
        <f>M$1882</f>
        <v>2018</v>
      </c>
      <c r="N1752" s="665"/>
      <c r="O1752" s="16"/>
      <c r="P1752" s="1037"/>
      <c r="R1752" s="1052"/>
      <c r="S1752" s="814">
        <f>I1752</f>
        <v>2014</v>
      </c>
      <c r="T1752" s="814">
        <f>J1752</f>
        <v>2015</v>
      </c>
      <c r="U1752" s="814">
        <f>K1752</f>
        <v>2016</v>
      </c>
      <c r="V1752" s="814">
        <f>L1752</f>
        <v>2017</v>
      </c>
      <c r="W1752" s="815">
        <f>M1752</f>
        <v>2018</v>
      </c>
    </row>
    <row r="1753" spans="2:23" ht="12.75" customHeight="1" thickBot="1" x14ac:dyDescent="0.25">
      <c r="B1753" s="207"/>
      <c r="C1753" s="1060"/>
      <c r="D1753" s="1061"/>
      <c r="E1753" s="1762" t="str">
        <f>I1693</f>
        <v/>
      </c>
      <c r="F1753" s="1762"/>
      <c r="G1753" s="1762"/>
      <c r="H1753" s="452" t="str">
        <f>EUconst_tCO2epa</f>
        <v>t CO2e/rok</v>
      </c>
      <c r="I1753" s="313"/>
      <c r="J1753" s="313"/>
      <c r="K1753" s="313"/>
      <c r="L1753" s="313"/>
      <c r="M1753" s="313"/>
      <c r="N1753" s="665"/>
      <c r="O1753" s="16"/>
      <c r="P1753" s="1062" t="str">
        <f>EUconst_CNTR_Emissions &amp; I1693</f>
        <v>DirEmissions_</v>
      </c>
      <c r="R1753" s="1053" t="str">
        <f>EUconst_CNTR_AttributedEmissions &amp; I1693</f>
        <v>AttrEmissions_</v>
      </c>
      <c r="S1753" s="119" t="str">
        <f>IF(S1693,SUM(I1753),"")</f>
        <v/>
      </c>
      <c r="T1753" s="119" t="str">
        <f>IF(T1693,SUM(J1753),"")</f>
        <v/>
      </c>
      <c r="U1753" s="119" t="str">
        <f>IF(U1693,SUM(K1753),"")</f>
        <v/>
      </c>
      <c r="V1753" s="119" t="str">
        <f>IF(V1693,SUM(L1753),"")</f>
        <v/>
      </c>
      <c r="W1753" s="120" t="str">
        <f>IF(W1693,SUM(M1753),"")</f>
        <v/>
      </c>
    </row>
    <row r="1754" spans="2:23" ht="12.75" customHeight="1" x14ac:dyDescent="0.2">
      <c r="B1754" s="207"/>
      <c r="C1754" s="1060"/>
      <c r="D1754" s="1061"/>
      <c r="E1754" s="1061"/>
      <c r="F1754" s="1061"/>
      <c r="G1754" s="1061"/>
      <c r="H1754" s="1061"/>
      <c r="I1754" s="1061"/>
      <c r="J1754" s="1061"/>
      <c r="K1754" s="1061"/>
      <c r="L1754" s="1061"/>
      <c r="M1754" s="1063"/>
      <c r="N1754" s="665"/>
      <c r="O1754" s="16"/>
      <c r="P1754" s="1037"/>
      <c r="R1754" s="1037"/>
    </row>
    <row r="1755" spans="2:23" ht="12.75" customHeight="1" x14ac:dyDescent="0.2">
      <c r="B1755" s="207"/>
      <c r="C1755" s="1060"/>
      <c r="D1755" s="462" t="s">
        <v>88</v>
      </c>
      <c r="E1755" s="1760" t="str">
        <f>Translations!$B$726</f>
        <v>Wsad paliwa do tej podinstalacji oraz odpowiedni współczynnik emisji</v>
      </c>
      <c r="F1755" s="1760"/>
      <c r="G1755" s="1760"/>
      <c r="H1755" s="1760"/>
      <c r="I1755" s="1760"/>
      <c r="J1755" s="1760"/>
      <c r="K1755" s="1760"/>
      <c r="L1755" s="1760"/>
      <c r="M1755" s="1760"/>
      <c r="N1755" s="1761"/>
      <c r="O1755" s="16"/>
      <c r="P1755" s="1037"/>
      <c r="Q1755" s="1037"/>
      <c r="R1755" s="1037"/>
    </row>
    <row r="1756" spans="2:23" ht="12.75" customHeight="1" x14ac:dyDescent="0.2">
      <c r="B1756" s="207"/>
      <c r="C1756" s="1060"/>
      <c r="D1756" s="462"/>
      <c r="E1756" s="1757"/>
      <c r="F1756" s="1758"/>
      <c r="G1756" s="1758"/>
      <c r="H1756" s="450" t="str">
        <f>EUconst_Unit</f>
        <v>Jednostka</v>
      </c>
      <c r="I1756" s="451">
        <f>I$1882</f>
        <v>2014</v>
      </c>
      <c r="J1756" s="451">
        <f>J$1882</f>
        <v>2015</v>
      </c>
      <c r="K1756" s="451">
        <f>K$1882</f>
        <v>2016</v>
      </c>
      <c r="L1756" s="451">
        <f>L$1882</f>
        <v>2017</v>
      </c>
      <c r="M1756" s="451">
        <f>M$1882</f>
        <v>2018</v>
      </c>
      <c r="N1756" s="665"/>
      <c r="O1756" s="16"/>
      <c r="P1756" s="1037"/>
      <c r="R1756" s="1037"/>
    </row>
    <row r="1757" spans="2:23" ht="12.75" customHeight="1" x14ac:dyDescent="0.2">
      <c r="B1757" s="207"/>
      <c r="C1757" s="1060"/>
      <c r="D1757" s="699" t="s">
        <v>2</v>
      </c>
      <c r="E1757" s="1739" t="str">
        <f>Translations!$B$731</f>
        <v>Wsad paliwa</v>
      </c>
      <c r="F1757" s="1740"/>
      <c r="G1757" s="1740"/>
      <c r="H1757" s="453" t="str">
        <f>EUconst_TJpa</f>
        <v>TJ / rok</v>
      </c>
      <c r="I1757" s="313"/>
      <c r="J1757" s="313"/>
      <c r="K1757" s="313"/>
      <c r="L1757" s="313"/>
      <c r="M1757" s="313"/>
      <c r="N1757" s="702"/>
      <c r="O1757" s="16"/>
      <c r="P1757" s="1062" t="str">
        <f>EUconst_CNTR_FuelInput &amp; I1693</f>
        <v>FuelInput_</v>
      </c>
      <c r="R1757" s="1037"/>
    </row>
    <row r="1758" spans="2:23" ht="12.75" customHeight="1" x14ac:dyDescent="0.2">
      <c r="B1758" s="207"/>
      <c r="C1758" s="1060"/>
      <c r="D1758" s="699" t="s">
        <v>3</v>
      </c>
      <c r="E1758" s="1772" t="str">
        <f>Translations!$B$732</f>
        <v>Ważony współczynnik emisji</v>
      </c>
      <c r="F1758" s="1773"/>
      <c r="G1758" s="1773"/>
      <c r="H1758" s="569" t="str">
        <f>EUconst_tCO2pTJ</f>
        <v>t CO2 / TJ</v>
      </c>
      <c r="I1758" s="323"/>
      <c r="J1758" s="323"/>
      <c r="K1758" s="323"/>
      <c r="L1758" s="323"/>
      <c r="M1758" s="323"/>
      <c r="N1758" s="665"/>
      <c r="O1758" s="16"/>
      <c r="P1758" s="1062" t="str">
        <f>EUconst_CNTR_FuelEF &amp; I1693</f>
        <v>FuelEF_</v>
      </c>
      <c r="R1758" s="1037"/>
    </row>
    <row r="1759" spans="2:23" ht="12.75" customHeight="1" x14ac:dyDescent="0.2">
      <c r="B1759" s="207"/>
      <c r="C1759" s="1060"/>
      <c r="D1759" s="1061"/>
      <c r="E1759" s="1061"/>
      <c r="F1759" s="1061"/>
      <c r="G1759" s="1061"/>
      <c r="H1759" s="1061"/>
      <c r="I1759" s="1061"/>
      <c r="J1759" s="1061"/>
      <c r="K1759" s="1061"/>
      <c r="L1759" s="1061"/>
      <c r="M1759" s="1063"/>
      <c r="N1759" s="665"/>
      <c r="O1759" s="16"/>
      <c r="P1759" s="1037"/>
      <c r="R1759" s="1037"/>
    </row>
    <row r="1760" spans="2:23" ht="12.75" customHeight="1" thickBot="1" x14ac:dyDescent="0.25">
      <c r="B1760" s="207"/>
      <c r="C1760" s="1060"/>
      <c r="D1760" s="462" t="s">
        <v>89</v>
      </c>
      <c r="E1760" s="1760" t="str">
        <f>Translations!$B$733</f>
        <v>Dalsze wewnętrzne strumienie materiałów wsadowych wprowadzane do tej podinstalacji lub z niej wyprowadzane</v>
      </c>
      <c r="F1760" s="1760"/>
      <c r="G1760" s="1760"/>
      <c r="H1760" s="1760"/>
      <c r="I1760" s="1760"/>
      <c r="J1760" s="1760"/>
      <c r="K1760" s="1760"/>
      <c r="L1760" s="1760"/>
      <c r="M1760" s="1760"/>
      <c r="N1760" s="1761"/>
      <c r="O1760" s="16"/>
      <c r="P1760" s="1037"/>
      <c r="Q1760" s="1037"/>
      <c r="R1760" s="1037"/>
    </row>
    <row r="1761" spans="2:27" ht="25.5" customHeight="1" thickBot="1" x14ac:dyDescent="0.25">
      <c r="B1761" s="207"/>
      <c r="C1761" s="1060"/>
      <c r="D1761" s="699" t="s">
        <v>2</v>
      </c>
      <c r="E1761" s="1774" t="str">
        <f>Translations!$B$739</f>
        <v>Czy tej podinstalacji dotyczy więcej wprowadzonych lub wyprowadzonych wewnętrznych strumieni materiałów wsadowych?</v>
      </c>
      <c r="F1761" s="1774"/>
      <c r="G1761" s="1774"/>
      <c r="H1761" s="1774"/>
      <c r="I1761" s="1774"/>
      <c r="J1761" s="1774"/>
      <c r="K1761" s="1775"/>
      <c r="L1761" s="517"/>
      <c r="M1761" s="1253"/>
      <c r="N1761" s="1254"/>
      <c r="O1761" s="16"/>
      <c r="P1761" s="1037"/>
      <c r="R1761" s="1037"/>
      <c r="W1761" s="1048" t="s">
        <v>414</v>
      </c>
      <c r="X1761" s="1046" t="b">
        <f>IF(AND(I1693&lt;&gt;"",ISBLANK(L1761)),EUconst_Error&amp;"BM"&amp;C1693,FALSE)</f>
        <v>0</v>
      </c>
    </row>
    <row r="1762" spans="2:27" ht="5.0999999999999996" customHeight="1" thickBot="1" x14ac:dyDescent="0.25">
      <c r="B1762" s="207"/>
      <c r="C1762" s="1060"/>
      <c r="D1762" s="1061"/>
      <c r="E1762" s="1733"/>
      <c r="F1762" s="1734"/>
      <c r="G1762" s="1734"/>
      <c r="H1762" s="1734"/>
      <c r="I1762" s="1734"/>
      <c r="J1762" s="1734"/>
      <c r="K1762" s="1734"/>
      <c r="L1762" s="1734"/>
      <c r="M1762" s="1734"/>
      <c r="N1762" s="1735"/>
      <c r="O1762" s="16"/>
      <c r="P1762" s="1037"/>
      <c r="R1762" s="1037"/>
      <c r="AA1762" s="422" t="s">
        <v>272</v>
      </c>
    </row>
    <row r="1763" spans="2:27" ht="12.75" customHeight="1" x14ac:dyDescent="0.2">
      <c r="B1763" s="207"/>
      <c r="C1763" s="1060"/>
      <c r="D1763" s="699" t="s">
        <v>3</v>
      </c>
      <c r="E1763" s="1760" t="str">
        <f>Translations!$B$741</f>
        <v>Nazwa dalszych strumieni materiałów wsadowych – 1:</v>
      </c>
      <c r="F1763" s="1760"/>
      <c r="G1763" s="1760"/>
      <c r="H1763" s="1760"/>
      <c r="I1763" s="1763"/>
      <c r="J1763" s="1764"/>
      <c r="K1763" s="1764"/>
      <c r="L1763" s="1764"/>
      <c r="M1763" s="1765"/>
      <c r="N1763" s="664"/>
      <c r="O1763" s="16"/>
      <c r="P1763" s="1037"/>
      <c r="R1763" s="1037"/>
      <c r="AA1763" s="646" t="b">
        <f>IF(I1693&lt;&gt;"",AND(L1761&lt;&gt;"",L1761=FALSE),FALSE)</f>
        <v>0</v>
      </c>
    </row>
    <row r="1764" spans="2:27" ht="5.0999999999999996" customHeight="1" x14ac:dyDescent="0.2">
      <c r="B1764" s="207"/>
      <c r="C1764" s="1060"/>
      <c r="D1764" s="1061"/>
      <c r="E1764" s="1256"/>
      <c r="F1764" s="1253"/>
      <c r="G1764" s="1253"/>
      <c r="H1764" s="1253"/>
      <c r="I1764" s="1253"/>
      <c r="J1764" s="1253"/>
      <c r="K1764" s="1253"/>
      <c r="L1764" s="1253"/>
      <c r="M1764" s="1253"/>
      <c r="N1764" s="1254"/>
      <c r="O1764" s="16"/>
      <c r="P1764" s="1037"/>
      <c r="R1764" s="1037"/>
      <c r="AA1764" s="608"/>
    </row>
    <row r="1765" spans="2:27" ht="12.75" customHeight="1" x14ac:dyDescent="0.2">
      <c r="B1765" s="207"/>
      <c r="C1765" s="1060"/>
      <c r="D1765" s="1061"/>
      <c r="E1765" s="1757" t="str">
        <f>Translations!$B$742</f>
        <v>Dalsze strumienie materiałów wsadowych – 1:</v>
      </c>
      <c r="F1765" s="1758"/>
      <c r="G1765" s="1758"/>
      <c r="H1765" s="450" t="str">
        <f>EUconst_Unit</f>
        <v>Jednostka</v>
      </c>
      <c r="I1765" s="451">
        <f>I$1882</f>
        <v>2014</v>
      </c>
      <c r="J1765" s="451">
        <f>J$1882</f>
        <v>2015</v>
      </c>
      <c r="K1765" s="451">
        <f>K$1882</f>
        <v>2016</v>
      </c>
      <c r="L1765" s="451">
        <f>L$1882</f>
        <v>2017</v>
      </c>
      <c r="M1765" s="451">
        <f>M$1882</f>
        <v>2018</v>
      </c>
      <c r="N1765" s="665"/>
      <c r="O1765" s="16"/>
      <c r="P1765" s="1037"/>
      <c r="R1765" s="1037"/>
      <c r="AA1765" s="608"/>
    </row>
    <row r="1766" spans="2:27" ht="12.75" customHeight="1" x14ac:dyDescent="0.2">
      <c r="B1766" s="207"/>
      <c r="C1766" s="1060"/>
      <c r="D1766" s="699" t="s">
        <v>4</v>
      </c>
      <c r="E1766" s="1766" t="str">
        <f>Translations!$B$743</f>
        <v>Ilość wprowadzona lub wyprowadzona</v>
      </c>
      <c r="F1766" s="1767"/>
      <c r="G1766" s="1767"/>
      <c r="H1766" s="454" t="str">
        <f>EUconst_tpa</f>
        <v>t / rok</v>
      </c>
      <c r="I1766" s="331"/>
      <c r="J1766" s="331"/>
      <c r="K1766" s="331"/>
      <c r="L1766" s="331"/>
      <c r="M1766" s="331"/>
      <c r="N1766" s="665"/>
      <c r="O1766" s="16"/>
      <c r="P1766" s="1037"/>
      <c r="R1766" s="1037"/>
      <c r="AA1766" s="345" t="b">
        <f>AA1763</f>
        <v>0</v>
      </c>
    </row>
    <row r="1767" spans="2:27" ht="12.75" customHeight="1" x14ac:dyDescent="0.2">
      <c r="B1767" s="207"/>
      <c r="C1767" s="1060"/>
      <c r="D1767" s="699" t="s">
        <v>6</v>
      </c>
      <c r="E1767" s="1771" t="str">
        <f>Translations!$B$744</f>
        <v>Wartość opałowa netto (NCV) (jeśli dotyczy)</v>
      </c>
      <c r="F1767" s="1771"/>
      <c r="G1767" s="1771"/>
      <c r="H1767" s="541" t="str">
        <f>EUconst_GJpt</f>
        <v>GJ / t</v>
      </c>
      <c r="I1767" s="330"/>
      <c r="J1767" s="330"/>
      <c r="K1767" s="330"/>
      <c r="L1767" s="330"/>
      <c r="M1767" s="330"/>
      <c r="N1767" s="665"/>
      <c r="O1767" s="16"/>
      <c r="P1767" s="1037"/>
      <c r="R1767" s="1037"/>
      <c r="AA1767" s="345" t="b">
        <f>AA1766</f>
        <v>0</v>
      </c>
    </row>
    <row r="1768" spans="2:27" ht="12.75" customHeight="1" thickBot="1" x14ac:dyDescent="0.25">
      <c r="B1768" s="207"/>
      <c r="C1768" s="1060"/>
      <c r="D1768" s="699" t="s">
        <v>316</v>
      </c>
      <c r="E1768" s="1771" t="str">
        <f>Translations!$B$745</f>
        <v>Zawartość węgla (% masy)</v>
      </c>
      <c r="F1768" s="1771"/>
      <c r="G1768" s="1771"/>
      <c r="H1768" s="542" t="s">
        <v>355</v>
      </c>
      <c r="I1768" s="330"/>
      <c r="J1768" s="330"/>
      <c r="K1768" s="330"/>
      <c r="L1768" s="330"/>
      <c r="M1768" s="330"/>
      <c r="N1768" s="665"/>
      <c r="O1768" s="16"/>
      <c r="P1768" s="1037"/>
      <c r="R1768" s="1037"/>
      <c r="AA1768" s="345" t="b">
        <f>AA1767</f>
        <v>0</v>
      </c>
    </row>
    <row r="1769" spans="2:27" ht="12.75" customHeight="1" x14ac:dyDescent="0.2">
      <c r="B1769" s="207"/>
      <c r="C1769" s="1060"/>
      <c r="D1769" s="699" t="s">
        <v>317</v>
      </c>
      <c r="E1769" s="1744" t="str">
        <f>Translations!$B$746</f>
        <v>Zawartość biomasy (jako frakcja węgla)</v>
      </c>
      <c r="F1769" s="1744"/>
      <c r="G1769" s="1744"/>
      <c r="H1769" s="473" t="s">
        <v>355</v>
      </c>
      <c r="I1769" s="329"/>
      <c r="J1769" s="329"/>
      <c r="K1769" s="329"/>
      <c r="L1769" s="329"/>
      <c r="M1769" s="329"/>
      <c r="N1769" s="665"/>
      <c r="O1769" s="16"/>
      <c r="P1769" s="1037"/>
      <c r="R1769" s="1052"/>
      <c r="S1769" s="814">
        <f>I1765</f>
        <v>2014</v>
      </c>
      <c r="T1769" s="814">
        <f>J1765</f>
        <v>2015</v>
      </c>
      <c r="U1769" s="814">
        <f>K1765</f>
        <v>2016</v>
      </c>
      <c r="V1769" s="814">
        <f>L1765</f>
        <v>2017</v>
      </c>
      <c r="W1769" s="815">
        <f>M1765</f>
        <v>2018</v>
      </c>
      <c r="AA1769" s="345" t="b">
        <f>AA1768</f>
        <v>0</v>
      </c>
    </row>
    <row r="1770" spans="2:27" ht="12.75" customHeight="1" thickBot="1" x14ac:dyDescent="0.25">
      <c r="B1770" s="207"/>
      <c r="C1770" s="1060"/>
      <c r="D1770" s="699" t="s">
        <v>318</v>
      </c>
      <c r="E1770" s="1767" t="str">
        <f>Translations!$B$747</f>
        <v>Emisje (kopalne, obliczone)</v>
      </c>
      <c r="F1770" s="1767"/>
      <c r="G1770" s="1767"/>
      <c r="H1770" s="543" t="str">
        <f>EUconst_tCO2pa</f>
        <v>t CO2 / rok</v>
      </c>
      <c r="I1770" s="325" t="str">
        <f>IF(AND(COUNT(I1766:I1769)&gt;0,I1773=""),3.664*I1766*(I1768/100)*(1-I1769/100),"")</f>
        <v/>
      </c>
      <c r="J1770" s="325" t="str">
        <f>IF(AND(COUNT(J1766:J1769)&gt;0,J1773=""),3.664*J1766*(J1768/100)*(1-J1769/100),"")</f>
        <v/>
      </c>
      <c r="K1770" s="325" t="str">
        <f>IF(AND(COUNT(K1766:K1769)&gt;0,K1773=""),3.664*K1766*(K1768/100)*(1-K1769/100),"")</f>
        <v/>
      </c>
      <c r="L1770" s="325" t="str">
        <f>IF(AND(COUNT(L1766:L1769)&gt;0,L1773=""),3.664*L1766*(L1768/100)*(1-L1769/100),"")</f>
        <v/>
      </c>
      <c r="M1770" s="325" t="str">
        <f>IF(AND(COUNT(M1766:M1769)&gt;0,M1773=""),3.664*M1766*(M1768/100)*(1-M1769/100),"")</f>
        <v/>
      </c>
      <c r="N1770" s="665"/>
      <c r="O1770" s="16"/>
      <c r="P1770" s="1062" t="str">
        <f>EUconst_CNTR_EmissionsIntSource1 &amp; I1693</f>
        <v>EmInternalSource1_</v>
      </c>
      <c r="R1770" s="1053" t="str">
        <f>EUconst_CNTR_AttributedEmissions &amp; I1693</f>
        <v>AttrEmissions_</v>
      </c>
      <c r="S1770" s="119" t="str">
        <f>IF(S1693,SUM(I1770),"")</f>
        <v/>
      </c>
      <c r="T1770" s="119" t="str">
        <f>IF(T1693,SUM(J1770),"")</f>
        <v/>
      </c>
      <c r="U1770" s="119" t="str">
        <f>IF(U1693,SUM(K1770),"")</f>
        <v/>
      </c>
      <c r="V1770" s="119" t="str">
        <f>IF(V1693,SUM(L1770),"")</f>
        <v/>
      </c>
      <c r="W1770" s="120" t="str">
        <f>IF(W1693,SUM(M1770),"")</f>
        <v/>
      </c>
      <c r="AA1770" s="608"/>
    </row>
    <row r="1771" spans="2:27" ht="12.75" customHeight="1" x14ac:dyDescent="0.2">
      <c r="B1771" s="207"/>
      <c r="C1771" s="1060"/>
      <c r="D1771" s="699" t="s">
        <v>319</v>
      </c>
      <c r="E1771" s="1769" t="str">
        <f>Translations!$B$748</f>
        <v>Nota uzupełniająca: Emisje pochodzące z biomasy</v>
      </c>
      <c r="F1771" s="1769"/>
      <c r="G1771" s="1769"/>
      <c r="H1771" s="544" t="str">
        <f>EUconst_tCO2pa</f>
        <v>t CO2 / rok</v>
      </c>
      <c r="I1771" s="324" t="str">
        <f>IF(ISNUMBER(I1770),3.664*I1766*(I1768/100)*(I1769/100),"")</f>
        <v/>
      </c>
      <c r="J1771" s="324" t="str">
        <f>IF(ISNUMBER(J1770),3.664*J1766*(J1768/100)*(J1769/100),"")</f>
        <v/>
      </c>
      <c r="K1771" s="324" t="str">
        <f>IF(ISNUMBER(K1770),3.664*K1766*(K1768/100)*(K1769/100),"")</f>
        <v/>
      </c>
      <c r="L1771" s="324" t="str">
        <f>IF(ISNUMBER(L1770),3.664*L1766*(L1768/100)*(L1769/100),"")</f>
        <v/>
      </c>
      <c r="M1771" s="324" t="str">
        <f>IF(ISNUMBER(M1770),3.664*M1766*(M1768/100)*(M1769/100),"")</f>
        <v/>
      </c>
      <c r="N1771" s="665"/>
      <c r="O1771" s="16"/>
      <c r="P1771" s="1037"/>
      <c r="R1771" s="1037"/>
      <c r="AA1771" s="608"/>
    </row>
    <row r="1772" spans="2:27" ht="12.75" customHeight="1" x14ac:dyDescent="0.2">
      <c r="B1772" s="207"/>
      <c r="C1772" s="1060"/>
      <c r="D1772" s="699" t="s">
        <v>320</v>
      </c>
      <c r="E1772" s="1744" t="str">
        <f>Translations!$B$749</f>
        <v>Zawartość energii (obliczona)</v>
      </c>
      <c r="F1772" s="1744"/>
      <c r="G1772" s="1744"/>
      <c r="H1772" s="545" t="str">
        <f>EUconst_TJpa</f>
        <v>TJ / rok</v>
      </c>
      <c r="I1772" s="327" t="str">
        <f>IF(COUNT(I1766:I1767)=2,I1766*I1767/1000,"")</f>
        <v/>
      </c>
      <c r="J1772" s="327" t="str">
        <f>IF(COUNT(J1766:J1767)=2,J1766*J1767/1000,"")</f>
        <v/>
      </c>
      <c r="K1772" s="327" t="str">
        <f>IF(COUNT(K1766:K1767)=2,K1766*K1767/1000,"")</f>
        <v/>
      </c>
      <c r="L1772" s="327" t="str">
        <f>IF(COUNT(L1766:L1767)=2,L1766*L1767/1000,"")</f>
        <v/>
      </c>
      <c r="M1772" s="327" t="str">
        <f>IF(COUNT(M1766:M1767)=2,M1766*M1767/1000,"")</f>
        <v/>
      </c>
      <c r="N1772" s="665"/>
      <c r="O1772" s="16"/>
      <c r="P1772" s="1037"/>
      <c r="R1772" s="1037"/>
      <c r="AA1772" s="608"/>
    </row>
    <row r="1773" spans="2:27" ht="12.75" customHeight="1" x14ac:dyDescent="0.2">
      <c r="B1773" s="207"/>
      <c r="C1773" s="1060"/>
      <c r="D1773" s="699" t="s">
        <v>16</v>
      </c>
      <c r="E1773" s="1770" t="str">
        <f>Translations!$B$750</f>
        <v>Komunikaty o błędach (emisje)</v>
      </c>
      <c r="F1773" s="1770"/>
      <c r="G1773" s="1770"/>
      <c r="H1773" s="546"/>
      <c r="I1773" s="666" t="str">
        <f>IF(COUNT(I1766,I1768:I1769)&gt;0,IF(COUNTIF(I1767:I1769,"&lt;0")&gt;0,EUconst_Negative,IF(COUNT(I1766,I1768:I1769)&lt;3,EUconst_Incomplete,"")),"")</f>
        <v/>
      </c>
      <c r="J1773" s="666" t="str">
        <f>IF(COUNT(J1766,J1768:J1769)&gt;0,IF(COUNTIF(J1767:J1769,"&lt;0")&gt;0,EUconst_Negative,IF(COUNT(J1766,J1768:J1769)&lt;3,EUconst_Incomplete,"")),"")</f>
        <v/>
      </c>
      <c r="K1773" s="666" t="str">
        <f>IF(COUNT(K1766,K1768:K1769)&gt;0,IF(COUNTIF(K1767:K1769,"&lt;0")&gt;0,EUconst_Negative,IF(COUNT(K1766,K1768:K1769)&lt;3,EUconst_Incomplete,"")),"")</f>
        <v/>
      </c>
      <c r="L1773" s="666" t="str">
        <f>IF(COUNT(L1766,L1768:L1769)&gt;0,IF(COUNTIF(L1767:L1769,"&lt;0")&gt;0,EUconst_Negative,IF(COUNT(L1766,L1768:L1769)&lt;3,EUconst_Incomplete,"")),"")</f>
        <v/>
      </c>
      <c r="M1773" s="666" t="str">
        <f>IF(COUNT(M1766,M1768:M1769)&gt;0,IF(COUNTIF(M1767:M1769,"&lt;0")&gt;0,EUconst_Negative,IF(COUNT(M1766,M1768:M1769)&lt;3,EUconst_Incomplete,"")),"")</f>
        <v/>
      </c>
      <c r="N1773" s="665"/>
      <c r="O1773" s="16"/>
      <c r="P1773" s="1037"/>
      <c r="R1773" s="1037"/>
      <c r="AA1773" s="608"/>
    </row>
    <row r="1774" spans="2:27" ht="12.75" customHeight="1" x14ac:dyDescent="0.2">
      <c r="B1774" s="207"/>
      <c r="C1774" s="1060"/>
      <c r="D1774" s="699"/>
      <c r="E1774" s="1061"/>
      <c r="F1774" s="1061"/>
      <c r="G1774" s="1061"/>
      <c r="H1774" s="1061"/>
      <c r="I1774" s="1061"/>
      <c r="J1774" s="1061"/>
      <c r="K1774" s="1061"/>
      <c r="L1774" s="1061"/>
      <c r="M1774" s="1063"/>
      <c r="N1774" s="665"/>
      <c r="O1774" s="16"/>
      <c r="P1774" s="1037"/>
      <c r="R1774" s="1037"/>
      <c r="AA1774" s="608"/>
    </row>
    <row r="1775" spans="2:27" ht="12.75" customHeight="1" x14ac:dyDescent="0.2">
      <c r="B1775" s="207"/>
      <c r="C1775" s="1060"/>
      <c r="D1775" s="699" t="s">
        <v>17</v>
      </c>
      <c r="E1775" s="1760" t="str">
        <f>Translations!$B$751</f>
        <v>Nazwa dalszych strumieni materiałów wsadowych – 2:</v>
      </c>
      <c r="F1775" s="1760"/>
      <c r="G1775" s="1760"/>
      <c r="H1775" s="1760"/>
      <c r="I1775" s="1763"/>
      <c r="J1775" s="1764"/>
      <c r="K1775" s="1764"/>
      <c r="L1775" s="1764"/>
      <c r="M1775" s="1765"/>
      <c r="N1775" s="1254"/>
      <c r="O1775" s="16"/>
      <c r="P1775" s="1037"/>
      <c r="R1775" s="1037"/>
      <c r="AA1775" s="345" t="b">
        <f>AA1763</f>
        <v>0</v>
      </c>
    </row>
    <row r="1776" spans="2:27" ht="5.0999999999999996" customHeight="1" x14ac:dyDescent="0.2">
      <c r="B1776" s="207"/>
      <c r="C1776" s="1060"/>
      <c r="D1776" s="1061"/>
      <c r="E1776" s="1256"/>
      <c r="F1776" s="1253"/>
      <c r="G1776" s="1253"/>
      <c r="H1776" s="1253"/>
      <c r="I1776" s="1253"/>
      <c r="J1776" s="1253"/>
      <c r="K1776" s="1253"/>
      <c r="L1776" s="1253"/>
      <c r="M1776" s="1253"/>
      <c r="N1776" s="1254"/>
      <c r="O1776" s="16"/>
      <c r="P1776" s="1037"/>
      <c r="R1776" s="1037"/>
      <c r="AA1776" s="608"/>
    </row>
    <row r="1777" spans="2:27" ht="12.75" customHeight="1" x14ac:dyDescent="0.2">
      <c r="B1777" s="207"/>
      <c r="C1777" s="1060"/>
      <c r="D1777" s="699"/>
      <c r="E1777" s="1757" t="str">
        <f>Translations!$B$752</f>
        <v>Dalsze strumienie materiałów wsadowych – 2:</v>
      </c>
      <c r="F1777" s="1758"/>
      <c r="G1777" s="1758"/>
      <c r="H1777" s="450" t="str">
        <f>EUconst_Unit</f>
        <v>Jednostka</v>
      </c>
      <c r="I1777" s="451">
        <f>I$1882</f>
        <v>2014</v>
      </c>
      <c r="J1777" s="451">
        <f>J$1882</f>
        <v>2015</v>
      </c>
      <c r="K1777" s="451">
        <f>K$1882</f>
        <v>2016</v>
      </c>
      <c r="L1777" s="451">
        <f>L$1882</f>
        <v>2017</v>
      </c>
      <c r="M1777" s="451">
        <f>M$1882</f>
        <v>2018</v>
      </c>
      <c r="N1777" s="665"/>
      <c r="O1777" s="16"/>
      <c r="P1777" s="1037"/>
      <c r="R1777" s="1037"/>
      <c r="AA1777" s="608"/>
    </row>
    <row r="1778" spans="2:27" ht="12.75" customHeight="1" x14ac:dyDescent="0.2">
      <c r="B1778" s="207"/>
      <c r="C1778" s="1060"/>
      <c r="D1778" s="699" t="s">
        <v>18</v>
      </c>
      <c r="E1778" s="1766" t="str">
        <f>Translations!$B$743</f>
        <v>Ilość wprowadzona lub wyprowadzona</v>
      </c>
      <c r="F1778" s="1767"/>
      <c r="G1778" s="1767"/>
      <c r="H1778" s="454" t="str">
        <f>EUconst_tpa</f>
        <v>t / rok</v>
      </c>
      <c r="I1778" s="331"/>
      <c r="J1778" s="331"/>
      <c r="K1778" s="331"/>
      <c r="L1778" s="331"/>
      <c r="M1778" s="331"/>
      <c r="N1778" s="665"/>
      <c r="O1778" s="16"/>
      <c r="P1778" s="1037"/>
      <c r="R1778" s="1037"/>
      <c r="AA1778" s="345" t="b">
        <f>AA1775</f>
        <v>0</v>
      </c>
    </row>
    <row r="1779" spans="2:27" ht="12.75" customHeight="1" x14ac:dyDescent="0.2">
      <c r="B1779" s="207"/>
      <c r="C1779" s="1060"/>
      <c r="D1779" s="699" t="s">
        <v>454</v>
      </c>
      <c r="E1779" s="1771" t="str">
        <f>Translations!$B$744</f>
        <v>Wartość opałowa netto (NCV) (jeśli dotyczy)</v>
      </c>
      <c r="F1779" s="1771"/>
      <c r="G1779" s="1771"/>
      <c r="H1779" s="541" t="str">
        <f>EUconst_GJpt</f>
        <v>GJ / t</v>
      </c>
      <c r="I1779" s="330"/>
      <c r="J1779" s="330"/>
      <c r="K1779" s="330"/>
      <c r="L1779" s="330"/>
      <c r="M1779" s="330"/>
      <c r="N1779" s="665"/>
      <c r="O1779" s="16"/>
      <c r="P1779" s="1037"/>
      <c r="R1779" s="1037"/>
      <c r="AA1779" s="345" t="b">
        <f>AA1778</f>
        <v>0</v>
      </c>
    </row>
    <row r="1780" spans="2:27" ht="12.75" customHeight="1" thickBot="1" x14ac:dyDescent="0.25">
      <c r="B1780" s="207"/>
      <c r="C1780" s="1060"/>
      <c r="D1780" s="699" t="s">
        <v>455</v>
      </c>
      <c r="E1780" s="1771" t="str">
        <f>Translations!$B$745</f>
        <v>Zawartość węgla (% masy)</v>
      </c>
      <c r="F1780" s="1771"/>
      <c r="G1780" s="1771"/>
      <c r="H1780" s="542" t="s">
        <v>355</v>
      </c>
      <c r="I1780" s="330"/>
      <c r="J1780" s="330"/>
      <c r="K1780" s="330"/>
      <c r="L1780" s="330"/>
      <c r="M1780" s="330"/>
      <c r="N1780" s="665"/>
      <c r="O1780" s="16"/>
      <c r="P1780" s="1037"/>
      <c r="R1780" s="1037"/>
      <c r="AA1780" s="345" t="b">
        <f>AA1779</f>
        <v>0</v>
      </c>
    </row>
    <row r="1781" spans="2:27" ht="12.75" customHeight="1" thickBot="1" x14ac:dyDescent="0.25">
      <c r="B1781" s="207"/>
      <c r="C1781" s="1060"/>
      <c r="D1781" s="699" t="s">
        <v>456</v>
      </c>
      <c r="E1781" s="1744" t="str">
        <f>Translations!$B$746</f>
        <v>Zawartość biomasy (jako frakcja węgla)</v>
      </c>
      <c r="F1781" s="1744"/>
      <c r="G1781" s="1744"/>
      <c r="H1781" s="473" t="s">
        <v>355</v>
      </c>
      <c r="I1781" s="329"/>
      <c r="J1781" s="329"/>
      <c r="K1781" s="329"/>
      <c r="L1781" s="329"/>
      <c r="M1781" s="329"/>
      <c r="N1781" s="665"/>
      <c r="O1781" s="16"/>
      <c r="P1781" s="1037"/>
      <c r="R1781" s="1052"/>
      <c r="S1781" s="814">
        <f>I1777</f>
        <v>2014</v>
      </c>
      <c r="T1781" s="814">
        <f>J1777</f>
        <v>2015</v>
      </c>
      <c r="U1781" s="814">
        <f>K1777</f>
        <v>2016</v>
      </c>
      <c r="V1781" s="814">
        <f>L1777</f>
        <v>2017</v>
      </c>
      <c r="W1781" s="815">
        <f>M1777</f>
        <v>2018</v>
      </c>
      <c r="AA1781" s="168" t="b">
        <f>AA1780</f>
        <v>0</v>
      </c>
    </row>
    <row r="1782" spans="2:27" ht="12.75" customHeight="1" thickBot="1" x14ac:dyDescent="0.25">
      <c r="B1782" s="207"/>
      <c r="C1782" s="1060"/>
      <c r="D1782" s="699" t="s">
        <v>457</v>
      </c>
      <c r="E1782" s="1767" t="str">
        <f>Translations!$B$747</f>
        <v>Emisje (kopalne, obliczone)</v>
      </c>
      <c r="F1782" s="1767"/>
      <c r="G1782" s="1767"/>
      <c r="H1782" s="543" t="str">
        <f>EUconst_tCO2pa</f>
        <v>t CO2 / rok</v>
      </c>
      <c r="I1782" s="325" t="str">
        <f>IF(AND(COUNT(I1778:I1781)&gt;0,I1785=""),3.664*I1778*(I1780/100)*(1-I1781/100),"")</f>
        <v/>
      </c>
      <c r="J1782" s="325" t="str">
        <f>IF(AND(COUNT(J1778:J1781)&gt;0,J1785=""),3.664*J1778*(J1780/100)*(1-J1781/100),"")</f>
        <v/>
      </c>
      <c r="K1782" s="325" t="str">
        <f>IF(AND(COUNT(K1778:K1781)&gt;0,K1785=""),3.664*K1778*(K1780/100)*(1-K1781/100),"")</f>
        <v/>
      </c>
      <c r="L1782" s="325" t="str">
        <f>IF(AND(COUNT(L1778:L1781)&gt;0,L1785=""),3.664*L1778*(L1780/100)*(1-L1781/100),"")</f>
        <v/>
      </c>
      <c r="M1782" s="325" t="str">
        <f>IF(AND(COUNT(M1778:M1781)&gt;0,M1785=""),3.664*M1778*(M1780/100)*(1-M1781/100),"")</f>
        <v/>
      </c>
      <c r="N1782" s="665"/>
      <c r="O1782" s="16"/>
      <c r="P1782" s="1062" t="str">
        <f>EUconst_CNTR_EmissionsIntSource2 &amp; I1693</f>
        <v>EmInternalSource2_</v>
      </c>
      <c r="R1782" s="1053" t="str">
        <f>EUconst_CNTR_AttributedEmissions &amp; I1693</f>
        <v>AttrEmissions_</v>
      </c>
      <c r="S1782" s="119" t="str">
        <f>IF(S1693,SUM(I1782),"")</f>
        <v/>
      </c>
      <c r="T1782" s="119" t="str">
        <f>IF(T1693,SUM(J1782),"")</f>
        <v/>
      </c>
      <c r="U1782" s="119" t="str">
        <f>IF(U1693,SUM(K1782),"")</f>
        <v/>
      </c>
      <c r="V1782" s="119" t="str">
        <f>IF(V1693,SUM(L1782),"")</f>
        <v/>
      </c>
      <c r="W1782" s="120" t="str">
        <f>IF(W1693,SUM(M1782),"")</f>
        <v/>
      </c>
    </row>
    <row r="1783" spans="2:27" ht="12.75" customHeight="1" x14ac:dyDescent="0.2">
      <c r="B1783" s="207"/>
      <c r="C1783" s="1060"/>
      <c r="D1783" s="699" t="s">
        <v>458</v>
      </c>
      <c r="E1783" s="1769" t="str">
        <f>Translations!$B$748</f>
        <v>Nota uzupełniająca: Emisje pochodzące z biomasy</v>
      </c>
      <c r="F1783" s="1769"/>
      <c r="G1783" s="1769"/>
      <c r="H1783" s="544" t="str">
        <f>EUconst_tCO2pa</f>
        <v>t CO2 / rok</v>
      </c>
      <c r="I1783" s="324" t="str">
        <f>IF(ISNUMBER(I1782),3.664*I1778*(I1780/100)*(I1781/100),"")</f>
        <v/>
      </c>
      <c r="J1783" s="324" t="str">
        <f>IF(ISNUMBER(J1782),3.664*J1778*(J1780/100)*(J1781/100),"")</f>
        <v/>
      </c>
      <c r="K1783" s="324" t="str">
        <f>IF(ISNUMBER(K1782),3.664*K1778*(K1780/100)*(K1781/100),"")</f>
        <v/>
      </c>
      <c r="L1783" s="324" t="str">
        <f>IF(ISNUMBER(L1782),3.664*L1778*(L1780/100)*(L1781/100),"")</f>
        <v/>
      </c>
      <c r="M1783" s="324" t="str">
        <f>IF(ISNUMBER(M1782),3.664*M1778*(M1780/100)*(M1781/100),"")</f>
        <v/>
      </c>
      <c r="N1783" s="665"/>
      <c r="O1783" s="16"/>
      <c r="P1783" s="1037"/>
      <c r="R1783" s="1037"/>
    </row>
    <row r="1784" spans="2:27" ht="12.75" customHeight="1" x14ac:dyDescent="0.2">
      <c r="B1784" s="207"/>
      <c r="C1784" s="1060"/>
      <c r="D1784" s="699" t="s">
        <v>459</v>
      </c>
      <c r="E1784" s="1744" t="str">
        <f>Translations!$B$749</f>
        <v>Zawartość energii (obliczona)</v>
      </c>
      <c r="F1784" s="1744"/>
      <c r="G1784" s="1744"/>
      <c r="H1784" s="545" t="str">
        <f>EUconst_TJpa</f>
        <v>TJ / rok</v>
      </c>
      <c r="I1784" s="327" t="str">
        <f>IF(COUNT(I1778:I1779)=2,I1778*I1779/1000,"")</f>
        <v/>
      </c>
      <c r="J1784" s="327" t="str">
        <f>IF(COUNT(J1778:J1779)=2,J1778*J1779/1000,"")</f>
        <v/>
      </c>
      <c r="K1784" s="327" t="str">
        <f>IF(COUNT(K1778:K1779)=2,K1778*K1779/1000,"")</f>
        <v/>
      </c>
      <c r="L1784" s="327" t="str">
        <f>IF(COUNT(L1778:L1779)=2,L1778*L1779/1000,"")</f>
        <v/>
      </c>
      <c r="M1784" s="327" t="str">
        <f>IF(COUNT(M1778:M1779)=2,M1778*M1779/1000,"")</f>
        <v/>
      </c>
      <c r="N1784" s="665"/>
      <c r="O1784" s="16"/>
      <c r="P1784" s="1037"/>
      <c r="R1784" s="1037"/>
    </row>
    <row r="1785" spans="2:27" ht="12.75" customHeight="1" x14ac:dyDescent="0.2">
      <c r="B1785" s="207"/>
      <c r="C1785" s="1060"/>
      <c r="D1785" s="699" t="s">
        <v>455</v>
      </c>
      <c r="E1785" s="1770" t="str">
        <f>Translations!$B$750</f>
        <v>Komunikaty o błędach (emisje)</v>
      </c>
      <c r="F1785" s="1770"/>
      <c r="G1785" s="1770"/>
      <c r="H1785" s="546"/>
      <c r="I1785" s="666" t="str">
        <f>IF(COUNT(I1778,I1780:I1781)&gt;0,IF(COUNTIF(I1779:I1781,"&lt;0")&gt;0,EUconst_Negative,IF(COUNT(I1778,I1780:I1781)&lt;3,EUconst_Incomplete,"")),"")</f>
        <v/>
      </c>
      <c r="J1785" s="666" t="str">
        <f>IF(COUNT(J1778,J1780:J1781)&gt;0,IF(COUNTIF(J1779:J1781,"&lt;0")&gt;0,EUconst_Negative,IF(COUNT(J1778,J1780:J1781)&lt;3,EUconst_Incomplete,"")),"")</f>
        <v/>
      </c>
      <c r="K1785" s="666" t="str">
        <f>IF(COUNT(K1778,K1780:K1781)&gt;0,IF(COUNTIF(K1779:K1781,"&lt;0")&gt;0,EUconst_Negative,IF(COUNT(K1778,K1780:K1781)&lt;3,EUconst_Incomplete,"")),"")</f>
        <v/>
      </c>
      <c r="L1785" s="666" t="str">
        <f>IF(COUNT(L1778,L1780:L1781)&gt;0,IF(COUNTIF(L1779:L1781,"&lt;0")&gt;0,EUconst_Negative,IF(COUNT(L1778,L1780:L1781)&lt;3,EUconst_Incomplete,"")),"")</f>
        <v/>
      </c>
      <c r="M1785" s="666" t="str">
        <f>IF(COUNT(M1778,M1780:M1781)&gt;0,IF(COUNTIF(M1779:M1781,"&lt;0")&gt;0,EUconst_Negative,IF(COUNT(M1778,M1780:M1781)&lt;3,EUconst_Incomplete,"")),"")</f>
        <v/>
      </c>
      <c r="N1785" s="665"/>
      <c r="O1785" s="16"/>
      <c r="P1785" s="1037"/>
      <c r="R1785" s="1037"/>
    </row>
    <row r="1786" spans="2:27" ht="12.75" customHeight="1" x14ac:dyDescent="0.2">
      <c r="B1786" s="207"/>
      <c r="C1786" s="1060"/>
      <c r="D1786" s="1061"/>
      <c r="E1786" s="1061"/>
      <c r="F1786" s="1061"/>
      <c r="G1786" s="1061"/>
      <c r="H1786" s="1061"/>
      <c r="I1786" s="1061"/>
      <c r="J1786" s="1061"/>
      <c r="K1786" s="1061"/>
      <c r="L1786" s="1061"/>
      <c r="M1786" s="1063"/>
      <c r="N1786" s="665"/>
      <c r="O1786" s="16"/>
      <c r="P1786" s="1037"/>
      <c r="R1786" s="1037"/>
    </row>
    <row r="1787" spans="2:27" ht="12.75" customHeight="1" thickBot="1" x14ac:dyDescent="0.25">
      <c r="B1787" s="207"/>
      <c r="C1787" s="1060"/>
      <c r="D1787" s="462" t="s">
        <v>218</v>
      </c>
      <c r="E1787" s="1731" t="str">
        <f>Translations!$B$753</f>
        <v>Ilość gazów cieplarnianych wprowadzonych lub wyprowadzonych w charakterze materiałów wsadowych</v>
      </c>
      <c r="F1787" s="1734"/>
      <c r="G1787" s="1734"/>
      <c r="H1787" s="1734"/>
      <c r="I1787" s="1734"/>
      <c r="J1787" s="1734"/>
      <c r="K1787" s="1734"/>
      <c r="L1787" s="1734"/>
      <c r="M1787" s="1734"/>
      <c r="N1787" s="1735"/>
      <c r="O1787" s="16"/>
      <c r="P1787" s="1037"/>
      <c r="R1787" s="1037"/>
    </row>
    <row r="1788" spans="2:27" ht="12.75" customHeight="1" x14ac:dyDescent="0.2">
      <c r="B1788" s="207"/>
      <c r="C1788" s="1060"/>
      <c r="D1788" s="462"/>
      <c r="E1788" s="1757"/>
      <c r="F1788" s="1758"/>
      <c r="G1788" s="1758"/>
      <c r="H1788" s="450" t="str">
        <f>EUconst_Unit</f>
        <v>Jednostka</v>
      </c>
      <c r="I1788" s="451">
        <f>I$1882</f>
        <v>2014</v>
      </c>
      <c r="J1788" s="451">
        <f>J$1882</f>
        <v>2015</v>
      </c>
      <c r="K1788" s="451">
        <f>K$1882</f>
        <v>2016</v>
      </c>
      <c r="L1788" s="451">
        <f>L$1882</f>
        <v>2017</v>
      </c>
      <c r="M1788" s="451">
        <f>M$1882</f>
        <v>2018</v>
      </c>
      <c r="N1788" s="665"/>
      <c r="O1788" s="16"/>
      <c r="P1788" s="1037"/>
      <c r="R1788" s="1052"/>
      <c r="S1788" s="814">
        <f>I1788</f>
        <v>2014</v>
      </c>
      <c r="T1788" s="814">
        <f>J1788</f>
        <v>2015</v>
      </c>
      <c r="U1788" s="814">
        <f>K1788</f>
        <v>2016</v>
      </c>
      <c r="V1788" s="814">
        <f>L1788</f>
        <v>2017</v>
      </c>
      <c r="W1788" s="815">
        <f>M1788</f>
        <v>2018</v>
      </c>
    </row>
    <row r="1789" spans="2:27" ht="12.75" customHeight="1" thickBot="1" x14ac:dyDescent="0.25">
      <c r="B1789" s="207"/>
      <c r="C1789" s="1060"/>
      <c r="D1789" s="699"/>
      <c r="E1789" s="1739" t="str">
        <f>Translations!$B$756</f>
        <v>Wprowadzone lub wyprowadzone gazy cieplarniane</v>
      </c>
      <c r="F1789" s="1740"/>
      <c r="G1789" s="1740"/>
      <c r="H1789" s="453" t="str">
        <f>EUconst_tCO2epa</f>
        <v>t CO2e/rok</v>
      </c>
      <c r="I1789" s="471"/>
      <c r="J1789" s="471"/>
      <c r="K1789" s="471"/>
      <c r="L1789" s="471"/>
      <c r="M1789" s="471"/>
      <c r="N1789" s="1257"/>
      <c r="O1789" s="16"/>
      <c r="P1789" s="1062" t="str">
        <f>EUconst_CNTR_CO2Feedstock &amp; I1693</f>
        <v>EmCO2Feedstock_</v>
      </c>
      <c r="R1789" s="1053" t="str">
        <f>EUconst_CNTR_AttributedEmissions &amp; I1693</f>
        <v>AttrEmissions_</v>
      </c>
      <c r="S1789" s="119" t="str">
        <f>IF(S1693,SUM(I1789),"")</f>
        <v/>
      </c>
      <c r="T1789" s="119" t="str">
        <f>IF(T1693,SUM(J1789),"")</f>
        <v/>
      </c>
      <c r="U1789" s="119" t="str">
        <f>IF(U1693,SUM(K1789),"")</f>
        <v/>
      </c>
      <c r="V1789" s="119" t="str">
        <f>IF(V1693,SUM(L1789),"")</f>
        <v/>
      </c>
      <c r="W1789" s="120" t="str">
        <f>IF(W1693,SUM(M1789),"")</f>
        <v/>
      </c>
    </row>
    <row r="1790" spans="2:27" ht="12.75" customHeight="1" x14ac:dyDescent="0.2">
      <c r="B1790" s="207"/>
      <c r="C1790" s="1060"/>
      <c r="D1790" s="1061"/>
      <c r="E1790" s="1061"/>
      <c r="F1790" s="1061"/>
      <c r="G1790" s="1061"/>
      <c r="H1790" s="1061"/>
      <c r="I1790" s="1061"/>
      <c r="J1790" s="1061"/>
      <c r="K1790" s="1061"/>
      <c r="L1790" s="1061"/>
      <c r="M1790" s="1063"/>
      <c r="N1790" s="665"/>
      <c r="O1790" s="16"/>
      <c r="P1790" s="1037"/>
      <c r="R1790" s="1037"/>
    </row>
    <row r="1791" spans="2:27" ht="12.75" customHeight="1" x14ac:dyDescent="0.2">
      <c r="B1791" s="207"/>
      <c r="C1791" s="1060"/>
      <c r="D1791" s="462" t="s">
        <v>219</v>
      </c>
      <c r="E1791" s="1731" t="str">
        <f>Translations!$B$757</f>
        <v>Mierzalne ciepło wprowadzone do tej podinstalacji i z niej wyprowadzone</v>
      </c>
      <c r="F1791" s="1734"/>
      <c r="G1791" s="1734"/>
      <c r="H1791" s="1734"/>
      <c r="I1791" s="1734"/>
      <c r="J1791" s="1734"/>
      <c r="K1791" s="1734"/>
      <c r="L1791" s="1734"/>
      <c r="M1791" s="1734"/>
      <c r="N1791" s="1735"/>
      <c r="O1791" s="16"/>
      <c r="P1791" s="1037"/>
      <c r="R1791" s="1037"/>
    </row>
    <row r="1792" spans="2:27" ht="12.75" customHeight="1" thickBot="1" x14ac:dyDescent="0.25">
      <c r="B1792" s="207"/>
      <c r="C1792" s="1060"/>
      <c r="D1792" s="1061"/>
      <c r="E1792" s="1674" t="str">
        <f>Translations!$B$762</f>
        <v>W celu przypisania emisji z kogeneracji (CHP) do wytwarzania ciepła należy zastosować „narzędzie dotyczące CHP” w części D.III. niniejszego formularza.</v>
      </c>
      <c r="F1792" s="1674"/>
      <c r="G1792" s="1674"/>
      <c r="H1792" s="1674"/>
      <c r="I1792" s="1674"/>
      <c r="J1792" s="1674"/>
      <c r="K1792" s="1674"/>
      <c r="L1792" s="1674"/>
      <c r="M1792" s="1674"/>
      <c r="N1792" s="1257"/>
      <c r="O1792" s="16"/>
      <c r="P1792" s="1037"/>
    </row>
    <row r="1793" spans="2:27" ht="12.75" customHeight="1" x14ac:dyDescent="0.2">
      <c r="B1793" s="207"/>
      <c r="C1793" s="1060"/>
      <c r="D1793" s="1061"/>
      <c r="E1793" s="1757" t="str">
        <f>Translations!$B$763</f>
        <v>Całkowite ciepło wprowadzone</v>
      </c>
      <c r="F1793" s="1758"/>
      <c r="G1793" s="1758"/>
      <c r="H1793" s="450" t="str">
        <f>EUconst_Unit</f>
        <v>Jednostka</v>
      </c>
      <c r="I1793" s="451">
        <f>I$1882</f>
        <v>2014</v>
      </c>
      <c r="J1793" s="451">
        <f>J$1882</f>
        <v>2015</v>
      </c>
      <c r="K1793" s="451">
        <f>K$1882</f>
        <v>2016</v>
      </c>
      <c r="L1793" s="451">
        <f>L$1882</f>
        <v>2017</v>
      </c>
      <c r="M1793" s="451">
        <f>M$1882</f>
        <v>2018</v>
      </c>
      <c r="N1793" s="1257"/>
      <c r="O1793" s="16"/>
      <c r="P1793" s="1037"/>
      <c r="R1793" s="1052"/>
      <c r="S1793" s="814">
        <f>I1793</f>
        <v>2014</v>
      </c>
      <c r="T1793" s="814">
        <f>J1793</f>
        <v>2015</v>
      </c>
      <c r="U1793" s="814">
        <f>K1793</f>
        <v>2016</v>
      </c>
      <c r="V1793" s="814">
        <f>L1793</f>
        <v>2017</v>
      </c>
      <c r="W1793" s="815">
        <f>M1793</f>
        <v>2018</v>
      </c>
    </row>
    <row r="1794" spans="2:27" ht="12.75" customHeight="1" x14ac:dyDescent="0.2">
      <c r="B1794" s="207"/>
      <c r="C1794" s="1060"/>
      <c r="D1794" s="699" t="s">
        <v>2</v>
      </c>
      <c r="E1794" s="1739" t="str">
        <f>Translations!$B$764</f>
        <v>Ciepło wprowadzone netto</v>
      </c>
      <c r="F1794" s="1740"/>
      <c r="G1794" s="1740"/>
      <c r="H1794" s="453" t="str">
        <f>EUconst_TJpa</f>
        <v>TJ / rok</v>
      </c>
      <c r="I1794" s="471"/>
      <c r="J1794" s="471"/>
      <c r="K1794" s="471"/>
      <c r="L1794" s="471"/>
      <c r="M1794" s="471"/>
      <c r="N1794" s="702"/>
      <c r="O1794" s="16"/>
      <c r="P1794" s="1062" t="str">
        <f>EUconst_CNTR_HeatImport &amp; I1693</f>
        <v>HeatIm_</v>
      </c>
      <c r="R1794" s="1064" t="str">
        <f>EUconst_ERR_AttrEmBMapplied &amp; I1693</f>
        <v>ERR_AttrEmBM_ </v>
      </c>
      <c r="S1794" s="116">
        <f>IF(AND(I1794&lt;&gt;0,I1795="",EUconst_StatusOfDataCollection=FALSE),1,0)</f>
        <v>0</v>
      </c>
      <c r="T1794" s="116">
        <f>IF(AND(J1794&lt;&gt;0,J1795="",EUconst_StatusOfDataCollection=FALSE),1,0)</f>
        <v>0</v>
      </c>
      <c r="U1794" s="116">
        <f>IF(AND(K1794&lt;&gt;0,K1795="",EUconst_StatusOfDataCollection=FALSE),1,0)</f>
        <v>0</v>
      </c>
      <c r="V1794" s="116">
        <f>IF(AND(L1794&lt;&gt;0,L1795="",EUconst_StatusOfDataCollection=FALSE),1,0)</f>
        <v>0</v>
      </c>
      <c r="W1794" s="117">
        <f>IF(AND(M1794&lt;&gt;0,M1795="",EUconst_StatusOfDataCollection=FALSE),1,0)</f>
        <v>0</v>
      </c>
      <c r="X1794" s="45"/>
    </row>
    <row r="1795" spans="2:27" ht="12.75" customHeight="1" thickBot="1" x14ac:dyDescent="0.25">
      <c r="B1795" s="207"/>
      <c r="C1795" s="1060"/>
      <c r="D1795" s="699" t="s">
        <v>3</v>
      </c>
      <c r="E1795" s="1739" t="str">
        <f>Translations!$B$765</f>
        <v>Właściwy współczynnik emisji (ciepło wprowadzone)</v>
      </c>
      <c r="F1795" s="1740"/>
      <c r="G1795" s="1740"/>
      <c r="H1795" s="453" t="str">
        <f>EUconst_tCO2pTJ</f>
        <v>t CO2 / TJ</v>
      </c>
      <c r="I1795" s="764"/>
      <c r="J1795" s="764"/>
      <c r="K1795" s="764"/>
      <c r="L1795" s="764"/>
      <c r="M1795" s="764"/>
      <c r="N1795" s="665"/>
      <c r="O1795" s="16"/>
      <c r="P1795" s="1062" t="str">
        <f>EUconst_CNTR_HeatImportEF &amp; I1693</f>
        <v>HeatImEF_</v>
      </c>
      <c r="R1795" s="1053" t="str">
        <f>EUconst_CNTR_AttributedEmissions &amp; I1693</f>
        <v>AttrEmissions_</v>
      </c>
      <c r="S1795" s="119" t="str">
        <f>IF(S1693,SUM(I1794)*IF(ISNUMBER(I1795),I1795,EUconst_HeatBMvalue),"")</f>
        <v/>
      </c>
      <c r="T1795" s="119" t="str">
        <f>IF(T1693,SUM(J1794)*IF(ISNUMBER(J1795),J1795,EUconst_HeatBMvalue),"")</f>
        <v/>
      </c>
      <c r="U1795" s="119" t="str">
        <f>IF(U1693,SUM(K1794)*IF(ISNUMBER(K1795),K1795,EUconst_HeatBMvalue),"")</f>
        <v/>
      </c>
      <c r="V1795" s="119" t="str">
        <f>IF(V1693,SUM(L1794)*IF(ISNUMBER(L1795),L1795,EUconst_HeatBMvalue),"")</f>
        <v/>
      </c>
      <c r="W1795" s="120" t="str">
        <f>IF(W1693,SUM(M1794)*IF(ISNUMBER(M1795),M1795,EUconst_HeatBMvalue),"")</f>
        <v/>
      </c>
    </row>
    <row r="1796" spans="2:27" ht="5.0999999999999996" customHeight="1" x14ac:dyDescent="0.2">
      <c r="B1796" s="207"/>
      <c r="C1796" s="1060"/>
      <c r="D1796" s="1061"/>
      <c r="E1796" s="1061"/>
      <c r="F1796" s="1061"/>
      <c r="G1796" s="1061"/>
      <c r="H1796" s="1061"/>
      <c r="I1796" s="1061"/>
      <c r="J1796" s="1061"/>
      <c r="K1796" s="1061"/>
      <c r="L1796" s="1061"/>
      <c r="M1796" s="1063"/>
      <c r="N1796" s="665"/>
      <c r="O1796" s="16"/>
      <c r="P1796" s="1037"/>
      <c r="R1796" s="1037"/>
      <c r="S1796" s="1037"/>
    </row>
    <row r="1797" spans="2:27" ht="12.75" customHeight="1" x14ac:dyDescent="0.2">
      <c r="B1797" s="207"/>
      <c r="C1797" s="1060"/>
      <c r="D1797" s="1061"/>
      <c r="E1797" s="1757" t="str">
        <f>Translations!$B$766</f>
        <v>Szczególne wprowadzenie ciepła</v>
      </c>
      <c r="F1797" s="1757"/>
      <c r="G1797" s="1757"/>
      <c r="H1797" s="450" t="str">
        <f>EUconst_Unit</f>
        <v>Jednostka</v>
      </c>
      <c r="I1797" s="451">
        <f>I$1882</f>
        <v>2014</v>
      </c>
      <c r="J1797" s="451">
        <f>J$1882</f>
        <v>2015</v>
      </c>
      <c r="K1797" s="451">
        <f>K$1882</f>
        <v>2016</v>
      </c>
      <c r="L1797" s="451">
        <f>L$1882</f>
        <v>2017</v>
      </c>
      <c r="M1797" s="451">
        <f>M$1882</f>
        <v>2018</v>
      </c>
      <c r="N1797" s="1257"/>
      <c r="O1797" s="16"/>
      <c r="P1797" s="1037"/>
      <c r="R1797" s="1037"/>
      <c r="S1797" s="1037"/>
    </row>
    <row r="1798" spans="2:27" ht="12.75" customHeight="1" x14ac:dyDescent="0.2">
      <c r="B1798" s="207"/>
      <c r="C1798" s="1060"/>
      <c r="D1798" s="699" t="s">
        <v>4</v>
      </c>
      <c r="E1798" s="1739" t="str">
        <f>Translations!$B$820</f>
        <v>Ciepło wprowadzone netto z masy celulozowej</v>
      </c>
      <c r="F1798" s="1740"/>
      <c r="G1798" s="1740"/>
      <c r="H1798" s="453" t="str">
        <f>EUconst_TJpa</f>
        <v>TJ / rok</v>
      </c>
      <c r="I1798" s="540"/>
      <c r="J1798" s="540"/>
      <c r="K1798" s="540"/>
      <c r="L1798" s="540"/>
      <c r="M1798" s="540"/>
      <c r="N1798" s="702"/>
      <c r="O1798" s="16"/>
      <c r="P1798" s="1062" t="str">
        <f>EUconst_CNTR_HeatImportPulp &amp; I1693</f>
        <v>HeatImPulp_</v>
      </c>
      <c r="R1798" s="1037"/>
      <c r="S1798" s="1037"/>
    </row>
    <row r="1799" spans="2:27" ht="12.75" customHeight="1" x14ac:dyDescent="0.2">
      <c r="B1799" s="207"/>
      <c r="C1799" s="1060"/>
      <c r="D1799" s="699" t="s">
        <v>6</v>
      </c>
      <c r="E1799" s="1739" t="str">
        <f>Translations!$B$768</f>
        <v>Ciepło wprowadzone netto z podinstalacji wytwarzającej kwas azotowy</v>
      </c>
      <c r="F1799" s="1740"/>
      <c r="G1799" s="1740"/>
      <c r="H1799" s="453" t="str">
        <f>EUconst_TJpa</f>
        <v>TJ / rok</v>
      </c>
      <c r="I1799" s="471"/>
      <c r="J1799" s="471"/>
      <c r="K1799" s="471"/>
      <c r="L1799" s="471"/>
      <c r="M1799" s="471"/>
      <c r="N1799" s="702"/>
      <c r="O1799" s="16"/>
      <c r="P1799" s="1062" t="str">
        <f>EUconst_CNTR_HeatImportNitric &amp; I1693</f>
        <v>HeatImNitric_</v>
      </c>
      <c r="R1799" s="1037"/>
      <c r="S1799" s="1037"/>
    </row>
    <row r="1800" spans="2:27" ht="5.0999999999999996" customHeight="1" thickBot="1" x14ac:dyDescent="0.25">
      <c r="B1800" s="207"/>
      <c r="C1800" s="1060"/>
      <c r="D1800" s="1061"/>
      <c r="E1800" s="1061"/>
      <c r="F1800" s="1061"/>
      <c r="G1800" s="1061"/>
      <c r="H1800" s="1061"/>
      <c r="I1800" s="1061"/>
      <c r="J1800" s="1061"/>
      <c r="K1800" s="1061"/>
      <c r="L1800" s="1061"/>
      <c r="M1800" s="1063"/>
      <c r="N1800" s="665"/>
      <c r="O1800" s="16"/>
      <c r="P1800" s="1037"/>
      <c r="R1800" s="1037"/>
      <c r="S1800" s="1037"/>
    </row>
    <row r="1801" spans="2:27" ht="12.75" customHeight="1" x14ac:dyDescent="0.2">
      <c r="B1801" s="207"/>
      <c r="C1801" s="1060"/>
      <c r="D1801" s="1061"/>
      <c r="E1801" s="1757" t="str">
        <f>Translations!$B$769</f>
        <v>Całkowite ciepło wyprowadzone</v>
      </c>
      <c r="F1801" s="1757"/>
      <c r="G1801" s="1757"/>
      <c r="H1801" s="450" t="str">
        <f>EUconst_Unit</f>
        <v>Jednostka</v>
      </c>
      <c r="I1801" s="451">
        <f>I$1882</f>
        <v>2014</v>
      </c>
      <c r="J1801" s="451">
        <f>J$1882</f>
        <v>2015</v>
      </c>
      <c r="K1801" s="451">
        <f>K$1882</f>
        <v>2016</v>
      </c>
      <c r="L1801" s="451">
        <f>L$1882</f>
        <v>2017</v>
      </c>
      <c r="M1801" s="451">
        <f>M$1882</f>
        <v>2018</v>
      </c>
      <c r="N1801" s="1257"/>
      <c r="O1801" s="16"/>
      <c r="P1801" s="1037"/>
      <c r="R1801" s="1052"/>
      <c r="S1801" s="814">
        <f>I1801</f>
        <v>2014</v>
      </c>
      <c r="T1801" s="814">
        <f>J1801</f>
        <v>2015</v>
      </c>
      <c r="U1801" s="814">
        <f>K1801</f>
        <v>2016</v>
      </c>
      <c r="V1801" s="814">
        <f>L1801</f>
        <v>2017</v>
      </c>
      <c r="W1801" s="815">
        <f>M1801</f>
        <v>2018</v>
      </c>
    </row>
    <row r="1802" spans="2:27" ht="12.75" customHeight="1" x14ac:dyDescent="0.2">
      <c r="B1802" s="207"/>
      <c r="C1802" s="1060"/>
      <c r="D1802" s="699" t="s">
        <v>316</v>
      </c>
      <c r="E1802" s="1739" t="str">
        <f>Translations!$B$770</f>
        <v>Ciepło wyprowadzone netto</v>
      </c>
      <c r="F1802" s="1740"/>
      <c r="G1802" s="1740"/>
      <c r="H1802" s="453" t="str">
        <f>EUconst_TJpa</f>
        <v>TJ / rok</v>
      </c>
      <c r="I1802" s="471"/>
      <c r="J1802" s="471"/>
      <c r="K1802" s="471"/>
      <c r="L1802" s="471"/>
      <c r="M1802" s="471"/>
      <c r="N1802" s="702"/>
      <c r="O1802" s="16"/>
      <c r="P1802" s="1062" t="str">
        <f>EUconst_CNTR_HeatExport &amp; I1693</f>
        <v>HeatEx_</v>
      </c>
      <c r="R1802" s="1064" t="str">
        <f>EUconst_ERR_AttrEmBMapplied &amp; I1693</f>
        <v>ERR_AttrEmBM_ </v>
      </c>
      <c r="S1802" s="116">
        <f>IF(AND(I1802&lt;&gt;0,I1803="",EUconst_StatusOfDataCollection=FALSE),1,0)</f>
        <v>0</v>
      </c>
      <c r="T1802" s="116">
        <f>IF(AND(J1802&lt;&gt;0,J1803="",EUconst_StatusOfDataCollection=FALSE),1,0)</f>
        <v>0</v>
      </c>
      <c r="U1802" s="116">
        <f>IF(AND(K1802&lt;&gt;0,K1803="",EUconst_StatusOfDataCollection=FALSE),1,0)</f>
        <v>0</v>
      </c>
      <c r="V1802" s="116">
        <f>IF(AND(L1802&lt;&gt;0,L1803="",EUconst_StatusOfDataCollection=FALSE),1,0)</f>
        <v>0</v>
      </c>
      <c r="W1802" s="117">
        <f>IF(AND(M1802&lt;&gt;0,M1803="",EUconst_StatusOfDataCollection=FALSE),1,0)</f>
        <v>0</v>
      </c>
    </row>
    <row r="1803" spans="2:27" ht="12.75" customHeight="1" thickBot="1" x14ac:dyDescent="0.25">
      <c r="B1803" s="207"/>
      <c r="C1803" s="1060"/>
      <c r="D1803" s="699" t="s">
        <v>317</v>
      </c>
      <c r="E1803" s="1739" t="str">
        <f>Translations!$B$771</f>
        <v>Właściwy współczynnik emisji (ciepło wyprowadzone)</v>
      </c>
      <c r="F1803" s="1740"/>
      <c r="G1803" s="1740"/>
      <c r="H1803" s="453" t="str">
        <f>EUconst_tCO2pTJ</f>
        <v>t CO2 / TJ</v>
      </c>
      <c r="I1803" s="764"/>
      <c r="J1803" s="764"/>
      <c r="K1803" s="764"/>
      <c r="L1803" s="764"/>
      <c r="M1803" s="764"/>
      <c r="N1803" s="665"/>
      <c r="O1803" s="16"/>
      <c r="P1803" s="1062" t="str">
        <f>EUconst_CNTR_HeatExportEF &amp; I1693</f>
        <v>HeatExEF_</v>
      </c>
      <c r="R1803" s="1053" t="str">
        <f>EUconst_CNTR_AttributedEmissions &amp; I1693</f>
        <v>AttrEmissions_</v>
      </c>
      <c r="S1803" s="119" t="str">
        <f>IF(S1693,-SUM(I1802)*IF(INDEX(EUconst_BMlistNumberOfBM,MATCH($I1693,EUconst_BMlistNames,0))=39,0,IF(ISNUMBER(I1803),I1803,EUconst_HeatBMvalue)),"")</f>
        <v/>
      </c>
      <c r="T1803" s="119" t="str">
        <f>IF(T1693,-SUM(J1802)*IF(INDEX(EUconst_BMlistNumberOfBM,MATCH($I1693,EUconst_BMlistNames,0))=39,0,IF(ISNUMBER(J1803),J1803,EUconst_HeatBMvalue)),"")</f>
        <v/>
      </c>
      <c r="U1803" s="119" t="str">
        <f>IF(U1693,-SUM(K1802)*IF(INDEX(EUconst_BMlistNumberOfBM,MATCH($I1693,EUconst_BMlistNames,0))=39,0,IF(ISNUMBER(K1803),K1803,EUconst_HeatBMvalue)),"")</f>
        <v/>
      </c>
      <c r="V1803" s="119" t="str">
        <f>IF(V1693,-SUM(L1802)*IF(INDEX(EUconst_BMlistNumberOfBM,MATCH($I1693,EUconst_BMlistNames,0))=39,0,IF(ISNUMBER(L1803),L1803,EUconst_HeatBMvalue)),"")</f>
        <v/>
      </c>
      <c r="W1803" s="120" t="str">
        <f>IF(W1693,-SUM(M1802)*IF(INDEX(EUconst_BMlistNumberOfBM,MATCH($I1693,EUconst_BMlistNames,0))=39,0,IF(ISNUMBER(M1803),M1803,EUconst_HeatBMvalue)),"")</f>
        <v/>
      </c>
    </row>
    <row r="1804" spans="2:27" ht="12.75" customHeight="1" x14ac:dyDescent="0.2">
      <c r="B1804" s="207"/>
      <c r="C1804" s="1060"/>
      <c r="D1804" s="1061"/>
      <c r="E1804" s="1061"/>
      <c r="F1804" s="1061"/>
      <c r="G1804" s="1061"/>
      <c r="H1804" s="1061"/>
      <c r="I1804" s="1061"/>
      <c r="J1804" s="1061"/>
      <c r="K1804" s="1061"/>
      <c r="L1804" s="1061"/>
      <c r="M1804" s="1063"/>
      <c r="N1804" s="665"/>
      <c r="O1804" s="16"/>
      <c r="P1804" s="1037"/>
      <c r="R1804" s="1037"/>
      <c r="S1804" s="1037"/>
    </row>
    <row r="1805" spans="2:27" ht="12.75" customHeight="1" x14ac:dyDescent="0.2">
      <c r="B1805" s="207"/>
      <c r="C1805" s="1060"/>
      <c r="D1805" s="462" t="s">
        <v>220</v>
      </c>
      <c r="E1805" s="1731" t="str">
        <f>Translations!$B$772</f>
        <v>Bilans gazów odlotowych dla tej podinstalacji</v>
      </c>
      <c r="F1805" s="1734"/>
      <c r="G1805" s="1734"/>
      <c r="H1805" s="1734"/>
      <c r="I1805" s="1734"/>
      <c r="J1805" s="1734"/>
      <c r="K1805" s="1734"/>
      <c r="L1805" s="1734"/>
      <c r="M1805" s="1734"/>
      <c r="N1805" s="1735"/>
      <c r="O1805" s="16"/>
      <c r="P1805" s="1037"/>
      <c r="R1805" s="1037"/>
      <c r="S1805" s="1037"/>
    </row>
    <row r="1806" spans="2:27" ht="5.0999999999999996" customHeight="1" thickBot="1" x14ac:dyDescent="0.25">
      <c r="B1806" s="207"/>
      <c r="C1806" s="1060"/>
      <c r="D1806" s="1061"/>
      <c r="E1806" s="1733"/>
      <c r="F1806" s="1733"/>
      <c r="G1806" s="1733"/>
      <c r="H1806" s="1733"/>
      <c r="I1806" s="1733"/>
      <c r="J1806" s="1733"/>
      <c r="K1806" s="1733"/>
      <c r="L1806" s="1733"/>
      <c r="M1806" s="1733"/>
      <c r="N1806" s="1768"/>
      <c r="O1806" s="16"/>
      <c r="P1806" s="1037"/>
      <c r="R1806" s="1037"/>
      <c r="S1806" s="1037"/>
    </row>
    <row r="1807" spans="2:27" ht="12.75" customHeight="1" thickBot="1" x14ac:dyDescent="0.25">
      <c r="B1807" s="207"/>
      <c r="C1807" s="1060"/>
      <c r="D1807" s="699" t="s">
        <v>2</v>
      </c>
      <c r="E1807" s="1741" t="str">
        <f>Translations!$B$773</f>
        <v>Czy gazy odlotowe dotyczą tej podinstalacji?</v>
      </c>
      <c r="F1807" s="1741"/>
      <c r="G1807" s="1741"/>
      <c r="H1807" s="1741"/>
      <c r="I1807" s="1741"/>
      <c r="J1807" s="1741"/>
      <c r="K1807" s="1742"/>
      <c r="L1807" s="517"/>
      <c r="M1807" s="1253"/>
      <c r="N1807" s="1254"/>
      <c r="O1807" s="16"/>
      <c r="P1807" s="1037"/>
      <c r="R1807" s="1037"/>
      <c r="W1807" s="1048" t="s">
        <v>414</v>
      </c>
      <c r="X1807" s="1046" t="b">
        <f>IF(AND(I1693&lt;&gt;"",ISBLANK(L1807)),EUconst_Error&amp;"BM"&amp;C1693,FALSE)</f>
        <v>0</v>
      </c>
    </row>
    <row r="1808" spans="2:27" ht="5.0999999999999996" customHeight="1" thickBot="1" x14ac:dyDescent="0.25">
      <c r="B1808" s="207"/>
      <c r="C1808" s="1060"/>
      <c r="D1808" s="1061"/>
      <c r="E1808" s="1733"/>
      <c r="F1808" s="1734"/>
      <c r="G1808" s="1734"/>
      <c r="H1808" s="1734"/>
      <c r="I1808" s="1734"/>
      <c r="J1808" s="1734"/>
      <c r="K1808" s="1734"/>
      <c r="L1808" s="1734"/>
      <c r="M1808" s="1734"/>
      <c r="N1808" s="1735"/>
      <c r="O1808" s="16"/>
      <c r="P1808" s="1037"/>
      <c r="R1808" s="1037"/>
      <c r="AA1808" s="422" t="s">
        <v>272</v>
      </c>
    </row>
    <row r="1809" spans="2:27" ht="12.75" customHeight="1" x14ac:dyDescent="0.2">
      <c r="B1809" s="207"/>
      <c r="C1809" s="1060"/>
      <c r="D1809" s="699" t="s">
        <v>3</v>
      </c>
      <c r="E1809" s="1760" t="str">
        <f>Translations!$B$775</f>
        <v>Rodzaje wytworzonych gazów odlotowych:</v>
      </c>
      <c r="F1809" s="1760"/>
      <c r="G1809" s="1760"/>
      <c r="H1809" s="1760"/>
      <c r="I1809" s="1763"/>
      <c r="J1809" s="1764"/>
      <c r="K1809" s="1764"/>
      <c r="L1809" s="1764"/>
      <c r="M1809" s="1765"/>
      <c r="N1809" s="1254"/>
      <c r="O1809" s="16"/>
      <c r="P1809" s="1037"/>
      <c r="R1809" s="1037"/>
      <c r="AA1809" s="646" t="b">
        <f>IF(I1693&lt;&gt;"",AND(L1807&lt;&gt;"",L1807=FALSE),FALSE)</f>
        <v>0</v>
      </c>
    </row>
    <row r="1810" spans="2:27" ht="5.0999999999999996" customHeight="1" x14ac:dyDescent="0.2">
      <c r="B1810" s="207"/>
      <c r="C1810" s="1060"/>
      <c r="D1810" s="1061"/>
      <c r="E1810" s="1733"/>
      <c r="F1810" s="1734"/>
      <c r="G1810" s="1734"/>
      <c r="H1810" s="1734"/>
      <c r="I1810" s="1734"/>
      <c r="J1810" s="1734"/>
      <c r="K1810" s="1734"/>
      <c r="L1810" s="1734"/>
      <c r="M1810" s="1734"/>
      <c r="N1810" s="1735"/>
      <c r="O1810" s="16"/>
      <c r="P1810" s="1037"/>
      <c r="R1810" s="1037"/>
      <c r="S1810" s="1037"/>
      <c r="AA1810" s="608"/>
    </row>
    <row r="1811" spans="2:27" ht="12.75" customHeight="1" x14ac:dyDescent="0.2">
      <c r="B1811" s="207"/>
      <c r="C1811" s="1060"/>
      <c r="D1811" s="1061"/>
      <c r="E1811" s="1757"/>
      <c r="F1811" s="1758"/>
      <c r="G1811" s="1758"/>
      <c r="H1811" s="450" t="str">
        <f>EUconst_Unit</f>
        <v>Jednostka</v>
      </c>
      <c r="I1811" s="451">
        <f>I$1882</f>
        <v>2014</v>
      </c>
      <c r="J1811" s="451">
        <f>J$1882</f>
        <v>2015</v>
      </c>
      <c r="K1811" s="451">
        <f>K$1882</f>
        <v>2016</v>
      </c>
      <c r="L1811" s="451">
        <f>L$1882</f>
        <v>2017</v>
      </c>
      <c r="M1811" s="451">
        <f>M$1882</f>
        <v>2018</v>
      </c>
      <c r="N1811" s="1257"/>
      <c r="O1811" s="16"/>
      <c r="P1811" s="1037"/>
      <c r="R1811" s="1037"/>
      <c r="S1811" s="1037"/>
      <c r="AA1811" s="608"/>
    </row>
    <row r="1812" spans="2:27" ht="12.75" customHeight="1" x14ac:dyDescent="0.2">
      <c r="B1812" s="207"/>
      <c r="C1812" s="1060"/>
      <c r="D1812" s="699" t="s">
        <v>4</v>
      </c>
      <c r="E1812" s="1766" t="str">
        <f>Translations!$B$777</f>
        <v>Ilości wytworzone</v>
      </c>
      <c r="F1812" s="1767"/>
      <c r="G1812" s="1767"/>
      <c r="H1812" s="231"/>
      <c r="I1812" s="472"/>
      <c r="J1812" s="472"/>
      <c r="K1812" s="472"/>
      <c r="L1812" s="472"/>
      <c r="M1812" s="472"/>
      <c r="N1812" s="1257"/>
      <c r="O1812" s="16"/>
      <c r="P1812" s="1037"/>
      <c r="R1812" s="1037"/>
      <c r="S1812" s="1037"/>
      <c r="AA1812" s="345" t="b">
        <f>AA1809</f>
        <v>0</v>
      </c>
    </row>
    <row r="1813" spans="2:27" ht="12.75" customHeight="1" x14ac:dyDescent="0.2">
      <c r="B1813" s="207"/>
      <c r="C1813" s="1060"/>
      <c r="D1813" s="699" t="s">
        <v>6</v>
      </c>
      <c r="E1813" s="1743" t="str">
        <f>Translations!$B$470</f>
        <v>Wartość opałowa</v>
      </c>
      <c r="F1813" s="1744"/>
      <c r="G1813" s="1744"/>
      <c r="H1813" s="56" t="str">
        <f>IF(ISBLANK(H1812),EUconst_GJperUnit,INDEX(EUconst_GJperTorKNm3,MATCH(H1812,EUconst_TonnesOrkNm3pa,0)))</f>
        <v>GJ / Jednostka</v>
      </c>
      <c r="I1813" s="446"/>
      <c r="J1813" s="446"/>
      <c r="K1813" s="446"/>
      <c r="L1813" s="446"/>
      <c r="M1813" s="446"/>
      <c r="N1813" s="1257"/>
      <c r="O1813" s="16"/>
      <c r="R1813" s="1037"/>
      <c r="S1813" s="1037"/>
      <c r="T1813" s="1037"/>
      <c r="U1813" s="1037"/>
      <c r="V1813" s="1037"/>
      <c r="W1813" s="1037"/>
      <c r="AA1813" s="345" t="b">
        <f>AA1812</f>
        <v>0</v>
      </c>
    </row>
    <row r="1814" spans="2:27" ht="12.75" customHeight="1" x14ac:dyDescent="0.2">
      <c r="B1814" s="207"/>
      <c r="C1814" s="1060"/>
      <c r="D1814" s="699" t="s">
        <v>316</v>
      </c>
      <c r="E1814" s="1739" t="str">
        <f>Translations!$B$778</f>
        <v>Gazy odlotowe wytworzone</v>
      </c>
      <c r="F1814" s="1740"/>
      <c r="G1814" s="1740"/>
      <c r="H1814" s="453" t="str">
        <f>EUconst_TJpa</f>
        <v>TJ / rok</v>
      </c>
      <c r="I1814" s="513" t="str">
        <f>IF(COUNT(I1812:I1813)=2,I1812*I1813/1000,"")</f>
        <v/>
      </c>
      <c r="J1814" s="513" t="str">
        <f>IF(COUNT(J1812:J1813)=2,J1812*J1813/1000,"")</f>
        <v/>
      </c>
      <c r="K1814" s="513" t="str">
        <f>IF(COUNT(K1812:K1813)=2,K1812*K1813/1000,"")</f>
        <v/>
      </c>
      <c r="L1814" s="513" t="str">
        <f>IF(COUNT(L1812:L1813)=2,L1812*L1813/1000,"")</f>
        <v/>
      </c>
      <c r="M1814" s="513" t="str">
        <f>IF(COUNT(M1812:M1813)=2,M1812*M1813/1000,"")</f>
        <v/>
      </c>
      <c r="N1814" s="1257"/>
      <c r="O1814" s="16"/>
      <c r="P1814" s="1062" t="str">
        <f>EUconst_CNTR_WGProduced &amp; I1693</f>
        <v>WasteGasProd_</v>
      </c>
      <c r="R1814" s="1037"/>
      <c r="S1814" s="1037"/>
      <c r="T1814" s="1037"/>
      <c r="U1814" s="1037"/>
      <c r="V1814" s="1037"/>
      <c r="W1814" s="1037"/>
      <c r="AA1814" s="608"/>
    </row>
    <row r="1815" spans="2:27" ht="12.75" customHeight="1" x14ac:dyDescent="0.2">
      <c r="B1815" s="207"/>
      <c r="C1815" s="1060"/>
      <c r="D1815" s="699" t="s">
        <v>317</v>
      </c>
      <c r="E1815" s="1739" t="str">
        <f>Translations!$B$779</f>
        <v>Właściwy współczynnik emisji (gazy odlotowe wytworzone)</v>
      </c>
      <c r="F1815" s="1740"/>
      <c r="G1815" s="1740"/>
      <c r="H1815" s="453" t="str">
        <f>EUconst_tCO2pTJ</f>
        <v>t CO2 / TJ</v>
      </c>
      <c r="I1815" s="471"/>
      <c r="J1815" s="471"/>
      <c r="K1815" s="471"/>
      <c r="L1815" s="471"/>
      <c r="M1815" s="471"/>
      <c r="N1815" s="665"/>
      <c r="O1815" s="16"/>
      <c r="P1815" s="1062" t="str">
        <f>EUconst_CNTR_WGProducedEF &amp; I1693</f>
        <v>WasteGasProdEF_</v>
      </c>
      <c r="R1815" s="1037"/>
      <c r="S1815" s="1037"/>
      <c r="T1815" s="1037"/>
      <c r="U1815" s="1037"/>
      <c r="V1815" s="1037"/>
      <c r="W1815" s="1037"/>
      <c r="AA1815" s="345" t="b">
        <f>AA1813</f>
        <v>0</v>
      </c>
    </row>
    <row r="1816" spans="2:27" ht="12.75" customHeight="1" x14ac:dyDescent="0.2">
      <c r="B1816" s="207"/>
      <c r="C1816" s="1060"/>
      <c r="D1816" s="1061"/>
      <c r="E1816" s="1061"/>
      <c r="F1816" s="1061"/>
      <c r="G1816" s="1061"/>
      <c r="H1816" s="1061"/>
      <c r="I1816" s="1061"/>
      <c r="J1816" s="1061"/>
      <c r="K1816" s="1061"/>
      <c r="L1816" s="1061"/>
      <c r="M1816" s="1063"/>
      <c r="N1816" s="665"/>
      <c r="O1816" s="16"/>
      <c r="P1816" s="1037"/>
      <c r="R1816" s="1037"/>
      <c r="S1816" s="1037"/>
      <c r="T1816" s="1037"/>
      <c r="U1816" s="1037"/>
      <c r="V1816" s="1037"/>
      <c r="W1816" s="1037"/>
      <c r="AA1816" s="608"/>
    </row>
    <row r="1817" spans="2:27" ht="12.75" customHeight="1" x14ac:dyDescent="0.2">
      <c r="B1817" s="207"/>
      <c r="C1817" s="1060"/>
      <c r="D1817" s="699" t="s">
        <v>318</v>
      </c>
      <c r="E1817" s="1760" t="str">
        <f>Translations!$B$780</f>
        <v>Rodzaje zużytych gazów odlotowych:</v>
      </c>
      <c r="F1817" s="1760"/>
      <c r="G1817" s="1760"/>
      <c r="H1817" s="1760"/>
      <c r="I1817" s="1763"/>
      <c r="J1817" s="1764"/>
      <c r="K1817" s="1764"/>
      <c r="L1817" s="1764"/>
      <c r="M1817" s="1765"/>
      <c r="N1817" s="1254"/>
      <c r="O1817" s="16"/>
      <c r="P1817" s="1037"/>
      <c r="R1817" s="1037"/>
      <c r="S1817" s="1037"/>
      <c r="T1817" s="1037"/>
      <c r="U1817" s="1037"/>
      <c r="V1817" s="1037"/>
      <c r="W1817" s="1037"/>
      <c r="AA1817" s="345" t="b">
        <f>AA1815</f>
        <v>0</v>
      </c>
    </row>
    <row r="1818" spans="2:27" ht="5.0999999999999996" customHeight="1" x14ac:dyDescent="0.2">
      <c r="B1818" s="207"/>
      <c r="C1818" s="1060"/>
      <c r="D1818" s="699"/>
      <c r="E1818" s="1733"/>
      <c r="F1818" s="1734"/>
      <c r="G1818" s="1734"/>
      <c r="H1818" s="1734"/>
      <c r="I1818" s="1734"/>
      <c r="J1818" s="1734"/>
      <c r="K1818" s="1734"/>
      <c r="L1818" s="1734"/>
      <c r="M1818" s="1734"/>
      <c r="N1818" s="1735"/>
      <c r="O1818" s="16"/>
      <c r="P1818" s="1037"/>
      <c r="R1818" s="1037"/>
      <c r="S1818" s="1037"/>
      <c r="T1818" s="1037"/>
      <c r="U1818" s="1037"/>
      <c r="V1818" s="1037"/>
      <c r="W1818" s="1037"/>
      <c r="AA1818" s="608"/>
    </row>
    <row r="1819" spans="2:27" ht="12.75" customHeight="1" x14ac:dyDescent="0.2">
      <c r="B1819" s="207"/>
      <c r="C1819" s="1060"/>
      <c r="D1819" s="1061"/>
      <c r="E1819" s="1757"/>
      <c r="F1819" s="1758"/>
      <c r="G1819" s="1758"/>
      <c r="H1819" s="450" t="str">
        <f>EUconst_Unit</f>
        <v>Jednostka</v>
      </c>
      <c r="I1819" s="451">
        <f>I$1882</f>
        <v>2014</v>
      </c>
      <c r="J1819" s="451">
        <f>J$1882</f>
        <v>2015</v>
      </c>
      <c r="K1819" s="451">
        <f>K$1882</f>
        <v>2016</v>
      </c>
      <c r="L1819" s="451">
        <f>L$1882</f>
        <v>2017</v>
      </c>
      <c r="M1819" s="451">
        <f>M$1882</f>
        <v>2018</v>
      </c>
      <c r="N1819" s="1257"/>
      <c r="O1819" s="16"/>
      <c r="P1819" s="1037"/>
      <c r="R1819" s="1037"/>
      <c r="S1819" s="1037"/>
      <c r="T1819" s="1037"/>
      <c r="U1819" s="1037"/>
      <c r="V1819" s="1037"/>
      <c r="W1819" s="1037"/>
      <c r="AA1819" s="608"/>
    </row>
    <row r="1820" spans="2:27" ht="12.75" customHeight="1" x14ac:dyDescent="0.2">
      <c r="B1820" s="207"/>
      <c r="C1820" s="1060"/>
      <c r="D1820" s="699" t="s">
        <v>319</v>
      </c>
      <c r="E1820" s="1766" t="str">
        <f>Translations!$B$782</f>
        <v>Ilości zużyte</v>
      </c>
      <c r="F1820" s="1767"/>
      <c r="G1820" s="1767"/>
      <c r="H1820" s="231"/>
      <c r="I1820" s="472"/>
      <c r="J1820" s="472"/>
      <c r="K1820" s="472"/>
      <c r="L1820" s="472"/>
      <c r="M1820" s="472"/>
      <c r="N1820" s="1257"/>
      <c r="O1820" s="16"/>
      <c r="P1820" s="1037"/>
      <c r="R1820" s="1037"/>
      <c r="S1820" s="1037"/>
      <c r="T1820" s="1037"/>
      <c r="U1820" s="1037"/>
      <c r="V1820" s="1037"/>
      <c r="W1820" s="1037"/>
      <c r="AA1820" s="345" t="b">
        <f>AA1817</f>
        <v>0</v>
      </c>
    </row>
    <row r="1821" spans="2:27" ht="12.75" customHeight="1" x14ac:dyDescent="0.2">
      <c r="B1821" s="207"/>
      <c r="C1821" s="1060"/>
      <c r="D1821" s="699" t="s">
        <v>320</v>
      </c>
      <c r="E1821" s="1743" t="str">
        <f>Translations!$B$470</f>
        <v>Wartość opałowa</v>
      </c>
      <c r="F1821" s="1744"/>
      <c r="G1821" s="1744"/>
      <c r="H1821" s="56" t="str">
        <f>IF(ISBLANK(H1820),EUconst_GJperUnit,INDEX(EUconst_GJperTorKNm3,MATCH(H1820,EUconst_TonnesOrkNm3pa,0)))</f>
        <v>GJ / Jednostka</v>
      </c>
      <c r="I1821" s="446"/>
      <c r="J1821" s="446"/>
      <c r="K1821" s="446"/>
      <c r="L1821" s="446"/>
      <c r="M1821" s="446"/>
      <c r="N1821" s="1257"/>
      <c r="O1821" s="16"/>
      <c r="R1821" s="1037"/>
      <c r="S1821" s="1037"/>
      <c r="T1821" s="1037"/>
      <c r="U1821" s="1037"/>
      <c r="V1821" s="1037"/>
      <c r="W1821" s="1037"/>
      <c r="AA1821" s="345" t="b">
        <f>AA1820</f>
        <v>0</v>
      </c>
    </row>
    <row r="1822" spans="2:27" ht="12.75" customHeight="1" x14ac:dyDescent="0.2">
      <c r="B1822" s="207"/>
      <c r="C1822" s="1060"/>
      <c r="D1822" s="699" t="s">
        <v>16</v>
      </c>
      <c r="E1822" s="1739" t="str">
        <f>Translations!$B$783</f>
        <v>Gazy odlotowe zużyte</v>
      </c>
      <c r="F1822" s="1740"/>
      <c r="G1822" s="1740"/>
      <c r="H1822" s="453" t="str">
        <f>EUconst_TJpa</f>
        <v>TJ / rok</v>
      </c>
      <c r="I1822" s="513" t="str">
        <f>IF(COUNT(I1820:I1821)=2,I1820*I1821/1000,"")</f>
        <v/>
      </c>
      <c r="J1822" s="513" t="str">
        <f>IF(COUNT(J1820:J1821)=2,J1820*J1821/1000,"")</f>
        <v/>
      </c>
      <c r="K1822" s="513" t="str">
        <f>IF(COUNT(K1820:K1821)=2,K1820*K1821/1000,"")</f>
        <v/>
      </c>
      <c r="L1822" s="513" t="str">
        <f>IF(COUNT(L1820:L1821)=2,L1820*L1821/1000,"")</f>
        <v/>
      </c>
      <c r="M1822" s="513" t="str">
        <f>IF(COUNT(M1820:M1821)=2,M1820*M1821/1000,"")</f>
        <v/>
      </c>
      <c r="N1822" s="1257"/>
      <c r="O1822" s="16"/>
      <c r="P1822" s="1062" t="str">
        <f>EUconst_CNTR_WGConsumed &amp; I1693</f>
        <v>WasteGasCons_</v>
      </c>
      <c r="R1822" s="1037"/>
      <c r="S1822" s="1037"/>
      <c r="T1822" s="1037"/>
      <c r="U1822" s="1037"/>
      <c r="V1822" s="1037"/>
      <c r="W1822" s="1037"/>
      <c r="AA1822" s="608"/>
    </row>
    <row r="1823" spans="2:27" ht="12.75" customHeight="1" x14ac:dyDescent="0.2">
      <c r="B1823" s="207"/>
      <c r="C1823" s="1060"/>
      <c r="D1823" s="699" t="s">
        <v>17</v>
      </c>
      <c r="E1823" s="1739" t="str">
        <f>Translations!$B$784</f>
        <v>Właściwy współczynnik emisji (gazy odlotowe zużyte)</v>
      </c>
      <c r="F1823" s="1740"/>
      <c r="G1823" s="1740"/>
      <c r="H1823" s="453" t="str">
        <f>EUconst_tCO2pTJ</f>
        <v>t CO2 / TJ</v>
      </c>
      <c r="I1823" s="471"/>
      <c r="J1823" s="471"/>
      <c r="K1823" s="471"/>
      <c r="L1823" s="471"/>
      <c r="M1823" s="471"/>
      <c r="N1823" s="665"/>
      <c r="O1823" s="16"/>
      <c r="P1823" s="1062" t="str">
        <f>EUconst_CNTR_WGConsumedEF &amp; I1693</f>
        <v>WasteGasConsEF_</v>
      </c>
      <c r="R1823" s="1037"/>
      <c r="S1823" s="1037"/>
      <c r="T1823" s="1037"/>
      <c r="U1823" s="1037"/>
      <c r="V1823" s="1037"/>
      <c r="W1823" s="1037"/>
      <c r="AA1823" s="345" t="b">
        <f>AA1821</f>
        <v>0</v>
      </c>
    </row>
    <row r="1824" spans="2:27" ht="12.75" customHeight="1" x14ac:dyDescent="0.2">
      <c r="B1824" s="207"/>
      <c r="C1824" s="1060"/>
      <c r="D1824" s="1061"/>
      <c r="E1824" s="1061"/>
      <c r="F1824" s="1061"/>
      <c r="G1824" s="1061"/>
      <c r="H1824" s="1061"/>
      <c r="I1824" s="1061"/>
      <c r="J1824" s="1061"/>
      <c r="K1824" s="1061"/>
      <c r="L1824" s="1061"/>
      <c r="M1824" s="1063"/>
      <c r="N1824" s="665"/>
      <c r="O1824" s="16"/>
      <c r="P1824" s="1037"/>
      <c r="R1824" s="1037"/>
      <c r="S1824" s="1037"/>
      <c r="AA1824" s="608"/>
    </row>
    <row r="1825" spans="1:27" ht="12.75" customHeight="1" x14ac:dyDescent="0.2">
      <c r="B1825" s="207"/>
      <c r="C1825" s="1060"/>
      <c r="D1825" s="699" t="s">
        <v>18</v>
      </c>
      <c r="E1825" s="1760" t="str">
        <f>Translations!$B$785</f>
        <v>Rodzaje gazów odlotowych spalonych na pochodniach:</v>
      </c>
      <c r="F1825" s="1760"/>
      <c r="G1825" s="1760"/>
      <c r="H1825" s="1760"/>
      <c r="I1825" s="1763"/>
      <c r="J1825" s="1764"/>
      <c r="K1825" s="1764"/>
      <c r="L1825" s="1764"/>
      <c r="M1825" s="1765"/>
      <c r="N1825" s="1254"/>
      <c r="O1825" s="16"/>
      <c r="P1825" s="1037"/>
      <c r="R1825" s="1037"/>
      <c r="AA1825" s="345" t="b">
        <f>AA1815</f>
        <v>0</v>
      </c>
    </row>
    <row r="1826" spans="1:27" ht="5.0999999999999996" customHeight="1" x14ac:dyDescent="0.2">
      <c r="B1826" s="207"/>
      <c r="C1826" s="1060"/>
      <c r="D1826" s="699"/>
      <c r="E1826" s="1733"/>
      <c r="F1826" s="1734"/>
      <c r="G1826" s="1734"/>
      <c r="H1826" s="1734"/>
      <c r="I1826" s="1734"/>
      <c r="J1826" s="1734"/>
      <c r="K1826" s="1734"/>
      <c r="L1826" s="1734"/>
      <c r="M1826" s="1734"/>
      <c r="N1826" s="1735"/>
      <c r="O1826" s="16"/>
      <c r="P1826" s="1037"/>
      <c r="S1826" s="1037"/>
      <c r="AA1826" s="608"/>
    </row>
    <row r="1827" spans="1:27" ht="12.75" customHeight="1" x14ac:dyDescent="0.2">
      <c r="B1827" s="207"/>
      <c r="C1827" s="1060"/>
      <c r="D1827" s="1061"/>
      <c r="E1827" s="1757"/>
      <c r="F1827" s="1758"/>
      <c r="G1827" s="1758"/>
      <c r="H1827" s="450" t="str">
        <f>EUconst_Unit</f>
        <v>Jednostka</v>
      </c>
      <c r="I1827" s="451">
        <f>I$1882</f>
        <v>2014</v>
      </c>
      <c r="J1827" s="451">
        <f>J$1882</f>
        <v>2015</v>
      </c>
      <c r="K1827" s="451">
        <f>K$1882</f>
        <v>2016</v>
      </c>
      <c r="L1827" s="451">
        <f>L$1882</f>
        <v>2017</v>
      </c>
      <c r="M1827" s="451">
        <f>M$1882</f>
        <v>2018</v>
      </c>
      <c r="N1827" s="1257"/>
      <c r="O1827" s="16"/>
      <c r="P1827" s="1037"/>
      <c r="AA1827" s="608"/>
    </row>
    <row r="1828" spans="1:27" ht="12.75" customHeight="1" thickBot="1" x14ac:dyDescent="0.25">
      <c r="B1828" s="207"/>
      <c r="C1828" s="1060"/>
      <c r="D1828" s="699" t="s">
        <v>454</v>
      </c>
      <c r="E1828" s="1766" t="str">
        <f>Translations!$B$789</f>
        <v>Ilości spalone na pochodniach</v>
      </c>
      <c r="F1828" s="1767"/>
      <c r="G1828" s="1767"/>
      <c r="H1828" s="231"/>
      <c r="I1828" s="472"/>
      <c r="J1828" s="472"/>
      <c r="K1828" s="472"/>
      <c r="L1828" s="472"/>
      <c r="M1828" s="472"/>
      <c r="N1828" s="1257"/>
      <c r="O1828" s="16"/>
      <c r="P1828" s="1037"/>
      <c r="R1828" s="1037" t="s">
        <v>546</v>
      </c>
      <c r="AA1828" s="345" t="b">
        <f>AA1825</f>
        <v>0</v>
      </c>
    </row>
    <row r="1829" spans="1:27" ht="12.75" customHeight="1" thickBot="1" x14ac:dyDescent="0.25">
      <c r="B1829" s="207"/>
      <c r="C1829" s="1060"/>
      <c r="D1829" s="699" t="s">
        <v>455</v>
      </c>
      <c r="E1829" s="1743" t="str">
        <f>Translations!$B$470</f>
        <v>Wartość opałowa</v>
      </c>
      <c r="F1829" s="1744"/>
      <c r="G1829" s="1744"/>
      <c r="H1829" s="56" t="str">
        <f>IF(ISBLANK(H1828),EUconst_GJperUnit,INDEX(EUconst_GJperTorKNm3,MATCH(H1828,EUconst_TonnesOrkNm3pa,0)))</f>
        <v>GJ / Jednostka</v>
      </c>
      <c r="I1829" s="446"/>
      <c r="J1829" s="446"/>
      <c r="K1829" s="446"/>
      <c r="L1829" s="446"/>
      <c r="M1829" s="446"/>
      <c r="N1829" s="1257"/>
      <c r="O1829" s="16"/>
      <c r="R1829" s="712" t="s">
        <v>437</v>
      </c>
      <c r="S1829" s="709">
        <f>I1827</f>
        <v>2014</v>
      </c>
      <c r="T1829" s="710">
        <f>J1827</f>
        <v>2015</v>
      </c>
      <c r="U1829" s="710">
        <f>K1827</f>
        <v>2016</v>
      </c>
      <c r="V1829" s="710">
        <f>L1827</f>
        <v>2017</v>
      </c>
      <c r="W1829" s="711">
        <f>M1827</f>
        <v>2018</v>
      </c>
      <c r="AA1829" s="345" t="b">
        <f>AA1828</f>
        <v>0</v>
      </c>
    </row>
    <row r="1830" spans="1:27" ht="12.75" customHeight="1" thickBot="1" x14ac:dyDescent="0.25">
      <c r="B1830" s="207"/>
      <c r="C1830" s="1060"/>
      <c r="D1830" s="699" t="s">
        <v>456</v>
      </c>
      <c r="E1830" s="1739" t="str">
        <f>Translations!$B$790</f>
        <v>Gazy odlotowe spalone na pochodniach</v>
      </c>
      <c r="F1830" s="1740"/>
      <c r="G1830" s="1740"/>
      <c r="H1830" s="453" t="str">
        <f>EUconst_TJpa</f>
        <v>TJ / rok</v>
      </c>
      <c r="I1830" s="513" t="str">
        <f>IF(COUNT(I1828:I1829)=2,I1828*I1829/1000,"")</f>
        <v/>
      </c>
      <c r="J1830" s="513" t="str">
        <f>IF(COUNT(J1828:J1829)=2,J1828*J1829/1000,"")</f>
        <v/>
      </c>
      <c r="K1830" s="513" t="str">
        <f>IF(COUNT(K1828:K1829)=2,K1828*K1829/1000,"")</f>
        <v/>
      </c>
      <c r="L1830" s="513" t="str">
        <f>IF(COUNT(L1828:L1829)=2,L1828*L1829/1000,"")</f>
        <v/>
      </c>
      <c r="M1830" s="513" t="str">
        <f>IF(COUNT(M1828:M1829)=2,M1828*M1829/1000,"")</f>
        <v/>
      </c>
      <c r="N1830" s="1257"/>
      <c r="O1830" s="16"/>
      <c r="P1830" s="1062" t="str">
        <f>EUconst_CNTR_WGFlared &amp; I1693</f>
        <v>WasteGasFlare_</v>
      </c>
      <c r="R1830" s="347" t="str">
        <f>IF(COUNT(S1830:W1830)&gt;0,AVERAGE(S1830:W1830),"")</f>
        <v/>
      </c>
      <c r="S1830" s="442" t="str">
        <f>IF(S1693,IF(ISNUMBER(I1830),I1830,0),"")</f>
        <v/>
      </c>
      <c r="T1830" s="443" t="str">
        <f>IF(T1693,IF(ISNUMBER(J1830),J1830,0),"")</f>
        <v/>
      </c>
      <c r="U1830" s="443" t="str">
        <f>IF(U1693,IF(ISNUMBER(K1830),K1830,0),"")</f>
        <v/>
      </c>
      <c r="V1830" s="443" t="str">
        <f>IF(V1693,IF(ISNUMBER(L1830),L1830,0),"")</f>
        <v/>
      </c>
      <c r="W1830" s="444" t="str">
        <f>IF(W1693,IF(ISNUMBER(M1830),M1830,0),"")</f>
        <v/>
      </c>
      <c r="AA1830" s="608"/>
    </row>
    <row r="1831" spans="1:27" ht="12.75" customHeight="1" thickBot="1" x14ac:dyDescent="0.25">
      <c r="B1831" s="207"/>
      <c r="C1831" s="1060"/>
      <c r="D1831" s="699" t="s">
        <v>457</v>
      </c>
      <c r="E1831" s="1739" t="str">
        <f>Translations!$B$791</f>
        <v>Właściwy współczynnik emisji (gazy odlotowe spalone na pochodniach)</v>
      </c>
      <c r="F1831" s="1740"/>
      <c r="G1831" s="1740"/>
      <c r="H1831" s="453" t="str">
        <f>EUconst_tCO2pTJ</f>
        <v>t CO2 / TJ</v>
      </c>
      <c r="I1831" s="471"/>
      <c r="J1831" s="471"/>
      <c r="K1831" s="471"/>
      <c r="L1831" s="471"/>
      <c r="M1831" s="471"/>
      <c r="N1831" s="665"/>
      <c r="O1831" s="16"/>
      <c r="P1831" s="1062" t="str">
        <f>EUconst_CNTR_WGFlaredEF &amp; I1693</f>
        <v>WasteGasFlareEF_</v>
      </c>
      <c r="R1831" s="854" t="str">
        <f>IF(COUNT(S1831:W1831)&gt;0,AVERAGE(S1831:W1831),"")</f>
        <v/>
      </c>
      <c r="S1831" s="442" t="str">
        <f>IF(S1693,SUM(I1830)*SUM(I1831),"")</f>
        <v/>
      </c>
      <c r="T1831" s="443" t="str">
        <f>IF(T1693,SUM(J1830)*SUM(J1831),"")</f>
        <v/>
      </c>
      <c r="U1831" s="443" t="str">
        <f>IF(U1693,SUM(K1830)*SUM(K1831),"")</f>
        <v/>
      </c>
      <c r="V1831" s="443" t="str">
        <f>IF(V1693,SUM(L1830)*SUM(L1831),"")</f>
        <v/>
      </c>
      <c r="W1831" s="444" t="str">
        <f>IF(W1693,SUM(M1830)*SUM(M1831),"")</f>
        <v/>
      </c>
      <c r="AA1831" s="345" t="b">
        <f>AA1829</f>
        <v>0</v>
      </c>
    </row>
    <row r="1832" spans="1:27" ht="12.75" customHeight="1" x14ac:dyDescent="0.2">
      <c r="B1832" s="207"/>
      <c r="C1832" s="1060"/>
      <c r="D1832" s="1061"/>
      <c r="E1832" s="1061"/>
      <c r="F1832" s="1061"/>
      <c r="G1832" s="1061"/>
      <c r="H1832" s="1061"/>
      <c r="I1832" s="1061"/>
      <c r="J1832" s="1061"/>
      <c r="K1832" s="1061"/>
      <c r="L1832" s="1061"/>
      <c r="M1832" s="1063"/>
      <c r="N1832" s="665"/>
      <c r="O1832" s="16"/>
      <c r="P1832" s="1037"/>
      <c r="R1832" s="1037"/>
      <c r="S1832" s="1037"/>
      <c r="AA1832" s="608"/>
    </row>
    <row r="1833" spans="1:27" ht="12.75" customHeight="1" x14ac:dyDescent="0.2">
      <c r="B1833" s="207"/>
      <c r="C1833" s="1060"/>
      <c r="D1833" s="699" t="s">
        <v>458</v>
      </c>
      <c r="E1833" s="1760" t="str">
        <f>Translations!$B$792</f>
        <v>Rodzaje gazów odlotowych wprowadzonych:</v>
      </c>
      <c r="F1833" s="1760"/>
      <c r="G1833" s="1760"/>
      <c r="H1833" s="1760"/>
      <c r="I1833" s="1763"/>
      <c r="J1833" s="1764"/>
      <c r="K1833" s="1764"/>
      <c r="L1833" s="1764"/>
      <c r="M1833" s="1765"/>
      <c r="N1833" s="665"/>
      <c r="O1833" s="16"/>
      <c r="P1833" s="1037"/>
      <c r="R1833" s="1037"/>
      <c r="AA1833" s="345" t="b">
        <f>AA1813</f>
        <v>0</v>
      </c>
    </row>
    <row r="1834" spans="1:27" ht="5.0999999999999996" customHeight="1" x14ac:dyDescent="0.2">
      <c r="B1834" s="207"/>
      <c r="C1834" s="1060"/>
      <c r="D1834" s="699"/>
      <c r="E1834" s="1730"/>
      <c r="F1834" s="1731"/>
      <c r="G1834" s="1731"/>
      <c r="H1834" s="1731"/>
      <c r="I1834" s="1731"/>
      <c r="J1834" s="1731"/>
      <c r="K1834" s="1731"/>
      <c r="L1834" s="1731"/>
      <c r="M1834" s="1731"/>
      <c r="N1834" s="1732"/>
      <c r="O1834" s="16"/>
      <c r="P1834" s="1037"/>
      <c r="R1834" s="1037"/>
      <c r="S1834" s="1037"/>
      <c r="AA1834" s="608"/>
    </row>
    <row r="1835" spans="1:27" ht="12.75" customHeight="1" x14ac:dyDescent="0.2">
      <c r="B1835" s="207"/>
      <c r="C1835" s="1060"/>
      <c r="D1835" s="1061"/>
      <c r="E1835" s="1757"/>
      <c r="F1835" s="1758"/>
      <c r="G1835" s="1758"/>
      <c r="H1835" s="450" t="str">
        <f>EUconst_Unit</f>
        <v>Jednostka</v>
      </c>
      <c r="I1835" s="451">
        <f>I$1882</f>
        <v>2014</v>
      </c>
      <c r="J1835" s="451">
        <f>J$1882</f>
        <v>2015</v>
      </c>
      <c r="K1835" s="451">
        <f>K$1882</f>
        <v>2016</v>
      </c>
      <c r="L1835" s="451">
        <f>L$1882</f>
        <v>2017</v>
      </c>
      <c r="M1835" s="451">
        <f>M$1882</f>
        <v>2018</v>
      </c>
      <c r="N1835" s="1257"/>
      <c r="O1835" s="16"/>
      <c r="P1835" s="1037"/>
      <c r="R1835" s="1037"/>
      <c r="S1835" s="1037"/>
      <c r="AA1835" s="608"/>
    </row>
    <row r="1836" spans="1:27" ht="12.75" customHeight="1" thickBot="1" x14ac:dyDescent="0.25">
      <c r="B1836" s="207"/>
      <c r="C1836" s="1060"/>
      <c r="D1836" s="699" t="s">
        <v>459</v>
      </c>
      <c r="E1836" s="1766" t="str">
        <f>Translations!$B$795</f>
        <v>Ilości wprowadzone</v>
      </c>
      <c r="F1836" s="1767"/>
      <c r="G1836" s="1767"/>
      <c r="H1836" s="231"/>
      <c r="I1836" s="472"/>
      <c r="J1836" s="472"/>
      <c r="K1836" s="472"/>
      <c r="L1836" s="472"/>
      <c r="M1836" s="472"/>
      <c r="N1836" s="1257"/>
      <c r="O1836" s="16"/>
      <c r="P1836" s="1037"/>
      <c r="R1836" s="1037"/>
      <c r="S1836" s="1037"/>
      <c r="AA1836" s="345" t="b">
        <f>AA1833</f>
        <v>0</v>
      </c>
    </row>
    <row r="1837" spans="1:27" ht="12.75" customHeight="1" x14ac:dyDescent="0.2">
      <c r="B1837" s="207"/>
      <c r="C1837" s="1060"/>
      <c r="D1837" s="699" t="s">
        <v>460</v>
      </c>
      <c r="E1837" s="1743" t="str">
        <f>Translations!$B$470</f>
        <v>Wartość opałowa</v>
      </c>
      <c r="F1837" s="1744"/>
      <c r="G1837" s="1744"/>
      <c r="H1837" s="56" t="str">
        <f>IF(ISBLANK(H1836),EUconst_GJperUnit,INDEX(EUconst_GJperTorKNm3,MATCH(H1836,EUconst_TonnesOrkNm3pa,0)))</f>
        <v>GJ / Jednostka</v>
      </c>
      <c r="I1837" s="446"/>
      <c r="J1837" s="446"/>
      <c r="K1837" s="446"/>
      <c r="L1837" s="446"/>
      <c r="M1837" s="446"/>
      <c r="N1837" s="1257"/>
      <c r="O1837" s="16"/>
      <c r="P1837" s="1065"/>
      <c r="R1837" s="1052"/>
      <c r="S1837" s="814">
        <f>I1835</f>
        <v>2014</v>
      </c>
      <c r="T1837" s="814">
        <f>J1835</f>
        <v>2015</v>
      </c>
      <c r="U1837" s="814">
        <f>K1835</f>
        <v>2016</v>
      </c>
      <c r="V1837" s="814">
        <f>L1835</f>
        <v>2017</v>
      </c>
      <c r="W1837" s="815">
        <f>M1835</f>
        <v>2018</v>
      </c>
      <c r="AA1837" s="345" t="b">
        <f>AA1836</f>
        <v>0</v>
      </c>
    </row>
    <row r="1838" spans="1:27" ht="12.75" customHeight="1" x14ac:dyDescent="0.2">
      <c r="B1838" s="207"/>
      <c r="C1838" s="1060"/>
      <c r="D1838" s="699" t="s">
        <v>461</v>
      </c>
      <c r="E1838" s="1739" t="str">
        <f>Translations!$B$796</f>
        <v>Gazy odlotowe wprowadzone</v>
      </c>
      <c r="F1838" s="1740"/>
      <c r="G1838" s="1740"/>
      <c r="H1838" s="453" t="str">
        <f>EUconst_TJpa</f>
        <v>TJ / rok</v>
      </c>
      <c r="I1838" s="433" t="str">
        <f>IF(COUNT(I1836:I1837)=2,I1836*I1837/1000,"")</f>
        <v/>
      </c>
      <c r="J1838" s="433" t="str">
        <f>IF(COUNT(J1836:J1837)=2,J1836*J1837/1000,"")</f>
        <v/>
      </c>
      <c r="K1838" s="433" t="str">
        <f>IF(COUNT(K1836:K1837)=2,K1836*K1837/1000,"")</f>
        <v/>
      </c>
      <c r="L1838" s="433" t="str">
        <f>IF(COUNT(L1836:L1837)=2,L1836*L1837/1000,"")</f>
        <v/>
      </c>
      <c r="M1838" s="433" t="str">
        <f>IF(COUNT(M1836:M1837)=2,M1836*M1837/1000,"")</f>
        <v/>
      </c>
      <c r="N1838" s="1257"/>
      <c r="O1838" s="16"/>
      <c r="P1838" s="1062" t="str">
        <f>EUconst_CNTR_WGImport &amp; I1693</f>
        <v>WasteGasIm_</v>
      </c>
      <c r="R1838" s="1064" t="str">
        <f>EUconst_ERR_AttrEmBMapplied &amp; I1693</f>
        <v>ERR_AttrEmBM_ </v>
      </c>
      <c r="S1838" s="116">
        <f>IF(AND(I1838&lt;&gt;"",EUconst_StatusOfDataCollection=FALSE),1,0)</f>
        <v>0</v>
      </c>
      <c r="T1838" s="116">
        <f>IF(AND(J1838&lt;&gt;"",EUconst_StatusOfDataCollection=FALSE),1,0)</f>
        <v>0</v>
      </c>
      <c r="U1838" s="116">
        <f>IF(AND(K1838&lt;&gt;"",EUconst_StatusOfDataCollection=FALSE),1,0)</f>
        <v>0</v>
      </c>
      <c r="V1838" s="116">
        <f>IF(AND(L1838&lt;&gt;"",EUconst_StatusOfDataCollection=FALSE),1,0)</f>
        <v>0</v>
      </c>
      <c r="W1838" s="117">
        <f>IF(AND(M1838&lt;&gt;"",EUconst_StatusOfDataCollection=FALSE),1,0)</f>
        <v>0</v>
      </c>
      <c r="AA1838" s="608"/>
    </row>
    <row r="1839" spans="1:27" s="701" customFormat="1" ht="12.75" customHeight="1" thickBot="1" x14ac:dyDescent="0.25">
      <c r="A1839" s="422"/>
      <c r="B1839" s="207"/>
      <c r="C1839" s="1060"/>
      <c r="D1839" s="699" t="s">
        <v>462</v>
      </c>
      <c r="E1839" s="1739" t="str">
        <f>Translations!$B$797</f>
        <v>Właściwy współczynnik emisji (gazy odlotowe wprowadzone)</v>
      </c>
      <c r="F1839" s="1739"/>
      <c r="G1839" s="1739"/>
      <c r="H1839" s="452" t="str">
        <f>EUconst_tCO2pTJ</f>
        <v>t CO2 / TJ</v>
      </c>
      <c r="I1839" s="765"/>
      <c r="J1839" s="765"/>
      <c r="K1839" s="765"/>
      <c r="L1839" s="765"/>
      <c r="M1839" s="765"/>
      <c r="N1839" s="665"/>
      <c r="O1839" s="16"/>
      <c r="P1839" s="1062" t="str">
        <f>EUconst_CNTR_WGImportEF &amp; I1693</f>
        <v>WasteGasImEF_</v>
      </c>
      <c r="Q1839" s="422"/>
      <c r="R1839" s="1053" t="str">
        <f>EUconst_CNTR_AttributedEmissions &amp; I1693</f>
        <v>AttrEmissions_</v>
      </c>
      <c r="S1839" s="119" t="str">
        <f>IF(S1693,SUM(I1838)*EUconst_FuelBMvalue,"")</f>
        <v/>
      </c>
      <c r="T1839" s="119" t="str">
        <f>IF(T1693,SUM(J1838)*EUconst_FuelBMvalue,"")</f>
        <v/>
      </c>
      <c r="U1839" s="119" t="str">
        <f>IF(U1693,SUM(K1838)*EUconst_FuelBMvalue,"")</f>
        <v/>
      </c>
      <c r="V1839" s="119" t="str">
        <f>IF(V1693,SUM(L1838)*EUconst_FuelBMvalue,"")</f>
        <v/>
      </c>
      <c r="W1839" s="120" t="str">
        <f>IF(W1693,SUM(M1838)*EUconst_FuelBMvalue,"")</f>
        <v/>
      </c>
      <c r="X1839" s="422"/>
      <c r="Y1839" s="422"/>
      <c r="Z1839" s="422"/>
      <c r="AA1839" s="345" t="b">
        <f>AA1837</f>
        <v>0</v>
      </c>
    </row>
    <row r="1840" spans="1:27" ht="12.75" customHeight="1" x14ac:dyDescent="0.2">
      <c r="B1840" s="207"/>
      <c r="C1840" s="1060"/>
      <c r="D1840" s="1061"/>
      <c r="E1840" s="1061"/>
      <c r="F1840" s="1061"/>
      <c r="G1840" s="1061"/>
      <c r="H1840" s="1061"/>
      <c r="I1840" s="1061"/>
      <c r="J1840" s="1061"/>
      <c r="K1840" s="1061"/>
      <c r="L1840" s="1061"/>
      <c r="M1840" s="1063"/>
      <c r="N1840" s="665"/>
      <c r="O1840" s="16"/>
      <c r="P1840" s="1037"/>
      <c r="R1840" s="1037"/>
      <c r="S1840" s="1037"/>
      <c r="AA1840" s="608"/>
    </row>
    <row r="1841" spans="1:27" ht="12.75" customHeight="1" x14ac:dyDescent="0.2">
      <c r="B1841" s="207"/>
      <c r="C1841" s="1060"/>
      <c r="D1841" s="699" t="s">
        <v>463</v>
      </c>
      <c r="E1841" s="1760" t="str">
        <f>Translations!$B$798</f>
        <v>Rodzaje wyprowadzonych gazów odlotowych:</v>
      </c>
      <c r="F1841" s="1760"/>
      <c r="G1841" s="1760"/>
      <c r="H1841" s="1760"/>
      <c r="I1841" s="1763"/>
      <c r="J1841" s="1764"/>
      <c r="K1841" s="1764"/>
      <c r="L1841" s="1764"/>
      <c r="M1841" s="1765"/>
      <c r="N1841" s="1254"/>
      <c r="O1841" s="16"/>
      <c r="P1841" s="1037"/>
      <c r="R1841" s="1037"/>
      <c r="AA1841" s="345" t="b">
        <f>AA1836</f>
        <v>0</v>
      </c>
    </row>
    <row r="1842" spans="1:27" ht="5.0999999999999996" customHeight="1" x14ac:dyDescent="0.2">
      <c r="B1842" s="207"/>
      <c r="C1842" s="1060"/>
      <c r="D1842" s="699"/>
      <c r="E1842" s="1733"/>
      <c r="F1842" s="1734"/>
      <c r="G1842" s="1734"/>
      <c r="H1842" s="1734"/>
      <c r="I1842" s="1734"/>
      <c r="J1842" s="1734"/>
      <c r="K1842" s="1734"/>
      <c r="L1842" s="1734"/>
      <c r="M1842" s="1734"/>
      <c r="N1842" s="1735"/>
      <c r="O1842" s="16"/>
      <c r="P1842" s="1037"/>
      <c r="R1842" s="1037"/>
      <c r="S1842" s="1037"/>
      <c r="AA1842" s="608"/>
    </row>
    <row r="1843" spans="1:27" ht="12.75" customHeight="1" x14ac:dyDescent="0.2">
      <c r="B1843" s="207"/>
      <c r="C1843" s="1060"/>
      <c r="D1843" s="1061"/>
      <c r="E1843" s="1757"/>
      <c r="F1843" s="1758"/>
      <c r="G1843" s="1758"/>
      <c r="H1843" s="450" t="str">
        <f>EUconst_Unit</f>
        <v>Jednostka</v>
      </c>
      <c r="I1843" s="451">
        <f>I$1882</f>
        <v>2014</v>
      </c>
      <c r="J1843" s="451">
        <f>J$1882</f>
        <v>2015</v>
      </c>
      <c r="K1843" s="451">
        <f>K$1882</f>
        <v>2016</v>
      </c>
      <c r="L1843" s="451">
        <f>L$1882</f>
        <v>2017</v>
      </c>
      <c r="M1843" s="451">
        <f>M$1882</f>
        <v>2018</v>
      </c>
      <c r="N1843" s="1257"/>
      <c r="O1843" s="16"/>
      <c r="P1843" s="1037"/>
      <c r="R1843" s="1037"/>
      <c r="S1843" s="1037"/>
      <c r="AA1843" s="608"/>
    </row>
    <row r="1844" spans="1:27" ht="12.75" customHeight="1" x14ac:dyDescent="0.2">
      <c r="B1844" s="207"/>
      <c r="C1844" s="1060"/>
      <c r="D1844" s="699" t="s">
        <v>464</v>
      </c>
      <c r="E1844" s="1766" t="str">
        <f>Translations!$B$800</f>
        <v>Ilości wyprowadzone</v>
      </c>
      <c r="F1844" s="1767"/>
      <c r="G1844" s="1767"/>
      <c r="H1844" s="231"/>
      <c r="I1844" s="472"/>
      <c r="J1844" s="472"/>
      <c r="K1844" s="472"/>
      <c r="L1844" s="472"/>
      <c r="M1844" s="472"/>
      <c r="N1844" s="1257"/>
      <c r="O1844" s="16"/>
      <c r="P1844" s="1037"/>
      <c r="R1844" s="1037"/>
      <c r="S1844" s="1037"/>
      <c r="AA1844" s="345" t="b">
        <f>AA1841</f>
        <v>0</v>
      </c>
    </row>
    <row r="1845" spans="1:27" ht="12.75" customHeight="1" thickBot="1" x14ac:dyDescent="0.25">
      <c r="B1845" s="207"/>
      <c r="C1845" s="1060"/>
      <c r="D1845" s="699" t="s">
        <v>643</v>
      </c>
      <c r="E1845" s="1743" t="str">
        <f>Translations!$B$470</f>
        <v>Wartość opałowa</v>
      </c>
      <c r="F1845" s="1744"/>
      <c r="G1845" s="1744"/>
      <c r="H1845" s="56" t="str">
        <f>IF(ISBLANK(H1844),EUconst_GJperUnit,INDEX(EUconst_GJperTorKNm3,MATCH(H1844,EUconst_TonnesOrkNm3pa,0)))</f>
        <v>GJ / Jednostka</v>
      </c>
      <c r="I1845" s="446"/>
      <c r="J1845" s="446"/>
      <c r="K1845" s="446"/>
      <c r="L1845" s="446"/>
      <c r="M1845" s="446"/>
      <c r="N1845" s="1257"/>
      <c r="O1845" s="16"/>
      <c r="P1845" s="1065"/>
      <c r="R1845" s="1037"/>
      <c r="S1845" s="1037"/>
      <c r="AA1845" s="345" t="b">
        <f>AA1844</f>
        <v>0</v>
      </c>
    </row>
    <row r="1846" spans="1:27" ht="12.75" customHeight="1" x14ac:dyDescent="0.2">
      <c r="B1846" s="207"/>
      <c r="C1846" s="1060"/>
      <c r="D1846" s="699" t="s">
        <v>644</v>
      </c>
      <c r="E1846" s="1739" t="str">
        <f>Translations!$B$801</f>
        <v>Gazy odlotowe wyprowadzone</v>
      </c>
      <c r="F1846" s="1740"/>
      <c r="G1846" s="1740"/>
      <c r="H1846" s="453" t="str">
        <f>EUconst_TJpa</f>
        <v>TJ / rok</v>
      </c>
      <c r="I1846" s="433" t="str">
        <f>IF(COUNT(I1844:I1845)=2,I1844*I1845/1000,"")</f>
        <v/>
      </c>
      <c r="J1846" s="433" t="str">
        <f>IF(COUNT(J1844:J1845)=2,J1844*J1845/1000,"")</f>
        <v/>
      </c>
      <c r="K1846" s="433" t="str">
        <f>IF(COUNT(K1844:K1845)=2,K1844*K1845/1000,"")</f>
        <v/>
      </c>
      <c r="L1846" s="433" t="str">
        <f>IF(COUNT(L1844:L1845)=2,L1844*L1845/1000,"")</f>
        <v/>
      </c>
      <c r="M1846" s="433" t="str">
        <f>IF(COUNT(M1844:M1845)=2,M1844*M1845/1000,"")</f>
        <v/>
      </c>
      <c r="N1846" s="702"/>
      <c r="O1846" s="16"/>
      <c r="P1846" s="1062" t="str">
        <f>EUconst_CNTR_WGExport &amp; I1693</f>
        <v>WasteGasEx_</v>
      </c>
      <c r="R1846" s="1052"/>
      <c r="S1846" s="814">
        <f>I1843</f>
        <v>2014</v>
      </c>
      <c r="T1846" s="814">
        <f>J1843</f>
        <v>2015</v>
      </c>
      <c r="U1846" s="814">
        <f>K1843</f>
        <v>2016</v>
      </c>
      <c r="V1846" s="814">
        <f>L1843</f>
        <v>2017</v>
      </c>
      <c r="W1846" s="815">
        <f>M1843</f>
        <v>2018</v>
      </c>
      <c r="AA1846" s="608"/>
    </row>
    <row r="1847" spans="1:27" s="701" customFormat="1" ht="12.75" customHeight="1" thickBot="1" x14ac:dyDescent="0.25">
      <c r="A1847" s="422"/>
      <c r="B1847" s="207"/>
      <c r="C1847" s="1060"/>
      <c r="D1847" s="699" t="s">
        <v>645</v>
      </c>
      <c r="E1847" s="1739" t="str">
        <f>Translations!$B$802</f>
        <v>Właściwy współczynnik emisji (gazy odlotowe wyprowadzone)</v>
      </c>
      <c r="F1847" s="1739"/>
      <c r="G1847" s="1739"/>
      <c r="H1847" s="452" t="str">
        <f>EUconst_tCO2pTJ</f>
        <v>t CO2 / TJ</v>
      </c>
      <c r="I1847" s="765"/>
      <c r="J1847" s="765"/>
      <c r="K1847" s="765"/>
      <c r="L1847" s="765"/>
      <c r="M1847" s="765"/>
      <c r="N1847" s="665"/>
      <c r="O1847" s="16"/>
      <c r="P1847" s="1062" t="str">
        <f>EUconst_CNTR_WGExportEF &amp; I1693</f>
        <v>WasteGasExEF_</v>
      </c>
      <c r="Q1847" s="422"/>
      <c r="R1847" s="1053" t="str">
        <f>EUconst_CNTR_AttributedEmissions &amp; I1693</f>
        <v>AttrEmissions_</v>
      </c>
      <c r="S1847" s="119" t="str">
        <f>IF(S1693,-SUM(I1846)*EUconst_NGEFvalue*EUconst_WasteGasCorrFactor,"")</f>
        <v/>
      </c>
      <c r="T1847" s="119" t="str">
        <f>IF(T1693,-SUM(J1846)*EUconst_NGEFvalue*EUconst_WasteGasCorrFactor,"")</f>
        <v/>
      </c>
      <c r="U1847" s="119" t="str">
        <f>IF(U1693,-SUM(K1846)*EUconst_NGEFvalue*EUconst_WasteGasCorrFactor,"")</f>
        <v/>
      </c>
      <c r="V1847" s="119" t="str">
        <f>IF(V1693,-SUM(L1846)*EUconst_NGEFvalue*EUconst_WasteGasCorrFactor,"")</f>
        <v/>
      </c>
      <c r="W1847" s="120" t="str">
        <f>IF(W1693,-SUM(M1846)*EUconst_NGEFvalue*EUconst_WasteGasCorrFactor,"")</f>
        <v/>
      </c>
      <c r="X1847" s="422"/>
      <c r="Y1847" s="422"/>
      <c r="Z1847" s="422"/>
      <c r="AA1847" s="168" t="b">
        <f>AA1845</f>
        <v>0</v>
      </c>
    </row>
    <row r="1848" spans="1:27" ht="12.75" customHeight="1" x14ac:dyDescent="0.2">
      <c r="B1848" s="207"/>
      <c r="C1848" s="1060"/>
      <c r="D1848" s="1061"/>
      <c r="E1848" s="1061"/>
      <c r="F1848" s="1061"/>
      <c r="G1848" s="1061"/>
      <c r="H1848" s="1061"/>
      <c r="I1848" s="1061"/>
      <c r="J1848" s="1061"/>
      <c r="K1848" s="1061"/>
      <c r="L1848" s="1061"/>
      <c r="M1848" s="1063"/>
      <c r="N1848" s="665"/>
      <c r="O1848" s="16"/>
      <c r="P1848" s="1037"/>
      <c r="R1848" s="1037"/>
    </row>
    <row r="1849" spans="1:27" ht="12.75" customHeight="1" thickBot="1" x14ac:dyDescent="0.25">
      <c r="B1849" s="207"/>
      <c r="C1849" s="1060"/>
      <c r="D1849" s="462" t="s">
        <v>221</v>
      </c>
      <c r="E1849" s="1731" t="str">
        <f>Translations!$B$420</f>
        <v>Wytwarzanie energii elektrycznej</v>
      </c>
      <c r="F1849" s="1734"/>
      <c r="G1849" s="1734"/>
      <c r="H1849" s="1734"/>
      <c r="I1849" s="1734"/>
      <c r="J1849" s="1734"/>
      <c r="K1849" s="1734"/>
      <c r="L1849" s="1734"/>
      <c r="M1849" s="1734"/>
      <c r="N1849" s="1735"/>
      <c r="O1849" s="16"/>
      <c r="P1849" s="1037"/>
      <c r="R1849" s="1037"/>
    </row>
    <row r="1850" spans="1:27" ht="12.75" customHeight="1" x14ac:dyDescent="0.2">
      <c r="B1850" s="207"/>
      <c r="C1850" s="1060"/>
      <c r="D1850" s="462"/>
      <c r="E1850" s="1757"/>
      <c r="F1850" s="1758"/>
      <c r="G1850" s="1758"/>
      <c r="H1850" s="450" t="str">
        <f>EUconst_Unit</f>
        <v>Jednostka</v>
      </c>
      <c r="I1850" s="451">
        <f>I$1882</f>
        <v>2014</v>
      </c>
      <c r="J1850" s="451">
        <f>J$1882</f>
        <v>2015</v>
      </c>
      <c r="K1850" s="451">
        <f>K$1882</f>
        <v>2016</v>
      </c>
      <c r="L1850" s="451">
        <f>L$1882</f>
        <v>2017</v>
      </c>
      <c r="M1850" s="451">
        <f>M$1882</f>
        <v>2018</v>
      </c>
      <c r="N1850" s="665"/>
      <c r="O1850" s="16"/>
      <c r="P1850" s="1037"/>
      <c r="R1850" s="1052"/>
      <c r="S1850" s="814">
        <f>I1850</f>
        <v>2014</v>
      </c>
      <c r="T1850" s="814">
        <f>J1850</f>
        <v>2015</v>
      </c>
      <c r="U1850" s="814">
        <f>K1850</f>
        <v>2016</v>
      </c>
      <c r="V1850" s="814">
        <f>L1850</f>
        <v>2017</v>
      </c>
      <c r="W1850" s="815">
        <f>M1850</f>
        <v>2018</v>
      </c>
    </row>
    <row r="1851" spans="1:27" ht="12.75" customHeight="1" thickBot="1" x14ac:dyDescent="0.25">
      <c r="B1851" s="207"/>
      <c r="C1851" s="1060"/>
      <c r="D1851" s="699"/>
      <c r="E1851" s="1739" t="str">
        <f>Translations!$B$805</f>
        <v>Energia elektryczna wytworzona</v>
      </c>
      <c r="F1851" s="1740"/>
      <c r="G1851" s="1740"/>
      <c r="H1851" s="453" t="str">
        <f>EUconst_MWhpa</f>
        <v>MWh / rok</v>
      </c>
      <c r="I1851" s="471"/>
      <c r="J1851" s="471"/>
      <c r="K1851" s="471"/>
      <c r="L1851" s="471"/>
      <c r="M1851" s="471"/>
      <c r="N1851" s="1257"/>
      <c r="O1851" s="16"/>
      <c r="P1851" s="1062" t="str">
        <f>EUconst_CNTR_ElectricityExported &amp; I1693</f>
        <v>ElecEx_</v>
      </c>
      <c r="R1851" s="1053" t="str">
        <f>EUconst_CNTR_AttributedEmissions &amp; I1693</f>
        <v>AttrEmissions_</v>
      </c>
      <c r="S1851" s="119" t="str">
        <f>IF(S1693,-SUM(I1851)*EUconst_ElBM,"")</f>
        <v/>
      </c>
      <c r="T1851" s="119" t="str">
        <f>IF(T1693,-SUM(J1851)*EUconst_ElBM,"")</f>
        <v/>
      </c>
      <c r="U1851" s="119" t="str">
        <f>IF(U1693,-SUM(K1851)*EUconst_ElBM,"")</f>
        <v/>
      </c>
      <c r="V1851" s="119" t="str">
        <f>IF(V1693,-SUM(L1851)*EUconst_ElBM,"")</f>
        <v/>
      </c>
      <c r="W1851" s="120" t="str">
        <f>IF(W1693,-SUM(M1851)*EUconst_ElBM,"")</f>
        <v/>
      </c>
    </row>
    <row r="1852" spans="1:27" ht="12.75" customHeight="1" x14ac:dyDescent="0.2">
      <c r="B1852" s="207"/>
      <c r="C1852" s="1060"/>
      <c r="D1852" s="1061"/>
      <c r="E1852" s="1061"/>
      <c r="F1852" s="1061"/>
      <c r="G1852" s="1061"/>
      <c r="H1852" s="1061"/>
      <c r="I1852" s="1061"/>
      <c r="J1852" s="1061"/>
      <c r="K1852" s="1061"/>
      <c r="L1852" s="1061"/>
      <c r="M1852" s="1063"/>
      <c r="N1852" s="665"/>
      <c r="O1852" s="16"/>
      <c r="P1852" s="1037"/>
      <c r="R1852" s="1037"/>
      <c r="S1852" s="1037"/>
    </row>
    <row r="1853" spans="1:27" ht="12.75" customHeight="1" thickBot="1" x14ac:dyDescent="0.25">
      <c r="B1853" s="207"/>
      <c r="C1853" s="1060"/>
      <c r="D1853" s="462" t="s">
        <v>79</v>
      </c>
      <c r="E1853" s="1760" t="str">
        <f>Translations!$B$806</f>
        <v>Całkowita ilość wyprodukowanej masy celulozowej</v>
      </c>
      <c r="F1853" s="1760"/>
      <c r="G1853" s="1760"/>
      <c r="H1853" s="1760"/>
      <c r="I1853" s="1760"/>
      <c r="J1853" s="1760"/>
      <c r="K1853" s="1760"/>
      <c r="L1853" s="1760"/>
      <c r="M1853" s="1760"/>
      <c r="N1853" s="1761"/>
      <c r="O1853" s="16"/>
      <c r="S1853" s="1037"/>
    </row>
    <row r="1854" spans="1:27" ht="12.75" customHeight="1" thickBot="1" x14ac:dyDescent="0.25">
      <c r="B1854" s="207"/>
      <c r="C1854" s="1060"/>
      <c r="D1854" s="699"/>
      <c r="E1854" s="1762" t="str">
        <f>IF(I1693="","",IF(INDEX(EUconst_BMlistPulp,MATCH(I1693,EUconst_BMlistNames,0)),I1693,""))</f>
        <v/>
      </c>
      <c r="F1854" s="1762"/>
      <c r="G1854" s="1762"/>
      <c r="H1854" s="453" t="str">
        <f>EUconst_Tons</f>
        <v>tony</v>
      </c>
      <c r="I1854" s="471"/>
      <c r="J1854" s="471"/>
      <c r="K1854" s="471"/>
      <c r="L1854" s="471"/>
      <c r="M1854" s="471"/>
      <c r="N1854" s="1257"/>
      <c r="O1854" s="16"/>
      <c r="P1854" s="1062" t="str">
        <f>EUconst_CNTR_HALPulpTotal &amp; I1693</f>
        <v>HALPulpTotal_</v>
      </c>
      <c r="R1854" s="1037"/>
      <c r="AA1854" s="738" t="b">
        <f>IF(I1693&lt;&gt;"",IF(INDEX(EUconst_BMlistPulp,MATCH(I1693,EUconst_BMlistNames,0))=TRUE,FALSE,TRUE),FALSE)</f>
        <v>0</v>
      </c>
    </row>
    <row r="1855" spans="1:27" ht="12.75" customHeight="1" x14ac:dyDescent="0.2">
      <c r="B1855" s="207"/>
      <c r="C1855" s="1060"/>
      <c r="D1855" s="699"/>
      <c r="E1855" s="699"/>
      <c r="F1855" s="699"/>
      <c r="G1855" s="699"/>
      <c r="H1855" s="699"/>
      <c r="I1855" s="699"/>
      <c r="J1855" s="699"/>
      <c r="K1855" s="699"/>
      <c r="L1855" s="699"/>
      <c r="M1855" s="699"/>
      <c r="N1855" s="1257"/>
      <c r="O1855" s="16"/>
      <c r="P1855" s="1065"/>
      <c r="R1855" s="1037"/>
      <c r="S1855" s="1037"/>
    </row>
    <row r="1856" spans="1:27" ht="12.75" customHeight="1" thickBot="1" x14ac:dyDescent="0.25">
      <c r="B1856" s="207"/>
      <c r="C1856" s="1060"/>
      <c r="D1856" s="462" t="s">
        <v>333</v>
      </c>
      <c r="E1856" s="1731" t="str">
        <f>Translations!$B$810</f>
        <v>Wprowadzanie lub wyprowadzanie produktów pośrednich objętych wskaźnikami emisyjności dla produktów</v>
      </c>
      <c r="F1856" s="1734"/>
      <c r="G1856" s="1734"/>
      <c r="H1856" s="1734"/>
      <c r="I1856" s="1734"/>
      <c r="J1856" s="1734"/>
      <c r="K1856" s="1734"/>
      <c r="L1856" s="1734"/>
      <c r="M1856" s="1734"/>
      <c r="N1856" s="1735"/>
      <c r="O1856" s="16"/>
      <c r="P1856" s="1037"/>
      <c r="R1856" s="1037"/>
      <c r="S1856" s="1037"/>
    </row>
    <row r="1857" spans="2:27" ht="12.75" customHeight="1" thickBot="1" x14ac:dyDescent="0.25">
      <c r="B1857" s="20"/>
      <c r="C1857" s="1060"/>
      <c r="D1857" s="699" t="s">
        <v>2</v>
      </c>
      <c r="E1857" s="1755" t="str">
        <f>Translations!$B$813</f>
        <v>Czy ma miejsce jakiekolwiek wprowadzanie lub wyprowadzanie produktów pośrednich objętych wskaźnikami emisyjności dla produktów?</v>
      </c>
      <c r="F1857" s="1755"/>
      <c r="G1857" s="1755"/>
      <c r="H1857" s="1755"/>
      <c r="I1857" s="1755"/>
      <c r="J1857" s="1755"/>
      <c r="K1857" s="1756"/>
      <c r="L1857" s="517"/>
      <c r="M1857" s="449"/>
      <c r="N1857" s="702"/>
      <c r="O1857" s="16"/>
      <c r="W1857" s="1048" t="s">
        <v>414</v>
      </c>
      <c r="X1857" s="1046" t="b">
        <f>IF(AND(I1693&lt;&gt;"",ISBLANK(L1857)),EUconst_Error&amp;"BM"&amp;C1693,FALSE)</f>
        <v>0</v>
      </c>
    </row>
    <row r="1858" spans="2:27" ht="5.0999999999999996" customHeight="1" x14ac:dyDescent="0.2">
      <c r="B1858" s="207"/>
      <c r="C1858" s="1060"/>
      <c r="D1858" s="699"/>
      <c r="E1858" s="699"/>
      <c r="F1858" s="699"/>
      <c r="G1858" s="699"/>
      <c r="H1858" s="699"/>
      <c r="I1858" s="699"/>
      <c r="J1858" s="699"/>
      <c r="K1858" s="699"/>
      <c r="L1858" s="699"/>
      <c r="M1858" s="699"/>
      <c r="N1858" s="1257"/>
      <c r="O1858" s="16"/>
      <c r="P1858" s="1065"/>
      <c r="R1858" s="1037"/>
      <c r="S1858" s="1037"/>
    </row>
    <row r="1859" spans="2:27" ht="12.75" customHeight="1" thickBot="1" x14ac:dyDescent="0.25">
      <c r="B1859" s="207"/>
      <c r="C1859" s="1060"/>
      <c r="D1859" s="514"/>
      <c r="E1859" s="1757" t="str">
        <f>Translations!$B$814</f>
        <v>Ilości wprowadzone:</v>
      </c>
      <c r="F1859" s="1758"/>
      <c r="G1859" s="1758"/>
      <c r="H1859" s="515" t="str">
        <f>EUconst_Unit</f>
        <v>Jednostka</v>
      </c>
      <c r="I1859" s="451">
        <f>I$1882</f>
        <v>2014</v>
      </c>
      <c r="J1859" s="451">
        <f>J$1882</f>
        <v>2015</v>
      </c>
      <c r="K1859" s="451">
        <f>K$1882</f>
        <v>2016</v>
      </c>
      <c r="L1859" s="451">
        <f>L$1882</f>
        <v>2017</v>
      </c>
      <c r="M1859" s="451">
        <f>M$1882</f>
        <v>2018</v>
      </c>
      <c r="N1859" s="1257"/>
      <c r="O1859" s="16"/>
      <c r="P1859" s="1065"/>
      <c r="R1859" s="1037"/>
      <c r="S1859" s="1037"/>
      <c r="AA1859" s="422" t="s">
        <v>272</v>
      </c>
    </row>
    <row r="1860" spans="2:27" ht="12.75" customHeight="1" x14ac:dyDescent="0.2">
      <c r="B1860" s="207"/>
      <c r="C1860" s="1060"/>
      <c r="D1860" s="516" t="s">
        <v>3</v>
      </c>
      <c r="E1860" s="1759"/>
      <c r="F1860" s="1759"/>
      <c r="G1860" s="1759"/>
      <c r="H1860" s="64" t="str">
        <f>IF(E1860&lt;&gt;"",INDEX(EUconst_BMlistUnits,MATCH(E1860,EUconst_BMlistNames,0)),EUconst_Tons)</f>
        <v>tony</v>
      </c>
      <c r="I1860" s="318"/>
      <c r="J1860" s="318"/>
      <c r="K1860" s="318"/>
      <c r="L1860" s="318"/>
      <c r="M1860" s="318"/>
      <c r="N1860" s="1257"/>
      <c r="O1860" s="16"/>
      <c r="P1860" s="1062" t="str">
        <f>EUconst_CNTR_IntermediateImport &amp; R1860 &amp; "_" &amp; I1693</f>
        <v>IntImp_1_</v>
      </c>
      <c r="R1860" s="1062">
        <v>1</v>
      </c>
      <c r="S1860" s="1037"/>
      <c r="AA1860" s="646" t="b">
        <f>AND(NOT(ISBLANK(L1857)),L1857=FALSE)</f>
        <v>0</v>
      </c>
    </row>
    <row r="1861" spans="2:27" ht="12.75" customHeight="1" x14ac:dyDescent="0.2">
      <c r="B1861" s="207"/>
      <c r="C1861" s="1060"/>
      <c r="D1861" s="516" t="s">
        <v>4</v>
      </c>
      <c r="E1861" s="1747"/>
      <c r="F1861" s="1747"/>
      <c r="G1861" s="1747"/>
      <c r="H1861" s="56" t="str">
        <f>IF(E1861&lt;&gt;"",INDEX(EUconst_BMlistUnits,MATCH(E1861,EUconst_BMlistNames,0)),EUconst_Tons)</f>
        <v>tony</v>
      </c>
      <c r="I1861" s="317"/>
      <c r="J1861" s="317"/>
      <c r="K1861" s="317"/>
      <c r="L1861" s="317"/>
      <c r="M1861" s="317"/>
      <c r="N1861" s="1257"/>
      <c r="O1861" s="16"/>
      <c r="P1861" s="1062" t="str">
        <f>EUconst_CNTR_IntermediateImport &amp; R1861 &amp; "_" &amp; I1693</f>
        <v>IntImp_2_</v>
      </c>
      <c r="R1861" s="1062">
        <v>2</v>
      </c>
      <c r="S1861" s="1037"/>
      <c r="AA1861" s="345" t="b">
        <f>AA1860</f>
        <v>0</v>
      </c>
    </row>
    <row r="1862" spans="2:27" ht="5.0999999999999996" customHeight="1" x14ac:dyDescent="0.2">
      <c r="B1862" s="207"/>
      <c r="C1862" s="1060"/>
      <c r="D1862" s="699"/>
      <c r="E1862" s="699"/>
      <c r="F1862" s="699"/>
      <c r="G1862" s="699"/>
      <c r="H1862" s="699"/>
      <c r="I1862" s="699"/>
      <c r="J1862" s="699"/>
      <c r="K1862" s="699"/>
      <c r="L1862" s="699"/>
      <c r="M1862" s="699"/>
      <c r="N1862" s="1257"/>
      <c r="O1862" s="16"/>
      <c r="P1862" s="1065"/>
      <c r="R1862" s="1037"/>
      <c r="S1862" s="1037"/>
      <c r="AA1862" s="608"/>
    </row>
    <row r="1863" spans="2:27" ht="12.75" customHeight="1" x14ac:dyDescent="0.2">
      <c r="B1863" s="207"/>
      <c r="C1863" s="1060"/>
      <c r="D1863" s="514"/>
      <c r="E1863" s="1757" t="str">
        <f>Translations!$B$815</f>
        <v>Ilości wyprowadzone:</v>
      </c>
      <c r="F1863" s="1758"/>
      <c r="G1863" s="1758"/>
      <c r="H1863" s="515" t="str">
        <f>EUconst_Unit</f>
        <v>Jednostka</v>
      </c>
      <c r="I1863" s="451">
        <f>I$1882</f>
        <v>2014</v>
      </c>
      <c r="J1863" s="451">
        <f>J$1882</f>
        <v>2015</v>
      </c>
      <c r="K1863" s="451">
        <f>K$1882</f>
        <v>2016</v>
      </c>
      <c r="L1863" s="451">
        <f>L$1882</f>
        <v>2017</v>
      </c>
      <c r="M1863" s="451">
        <f>M$1882</f>
        <v>2018</v>
      </c>
      <c r="N1863" s="1257"/>
      <c r="O1863" s="16"/>
      <c r="P1863" s="1065"/>
      <c r="R1863" s="1037"/>
      <c r="S1863" s="1037"/>
      <c r="AA1863" s="608"/>
    </row>
    <row r="1864" spans="2:27" ht="12.75" customHeight="1" x14ac:dyDescent="0.2">
      <c r="B1864" s="207"/>
      <c r="C1864" s="1060"/>
      <c r="D1864" s="516" t="s">
        <v>6</v>
      </c>
      <c r="E1864" s="1759"/>
      <c r="F1864" s="1759"/>
      <c r="G1864" s="1759"/>
      <c r="H1864" s="64" t="str">
        <f>IF(E1864&lt;&gt;"",INDEX(EUconst_BMlistUnits,MATCH(E1864,EUconst_BMlistNames,0)),EUconst_Tons)</f>
        <v>tony</v>
      </c>
      <c r="I1864" s="318"/>
      <c r="J1864" s="318"/>
      <c r="K1864" s="318"/>
      <c r="L1864" s="318"/>
      <c r="M1864" s="318"/>
      <c r="N1864" s="1257"/>
      <c r="O1864" s="16"/>
      <c r="P1864" s="1062" t="str">
        <f>EUconst_CNTR_IntermediateExport &amp; R1860 &amp; "_" &amp; I1693</f>
        <v>IntExp_1_</v>
      </c>
      <c r="R1864" s="1062">
        <v>1</v>
      </c>
      <c r="S1864" s="1037"/>
      <c r="U1864" s="512"/>
      <c r="V1864" s="512"/>
      <c r="AA1864" s="345" t="b">
        <f>AA1860</f>
        <v>0</v>
      </c>
    </row>
    <row r="1865" spans="2:27" ht="12.75" customHeight="1" x14ac:dyDescent="0.2">
      <c r="B1865" s="207"/>
      <c r="C1865" s="1060"/>
      <c r="D1865" s="516" t="s">
        <v>316</v>
      </c>
      <c r="E1865" s="1747"/>
      <c r="F1865" s="1747"/>
      <c r="G1865" s="1747"/>
      <c r="H1865" s="56" t="str">
        <f>IF(E1865&lt;&gt;"",INDEX(EUconst_BMlistUnits,MATCH(E1865,EUconst_BMlistNames,0)),EUconst_Tons)</f>
        <v>tony</v>
      </c>
      <c r="I1865" s="317"/>
      <c r="J1865" s="317"/>
      <c r="K1865" s="317"/>
      <c r="L1865" s="317"/>
      <c r="M1865" s="317"/>
      <c r="N1865" s="1257"/>
      <c r="O1865" s="16"/>
      <c r="P1865" s="1062" t="str">
        <f>EUconst_CNTR_IntermediateExport &amp; R1865 &amp; "_" &amp; I1693</f>
        <v>IntExp_2_</v>
      </c>
      <c r="R1865" s="1062">
        <v>2</v>
      </c>
      <c r="S1865" s="1037"/>
      <c r="U1865" s="512"/>
      <c r="V1865" s="512"/>
      <c r="AA1865" s="345" t="b">
        <f>AA1860</f>
        <v>0</v>
      </c>
    </row>
    <row r="1866" spans="2:27" ht="5.0999999999999996" customHeight="1" x14ac:dyDescent="0.2">
      <c r="B1866" s="207"/>
      <c r="C1866" s="1060"/>
      <c r="D1866" s="699"/>
      <c r="E1866" s="699"/>
      <c r="F1866" s="699"/>
      <c r="G1866" s="699"/>
      <c r="H1866" s="699"/>
      <c r="I1866" s="699"/>
      <c r="J1866" s="699"/>
      <c r="K1866" s="699"/>
      <c r="L1866" s="699"/>
      <c r="M1866" s="699"/>
      <c r="N1866" s="1257"/>
      <c r="O1866" s="16"/>
      <c r="P1866" s="1065"/>
      <c r="R1866" s="1037"/>
      <c r="S1866" s="1037"/>
      <c r="U1866" s="512"/>
      <c r="V1866" s="512"/>
      <c r="AA1866" s="608"/>
    </row>
    <row r="1867" spans="2:27" ht="12.75" customHeight="1" x14ac:dyDescent="0.2">
      <c r="B1867" s="207"/>
      <c r="C1867" s="1060"/>
      <c r="D1867" s="516" t="s">
        <v>317</v>
      </c>
      <c r="E1867" s="1748" t="str">
        <f>Translations!$B$816</f>
        <v>Opis produktów pośrednich wprowadzonych lub wyprowadzonych</v>
      </c>
      <c r="F1867" s="1748"/>
      <c r="G1867" s="1748"/>
      <c r="H1867" s="1748"/>
      <c r="I1867" s="1748"/>
      <c r="J1867" s="1748"/>
      <c r="K1867" s="1748"/>
      <c r="L1867" s="1748"/>
      <c r="M1867" s="1748"/>
      <c r="N1867" s="1257"/>
      <c r="O1867" s="16"/>
      <c r="P1867" s="1065"/>
      <c r="R1867" s="1037"/>
      <c r="S1867" s="1037"/>
      <c r="U1867" s="512"/>
      <c r="V1867" s="512"/>
      <c r="AA1867" s="608"/>
    </row>
    <row r="1868" spans="2:27" ht="12.75" customHeight="1" x14ac:dyDescent="0.2">
      <c r="B1868" s="207"/>
      <c r="C1868" s="1060"/>
      <c r="D1868" s="699"/>
      <c r="E1868" s="1749"/>
      <c r="F1868" s="1750"/>
      <c r="G1868" s="1750"/>
      <c r="H1868" s="1750"/>
      <c r="I1868" s="1750"/>
      <c r="J1868" s="1750"/>
      <c r="K1868" s="1750"/>
      <c r="L1868" s="1750"/>
      <c r="M1868" s="1751"/>
      <c r="N1868" s="1257"/>
      <c r="O1868" s="16"/>
      <c r="P1868" s="1065"/>
      <c r="R1868" s="1037"/>
      <c r="S1868" s="1037"/>
      <c r="U1868" s="512"/>
      <c r="V1868" s="512"/>
      <c r="AA1868" s="345" t="b">
        <f>AA1860</f>
        <v>0</v>
      </c>
    </row>
    <row r="1869" spans="2:27" ht="12.75" customHeight="1" thickBot="1" x14ac:dyDescent="0.25">
      <c r="B1869" s="207"/>
      <c r="C1869" s="1060"/>
      <c r="D1869" s="699"/>
      <c r="E1869" s="1752"/>
      <c r="F1869" s="1753"/>
      <c r="G1869" s="1753"/>
      <c r="H1869" s="1753"/>
      <c r="I1869" s="1753"/>
      <c r="J1869" s="1753"/>
      <c r="K1869" s="1753"/>
      <c r="L1869" s="1753"/>
      <c r="M1869" s="1754"/>
      <c r="N1869" s="1257"/>
      <c r="O1869" s="16"/>
      <c r="P1869" s="1065"/>
      <c r="R1869" s="1037"/>
      <c r="S1869" s="1037"/>
      <c r="U1869" s="512"/>
      <c r="V1869" s="512"/>
      <c r="AA1869" s="168" t="b">
        <f>AA1860</f>
        <v>0</v>
      </c>
    </row>
    <row r="1870" spans="2:27" ht="12.75" customHeight="1" thickBot="1" x14ac:dyDescent="0.25">
      <c r="B1870" s="207"/>
      <c r="C1870" s="1066"/>
      <c r="D1870" s="1067"/>
      <c r="E1870" s="1067"/>
      <c r="F1870" s="1067"/>
      <c r="G1870" s="1067"/>
      <c r="H1870" s="1067"/>
      <c r="I1870" s="1067"/>
      <c r="J1870" s="1067"/>
      <c r="K1870" s="1067"/>
      <c r="L1870" s="1067"/>
      <c r="M1870" s="1068"/>
      <c r="N1870" s="1069"/>
      <c r="O1870" s="16"/>
      <c r="P1870" s="1037"/>
      <c r="R1870" s="1037"/>
      <c r="S1870" s="1037"/>
    </row>
    <row r="1871" spans="2:27" ht="13.5" thickBot="1" x14ac:dyDescent="0.25">
      <c r="B1871" s="20"/>
      <c r="C1871" s="20"/>
      <c r="D1871" s="20"/>
      <c r="E1871" s="20"/>
      <c r="F1871" s="20"/>
      <c r="G1871" s="20"/>
      <c r="H1871" s="20"/>
      <c r="I1871" s="20"/>
      <c r="J1871" s="20"/>
      <c r="K1871" s="20"/>
      <c r="L1871" s="20"/>
      <c r="M1871" s="20"/>
      <c r="N1871" s="20"/>
      <c r="O1871" s="16"/>
      <c r="P1871" s="346" t="str">
        <f>IF(OR(AND(CNTR_ExistProductSubEntries=FALSE,P1693=1),AND(I1693&lt;&gt;"",COUNTIF(P1872:$P$1876,"PRINT")=0)),"PRINT","")</f>
        <v/>
      </c>
      <c r="Q1871" s="422" t="s">
        <v>498</v>
      </c>
      <c r="R1871" s="1037"/>
      <c r="S1871" s="1037"/>
    </row>
    <row r="1872" spans="2:27" ht="5.0999999999999996" customHeight="1" x14ac:dyDescent="0.2">
      <c r="B1872" s="20"/>
      <c r="C1872" s="1070"/>
      <c r="D1872" s="1070"/>
      <c r="E1872" s="1070"/>
      <c r="F1872" s="1070"/>
      <c r="G1872" s="1070"/>
      <c r="H1872" s="1070"/>
      <c r="I1872" s="1070"/>
      <c r="J1872" s="1070"/>
      <c r="K1872" s="1070"/>
      <c r="L1872" s="1070"/>
      <c r="M1872" s="1070"/>
      <c r="N1872" s="1070"/>
      <c r="O1872" s="16"/>
      <c r="R1872" s="1037"/>
      <c r="S1872" s="1037"/>
    </row>
    <row r="1873" spans="1:27" x14ac:dyDescent="0.2">
      <c r="B1873" s="20"/>
      <c r="C1873" s="20"/>
      <c r="D1873" s="20"/>
      <c r="E1873" s="20"/>
      <c r="F1873" s="20"/>
      <c r="G1873" s="20"/>
      <c r="H1873" s="20"/>
      <c r="I1873" s="20"/>
      <c r="J1873" s="20"/>
      <c r="K1873" s="20"/>
      <c r="L1873" s="20"/>
      <c r="M1873" s="20"/>
      <c r="N1873" s="20"/>
      <c r="O1873" s="16"/>
      <c r="R1873" s="1037"/>
      <c r="S1873" s="1037"/>
    </row>
    <row r="1874" spans="1:27" x14ac:dyDescent="0.2">
      <c r="B1874" s="20"/>
      <c r="C1874" s="20"/>
      <c r="D1874" s="1622" t="str">
        <f>Translations!$B$73</f>
        <v xml:space="preserve">&lt;&lt;&lt; Proszę kliknąć tutaj, aby przejść do kolejnego arkusza &gt;&gt;&gt; </v>
      </c>
      <c r="E1874" s="1622"/>
      <c r="F1874" s="1622"/>
      <c r="G1874" s="1622"/>
      <c r="H1874" s="1622"/>
      <c r="I1874" s="1622"/>
      <c r="J1874" s="1622"/>
      <c r="K1874" s="1622"/>
      <c r="L1874" s="1622"/>
      <c r="M1874" s="1622"/>
      <c r="N1874" s="1622"/>
      <c r="O1874" s="16"/>
      <c r="R1874" s="1037"/>
      <c r="S1874" s="1037"/>
    </row>
    <row r="1875" spans="1:27" x14ac:dyDescent="0.2">
      <c r="B1875" s="20"/>
      <c r="C1875" s="20"/>
      <c r="D1875" s="20"/>
      <c r="E1875" s="20"/>
      <c r="F1875" s="20"/>
      <c r="G1875" s="20"/>
      <c r="H1875" s="20"/>
      <c r="I1875" s="20"/>
      <c r="J1875" s="20"/>
      <c r="K1875" s="20"/>
      <c r="L1875" s="20"/>
      <c r="M1875" s="20"/>
      <c r="N1875" s="20"/>
      <c r="O1875" s="16"/>
      <c r="R1875" s="1037"/>
      <c r="S1875" s="1037"/>
    </row>
    <row r="1876" spans="1:27" hidden="1" x14ac:dyDescent="0.2">
      <c r="A1876" s="2" t="s">
        <v>101</v>
      </c>
      <c r="B1876" s="2" t="s">
        <v>350</v>
      </c>
      <c r="C1876" s="2" t="s">
        <v>350</v>
      </c>
      <c r="D1876" s="2" t="s">
        <v>350</v>
      </c>
      <c r="E1876" s="2" t="s">
        <v>350</v>
      </c>
      <c r="F1876" s="2" t="s">
        <v>350</v>
      </c>
      <c r="G1876" s="2"/>
      <c r="H1876" s="2" t="s">
        <v>350</v>
      </c>
      <c r="I1876" s="2" t="s">
        <v>350</v>
      </c>
      <c r="J1876" s="2" t="s">
        <v>350</v>
      </c>
      <c r="K1876" s="2" t="s">
        <v>350</v>
      </c>
      <c r="L1876" s="2" t="s">
        <v>350</v>
      </c>
      <c r="M1876" s="2" t="s">
        <v>350</v>
      </c>
      <c r="N1876" s="2" t="s">
        <v>350</v>
      </c>
      <c r="O1876" s="2" t="s">
        <v>350</v>
      </c>
      <c r="P1876" s="2" t="s">
        <v>350</v>
      </c>
      <c r="Q1876" s="2" t="s">
        <v>350</v>
      </c>
      <c r="R1876" s="2" t="s">
        <v>350</v>
      </c>
      <c r="S1876" s="2" t="s">
        <v>350</v>
      </c>
      <c r="T1876" s="2" t="s">
        <v>350</v>
      </c>
      <c r="U1876" s="2" t="s">
        <v>350</v>
      </c>
      <c r="V1876" s="2" t="s">
        <v>350</v>
      </c>
      <c r="W1876" s="2" t="s">
        <v>350</v>
      </c>
      <c r="X1876" s="2" t="s">
        <v>350</v>
      </c>
      <c r="Y1876" s="2" t="s">
        <v>350</v>
      </c>
      <c r="Z1876" s="2" t="s">
        <v>350</v>
      </c>
      <c r="AA1876" s="2" t="s">
        <v>350</v>
      </c>
    </row>
    <row r="1877" spans="1:27" hidden="1" x14ac:dyDescent="0.2">
      <c r="A1877" s="2" t="s">
        <v>101</v>
      </c>
      <c r="R1877" s="1037"/>
      <c r="S1877" s="1037"/>
    </row>
    <row r="1878" spans="1:27" ht="13.5" hidden="1" thickBot="1" x14ac:dyDescent="0.25">
      <c r="A1878" s="2" t="s">
        <v>101</v>
      </c>
      <c r="B1878" s="2"/>
      <c r="C1878" s="2"/>
      <c r="D1878" s="45" t="s">
        <v>351</v>
      </c>
      <c r="E1878" s="2"/>
      <c r="F1878" s="2"/>
      <c r="G1878" s="2"/>
      <c r="H1878" s="2"/>
      <c r="I1878" s="2"/>
      <c r="J1878" s="2"/>
      <c r="K1878" s="2"/>
      <c r="L1878" s="2"/>
      <c r="M1878" s="2"/>
      <c r="N1878" s="2"/>
      <c r="O1878" s="2"/>
      <c r="R1878" s="1037"/>
      <c r="S1878" s="1037"/>
    </row>
    <row r="1879" spans="1:27" hidden="1" x14ac:dyDescent="0.2">
      <c r="A1879" s="2" t="s">
        <v>101</v>
      </c>
      <c r="E1879" s="162" t="s">
        <v>236</v>
      </c>
      <c r="F1879" s="66"/>
      <c r="G1879" s="66"/>
      <c r="H1879" s="66"/>
      <c r="I1879" s="66"/>
      <c r="J1879" s="66"/>
      <c r="K1879" s="66"/>
      <c r="L1879" s="66"/>
      <c r="M1879" s="66"/>
      <c r="N1879" s="68"/>
      <c r="R1879" s="1037"/>
      <c r="S1879" s="1037"/>
    </row>
    <row r="1880" spans="1:27" hidden="1" x14ac:dyDescent="0.2">
      <c r="A1880" s="2" t="s">
        <v>101</v>
      </c>
      <c r="E1880" s="101" t="s">
        <v>354</v>
      </c>
      <c r="F1880" s="23"/>
      <c r="G1880" s="23"/>
      <c r="H1880" s="23"/>
      <c r="I1880" s="152">
        <v>1</v>
      </c>
      <c r="J1880" s="152">
        <v>2</v>
      </c>
      <c r="K1880" s="152">
        <v>3</v>
      </c>
      <c r="L1880" s="152">
        <v>4</v>
      </c>
      <c r="M1880" s="152">
        <v>5</v>
      </c>
      <c r="N1880" s="155"/>
      <c r="R1880" s="1037"/>
      <c r="S1880" s="1037"/>
    </row>
    <row r="1881" spans="1:27" hidden="1" x14ac:dyDescent="0.2">
      <c r="A1881" s="2" t="s">
        <v>101</v>
      </c>
      <c r="E1881" s="156" t="s">
        <v>473</v>
      </c>
      <c r="F1881" s="23"/>
      <c r="G1881" s="23"/>
      <c r="H1881" s="23"/>
      <c r="I1881" s="152">
        <f>INDEX(EUconst_ReportingYears,I1880)</f>
        <v>2014</v>
      </c>
      <c r="J1881" s="152">
        <f>INDEX(EUconst_ReportingYears,J1880)</f>
        <v>2015</v>
      </c>
      <c r="K1881" s="152">
        <f>INDEX(EUconst_ReportingYears,K1880)</f>
        <v>2016</v>
      </c>
      <c r="L1881" s="152">
        <f>INDEX(EUconst_ReportingYears,L1880)</f>
        <v>2017</v>
      </c>
      <c r="M1881" s="152">
        <f>INDEX(EUconst_ReportingYears,M1880)</f>
        <v>2018</v>
      </c>
      <c r="N1881" s="155"/>
      <c r="R1881" s="1037"/>
      <c r="S1881" s="1037"/>
    </row>
    <row r="1882" spans="1:27" hidden="1" x14ac:dyDescent="0.2">
      <c r="A1882" s="2" t="s">
        <v>101</v>
      </c>
      <c r="E1882" s="156" t="s">
        <v>472</v>
      </c>
      <c r="F1882" s="153"/>
      <c r="G1882" s="153"/>
      <c r="H1882" s="153"/>
      <c r="I1882" s="154">
        <f>IF(CNTR_BaselinePeriod=EUconst_NA,I1881,INDEX(EUconst_ReportingYears,I1880)+(CNTR_BaselinePeriod-1)*5)</f>
        <v>2014</v>
      </c>
      <c r="J1882" s="154">
        <f>IF(CNTR_BaselinePeriod=EUconst_NA,J1881,INDEX(EUconst_ReportingYears,J1880)+(CNTR_BaselinePeriod-1)*5)</f>
        <v>2015</v>
      </c>
      <c r="K1882" s="154">
        <f>IF(CNTR_BaselinePeriod=EUconst_NA,K1881,INDEX(EUconst_ReportingYears,K1880)+(CNTR_BaselinePeriod-1)*5)</f>
        <v>2016</v>
      </c>
      <c r="L1882" s="154">
        <f>IF(CNTR_BaselinePeriod=EUconst_NA,L1881,INDEX(EUconst_ReportingYears,L1880)+(CNTR_BaselinePeriod-1)*5)</f>
        <v>2017</v>
      </c>
      <c r="M1882" s="154">
        <f>IF(CNTR_BaselinePeriod=EUconst_NA,M1881,INDEX(EUconst_ReportingYears,M1880)+(CNTR_BaselinePeriod-1)*5)</f>
        <v>2018</v>
      </c>
      <c r="N1882" s="157"/>
      <c r="O1882" s="20"/>
      <c r="R1882" s="1037"/>
      <c r="S1882" s="1037"/>
    </row>
    <row r="1883" spans="1:27" hidden="1" x14ac:dyDescent="0.2">
      <c r="A1883" s="2" t="s">
        <v>101</v>
      </c>
      <c r="E1883" s="156" t="s">
        <v>235</v>
      </c>
      <c r="F1883" s="153"/>
      <c r="G1883" s="153"/>
      <c r="H1883" s="153"/>
      <c r="I1883" s="154">
        <v>1</v>
      </c>
      <c r="J1883" s="154">
        <v>1</v>
      </c>
      <c r="K1883" s="154">
        <v>1</v>
      </c>
      <c r="L1883" s="154">
        <v>1</v>
      </c>
      <c r="M1883" s="154">
        <v>1</v>
      </c>
      <c r="N1883" s="157"/>
      <c r="R1883" s="1037"/>
      <c r="S1883" s="1037"/>
    </row>
    <row r="1884" spans="1:27" hidden="1" x14ac:dyDescent="0.2">
      <c r="A1884" s="2" t="s">
        <v>101</v>
      </c>
      <c r="E1884" s="156" t="s">
        <v>233</v>
      </c>
      <c r="F1884" s="153"/>
      <c r="G1884" s="153"/>
      <c r="H1884" s="153"/>
      <c r="I1884" s="153" t="b">
        <f>(I1883=CNTR_BaselinePeriod)</f>
        <v>1</v>
      </c>
      <c r="J1884" s="153" t="b">
        <f>(J1883=CNTR_BaselinePeriod)</f>
        <v>1</v>
      </c>
      <c r="K1884" s="153" t="b">
        <f>(K1883=CNTR_BaselinePeriod)</f>
        <v>1</v>
      </c>
      <c r="L1884" s="153" t="b">
        <f>(L1883=CNTR_BaselinePeriod)</f>
        <v>1</v>
      </c>
      <c r="M1884" s="153" t="b">
        <f>(M1883=CNTR_BaselinePeriod)</f>
        <v>1</v>
      </c>
      <c r="N1884" s="158"/>
      <c r="R1884" s="1037"/>
      <c r="S1884" s="1037"/>
    </row>
    <row r="1885" spans="1:27" ht="13.5" hidden="1" thickBot="1" x14ac:dyDescent="0.25">
      <c r="A1885" s="2" t="s">
        <v>101</v>
      </c>
      <c r="E1885" s="159" t="s">
        <v>234</v>
      </c>
      <c r="F1885" s="160"/>
      <c r="G1885" s="160"/>
      <c r="H1885" s="160"/>
      <c r="I1885" s="160" t="b">
        <f>INDEX(CNTR_BaslineYearRelevant,I1880)</f>
        <v>1</v>
      </c>
      <c r="J1885" s="160" t="b">
        <f>INDEX(CNTR_BaslineYearRelevant,J1880)</f>
        <v>1</v>
      </c>
      <c r="K1885" s="160" t="b">
        <f>INDEX(CNTR_BaslineYearRelevant,K1880)</f>
        <v>1</v>
      </c>
      <c r="L1885" s="160" t="b">
        <f>INDEX(CNTR_BaslineYearRelevant,L1880)</f>
        <v>1</v>
      </c>
      <c r="M1885" s="160" t="b">
        <f>INDEX(CNTR_BaslineYearRelevant,M1880)</f>
        <v>1</v>
      </c>
      <c r="N1885" s="161"/>
      <c r="R1885" s="1037"/>
      <c r="S1885" s="1037"/>
    </row>
    <row r="1886" spans="1:27" hidden="1" x14ac:dyDescent="0.2">
      <c r="A1886" s="2" t="s">
        <v>101</v>
      </c>
      <c r="R1886" s="1037"/>
      <c r="S1886" s="1037"/>
    </row>
    <row r="1887" spans="1:27" hidden="1" x14ac:dyDescent="0.2">
      <c r="A1887" s="2" t="s">
        <v>101</v>
      </c>
      <c r="E1887" s="46" t="s">
        <v>304</v>
      </c>
      <c r="R1887" s="1037"/>
      <c r="S1887" s="1037"/>
    </row>
    <row r="1888" spans="1:27" ht="13.5" hidden="1" thickBot="1" x14ac:dyDescent="0.25">
      <c r="A1888" s="2" t="s">
        <v>101</v>
      </c>
      <c r="E1888" s="23"/>
      <c r="F1888" s="23"/>
      <c r="G1888" s="23"/>
      <c r="H1888" s="23"/>
      <c r="I1888" s="23">
        <f>I$1882</f>
        <v>2014</v>
      </c>
      <c r="J1888" s="23">
        <f>J$1882</f>
        <v>2015</v>
      </c>
      <c r="K1888" s="23">
        <f>K$1882</f>
        <v>2016</v>
      </c>
      <c r="L1888" s="23">
        <f>L$1882</f>
        <v>2017</v>
      </c>
      <c r="M1888" s="23">
        <f>M$1882</f>
        <v>2018</v>
      </c>
      <c r="P1888" s="2" t="s">
        <v>306</v>
      </c>
      <c r="R1888" s="1037"/>
      <c r="S1888" s="1037"/>
    </row>
    <row r="1889" spans="1:19" ht="13.5" hidden="1" thickBot="1" x14ac:dyDescent="0.25">
      <c r="A1889" s="2" t="s">
        <v>101</v>
      </c>
      <c r="E1889" s="188" t="s">
        <v>305</v>
      </c>
      <c r="F1889" s="188"/>
      <c r="G1889" s="188"/>
      <c r="H1889" s="188"/>
      <c r="I1889" s="188">
        <f t="array" ref="I1889">SUM(IF(($P$11:$P$1876=$P1889)*ISNUMBER(I$11:I$1876),1,0))</f>
        <v>0</v>
      </c>
      <c r="J1889" s="188">
        <f t="array" ref="J1889">SUM(IF(($P$11:$P$1876=$P1889)*ISNUMBER(J$11:J$1876),1,0))</f>
        <v>0</v>
      </c>
      <c r="K1889" s="188">
        <f t="array" ref="K1889">SUM(IF(($P$11:$P$1876=$P1889)*ISNUMBER(K$11:K$1876),1,0))</f>
        <v>0</v>
      </c>
      <c r="L1889" s="188">
        <f t="array" ref="L1889">SUM(IF(($P$11:$P$1876=$P1889)*ISNUMBER(L$11:L$1876),1,0))</f>
        <v>0</v>
      </c>
      <c r="M1889" s="188">
        <f t="array" ref="M1889">SUM(IF(($P$11:$P$1876=$P1889)*ISNUMBER(M$11:M$1876),1,0))</f>
        <v>0</v>
      </c>
      <c r="P1889" s="187" t="str">
        <f>EUconst_CNTR_HAL&amp;EUconst_CNTR_nonETSMeasHeat</f>
        <v>HAL_mierzalne ciepło nieobjęte systemem EU ETS</v>
      </c>
      <c r="R1889" s="1037"/>
      <c r="S1889" s="1037"/>
    </row>
    <row r="1890" spans="1:19" ht="13.5" hidden="1" thickBot="1" x14ac:dyDescent="0.25">
      <c r="A1890" s="2" t="s">
        <v>101</v>
      </c>
      <c r="E1890" s="189" t="s">
        <v>308</v>
      </c>
      <c r="F1890" s="190"/>
      <c r="G1890" s="190"/>
      <c r="H1890" s="191" t="str">
        <f>EUconst_TJpa</f>
        <v>TJ / rok</v>
      </c>
      <c r="I1890" s="192" t="str">
        <f>IF(I1889&gt;0,SUMIF($P$11:$P$1876,$P1889,I$11:I$1876),"")</f>
        <v/>
      </c>
      <c r="J1890" s="192" t="str">
        <f>IF(J1889&gt;0,SUMIF($P$11:$P$1876,$P1889,J$11:J$1876),"")</f>
        <v/>
      </c>
      <c r="K1890" s="192" t="str">
        <f>IF(K1889&gt;0,SUMIF($P$11:$P$1876,$P1889,K$11:K$1876),"")</f>
        <v/>
      </c>
      <c r="L1890" s="192" t="str">
        <f>IF(L1889&gt;0,SUMIF($P$11:$P$1876,$P1889,L$11:L$1876),"")</f>
        <v/>
      </c>
      <c r="M1890" s="193" t="str">
        <f>IF(M1889&gt;0,SUMIF($P$11:$P$1876,$P1889,M$11:M$1876),"")</f>
        <v/>
      </c>
      <c r="P1890" s="2" t="s">
        <v>309</v>
      </c>
      <c r="R1890" s="1037"/>
      <c r="S1890" s="1037"/>
    </row>
    <row r="1891" spans="1:19" hidden="1" x14ac:dyDescent="0.2">
      <c r="A1891" s="2" t="s">
        <v>101</v>
      </c>
      <c r="R1891" s="1037"/>
      <c r="S1891" s="1037"/>
    </row>
    <row r="1892" spans="1:19" hidden="1" x14ac:dyDescent="0.2">
      <c r="A1892" s="2" t="s">
        <v>101</v>
      </c>
      <c r="E1892" s="46" t="s">
        <v>243</v>
      </c>
      <c r="R1892" s="1037"/>
      <c r="S1892" s="1037"/>
    </row>
    <row r="1893" spans="1:19" ht="13.5" hidden="1" thickBot="1" x14ac:dyDescent="0.25">
      <c r="A1893" s="2" t="s">
        <v>101</v>
      </c>
      <c r="E1893" s="23"/>
      <c r="F1893" s="23"/>
      <c r="G1893" s="23"/>
      <c r="H1893" s="23"/>
      <c r="I1893" s="23">
        <f>I$1882</f>
        <v>2014</v>
      </c>
      <c r="J1893" s="23">
        <f>J$1882</f>
        <v>2015</v>
      </c>
      <c r="K1893" s="23">
        <f>K$1882</f>
        <v>2016</v>
      </c>
      <c r="L1893" s="23">
        <f>L$1882</f>
        <v>2017</v>
      </c>
      <c r="M1893" s="23">
        <f>M$1882</f>
        <v>2018</v>
      </c>
      <c r="P1893" s="2" t="s">
        <v>306</v>
      </c>
      <c r="R1893" s="1037"/>
      <c r="S1893" s="1037"/>
    </row>
    <row r="1894" spans="1:19" ht="13.5" hidden="1" thickBot="1" x14ac:dyDescent="0.25">
      <c r="A1894" s="2" t="s">
        <v>101</v>
      </c>
      <c r="E1894" s="188" t="s">
        <v>305</v>
      </c>
      <c r="F1894" s="188"/>
      <c r="G1894" s="188"/>
      <c r="H1894" s="188"/>
      <c r="I1894" s="188">
        <f t="array" ref="I1894">SUM(IF(($P$11:$P$1876=$P1894)*ISNUMBER(I$11:I$1876),1,0))</f>
        <v>0</v>
      </c>
      <c r="J1894" s="188">
        <f t="array" ref="J1894">SUM(IF(($P$11:$P$1876=$P1894)*ISNUMBER(J$11:J$1876),1,0))</f>
        <v>0</v>
      </c>
      <c r="K1894" s="188">
        <f t="array" ref="K1894">SUM(IF(($P$11:$P$1876=$P1894)*ISNUMBER(K$11:K$1876),1,0))</f>
        <v>0</v>
      </c>
      <c r="L1894" s="188">
        <f t="array" ref="L1894">SUM(IF(($P$11:$P$1876=$P1894)*ISNUMBER(L$11:L$1876),1,0))</f>
        <v>0</v>
      </c>
      <c r="M1894" s="188">
        <f t="array" ref="M1894">SUM(IF(($P$11:$P$1876=$P1894)*ISNUMBER(M$11:M$1876),1,0))</f>
        <v>0</v>
      </c>
      <c r="P1894" s="187" t="str">
        <f>EUconst_CNTR_HAL&amp;EUconst_CNTR_ELEXCH</f>
        <v>HAL_ELEXCH_</v>
      </c>
      <c r="R1894" s="1037"/>
      <c r="S1894" s="1037"/>
    </row>
    <row r="1895" spans="1:19" ht="13.5" hidden="1" thickBot="1" x14ac:dyDescent="0.25">
      <c r="A1895" s="2" t="s">
        <v>101</v>
      </c>
      <c r="E1895" s="189" t="s">
        <v>308</v>
      </c>
      <c r="F1895" s="190"/>
      <c r="G1895" s="190"/>
      <c r="H1895" s="191" t="str">
        <f>EUconst_TJpa</f>
        <v>TJ / rok</v>
      </c>
      <c r="I1895" s="192" t="str">
        <f>IF(I1894&gt;0,SUMIF($P$11:$P$1876,$P1894,I$11:I$1876),"")</f>
        <v/>
      </c>
      <c r="J1895" s="192" t="str">
        <f>IF(J1894&gt;0,SUMIF($P$11:$P$1876,$P1894,J$11:J$1876),"")</f>
        <v/>
      </c>
      <c r="K1895" s="192" t="str">
        <f>IF(K1894&gt;0,SUMIF($P$11:$P$1876,$P1894,K$11:K$1876),"")</f>
        <v/>
      </c>
      <c r="L1895" s="192" t="str">
        <f>IF(L1894&gt;0,SUMIF($P$11:$P$1876,$P1894,L$11:L$1876),"")</f>
        <v/>
      </c>
      <c r="M1895" s="193" t="str">
        <f>IF(M1894&gt;0,SUMIF($P$11:$P$1876,$P1894,M$11:M$1876),"")</f>
        <v/>
      </c>
      <c r="P1895" s="2" t="s">
        <v>244</v>
      </c>
      <c r="R1895" s="1037"/>
      <c r="S1895" s="1037"/>
    </row>
    <row r="1896" spans="1:19" hidden="1" x14ac:dyDescent="0.2">
      <c r="A1896" s="2" t="s">
        <v>101</v>
      </c>
      <c r="R1896" s="1037"/>
      <c r="S1896" s="1037"/>
    </row>
    <row r="1897" spans="1:19" hidden="1" x14ac:dyDescent="0.2">
      <c r="A1897" s="2" t="s">
        <v>101</v>
      </c>
      <c r="E1897" s="1" t="s">
        <v>325</v>
      </c>
      <c r="R1897" s="1037"/>
      <c r="S1897" s="1037"/>
    </row>
    <row r="1898" spans="1:19" hidden="1" x14ac:dyDescent="0.2">
      <c r="A1898" s="2" t="s">
        <v>101</v>
      </c>
      <c r="F1898" s="1" t="s">
        <v>415</v>
      </c>
      <c r="G1898" s="49" t="b">
        <f t="shared" ref="G1898:G1907" si="40">(COUNTIF($X$11:$X$1876,EUconst_Error&amp;F1898)&gt;0)</f>
        <v>0</v>
      </c>
      <c r="R1898" s="1037"/>
      <c r="S1898" s="1037"/>
    </row>
    <row r="1899" spans="1:19" hidden="1" x14ac:dyDescent="0.2">
      <c r="A1899" s="2" t="s">
        <v>101</v>
      </c>
      <c r="F1899" s="1" t="s">
        <v>416</v>
      </c>
      <c r="G1899" s="49" t="b">
        <f t="shared" si="40"/>
        <v>0</v>
      </c>
      <c r="R1899" s="1037"/>
      <c r="S1899" s="1037"/>
    </row>
    <row r="1900" spans="1:19" hidden="1" x14ac:dyDescent="0.2">
      <c r="A1900" s="2" t="s">
        <v>101</v>
      </c>
      <c r="F1900" s="1" t="s">
        <v>417</v>
      </c>
      <c r="G1900" s="49" t="b">
        <f t="shared" si="40"/>
        <v>0</v>
      </c>
      <c r="R1900" s="1037"/>
      <c r="S1900" s="1037"/>
    </row>
    <row r="1901" spans="1:19" hidden="1" x14ac:dyDescent="0.2">
      <c r="A1901" s="2" t="s">
        <v>101</v>
      </c>
      <c r="F1901" s="1" t="s">
        <v>418</v>
      </c>
      <c r="G1901" s="49" t="b">
        <f t="shared" si="40"/>
        <v>0</v>
      </c>
      <c r="R1901" s="1037"/>
      <c r="S1901" s="1037"/>
    </row>
    <row r="1902" spans="1:19" hidden="1" x14ac:dyDescent="0.2">
      <c r="A1902" s="2" t="s">
        <v>101</v>
      </c>
      <c r="F1902" s="1" t="s">
        <v>419</v>
      </c>
      <c r="G1902" s="49" t="b">
        <f t="shared" si="40"/>
        <v>0</v>
      </c>
      <c r="R1902" s="1037"/>
      <c r="S1902" s="1037"/>
    </row>
    <row r="1903" spans="1:19" hidden="1" x14ac:dyDescent="0.2">
      <c r="A1903" s="2" t="s">
        <v>101</v>
      </c>
      <c r="F1903" s="1" t="s">
        <v>420</v>
      </c>
      <c r="G1903" s="49" t="b">
        <f t="shared" si="40"/>
        <v>0</v>
      </c>
      <c r="R1903" s="1037"/>
      <c r="S1903" s="1037"/>
    </row>
    <row r="1904" spans="1:19" hidden="1" x14ac:dyDescent="0.2">
      <c r="A1904" s="2" t="s">
        <v>101</v>
      </c>
      <c r="F1904" s="1" t="s">
        <v>421</v>
      </c>
      <c r="G1904" s="49" t="b">
        <f t="shared" si="40"/>
        <v>0</v>
      </c>
      <c r="R1904" s="1037"/>
      <c r="S1904" s="1037"/>
    </row>
    <row r="1905" spans="1:19" hidden="1" x14ac:dyDescent="0.2">
      <c r="A1905" s="2" t="s">
        <v>101</v>
      </c>
      <c r="F1905" s="1" t="s">
        <v>422</v>
      </c>
      <c r="G1905" s="49" t="b">
        <f t="shared" si="40"/>
        <v>0</v>
      </c>
      <c r="R1905" s="1037"/>
      <c r="S1905" s="1037"/>
    </row>
    <row r="1906" spans="1:19" hidden="1" x14ac:dyDescent="0.2">
      <c r="A1906" s="2" t="s">
        <v>101</v>
      </c>
      <c r="F1906" s="1" t="s">
        <v>423</v>
      </c>
      <c r="G1906" s="49" t="b">
        <f t="shared" si="40"/>
        <v>0</v>
      </c>
      <c r="R1906" s="1037"/>
      <c r="S1906" s="1037"/>
    </row>
    <row r="1907" spans="1:19" ht="13.5" hidden="1" thickBot="1" x14ac:dyDescent="0.25">
      <c r="A1907" s="2" t="s">
        <v>101</v>
      </c>
      <c r="F1907" s="1" t="s">
        <v>424</v>
      </c>
      <c r="G1907" s="49" t="b">
        <f t="shared" si="40"/>
        <v>0</v>
      </c>
      <c r="R1907" s="1037"/>
      <c r="S1907" s="1037"/>
    </row>
    <row r="1908" spans="1:19" ht="13.5" hidden="1" thickBot="1" x14ac:dyDescent="0.25">
      <c r="A1908" s="2" t="s">
        <v>101</v>
      </c>
      <c r="F1908" s="46" t="s">
        <v>326</v>
      </c>
      <c r="G1908" s="273" t="b">
        <f>OR(G1898:G1907)</f>
        <v>0</v>
      </c>
      <c r="R1908" s="1037"/>
      <c r="S1908" s="1037"/>
    </row>
    <row r="1909" spans="1:19" hidden="1" x14ac:dyDescent="0.2">
      <c r="A1909" s="2" t="s">
        <v>101</v>
      </c>
      <c r="R1909" s="1037"/>
      <c r="S1909" s="1037"/>
    </row>
    <row r="1910" spans="1:19" hidden="1" x14ac:dyDescent="0.2">
      <c r="A1910" s="2" t="s">
        <v>101</v>
      </c>
      <c r="C1910" s="834">
        <v>11</v>
      </c>
      <c r="D1910" s="575" t="s">
        <v>622</v>
      </c>
      <c r="E1910" s="575"/>
      <c r="R1910" s="1037"/>
      <c r="S1910" s="1037"/>
    </row>
    <row r="1911" spans="1:19" hidden="1" x14ac:dyDescent="0.2">
      <c r="A1911" s="2" t="s">
        <v>101</v>
      </c>
      <c r="R1911" s="1037"/>
      <c r="S1911" s="1037"/>
    </row>
  </sheetData>
  <sheetProtection sheet="1" objects="1" scenarios="1" formatCells="0" formatColumns="0" formatRows="0"/>
  <mergeCells count="1635">
    <mergeCell ref="E1854:G1854"/>
    <mergeCell ref="E1856:N1856"/>
    <mergeCell ref="E1857:K1857"/>
    <mergeCell ref="E1867:M1867"/>
    <mergeCell ref="E1868:M1868"/>
    <mergeCell ref="E1869:M1869"/>
    <mergeCell ref="E1859:G1859"/>
    <mergeCell ref="E1860:G1860"/>
    <mergeCell ref="E1861:G1861"/>
    <mergeCell ref="E1863:G1863"/>
    <mergeCell ref="E1864:G1864"/>
    <mergeCell ref="E1865:G1865"/>
    <mergeCell ref="E1835:G1835"/>
    <mergeCell ref="E1836:G1836"/>
    <mergeCell ref="E1837:G1837"/>
    <mergeCell ref="E1838:G1838"/>
    <mergeCell ref="E1839:G1839"/>
    <mergeCell ref="E1841:H1841"/>
    <mergeCell ref="I1841:M1841"/>
    <mergeCell ref="E1842:N1842"/>
    <mergeCell ref="E1843:G1843"/>
    <mergeCell ref="E1844:G1844"/>
    <mergeCell ref="E1845:G1845"/>
    <mergeCell ref="E1846:G1846"/>
    <mergeCell ref="E1847:G1847"/>
    <mergeCell ref="E1849:N1849"/>
    <mergeCell ref="E1850:G1850"/>
    <mergeCell ref="E1851:G1851"/>
    <mergeCell ref="E1853:N1853"/>
    <mergeCell ref="E1818:N1818"/>
    <mergeCell ref="E1819:G1819"/>
    <mergeCell ref="E1820:G1820"/>
    <mergeCell ref="E1821:G1821"/>
    <mergeCell ref="E1822:G1822"/>
    <mergeCell ref="E1823:G1823"/>
    <mergeCell ref="E1825:H1825"/>
    <mergeCell ref="I1825:M1825"/>
    <mergeCell ref="E1826:N1826"/>
    <mergeCell ref="E1827:G1827"/>
    <mergeCell ref="E1828:G1828"/>
    <mergeCell ref="E1829:G1829"/>
    <mergeCell ref="E1830:G1830"/>
    <mergeCell ref="E1831:G1831"/>
    <mergeCell ref="E1833:H1833"/>
    <mergeCell ref="I1833:M1833"/>
    <mergeCell ref="E1834:N1834"/>
    <mergeCell ref="E1799:G1799"/>
    <mergeCell ref="E1801:G1801"/>
    <mergeCell ref="E1802:G1802"/>
    <mergeCell ref="E1803:G1803"/>
    <mergeCell ref="E1805:N1805"/>
    <mergeCell ref="E1806:N1806"/>
    <mergeCell ref="E1807:K1807"/>
    <mergeCell ref="E1808:N1808"/>
    <mergeCell ref="E1809:H1809"/>
    <mergeCell ref="I1809:M1809"/>
    <mergeCell ref="E1810:N1810"/>
    <mergeCell ref="E1811:G1811"/>
    <mergeCell ref="E1812:G1812"/>
    <mergeCell ref="E1813:G1813"/>
    <mergeCell ref="E1814:G1814"/>
    <mergeCell ref="E1815:G1815"/>
    <mergeCell ref="E1817:H1817"/>
    <mergeCell ref="I1817:M1817"/>
    <mergeCell ref="E1779:G1779"/>
    <mergeCell ref="E1780:G1780"/>
    <mergeCell ref="E1781:G1781"/>
    <mergeCell ref="E1782:G1782"/>
    <mergeCell ref="E1783:G1783"/>
    <mergeCell ref="E1784:G1784"/>
    <mergeCell ref="E1785:G1785"/>
    <mergeCell ref="E1787:N1787"/>
    <mergeCell ref="E1788:G1788"/>
    <mergeCell ref="E1789:G1789"/>
    <mergeCell ref="E1791:N1791"/>
    <mergeCell ref="E1792:M1792"/>
    <mergeCell ref="E1793:G1793"/>
    <mergeCell ref="E1794:G1794"/>
    <mergeCell ref="E1795:G1795"/>
    <mergeCell ref="E1797:G1797"/>
    <mergeCell ref="E1798:G1798"/>
    <mergeCell ref="E1761:K1761"/>
    <mergeCell ref="E1762:N1762"/>
    <mergeCell ref="E1763:H1763"/>
    <mergeCell ref="I1763:M1763"/>
    <mergeCell ref="E1765:G1765"/>
    <mergeCell ref="E1766:G1766"/>
    <mergeCell ref="E1767:G1767"/>
    <mergeCell ref="E1768:G1768"/>
    <mergeCell ref="E1769:G1769"/>
    <mergeCell ref="E1770:G1770"/>
    <mergeCell ref="E1771:G1771"/>
    <mergeCell ref="E1772:G1772"/>
    <mergeCell ref="E1773:G1773"/>
    <mergeCell ref="E1775:H1775"/>
    <mergeCell ref="I1775:M1775"/>
    <mergeCell ref="E1777:G1777"/>
    <mergeCell ref="E1778:G1778"/>
    <mergeCell ref="F1738:G1738"/>
    <mergeCell ref="F1739:G1739"/>
    <mergeCell ref="F1740:G1740"/>
    <mergeCell ref="E1741:G1741"/>
    <mergeCell ref="D1744:N1744"/>
    <mergeCell ref="D1746:H1746"/>
    <mergeCell ref="I1746:N1746"/>
    <mergeCell ref="E1748:M1748"/>
    <mergeCell ref="E1750:N1750"/>
    <mergeCell ref="E1751:N1751"/>
    <mergeCell ref="E1752:G1752"/>
    <mergeCell ref="E1753:G1753"/>
    <mergeCell ref="E1755:N1755"/>
    <mergeCell ref="E1756:G1756"/>
    <mergeCell ref="E1757:G1757"/>
    <mergeCell ref="E1758:G1758"/>
    <mergeCell ref="E1760:N1760"/>
    <mergeCell ref="E1717:G1717"/>
    <mergeCell ref="E1718:G1718"/>
    <mergeCell ref="E1719:G1719"/>
    <mergeCell ref="E1720:G1720"/>
    <mergeCell ref="D1722:N1722"/>
    <mergeCell ref="E1724:N1724"/>
    <mergeCell ref="E1725:N1725"/>
    <mergeCell ref="E1726:N1726"/>
    <mergeCell ref="E1728:N1728"/>
    <mergeCell ref="F1730:G1730"/>
    <mergeCell ref="F1731:G1731"/>
    <mergeCell ref="F1732:G1732"/>
    <mergeCell ref="F1733:G1733"/>
    <mergeCell ref="F1734:G1734"/>
    <mergeCell ref="F1735:G1735"/>
    <mergeCell ref="F1736:G1736"/>
    <mergeCell ref="F1737:G1737"/>
    <mergeCell ref="E1699:G1699"/>
    <mergeCell ref="E1700:G1700"/>
    <mergeCell ref="E1701:G1701"/>
    <mergeCell ref="E1703:G1703"/>
    <mergeCell ref="H1703:N1703"/>
    <mergeCell ref="D1705:N1705"/>
    <mergeCell ref="E1707:I1707"/>
    <mergeCell ref="J1707:N1707"/>
    <mergeCell ref="E1708:G1708"/>
    <mergeCell ref="E1709:G1709"/>
    <mergeCell ref="E1710:G1710"/>
    <mergeCell ref="E1711:G1711"/>
    <mergeCell ref="E1712:G1712"/>
    <mergeCell ref="E1713:G1713"/>
    <mergeCell ref="E1715:I1715"/>
    <mergeCell ref="J1715:N1715"/>
    <mergeCell ref="E1716:N1716"/>
    <mergeCell ref="E1674:G1674"/>
    <mergeCell ref="E1676:N1676"/>
    <mergeCell ref="E1677:K1677"/>
    <mergeCell ref="E1679:G1679"/>
    <mergeCell ref="E1680:G1680"/>
    <mergeCell ref="E1681:G1681"/>
    <mergeCell ref="E1683:G1683"/>
    <mergeCell ref="E1684:G1684"/>
    <mergeCell ref="E1685:G1685"/>
    <mergeCell ref="E1687:M1687"/>
    <mergeCell ref="E1688:M1688"/>
    <mergeCell ref="E1689:M1689"/>
    <mergeCell ref="D1693:H1693"/>
    <mergeCell ref="I1693:N1693"/>
    <mergeCell ref="E1695:N1695"/>
    <mergeCell ref="E1697:N1697"/>
    <mergeCell ref="E1698:G1698"/>
    <mergeCell ref="E1655:G1655"/>
    <mergeCell ref="E1656:G1656"/>
    <mergeCell ref="E1657:G1657"/>
    <mergeCell ref="E1658:G1658"/>
    <mergeCell ref="E1659:G1659"/>
    <mergeCell ref="E1661:H1661"/>
    <mergeCell ref="I1661:M1661"/>
    <mergeCell ref="E1662:N1662"/>
    <mergeCell ref="E1663:G1663"/>
    <mergeCell ref="E1664:G1664"/>
    <mergeCell ref="E1665:G1665"/>
    <mergeCell ref="E1666:G1666"/>
    <mergeCell ref="E1667:G1667"/>
    <mergeCell ref="E1669:N1669"/>
    <mergeCell ref="E1670:G1670"/>
    <mergeCell ref="E1671:G1671"/>
    <mergeCell ref="E1673:N1673"/>
    <mergeCell ref="E1638:N1638"/>
    <mergeCell ref="E1639:G1639"/>
    <mergeCell ref="E1640:G1640"/>
    <mergeCell ref="E1641:G1641"/>
    <mergeCell ref="E1642:G1642"/>
    <mergeCell ref="E1643:G1643"/>
    <mergeCell ref="E1645:H1645"/>
    <mergeCell ref="I1645:M1645"/>
    <mergeCell ref="E1646:N1646"/>
    <mergeCell ref="E1647:G1647"/>
    <mergeCell ref="E1648:G1648"/>
    <mergeCell ref="E1649:G1649"/>
    <mergeCell ref="E1650:G1650"/>
    <mergeCell ref="E1651:G1651"/>
    <mergeCell ref="E1653:H1653"/>
    <mergeCell ref="I1653:M1653"/>
    <mergeCell ref="E1654:N1654"/>
    <mergeCell ref="E1619:G1619"/>
    <mergeCell ref="E1621:G1621"/>
    <mergeCell ref="E1622:G1622"/>
    <mergeCell ref="E1623:G1623"/>
    <mergeCell ref="E1625:N1625"/>
    <mergeCell ref="E1626:N1626"/>
    <mergeCell ref="E1627:K1627"/>
    <mergeCell ref="E1628:N1628"/>
    <mergeCell ref="E1629:H1629"/>
    <mergeCell ref="I1629:M1629"/>
    <mergeCell ref="E1630:N1630"/>
    <mergeCell ref="E1631:G1631"/>
    <mergeCell ref="E1632:G1632"/>
    <mergeCell ref="E1633:G1633"/>
    <mergeCell ref="E1634:G1634"/>
    <mergeCell ref="E1635:G1635"/>
    <mergeCell ref="E1637:H1637"/>
    <mergeCell ref="I1637:M1637"/>
    <mergeCell ref="E1599:G1599"/>
    <mergeCell ref="E1600:G1600"/>
    <mergeCell ref="E1601:G1601"/>
    <mergeCell ref="E1602:G1602"/>
    <mergeCell ref="E1603:G1603"/>
    <mergeCell ref="E1604:G1604"/>
    <mergeCell ref="E1605:G1605"/>
    <mergeCell ref="E1607:N1607"/>
    <mergeCell ref="E1608:G1608"/>
    <mergeCell ref="E1609:G1609"/>
    <mergeCell ref="E1611:N1611"/>
    <mergeCell ref="E1612:M1612"/>
    <mergeCell ref="E1613:G1613"/>
    <mergeCell ref="E1614:G1614"/>
    <mergeCell ref="E1615:G1615"/>
    <mergeCell ref="E1617:G1617"/>
    <mergeCell ref="E1618:G1618"/>
    <mergeCell ref="E1581:K1581"/>
    <mergeCell ref="E1582:N1582"/>
    <mergeCell ref="E1583:H1583"/>
    <mergeCell ref="I1583:M1583"/>
    <mergeCell ref="E1585:G1585"/>
    <mergeCell ref="E1586:G1586"/>
    <mergeCell ref="E1587:G1587"/>
    <mergeCell ref="E1588:G1588"/>
    <mergeCell ref="E1589:G1589"/>
    <mergeCell ref="E1590:G1590"/>
    <mergeCell ref="E1591:G1591"/>
    <mergeCell ref="E1592:G1592"/>
    <mergeCell ref="E1593:G1593"/>
    <mergeCell ref="E1595:H1595"/>
    <mergeCell ref="I1595:M1595"/>
    <mergeCell ref="E1597:G1597"/>
    <mergeCell ref="E1598:G1598"/>
    <mergeCell ref="F1558:G1558"/>
    <mergeCell ref="F1559:G1559"/>
    <mergeCell ref="F1560:G1560"/>
    <mergeCell ref="E1561:G1561"/>
    <mergeCell ref="D1564:N1564"/>
    <mergeCell ref="D1566:H1566"/>
    <mergeCell ref="I1566:N1566"/>
    <mergeCell ref="E1568:M1568"/>
    <mergeCell ref="E1570:N1570"/>
    <mergeCell ref="E1571:N1571"/>
    <mergeCell ref="E1572:G1572"/>
    <mergeCell ref="E1573:G1573"/>
    <mergeCell ref="E1575:N1575"/>
    <mergeCell ref="E1576:G1576"/>
    <mergeCell ref="E1577:G1577"/>
    <mergeCell ref="E1578:G1578"/>
    <mergeCell ref="E1580:N1580"/>
    <mergeCell ref="E1537:G1537"/>
    <mergeCell ref="E1538:G1538"/>
    <mergeCell ref="E1539:G1539"/>
    <mergeCell ref="E1540:G1540"/>
    <mergeCell ref="D1542:N1542"/>
    <mergeCell ref="E1544:N1544"/>
    <mergeCell ref="E1545:N1545"/>
    <mergeCell ref="E1546:N1546"/>
    <mergeCell ref="E1548:N1548"/>
    <mergeCell ref="F1550:G1550"/>
    <mergeCell ref="F1551:G1551"/>
    <mergeCell ref="F1552:G1552"/>
    <mergeCell ref="F1553:G1553"/>
    <mergeCell ref="F1554:G1554"/>
    <mergeCell ref="F1555:G1555"/>
    <mergeCell ref="F1556:G1556"/>
    <mergeCell ref="F1557:G1557"/>
    <mergeCell ref="E1519:G1519"/>
    <mergeCell ref="E1520:G1520"/>
    <mergeCell ref="E1521:G1521"/>
    <mergeCell ref="E1523:G1523"/>
    <mergeCell ref="H1523:N1523"/>
    <mergeCell ref="D1525:N1525"/>
    <mergeCell ref="E1527:I1527"/>
    <mergeCell ref="J1527:N1527"/>
    <mergeCell ref="E1528:G1528"/>
    <mergeCell ref="E1529:G1529"/>
    <mergeCell ref="E1530:G1530"/>
    <mergeCell ref="E1531:G1531"/>
    <mergeCell ref="E1532:G1532"/>
    <mergeCell ref="E1533:G1533"/>
    <mergeCell ref="E1535:I1535"/>
    <mergeCell ref="J1535:N1535"/>
    <mergeCell ref="E1536:N1536"/>
    <mergeCell ref="E1494:G1494"/>
    <mergeCell ref="E1496:N1496"/>
    <mergeCell ref="E1497:K1497"/>
    <mergeCell ref="E1499:G1499"/>
    <mergeCell ref="E1500:G1500"/>
    <mergeCell ref="E1501:G1501"/>
    <mergeCell ref="E1503:G1503"/>
    <mergeCell ref="E1504:G1504"/>
    <mergeCell ref="E1505:G1505"/>
    <mergeCell ref="E1507:M1507"/>
    <mergeCell ref="E1508:M1508"/>
    <mergeCell ref="E1509:M1509"/>
    <mergeCell ref="D1513:H1513"/>
    <mergeCell ref="I1513:N1513"/>
    <mergeCell ref="E1515:N1515"/>
    <mergeCell ref="E1517:N1517"/>
    <mergeCell ref="E1518:G1518"/>
    <mergeCell ref="E1475:G1475"/>
    <mergeCell ref="E1476:G1476"/>
    <mergeCell ref="E1477:G1477"/>
    <mergeCell ref="E1478:G1478"/>
    <mergeCell ref="E1479:G1479"/>
    <mergeCell ref="E1481:H1481"/>
    <mergeCell ref="I1481:M1481"/>
    <mergeCell ref="E1482:N1482"/>
    <mergeCell ref="E1483:G1483"/>
    <mergeCell ref="E1484:G1484"/>
    <mergeCell ref="E1485:G1485"/>
    <mergeCell ref="E1486:G1486"/>
    <mergeCell ref="E1487:G1487"/>
    <mergeCell ref="E1489:N1489"/>
    <mergeCell ref="E1490:G1490"/>
    <mergeCell ref="E1491:G1491"/>
    <mergeCell ref="E1493:N1493"/>
    <mergeCell ref="E1458:N1458"/>
    <mergeCell ref="E1459:G1459"/>
    <mergeCell ref="E1460:G1460"/>
    <mergeCell ref="E1461:G1461"/>
    <mergeCell ref="E1462:G1462"/>
    <mergeCell ref="E1463:G1463"/>
    <mergeCell ref="E1465:H1465"/>
    <mergeCell ref="I1465:M1465"/>
    <mergeCell ref="E1466:N1466"/>
    <mergeCell ref="E1467:G1467"/>
    <mergeCell ref="E1468:G1468"/>
    <mergeCell ref="E1469:G1469"/>
    <mergeCell ref="E1470:G1470"/>
    <mergeCell ref="E1471:G1471"/>
    <mergeCell ref="E1473:H1473"/>
    <mergeCell ref="I1473:M1473"/>
    <mergeCell ref="E1474:N1474"/>
    <mergeCell ref="E1439:G1439"/>
    <mergeCell ref="E1441:G1441"/>
    <mergeCell ref="E1442:G1442"/>
    <mergeCell ref="E1443:G1443"/>
    <mergeCell ref="E1445:N1445"/>
    <mergeCell ref="E1446:N1446"/>
    <mergeCell ref="E1447:K1447"/>
    <mergeCell ref="E1448:N1448"/>
    <mergeCell ref="E1449:H1449"/>
    <mergeCell ref="I1449:M1449"/>
    <mergeCell ref="E1450:N1450"/>
    <mergeCell ref="E1451:G1451"/>
    <mergeCell ref="E1452:G1452"/>
    <mergeCell ref="E1453:G1453"/>
    <mergeCell ref="E1454:G1454"/>
    <mergeCell ref="E1455:G1455"/>
    <mergeCell ref="E1457:H1457"/>
    <mergeCell ref="I1457:M1457"/>
    <mergeCell ref="E1419:G1419"/>
    <mergeCell ref="E1420:G1420"/>
    <mergeCell ref="E1421:G1421"/>
    <mergeCell ref="E1422:G1422"/>
    <mergeCell ref="E1423:G1423"/>
    <mergeCell ref="E1424:G1424"/>
    <mergeCell ref="E1425:G1425"/>
    <mergeCell ref="E1427:N1427"/>
    <mergeCell ref="E1428:G1428"/>
    <mergeCell ref="E1429:G1429"/>
    <mergeCell ref="E1431:N1431"/>
    <mergeCell ref="E1432:M1432"/>
    <mergeCell ref="E1433:G1433"/>
    <mergeCell ref="E1434:G1434"/>
    <mergeCell ref="E1435:G1435"/>
    <mergeCell ref="E1437:G1437"/>
    <mergeCell ref="E1438:G1438"/>
    <mergeCell ref="E1401:K1401"/>
    <mergeCell ref="E1402:N1402"/>
    <mergeCell ref="E1403:H1403"/>
    <mergeCell ref="I1403:M1403"/>
    <mergeCell ref="E1405:G1405"/>
    <mergeCell ref="E1406:G1406"/>
    <mergeCell ref="E1407:G1407"/>
    <mergeCell ref="E1408:G1408"/>
    <mergeCell ref="E1409:G1409"/>
    <mergeCell ref="E1410:G1410"/>
    <mergeCell ref="E1411:G1411"/>
    <mergeCell ref="E1412:G1412"/>
    <mergeCell ref="E1413:G1413"/>
    <mergeCell ref="E1415:H1415"/>
    <mergeCell ref="I1415:M1415"/>
    <mergeCell ref="E1417:G1417"/>
    <mergeCell ref="E1418:G1418"/>
    <mergeCell ref="F1378:G1378"/>
    <mergeCell ref="F1379:G1379"/>
    <mergeCell ref="F1380:G1380"/>
    <mergeCell ref="E1381:G1381"/>
    <mergeCell ref="D1384:N1384"/>
    <mergeCell ref="D1386:H1386"/>
    <mergeCell ref="I1386:N1386"/>
    <mergeCell ref="E1388:M1388"/>
    <mergeCell ref="E1390:N1390"/>
    <mergeCell ref="E1391:N1391"/>
    <mergeCell ref="E1392:G1392"/>
    <mergeCell ref="E1393:G1393"/>
    <mergeCell ref="E1395:N1395"/>
    <mergeCell ref="E1396:G1396"/>
    <mergeCell ref="E1397:G1397"/>
    <mergeCell ref="E1398:G1398"/>
    <mergeCell ref="E1400:N1400"/>
    <mergeCell ref="E1357:G1357"/>
    <mergeCell ref="E1358:G1358"/>
    <mergeCell ref="E1359:G1359"/>
    <mergeCell ref="E1360:G1360"/>
    <mergeCell ref="D1362:N1362"/>
    <mergeCell ref="E1364:N1364"/>
    <mergeCell ref="E1365:N1365"/>
    <mergeCell ref="E1366:N1366"/>
    <mergeCell ref="E1368:N1368"/>
    <mergeCell ref="F1370:G1370"/>
    <mergeCell ref="F1371:G1371"/>
    <mergeCell ref="F1372:G1372"/>
    <mergeCell ref="F1373:G1373"/>
    <mergeCell ref="F1374:G1374"/>
    <mergeCell ref="F1375:G1375"/>
    <mergeCell ref="F1376:G1376"/>
    <mergeCell ref="F1377:G1377"/>
    <mergeCell ref="E1339:G1339"/>
    <mergeCell ref="E1340:G1340"/>
    <mergeCell ref="E1341:G1341"/>
    <mergeCell ref="E1343:G1343"/>
    <mergeCell ref="H1343:N1343"/>
    <mergeCell ref="D1345:N1345"/>
    <mergeCell ref="E1347:I1347"/>
    <mergeCell ref="J1347:N1347"/>
    <mergeCell ref="E1348:G1348"/>
    <mergeCell ref="E1349:G1349"/>
    <mergeCell ref="E1350:G1350"/>
    <mergeCell ref="E1351:G1351"/>
    <mergeCell ref="E1352:G1352"/>
    <mergeCell ref="E1353:G1353"/>
    <mergeCell ref="E1355:I1355"/>
    <mergeCell ref="J1355:N1355"/>
    <mergeCell ref="E1356:N1356"/>
    <mergeCell ref="E1314:G1314"/>
    <mergeCell ref="E1316:N1316"/>
    <mergeCell ref="E1317:K1317"/>
    <mergeCell ref="E1319:G1319"/>
    <mergeCell ref="E1320:G1320"/>
    <mergeCell ref="E1321:G1321"/>
    <mergeCell ref="E1323:G1323"/>
    <mergeCell ref="E1324:G1324"/>
    <mergeCell ref="E1325:G1325"/>
    <mergeCell ref="E1327:M1327"/>
    <mergeCell ref="E1328:M1328"/>
    <mergeCell ref="E1329:M1329"/>
    <mergeCell ref="D1333:H1333"/>
    <mergeCell ref="I1333:N1333"/>
    <mergeCell ref="E1335:N1335"/>
    <mergeCell ref="E1337:N1337"/>
    <mergeCell ref="E1338:G1338"/>
    <mergeCell ref="E1295:G1295"/>
    <mergeCell ref="E1296:G1296"/>
    <mergeCell ref="E1297:G1297"/>
    <mergeCell ref="E1298:G1298"/>
    <mergeCell ref="E1299:G1299"/>
    <mergeCell ref="E1301:H1301"/>
    <mergeCell ref="I1301:M1301"/>
    <mergeCell ref="E1302:N1302"/>
    <mergeCell ref="E1303:G1303"/>
    <mergeCell ref="E1304:G1304"/>
    <mergeCell ref="E1305:G1305"/>
    <mergeCell ref="E1306:G1306"/>
    <mergeCell ref="E1307:G1307"/>
    <mergeCell ref="E1309:N1309"/>
    <mergeCell ref="E1310:G1310"/>
    <mergeCell ref="E1311:G1311"/>
    <mergeCell ref="E1313:N1313"/>
    <mergeCell ref="E1278:N1278"/>
    <mergeCell ref="E1279:G1279"/>
    <mergeCell ref="E1280:G1280"/>
    <mergeCell ref="E1281:G1281"/>
    <mergeCell ref="E1282:G1282"/>
    <mergeCell ref="E1283:G1283"/>
    <mergeCell ref="E1285:H1285"/>
    <mergeCell ref="I1285:M1285"/>
    <mergeCell ref="E1286:N1286"/>
    <mergeCell ref="E1287:G1287"/>
    <mergeCell ref="E1288:G1288"/>
    <mergeCell ref="E1289:G1289"/>
    <mergeCell ref="E1290:G1290"/>
    <mergeCell ref="E1291:G1291"/>
    <mergeCell ref="E1293:H1293"/>
    <mergeCell ref="I1293:M1293"/>
    <mergeCell ref="E1294:N1294"/>
    <mergeCell ref="E1259:G1259"/>
    <mergeCell ref="E1261:G1261"/>
    <mergeCell ref="E1262:G1262"/>
    <mergeCell ref="E1263:G1263"/>
    <mergeCell ref="E1265:N1265"/>
    <mergeCell ref="E1266:N1266"/>
    <mergeCell ref="E1267:K1267"/>
    <mergeCell ref="E1268:N1268"/>
    <mergeCell ref="E1269:H1269"/>
    <mergeCell ref="I1269:M1269"/>
    <mergeCell ref="E1270:N1270"/>
    <mergeCell ref="E1271:G1271"/>
    <mergeCell ref="E1272:G1272"/>
    <mergeCell ref="E1273:G1273"/>
    <mergeCell ref="E1274:G1274"/>
    <mergeCell ref="E1275:G1275"/>
    <mergeCell ref="E1277:H1277"/>
    <mergeCell ref="I1277:M1277"/>
    <mergeCell ref="E1239:G1239"/>
    <mergeCell ref="E1240:G1240"/>
    <mergeCell ref="E1241:G1241"/>
    <mergeCell ref="E1242:G1242"/>
    <mergeCell ref="E1243:G1243"/>
    <mergeCell ref="E1244:G1244"/>
    <mergeCell ref="E1245:G1245"/>
    <mergeCell ref="E1247:N1247"/>
    <mergeCell ref="E1248:G1248"/>
    <mergeCell ref="E1249:G1249"/>
    <mergeCell ref="E1251:N1251"/>
    <mergeCell ref="E1252:M1252"/>
    <mergeCell ref="E1253:G1253"/>
    <mergeCell ref="E1254:G1254"/>
    <mergeCell ref="E1255:G1255"/>
    <mergeCell ref="E1257:G1257"/>
    <mergeCell ref="E1258:G1258"/>
    <mergeCell ref="E1221:K1221"/>
    <mergeCell ref="E1222:N1222"/>
    <mergeCell ref="E1223:H1223"/>
    <mergeCell ref="I1223:M1223"/>
    <mergeCell ref="E1225:G1225"/>
    <mergeCell ref="E1226:G1226"/>
    <mergeCell ref="E1227:G1227"/>
    <mergeCell ref="E1228:G1228"/>
    <mergeCell ref="E1229:G1229"/>
    <mergeCell ref="E1230:G1230"/>
    <mergeCell ref="E1231:G1231"/>
    <mergeCell ref="E1232:G1232"/>
    <mergeCell ref="E1233:G1233"/>
    <mergeCell ref="E1235:H1235"/>
    <mergeCell ref="I1235:M1235"/>
    <mergeCell ref="E1237:G1237"/>
    <mergeCell ref="E1238:G1238"/>
    <mergeCell ref="F1198:G1198"/>
    <mergeCell ref="F1199:G1199"/>
    <mergeCell ref="F1200:G1200"/>
    <mergeCell ref="E1201:G1201"/>
    <mergeCell ref="D1204:N1204"/>
    <mergeCell ref="D1206:H1206"/>
    <mergeCell ref="I1206:N1206"/>
    <mergeCell ref="E1208:M1208"/>
    <mergeCell ref="E1210:N1210"/>
    <mergeCell ref="E1211:N1211"/>
    <mergeCell ref="E1212:G1212"/>
    <mergeCell ref="E1213:G1213"/>
    <mergeCell ref="E1215:N1215"/>
    <mergeCell ref="E1216:G1216"/>
    <mergeCell ref="E1217:G1217"/>
    <mergeCell ref="E1218:G1218"/>
    <mergeCell ref="E1220:N1220"/>
    <mergeCell ref="E1177:G1177"/>
    <mergeCell ref="E1178:G1178"/>
    <mergeCell ref="E1179:G1179"/>
    <mergeCell ref="E1180:G1180"/>
    <mergeCell ref="D1182:N1182"/>
    <mergeCell ref="E1184:N1184"/>
    <mergeCell ref="E1185:N1185"/>
    <mergeCell ref="E1186:N1186"/>
    <mergeCell ref="E1188:N1188"/>
    <mergeCell ref="F1190:G1190"/>
    <mergeCell ref="F1191:G1191"/>
    <mergeCell ref="F1192:G1192"/>
    <mergeCell ref="F1193:G1193"/>
    <mergeCell ref="F1194:G1194"/>
    <mergeCell ref="F1195:G1195"/>
    <mergeCell ref="F1196:G1196"/>
    <mergeCell ref="F1197:G1197"/>
    <mergeCell ref="E1159:G1159"/>
    <mergeCell ref="E1160:G1160"/>
    <mergeCell ref="E1161:G1161"/>
    <mergeCell ref="E1163:G1163"/>
    <mergeCell ref="H1163:N1163"/>
    <mergeCell ref="D1165:N1165"/>
    <mergeCell ref="E1167:I1167"/>
    <mergeCell ref="J1167:N1167"/>
    <mergeCell ref="E1168:G1168"/>
    <mergeCell ref="E1169:G1169"/>
    <mergeCell ref="E1170:G1170"/>
    <mergeCell ref="E1171:G1171"/>
    <mergeCell ref="E1172:G1172"/>
    <mergeCell ref="E1173:G1173"/>
    <mergeCell ref="E1175:I1175"/>
    <mergeCell ref="J1175:N1175"/>
    <mergeCell ref="E1176:N1176"/>
    <mergeCell ref="E1134:G1134"/>
    <mergeCell ref="E1136:N1136"/>
    <mergeCell ref="E1137:K1137"/>
    <mergeCell ref="E1139:G1139"/>
    <mergeCell ref="E1140:G1140"/>
    <mergeCell ref="E1141:G1141"/>
    <mergeCell ref="E1143:G1143"/>
    <mergeCell ref="E1144:G1144"/>
    <mergeCell ref="E1145:G1145"/>
    <mergeCell ref="E1147:M1147"/>
    <mergeCell ref="E1148:M1148"/>
    <mergeCell ref="E1149:M1149"/>
    <mergeCell ref="D1153:H1153"/>
    <mergeCell ref="I1153:N1153"/>
    <mergeCell ref="E1155:N1155"/>
    <mergeCell ref="E1157:N1157"/>
    <mergeCell ref="E1158:G1158"/>
    <mergeCell ref="E1115:G1115"/>
    <mergeCell ref="E1116:G1116"/>
    <mergeCell ref="E1117:G1117"/>
    <mergeCell ref="E1118:G1118"/>
    <mergeCell ref="E1119:G1119"/>
    <mergeCell ref="E1121:H1121"/>
    <mergeCell ref="I1121:M1121"/>
    <mergeCell ref="E1122:N1122"/>
    <mergeCell ref="E1123:G1123"/>
    <mergeCell ref="E1124:G1124"/>
    <mergeCell ref="E1125:G1125"/>
    <mergeCell ref="E1126:G1126"/>
    <mergeCell ref="E1127:G1127"/>
    <mergeCell ref="E1129:N1129"/>
    <mergeCell ref="E1130:G1130"/>
    <mergeCell ref="E1131:G1131"/>
    <mergeCell ref="E1133:N1133"/>
    <mergeCell ref="E1098:N1098"/>
    <mergeCell ref="E1099:G1099"/>
    <mergeCell ref="E1100:G1100"/>
    <mergeCell ref="E1101:G1101"/>
    <mergeCell ref="E1102:G1102"/>
    <mergeCell ref="E1103:G1103"/>
    <mergeCell ref="E1105:H1105"/>
    <mergeCell ref="I1105:M1105"/>
    <mergeCell ref="E1106:N1106"/>
    <mergeCell ref="E1107:G1107"/>
    <mergeCell ref="E1108:G1108"/>
    <mergeCell ref="E1109:G1109"/>
    <mergeCell ref="E1110:G1110"/>
    <mergeCell ref="E1111:G1111"/>
    <mergeCell ref="E1113:H1113"/>
    <mergeCell ref="I1113:M1113"/>
    <mergeCell ref="E1114:N1114"/>
    <mergeCell ref="E1079:G1079"/>
    <mergeCell ref="E1081:G1081"/>
    <mergeCell ref="E1082:G1082"/>
    <mergeCell ref="E1083:G1083"/>
    <mergeCell ref="E1085:N1085"/>
    <mergeCell ref="E1086:N1086"/>
    <mergeCell ref="E1087:K1087"/>
    <mergeCell ref="E1088:N1088"/>
    <mergeCell ref="E1089:H1089"/>
    <mergeCell ref="I1089:M1089"/>
    <mergeCell ref="E1090:N1090"/>
    <mergeCell ref="E1091:G1091"/>
    <mergeCell ref="E1092:G1092"/>
    <mergeCell ref="E1093:G1093"/>
    <mergeCell ref="E1094:G1094"/>
    <mergeCell ref="E1095:G1095"/>
    <mergeCell ref="E1097:H1097"/>
    <mergeCell ref="I1097:M1097"/>
    <mergeCell ref="E1059:G1059"/>
    <mergeCell ref="E1060:G1060"/>
    <mergeCell ref="E1061:G1061"/>
    <mergeCell ref="E1062:G1062"/>
    <mergeCell ref="E1063:G1063"/>
    <mergeCell ref="E1064:G1064"/>
    <mergeCell ref="E1065:G1065"/>
    <mergeCell ref="E1067:N1067"/>
    <mergeCell ref="E1068:G1068"/>
    <mergeCell ref="E1069:G1069"/>
    <mergeCell ref="E1071:N1071"/>
    <mergeCell ref="E1072:M1072"/>
    <mergeCell ref="E1073:G1073"/>
    <mergeCell ref="E1074:G1074"/>
    <mergeCell ref="E1075:G1075"/>
    <mergeCell ref="E1077:G1077"/>
    <mergeCell ref="E1078:G1078"/>
    <mergeCell ref="E1041:K1041"/>
    <mergeCell ref="E1042:N1042"/>
    <mergeCell ref="E1043:H1043"/>
    <mergeCell ref="I1043:M1043"/>
    <mergeCell ref="E1045:G1045"/>
    <mergeCell ref="E1046:G1046"/>
    <mergeCell ref="E1047:G1047"/>
    <mergeCell ref="E1048:G1048"/>
    <mergeCell ref="E1049:G1049"/>
    <mergeCell ref="E1050:G1050"/>
    <mergeCell ref="E1051:G1051"/>
    <mergeCell ref="E1052:G1052"/>
    <mergeCell ref="E1053:G1053"/>
    <mergeCell ref="E1055:H1055"/>
    <mergeCell ref="I1055:M1055"/>
    <mergeCell ref="E1057:G1057"/>
    <mergeCell ref="E1058:G1058"/>
    <mergeCell ref="F1018:G1018"/>
    <mergeCell ref="F1019:G1019"/>
    <mergeCell ref="F1020:G1020"/>
    <mergeCell ref="E1021:G1021"/>
    <mergeCell ref="D1024:N1024"/>
    <mergeCell ref="D1026:H1026"/>
    <mergeCell ref="I1026:N1026"/>
    <mergeCell ref="E1028:M1028"/>
    <mergeCell ref="E1030:N1030"/>
    <mergeCell ref="E1031:N1031"/>
    <mergeCell ref="E1032:G1032"/>
    <mergeCell ref="E1033:G1033"/>
    <mergeCell ref="E1035:N1035"/>
    <mergeCell ref="E1036:G1036"/>
    <mergeCell ref="E1037:G1037"/>
    <mergeCell ref="E1038:G1038"/>
    <mergeCell ref="E1040:N1040"/>
    <mergeCell ref="E997:G997"/>
    <mergeCell ref="E998:G998"/>
    <mergeCell ref="E999:G999"/>
    <mergeCell ref="E1000:G1000"/>
    <mergeCell ref="D1002:N1002"/>
    <mergeCell ref="E1004:N1004"/>
    <mergeCell ref="E1005:N1005"/>
    <mergeCell ref="E1006:N1006"/>
    <mergeCell ref="E1008:N1008"/>
    <mergeCell ref="F1010:G1010"/>
    <mergeCell ref="F1011:G1011"/>
    <mergeCell ref="F1012:G1012"/>
    <mergeCell ref="F1013:G1013"/>
    <mergeCell ref="F1014:G1014"/>
    <mergeCell ref="F1015:G1015"/>
    <mergeCell ref="F1016:G1016"/>
    <mergeCell ref="F1017:G1017"/>
    <mergeCell ref="E979:G979"/>
    <mergeCell ref="E980:G980"/>
    <mergeCell ref="E981:G981"/>
    <mergeCell ref="E983:G983"/>
    <mergeCell ref="H983:N983"/>
    <mergeCell ref="D985:N985"/>
    <mergeCell ref="E987:I987"/>
    <mergeCell ref="J987:N987"/>
    <mergeCell ref="E988:G988"/>
    <mergeCell ref="E989:G989"/>
    <mergeCell ref="E990:G990"/>
    <mergeCell ref="E991:G991"/>
    <mergeCell ref="E992:G992"/>
    <mergeCell ref="E993:G993"/>
    <mergeCell ref="E995:I995"/>
    <mergeCell ref="J995:N995"/>
    <mergeCell ref="E996:N996"/>
    <mergeCell ref="E954:G954"/>
    <mergeCell ref="E956:N956"/>
    <mergeCell ref="E957:K957"/>
    <mergeCell ref="E959:G959"/>
    <mergeCell ref="E960:G960"/>
    <mergeCell ref="E961:G961"/>
    <mergeCell ref="E963:G963"/>
    <mergeCell ref="E964:G964"/>
    <mergeCell ref="E965:G965"/>
    <mergeCell ref="E967:M967"/>
    <mergeCell ref="E968:M968"/>
    <mergeCell ref="E969:M969"/>
    <mergeCell ref="D973:H973"/>
    <mergeCell ref="I973:N973"/>
    <mergeCell ref="E975:N975"/>
    <mergeCell ref="E977:N977"/>
    <mergeCell ref="E978:G978"/>
    <mergeCell ref="E935:G935"/>
    <mergeCell ref="E936:G936"/>
    <mergeCell ref="E937:G937"/>
    <mergeCell ref="E938:G938"/>
    <mergeCell ref="E939:G939"/>
    <mergeCell ref="E941:H941"/>
    <mergeCell ref="I941:M941"/>
    <mergeCell ref="E942:N942"/>
    <mergeCell ref="E943:G943"/>
    <mergeCell ref="E944:G944"/>
    <mergeCell ref="E945:G945"/>
    <mergeCell ref="E946:G946"/>
    <mergeCell ref="E947:G947"/>
    <mergeCell ref="E949:N949"/>
    <mergeCell ref="E950:G950"/>
    <mergeCell ref="E951:G951"/>
    <mergeCell ref="E953:N953"/>
    <mergeCell ref="E918:N918"/>
    <mergeCell ref="E919:G919"/>
    <mergeCell ref="E920:G920"/>
    <mergeCell ref="E921:G921"/>
    <mergeCell ref="E922:G922"/>
    <mergeCell ref="E923:G923"/>
    <mergeCell ref="E925:H925"/>
    <mergeCell ref="I925:M925"/>
    <mergeCell ref="E926:N926"/>
    <mergeCell ref="E927:G927"/>
    <mergeCell ref="E928:G928"/>
    <mergeCell ref="E929:G929"/>
    <mergeCell ref="E930:G930"/>
    <mergeCell ref="E931:G931"/>
    <mergeCell ref="E933:H933"/>
    <mergeCell ref="I933:M933"/>
    <mergeCell ref="E934:N934"/>
    <mergeCell ref="E899:G899"/>
    <mergeCell ref="E901:G901"/>
    <mergeCell ref="E902:G902"/>
    <mergeCell ref="E903:G903"/>
    <mergeCell ref="E905:N905"/>
    <mergeCell ref="E906:N906"/>
    <mergeCell ref="E907:K907"/>
    <mergeCell ref="E908:N908"/>
    <mergeCell ref="E909:H909"/>
    <mergeCell ref="I909:M909"/>
    <mergeCell ref="E910:N910"/>
    <mergeCell ref="E911:G911"/>
    <mergeCell ref="E912:G912"/>
    <mergeCell ref="E913:G913"/>
    <mergeCell ref="E914:G914"/>
    <mergeCell ref="E915:G915"/>
    <mergeCell ref="E917:H917"/>
    <mergeCell ref="I917:M917"/>
    <mergeCell ref="E879:G879"/>
    <mergeCell ref="E880:G880"/>
    <mergeCell ref="E881:G881"/>
    <mergeCell ref="E882:G882"/>
    <mergeCell ref="E883:G883"/>
    <mergeCell ref="E884:G884"/>
    <mergeCell ref="E885:G885"/>
    <mergeCell ref="E887:N887"/>
    <mergeCell ref="E888:G888"/>
    <mergeCell ref="E889:G889"/>
    <mergeCell ref="E891:N891"/>
    <mergeCell ref="E892:M892"/>
    <mergeCell ref="E893:G893"/>
    <mergeCell ref="E894:G894"/>
    <mergeCell ref="E895:G895"/>
    <mergeCell ref="E897:G897"/>
    <mergeCell ref="E898:G898"/>
    <mergeCell ref="E861:K861"/>
    <mergeCell ref="E862:N862"/>
    <mergeCell ref="E863:H863"/>
    <mergeCell ref="I863:M863"/>
    <mergeCell ref="E865:G865"/>
    <mergeCell ref="E866:G866"/>
    <mergeCell ref="E867:G867"/>
    <mergeCell ref="E868:G868"/>
    <mergeCell ref="E869:G869"/>
    <mergeCell ref="E870:G870"/>
    <mergeCell ref="E871:G871"/>
    <mergeCell ref="E872:G872"/>
    <mergeCell ref="E873:G873"/>
    <mergeCell ref="E875:H875"/>
    <mergeCell ref="I875:M875"/>
    <mergeCell ref="E877:G877"/>
    <mergeCell ref="E878:G878"/>
    <mergeCell ref="F838:G838"/>
    <mergeCell ref="F839:G839"/>
    <mergeCell ref="F840:G840"/>
    <mergeCell ref="E841:G841"/>
    <mergeCell ref="D844:N844"/>
    <mergeCell ref="D846:H846"/>
    <mergeCell ref="I846:N846"/>
    <mergeCell ref="E848:M848"/>
    <mergeCell ref="E850:N850"/>
    <mergeCell ref="E851:N851"/>
    <mergeCell ref="E852:G852"/>
    <mergeCell ref="E853:G853"/>
    <mergeCell ref="E855:N855"/>
    <mergeCell ref="E856:G856"/>
    <mergeCell ref="E857:G857"/>
    <mergeCell ref="E858:G858"/>
    <mergeCell ref="E860:N860"/>
    <mergeCell ref="E817:G817"/>
    <mergeCell ref="E818:G818"/>
    <mergeCell ref="E819:G819"/>
    <mergeCell ref="E820:G820"/>
    <mergeCell ref="D822:N822"/>
    <mergeCell ref="E824:N824"/>
    <mergeCell ref="E825:N825"/>
    <mergeCell ref="E826:N826"/>
    <mergeCell ref="E828:N828"/>
    <mergeCell ref="F830:G830"/>
    <mergeCell ref="F831:G831"/>
    <mergeCell ref="F832:G832"/>
    <mergeCell ref="F833:G833"/>
    <mergeCell ref="F834:G834"/>
    <mergeCell ref="F835:G835"/>
    <mergeCell ref="F836:G836"/>
    <mergeCell ref="F837:G837"/>
    <mergeCell ref="E799:G799"/>
    <mergeCell ref="E800:G800"/>
    <mergeCell ref="E801:G801"/>
    <mergeCell ref="E803:G803"/>
    <mergeCell ref="H803:N803"/>
    <mergeCell ref="D805:N805"/>
    <mergeCell ref="E807:I807"/>
    <mergeCell ref="J807:N807"/>
    <mergeCell ref="E808:G808"/>
    <mergeCell ref="E809:G809"/>
    <mergeCell ref="E810:G810"/>
    <mergeCell ref="E811:G811"/>
    <mergeCell ref="E812:G812"/>
    <mergeCell ref="E813:G813"/>
    <mergeCell ref="E815:I815"/>
    <mergeCell ref="J815:N815"/>
    <mergeCell ref="E816:N816"/>
    <mergeCell ref="E774:G774"/>
    <mergeCell ref="E776:N776"/>
    <mergeCell ref="E777:K777"/>
    <mergeCell ref="E779:G779"/>
    <mergeCell ref="E780:G780"/>
    <mergeCell ref="E781:G781"/>
    <mergeCell ref="E783:G783"/>
    <mergeCell ref="E784:G784"/>
    <mergeCell ref="E785:G785"/>
    <mergeCell ref="E787:M787"/>
    <mergeCell ref="E788:M788"/>
    <mergeCell ref="E789:M789"/>
    <mergeCell ref="D793:H793"/>
    <mergeCell ref="I793:N793"/>
    <mergeCell ref="E795:N795"/>
    <mergeCell ref="E797:N797"/>
    <mergeCell ref="E798:G798"/>
    <mergeCell ref="E755:G755"/>
    <mergeCell ref="E756:G756"/>
    <mergeCell ref="E757:G757"/>
    <mergeCell ref="E758:G758"/>
    <mergeCell ref="E759:G759"/>
    <mergeCell ref="E761:H761"/>
    <mergeCell ref="I761:M761"/>
    <mergeCell ref="E762:N762"/>
    <mergeCell ref="E763:G763"/>
    <mergeCell ref="E764:G764"/>
    <mergeCell ref="E765:G765"/>
    <mergeCell ref="E766:G766"/>
    <mergeCell ref="E767:G767"/>
    <mergeCell ref="E769:N769"/>
    <mergeCell ref="E770:G770"/>
    <mergeCell ref="E771:G771"/>
    <mergeCell ref="E773:N773"/>
    <mergeCell ref="E738:N738"/>
    <mergeCell ref="E739:G739"/>
    <mergeCell ref="E740:G740"/>
    <mergeCell ref="E741:G741"/>
    <mergeCell ref="E742:G742"/>
    <mergeCell ref="E743:G743"/>
    <mergeCell ref="E745:H745"/>
    <mergeCell ref="I745:M745"/>
    <mergeCell ref="E746:N746"/>
    <mergeCell ref="E747:G747"/>
    <mergeCell ref="E748:G748"/>
    <mergeCell ref="E749:G749"/>
    <mergeCell ref="E750:G750"/>
    <mergeCell ref="E751:G751"/>
    <mergeCell ref="E753:H753"/>
    <mergeCell ref="I753:M753"/>
    <mergeCell ref="E754:N754"/>
    <mergeCell ref="E719:G719"/>
    <mergeCell ref="E721:G721"/>
    <mergeCell ref="E722:G722"/>
    <mergeCell ref="E723:G723"/>
    <mergeCell ref="E725:N725"/>
    <mergeCell ref="E726:N726"/>
    <mergeCell ref="E727:K727"/>
    <mergeCell ref="E728:N728"/>
    <mergeCell ref="E729:H729"/>
    <mergeCell ref="I729:M729"/>
    <mergeCell ref="E730:N730"/>
    <mergeCell ref="E731:G731"/>
    <mergeCell ref="E732:G732"/>
    <mergeCell ref="E733:G733"/>
    <mergeCell ref="E734:G734"/>
    <mergeCell ref="E735:G735"/>
    <mergeCell ref="E737:H737"/>
    <mergeCell ref="I737:M737"/>
    <mergeCell ref="E699:G699"/>
    <mergeCell ref="E700:G700"/>
    <mergeCell ref="E701:G701"/>
    <mergeCell ref="E702:G702"/>
    <mergeCell ref="E703:G703"/>
    <mergeCell ref="E704:G704"/>
    <mergeCell ref="E705:G705"/>
    <mergeCell ref="E707:N707"/>
    <mergeCell ref="E708:G708"/>
    <mergeCell ref="E709:G709"/>
    <mergeCell ref="E711:N711"/>
    <mergeCell ref="E712:M712"/>
    <mergeCell ref="E713:G713"/>
    <mergeCell ref="E714:G714"/>
    <mergeCell ref="E715:G715"/>
    <mergeCell ref="E717:G717"/>
    <mergeCell ref="E718:G718"/>
    <mergeCell ref="E681:K681"/>
    <mergeCell ref="E682:N682"/>
    <mergeCell ref="E683:H683"/>
    <mergeCell ref="I683:M683"/>
    <mergeCell ref="E685:G685"/>
    <mergeCell ref="E686:G686"/>
    <mergeCell ref="E687:G687"/>
    <mergeCell ref="E688:G688"/>
    <mergeCell ref="E689:G689"/>
    <mergeCell ref="E690:G690"/>
    <mergeCell ref="E691:G691"/>
    <mergeCell ref="E692:G692"/>
    <mergeCell ref="E693:G693"/>
    <mergeCell ref="E695:H695"/>
    <mergeCell ref="I695:M695"/>
    <mergeCell ref="E697:G697"/>
    <mergeCell ref="E698:G698"/>
    <mergeCell ref="F658:G658"/>
    <mergeCell ref="F659:G659"/>
    <mergeCell ref="F660:G660"/>
    <mergeCell ref="E661:G661"/>
    <mergeCell ref="D664:N664"/>
    <mergeCell ref="D666:H666"/>
    <mergeCell ref="I666:N666"/>
    <mergeCell ref="E668:M668"/>
    <mergeCell ref="E670:N670"/>
    <mergeCell ref="E671:N671"/>
    <mergeCell ref="E672:G672"/>
    <mergeCell ref="E673:G673"/>
    <mergeCell ref="E675:N675"/>
    <mergeCell ref="E676:G676"/>
    <mergeCell ref="E677:G677"/>
    <mergeCell ref="E678:G678"/>
    <mergeCell ref="E680:N680"/>
    <mergeCell ref="E637:G637"/>
    <mergeCell ref="E638:G638"/>
    <mergeCell ref="E639:G639"/>
    <mergeCell ref="E640:G640"/>
    <mergeCell ref="D642:N642"/>
    <mergeCell ref="E644:N644"/>
    <mergeCell ref="E645:N645"/>
    <mergeCell ref="E646:N646"/>
    <mergeCell ref="E648:N648"/>
    <mergeCell ref="F650:G650"/>
    <mergeCell ref="F651:G651"/>
    <mergeCell ref="F652:G652"/>
    <mergeCell ref="F653:G653"/>
    <mergeCell ref="F654:G654"/>
    <mergeCell ref="F655:G655"/>
    <mergeCell ref="F656:G656"/>
    <mergeCell ref="F657:G657"/>
    <mergeCell ref="E619:G619"/>
    <mergeCell ref="E620:G620"/>
    <mergeCell ref="E621:G621"/>
    <mergeCell ref="E623:G623"/>
    <mergeCell ref="H623:N623"/>
    <mergeCell ref="D625:N625"/>
    <mergeCell ref="E627:I627"/>
    <mergeCell ref="J627:N627"/>
    <mergeCell ref="E628:G628"/>
    <mergeCell ref="E629:G629"/>
    <mergeCell ref="E630:G630"/>
    <mergeCell ref="E631:G631"/>
    <mergeCell ref="E632:G632"/>
    <mergeCell ref="E633:G633"/>
    <mergeCell ref="E635:I635"/>
    <mergeCell ref="J635:N635"/>
    <mergeCell ref="E636:N636"/>
    <mergeCell ref="E594:G594"/>
    <mergeCell ref="E596:N596"/>
    <mergeCell ref="E597:K597"/>
    <mergeCell ref="E599:G599"/>
    <mergeCell ref="E600:G600"/>
    <mergeCell ref="E601:G601"/>
    <mergeCell ref="E603:G603"/>
    <mergeCell ref="E604:G604"/>
    <mergeCell ref="E605:G605"/>
    <mergeCell ref="E607:M607"/>
    <mergeCell ref="E608:M608"/>
    <mergeCell ref="E609:M609"/>
    <mergeCell ref="D613:H613"/>
    <mergeCell ref="I613:N613"/>
    <mergeCell ref="E615:N615"/>
    <mergeCell ref="E617:N617"/>
    <mergeCell ref="E618:G618"/>
    <mergeCell ref="E575:G575"/>
    <mergeCell ref="E576:G576"/>
    <mergeCell ref="E577:G577"/>
    <mergeCell ref="E578:G578"/>
    <mergeCell ref="E579:G579"/>
    <mergeCell ref="E581:H581"/>
    <mergeCell ref="I581:M581"/>
    <mergeCell ref="E582:N582"/>
    <mergeCell ref="E583:G583"/>
    <mergeCell ref="E584:G584"/>
    <mergeCell ref="E585:G585"/>
    <mergeCell ref="E586:G586"/>
    <mergeCell ref="E587:G587"/>
    <mergeCell ref="E589:N589"/>
    <mergeCell ref="E590:G590"/>
    <mergeCell ref="E591:G591"/>
    <mergeCell ref="E593:N593"/>
    <mergeCell ref="E558:N558"/>
    <mergeCell ref="E559:G559"/>
    <mergeCell ref="E560:G560"/>
    <mergeCell ref="E561:G561"/>
    <mergeCell ref="E562:G562"/>
    <mergeCell ref="E563:G563"/>
    <mergeCell ref="E565:H565"/>
    <mergeCell ref="I565:M565"/>
    <mergeCell ref="E566:N566"/>
    <mergeCell ref="E567:G567"/>
    <mergeCell ref="E568:G568"/>
    <mergeCell ref="E569:G569"/>
    <mergeCell ref="E570:G570"/>
    <mergeCell ref="E571:G571"/>
    <mergeCell ref="E573:H573"/>
    <mergeCell ref="I573:M573"/>
    <mergeCell ref="E574:N574"/>
    <mergeCell ref="E539:G539"/>
    <mergeCell ref="E541:G541"/>
    <mergeCell ref="E542:G542"/>
    <mergeCell ref="E543:G543"/>
    <mergeCell ref="E545:N545"/>
    <mergeCell ref="E546:N546"/>
    <mergeCell ref="E547:K547"/>
    <mergeCell ref="E548:N548"/>
    <mergeCell ref="E549:H549"/>
    <mergeCell ref="I549:M549"/>
    <mergeCell ref="E550:N550"/>
    <mergeCell ref="E551:G551"/>
    <mergeCell ref="E552:G552"/>
    <mergeCell ref="E553:G553"/>
    <mergeCell ref="E554:G554"/>
    <mergeCell ref="E555:G555"/>
    <mergeCell ref="E557:H557"/>
    <mergeCell ref="I557:M557"/>
    <mergeCell ref="E519:G519"/>
    <mergeCell ref="E520:G520"/>
    <mergeCell ref="E521:G521"/>
    <mergeCell ref="E522:G522"/>
    <mergeCell ref="E523:G523"/>
    <mergeCell ref="E524:G524"/>
    <mergeCell ref="E525:G525"/>
    <mergeCell ref="E527:N527"/>
    <mergeCell ref="E528:G528"/>
    <mergeCell ref="E529:G529"/>
    <mergeCell ref="E531:N531"/>
    <mergeCell ref="E532:M532"/>
    <mergeCell ref="E533:G533"/>
    <mergeCell ref="E534:G534"/>
    <mergeCell ref="E535:G535"/>
    <mergeCell ref="E537:G537"/>
    <mergeCell ref="E538:G538"/>
    <mergeCell ref="E501:K501"/>
    <mergeCell ref="E502:N502"/>
    <mergeCell ref="E503:H503"/>
    <mergeCell ref="I503:M503"/>
    <mergeCell ref="E505:G505"/>
    <mergeCell ref="E506:G506"/>
    <mergeCell ref="E507:G507"/>
    <mergeCell ref="E508:G508"/>
    <mergeCell ref="E509:G509"/>
    <mergeCell ref="E510:G510"/>
    <mergeCell ref="E511:G511"/>
    <mergeCell ref="E512:G512"/>
    <mergeCell ref="E513:G513"/>
    <mergeCell ref="E515:H515"/>
    <mergeCell ref="I515:M515"/>
    <mergeCell ref="E517:G517"/>
    <mergeCell ref="E518:G518"/>
    <mergeCell ref="F478:G478"/>
    <mergeCell ref="F479:G479"/>
    <mergeCell ref="F480:G480"/>
    <mergeCell ref="E481:G481"/>
    <mergeCell ref="D484:N484"/>
    <mergeCell ref="D486:H486"/>
    <mergeCell ref="I486:N486"/>
    <mergeCell ref="E488:M488"/>
    <mergeCell ref="E490:N490"/>
    <mergeCell ref="E491:N491"/>
    <mergeCell ref="E492:G492"/>
    <mergeCell ref="E493:G493"/>
    <mergeCell ref="E495:N495"/>
    <mergeCell ref="E496:G496"/>
    <mergeCell ref="E497:G497"/>
    <mergeCell ref="E498:G498"/>
    <mergeCell ref="E500:N500"/>
    <mergeCell ref="E457:G457"/>
    <mergeCell ref="E458:G458"/>
    <mergeCell ref="E459:G459"/>
    <mergeCell ref="E460:G460"/>
    <mergeCell ref="D462:N462"/>
    <mergeCell ref="E464:N464"/>
    <mergeCell ref="E465:N465"/>
    <mergeCell ref="E466:N466"/>
    <mergeCell ref="E468:N468"/>
    <mergeCell ref="F470:G470"/>
    <mergeCell ref="F471:G471"/>
    <mergeCell ref="F472:G472"/>
    <mergeCell ref="F473:G473"/>
    <mergeCell ref="F474:G474"/>
    <mergeCell ref="F475:G475"/>
    <mergeCell ref="F476:G476"/>
    <mergeCell ref="F477:G477"/>
    <mergeCell ref="E439:G439"/>
    <mergeCell ref="E440:G440"/>
    <mergeCell ref="E441:G441"/>
    <mergeCell ref="E443:G443"/>
    <mergeCell ref="H443:N443"/>
    <mergeCell ref="D445:N445"/>
    <mergeCell ref="E447:I447"/>
    <mergeCell ref="J447:N447"/>
    <mergeCell ref="E448:G448"/>
    <mergeCell ref="E449:G449"/>
    <mergeCell ref="E450:G450"/>
    <mergeCell ref="E451:G451"/>
    <mergeCell ref="E452:G452"/>
    <mergeCell ref="E453:G453"/>
    <mergeCell ref="E455:I455"/>
    <mergeCell ref="J455:N455"/>
    <mergeCell ref="E456:N456"/>
    <mergeCell ref="D433:H433"/>
    <mergeCell ref="I433:N433"/>
    <mergeCell ref="E435:N435"/>
    <mergeCell ref="F99:N99"/>
    <mergeCell ref="F75:G75"/>
    <mergeCell ref="F100:N100"/>
    <mergeCell ref="F98:N98"/>
    <mergeCell ref="E113:N113"/>
    <mergeCell ref="E171:N171"/>
    <mergeCell ref="E106:N106"/>
    <mergeCell ref="E437:N437"/>
    <mergeCell ref="F96:N96"/>
    <mergeCell ref="E184:H184"/>
    <mergeCell ref="E204:N204"/>
    <mergeCell ref="E213:N213"/>
    <mergeCell ref="E222:N222"/>
    <mergeCell ref="E142:G142"/>
    <mergeCell ref="E156:N156"/>
    <mergeCell ref="E131:G131"/>
    <mergeCell ref="E129:G129"/>
    <mergeCell ref="E141:G141"/>
    <mergeCell ref="E157:N157"/>
    <mergeCell ref="E116:N116"/>
    <mergeCell ref="E128:G128"/>
    <mergeCell ref="I122:M122"/>
    <mergeCell ref="E91:N91"/>
    <mergeCell ref="E85:M85"/>
    <mergeCell ref="E179:G179"/>
    <mergeCell ref="E108:N108"/>
    <mergeCell ref="E214:N214"/>
    <mergeCell ref="E210:G210"/>
    <mergeCell ref="E119:N119"/>
    <mergeCell ref="J35:N35"/>
    <mergeCell ref="E46:I46"/>
    <mergeCell ref="E58:N58"/>
    <mergeCell ref="E61:N61"/>
    <mergeCell ref="E42:G42"/>
    <mergeCell ref="E43:G43"/>
    <mergeCell ref="E48:N48"/>
    <mergeCell ref="E255:N255"/>
    <mergeCell ref="E130:G130"/>
    <mergeCell ref="E121:N121"/>
    <mergeCell ref="E122:H122"/>
    <mergeCell ref="E137:G137"/>
    <mergeCell ref="E132:G132"/>
    <mergeCell ref="E154:N154"/>
    <mergeCell ref="E118:N118"/>
    <mergeCell ref="E124:G124"/>
    <mergeCell ref="E39:G39"/>
    <mergeCell ref="E249:M249"/>
    <mergeCell ref="I175:M175"/>
    <mergeCell ref="E247:N247"/>
    <mergeCell ref="E207:G207"/>
    <mergeCell ref="I212:M212"/>
    <mergeCell ref="E243:G243"/>
    <mergeCell ref="E225:G225"/>
    <mergeCell ref="E238:G238"/>
    <mergeCell ref="I193:M193"/>
    <mergeCell ref="E234:N234"/>
    <mergeCell ref="E150:G150"/>
    <mergeCell ref="E35:I35"/>
    <mergeCell ref="E216:G216"/>
    <mergeCell ref="E228:N228"/>
    <mergeCell ref="E231:G231"/>
    <mergeCell ref="R4:S4"/>
    <mergeCell ref="K4:L4"/>
    <mergeCell ref="I13:N13"/>
    <mergeCell ref="D11:N11"/>
    <mergeCell ref="E9:M9"/>
    <mergeCell ref="K5:L5"/>
    <mergeCell ref="B2:D4"/>
    <mergeCell ref="V5:W5"/>
    <mergeCell ref="T4:U4"/>
    <mergeCell ref="V4:W4"/>
    <mergeCell ref="P4:Q4"/>
    <mergeCell ref="R3:S3"/>
    <mergeCell ref="V3:W3"/>
    <mergeCell ref="P3:Q3"/>
    <mergeCell ref="T3:U3"/>
    <mergeCell ref="R5:S5"/>
    <mergeCell ref="P5:Q5"/>
    <mergeCell ref="K2:L2"/>
    <mergeCell ref="K3:L3"/>
    <mergeCell ref="M4:N4"/>
    <mergeCell ref="T5:U5"/>
    <mergeCell ref="M3:N3"/>
    <mergeCell ref="G4:H4"/>
    <mergeCell ref="G3:H3"/>
    <mergeCell ref="I3:J3"/>
    <mergeCell ref="G2:H2"/>
    <mergeCell ref="M2:N2"/>
    <mergeCell ref="D13:H13"/>
    <mergeCell ref="E3:F3"/>
    <mergeCell ref="D7:N7"/>
    <mergeCell ref="I2:J2"/>
    <mergeCell ref="D1874:N1874"/>
    <mergeCell ref="E64:N64"/>
    <mergeCell ref="E208:G208"/>
    <mergeCell ref="E198:G198"/>
    <mergeCell ref="E224:G224"/>
    <mergeCell ref="M5:N5"/>
    <mergeCell ref="I5:J5"/>
    <mergeCell ref="E19:N19"/>
    <mergeCell ref="E26:G26"/>
    <mergeCell ref="E4:F4"/>
    <mergeCell ref="I4:J4"/>
    <mergeCell ref="G5:H5"/>
    <mergeCell ref="E36:N36"/>
    <mergeCell ref="E20:N20"/>
    <mergeCell ref="E14:N14"/>
    <mergeCell ref="E27:G27"/>
    <mergeCell ref="F16:N16"/>
    <mergeCell ref="E28:G28"/>
    <mergeCell ref="E21:N21"/>
    <mergeCell ref="F17:N17"/>
    <mergeCell ref="E25:G25"/>
    <mergeCell ref="E248:M248"/>
    <mergeCell ref="I134:M134"/>
    <mergeCell ref="E15:N15"/>
    <mergeCell ref="E22:N22"/>
    <mergeCell ref="E110:G110"/>
    <mergeCell ref="E23:N23"/>
    <mergeCell ref="D56:N56"/>
    <mergeCell ref="E102:G102"/>
    <mergeCell ref="E104:N104"/>
    <mergeCell ref="E233:N233"/>
    <mergeCell ref="E229:N229"/>
    <mergeCell ref="E257:N257"/>
    <mergeCell ref="E146:N146"/>
    <mergeCell ref="E149:N149"/>
    <mergeCell ref="E197:G197"/>
    <mergeCell ref="E163:G163"/>
    <mergeCell ref="E199:G199"/>
    <mergeCell ref="E169:G169"/>
    <mergeCell ref="E218:G218"/>
    <mergeCell ref="E194:N194"/>
    <mergeCell ref="E205:N205"/>
    <mergeCell ref="E206:G206"/>
    <mergeCell ref="E217:G217"/>
    <mergeCell ref="I203:M203"/>
    <mergeCell ref="E212:H212"/>
    <mergeCell ref="E203:H203"/>
    <mergeCell ref="E215:G215"/>
    <mergeCell ref="E209:G209"/>
    <mergeCell ref="E193:H193"/>
    <mergeCell ref="E190:G190"/>
    <mergeCell ref="E236:K236"/>
    <mergeCell ref="E227:N227"/>
    <mergeCell ref="E246:M246"/>
    <mergeCell ref="E239:G239"/>
    <mergeCell ref="E221:N221"/>
    <mergeCell ref="E195:N195"/>
    <mergeCell ref="E242:G242"/>
    <mergeCell ref="E240:G240"/>
    <mergeCell ref="E244:G244"/>
    <mergeCell ref="E223:N223"/>
    <mergeCell ref="E219:G219"/>
    <mergeCell ref="E201:G201"/>
    <mergeCell ref="E200:G200"/>
    <mergeCell ref="E24:N24"/>
    <mergeCell ref="F67:G67"/>
    <mergeCell ref="E126:G126"/>
    <mergeCell ref="E109:G109"/>
    <mergeCell ref="E31:N31"/>
    <mergeCell ref="D33:N33"/>
    <mergeCell ref="E30:G30"/>
    <mergeCell ref="E44:G44"/>
    <mergeCell ref="E37:N37"/>
    <mergeCell ref="F72:G72"/>
    <mergeCell ref="E93:N93"/>
    <mergeCell ref="E52:G52"/>
    <mergeCell ref="E89:M89"/>
    <mergeCell ref="E167:G167"/>
    <mergeCell ref="E189:G189"/>
    <mergeCell ref="F94:N94"/>
    <mergeCell ref="E188:G188"/>
    <mergeCell ref="E186:N186"/>
    <mergeCell ref="E182:G182"/>
    <mergeCell ref="E187:G187"/>
    <mergeCell ref="I184:M184"/>
    <mergeCell ref="E185:N185"/>
    <mergeCell ref="E125:G125"/>
    <mergeCell ref="E117:N117"/>
    <mergeCell ref="E155:N155"/>
    <mergeCell ref="E115:N115"/>
    <mergeCell ref="E148:N148"/>
    <mergeCell ref="E120:K120"/>
    <mergeCell ref="H30:N30"/>
    <mergeCell ref="J46:N46"/>
    <mergeCell ref="E41:G41"/>
    <mergeCell ref="E40:G40"/>
    <mergeCell ref="E101:G101"/>
    <mergeCell ref="F97:N97"/>
    <mergeCell ref="E136:G136"/>
    <mergeCell ref="E160:G160"/>
    <mergeCell ref="E158:M158"/>
    <mergeCell ref="E151:G151"/>
    <mergeCell ref="E127:G127"/>
    <mergeCell ref="E139:G139"/>
    <mergeCell ref="E181:G181"/>
    <mergeCell ref="E164:G164"/>
    <mergeCell ref="E159:G159"/>
    <mergeCell ref="E176:N176"/>
    <mergeCell ref="E175:H175"/>
    <mergeCell ref="E177:N177"/>
    <mergeCell ref="E178:G178"/>
    <mergeCell ref="E174:N174"/>
    <mergeCell ref="E172:N172"/>
    <mergeCell ref="E168:G168"/>
    <mergeCell ref="E105:N105"/>
    <mergeCell ref="E111:G111"/>
    <mergeCell ref="E153:N153"/>
    <mergeCell ref="D253:H253"/>
    <mergeCell ref="I253:N253"/>
    <mergeCell ref="E196:N196"/>
    <mergeCell ref="E84:M84"/>
    <mergeCell ref="E38:N38"/>
    <mergeCell ref="E77:G77"/>
    <mergeCell ref="E134:H134"/>
    <mergeCell ref="E144:G144"/>
    <mergeCell ref="F68:G68"/>
    <mergeCell ref="F69:G69"/>
    <mergeCell ref="E47:N47"/>
    <mergeCell ref="F76:G76"/>
    <mergeCell ref="E59:N59"/>
    <mergeCell ref="E143:G143"/>
    <mergeCell ref="I82:N82"/>
    <mergeCell ref="D82:H82"/>
    <mergeCell ref="F73:G73"/>
    <mergeCell ref="E140:G140"/>
    <mergeCell ref="F66:G66"/>
    <mergeCell ref="D80:N80"/>
    <mergeCell ref="F70:G70"/>
    <mergeCell ref="F74:G74"/>
    <mergeCell ref="F71:G71"/>
    <mergeCell ref="E62:N62"/>
    <mergeCell ref="E49:N49"/>
    <mergeCell ref="E60:N60"/>
    <mergeCell ref="E54:G54"/>
    <mergeCell ref="E50:N50"/>
    <mergeCell ref="E53:G53"/>
    <mergeCell ref="E51:G51"/>
    <mergeCell ref="E161:G161"/>
    <mergeCell ref="E138:G138"/>
    <mergeCell ref="E273:G273"/>
    <mergeCell ref="E275:I275"/>
    <mergeCell ref="J275:N275"/>
    <mergeCell ref="E268:G268"/>
    <mergeCell ref="E269:G269"/>
    <mergeCell ref="E270:G270"/>
    <mergeCell ref="E271:G271"/>
    <mergeCell ref="E272:G272"/>
    <mergeCell ref="D265:N265"/>
    <mergeCell ref="E267:I267"/>
    <mergeCell ref="J267:N267"/>
    <mergeCell ref="E258:G258"/>
    <mergeCell ref="E259:G259"/>
    <mergeCell ref="E260:G260"/>
    <mergeCell ref="E261:G261"/>
    <mergeCell ref="E263:G263"/>
    <mergeCell ref="H263:N263"/>
    <mergeCell ref="F296:G296"/>
    <mergeCell ref="F297:G297"/>
    <mergeCell ref="F298:G298"/>
    <mergeCell ref="F299:G299"/>
    <mergeCell ref="F300:G300"/>
    <mergeCell ref="E301:G301"/>
    <mergeCell ref="F290:G290"/>
    <mergeCell ref="F291:G291"/>
    <mergeCell ref="F292:G292"/>
    <mergeCell ref="F293:G293"/>
    <mergeCell ref="F294:G294"/>
    <mergeCell ref="F295:G295"/>
    <mergeCell ref="E284:N284"/>
    <mergeCell ref="E285:N285"/>
    <mergeCell ref="E286:N286"/>
    <mergeCell ref="E288:N288"/>
    <mergeCell ref="E276:N276"/>
    <mergeCell ref="E277:G277"/>
    <mergeCell ref="E278:G278"/>
    <mergeCell ref="E279:G279"/>
    <mergeCell ref="E280:G280"/>
    <mergeCell ref="D282:N282"/>
    <mergeCell ref="E322:N322"/>
    <mergeCell ref="E323:H323"/>
    <mergeCell ref="I323:M323"/>
    <mergeCell ref="E325:G325"/>
    <mergeCell ref="E326:G326"/>
    <mergeCell ref="E327:G327"/>
    <mergeCell ref="E315:N315"/>
    <mergeCell ref="E316:G316"/>
    <mergeCell ref="E317:G317"/>
    <mergeCell ref="E318:G318"/>
    <mergeCell ref="E320:N320"/>
    <mergeCell ref="E321:K321"/>
    <mergeCell ref="E310:N310"/>
    <mergeCell ref="D304:N304"/>
    <mergeCell ref="D306:H306"/>
    <mergeCell ref="I306:N306"/>
    <mergeCell ref="E312:G312"/>
    <mergeCell ref="E313:G313"/>
    <mergeCell ref="E308:M308"/>
    <mergeCell ref="E341:G341"/>
    <mergeCell ref="E342:G342"/>
    <mergeCell ref="E343:G343"/>
    <mergeCell ref="E344:G344"/>
    <mergeCell ref="E345:G345"/>
    <mergeCell ref="E347:N347"/>
    <mergeCell ref="E335:H335"/>
    <mergeCell ref="I335:M335"/>
    <mergeCell ref="E337:G337"/>
    <mergeCell ref="E338:G338"/>
    <mergeCell ref="E339:G339"/>
    <mergeCell ref="E340:G340"/>
    <mergeCell ref="E328:G328"/>
    <mergeCell ref="E329:G329"/>
    <mergeCell ref="E330:G330"/>
    <mergeCell ref="E331:G331"/>
    <mergeCell ref="E332:G332"/>
    <mergeCell ref="E333:G333"/>
    <mergeCell ref="E363:G363"/>
    <mergeCell ref="E365:N365"/>
    <mergeCell ref="E366:N366"/>
    <mergeCell ref="E367:K367"/>
    <mergeCell ref="E368:N368"/>
    <mergeCell ref="E369:H369"/>
    <mergeCell ref="I369:M369"/>
    <mergeCell ref="E355:G355"/>
    <mergeCell ref="E357:G357"/>
    <mergeCell ref="E358:G358"/>
    <mergeCell ref="E359:G359"/>
    <mergeCell ref="E361:G361"/>
    <mergeCell ref="E362:G362"/>
    <mergeCell ref="E348:G348"/>
    <mergeCell ref="E349:G349"/>
    <mergeCell ref="E351:N351"/>
    <mergeCell ref="E352:M352"/>
    <mergeCell ref="E353:G353"/>
    <mergeCell ref="E354:G354"/>
    <mergeCell ref="E382:G382"/>
    <mergeCell ref="E383:G383"/>
    <mergeCell ref="E385:H385"/>
    <mergeCell ref="I385:M385"/>
    <mergeCell ref="E386:N386"/>
    <mergeCell ref="E387:G387"/>
    <mergeCell ref="E377:H377"/>
    <mergeCell ref="I377:M377"/>
    <mergeCell ref="E378:N378"/>
    <mergeCell ref="E379:G379"/>
    <mergeCell ref="E380:G380"/>
    <mergeCell ref="E381:G381"/>
    <mergeCell ref="E370:N370"/>
    <mergeCell ref="E371:G371"/>
    <mergeCell ref="E372:G372"/>
    <mergeCell ref="E373:G373"/>
    <mergeCell ref="E374:G374"/>
    <mergeCell ref="E375:G375"/>
    <mergeCell ref="E414:G414"/>
    <mergeCell ref="E401:H401"/>
    <mergeCell ref="I401:M401"/>
    <mergeCell ref="E402:N402"/>
    <mergeCell ref="E403:G403"/>
    <mergeCell ref="E404:G404"/>
    <mergeCell ref="E405:G405"/>
    <mergeCell ref="E394:N394"/>
    <mergeCell ref="E395:G395"/>
    <mergeCell ref="E396:G396"/>
    <mergeCell ref="E397:G397"/>
    <mergeCell ref="E398:G398"/>
    <mergeCell ref="E399:G399"/>
    <mergeCell ref="E388:G388"/>
    <mergeCell ref="E389:G389"/>
    <mergeCell ref="E390:G390"/>
    <mergeCell ref="E391:G391"/>
    <mergeCell ref="E393:H393"/>
    <mergeCell ref="I393:M393"/>
    <mergeCell ref="E235:N235"/>
    <mergeCell ref="E230:N230"/>
    <mergeCell ref="E107:N107"/>
    <mergeCell ref="E87:M87"/>
    <mergeCell ref="E86:M86"/>
    <mergeCell ref="F95:N95"/>
    <mergeCell ref="E165:G165"/>
    <mergeCell ref="E173:K173"/>
    <mergeCell ref="E191:G191"/>
    <mergeCell ref="E180:G180"/>
    <mergeCell ref="E438:G438"/>
    <mergeCell ref="E311:N311"/>
    <mergeCell ref="E92:N92"/>
    <mergeCell ref="E114:N114"/>
    <mergeCell ref="E147:N147"/>
    <mergeCell ref="E425:G425"/>
    <mergeCell ref="E427:M427"/>
    <mergeCell ref="E428:M428"/>
    <mergeCell ref="E429:M429"/>
    <mergeCell ref="E417:K417"/>
    <mergeCell ref="E419:G419"/>
    <mergeCell ref="E420:G420"/>
    <mergeCell ref="E421:G421"/>
    <mergeCell ref="E423:G423"/>
    <mergeCell ref="E424:G424"/>
    <mergeCell ref="E406:G406"/>
    <mergeCell ref="E416:N416"/>
    <mergeCell ref="E407:G407"/>
    <mergeCell ref="E409:N409"/>
    <mergeCell ref="E410:G410"/>
    <mergeCell ref="E411:G411"/>
    <mergeCell ref="E413:N413"/>
  </mergeCells>
  <phoneticPr fontId="35" type="noConversion"/>
  <conditionalFormatting sqref="B2:D4">
    <cfRule type="expression" dxfId="302" priority="239" stopIfTrue="1">
      <formula>$G$1908</formula>
    </cfRule>
  </conditionalFormatting>
  <conditionalFormatting sqref="I231:M232 E248:M249 I243:M244 E243:G244 I239:M240 E239:G240 E67:F76 H67:M76 I134:M134 I125:M128 I122:M122 I179:M180 I182:M182 I203 I207:M208 I210:M210 I212 I216:M217 I219:M219 I198:M199 I201:M201 I188:M189 I191:M191">
    <cfRule type="expression" dxfId="301" priority="193" stopIfTrue="1">
      <formula>$AA67</formula>
    </cfRule>
  </conditionalFormatting>
  <conditionalFormatting sqref="G3:N5">
    <cfRule type="expression" dxfId="300" priority="169" stopIfTrue="1">
      <formula>INDEX($G$1898:$G$1907,MATCH("BM"&amp;P3,$F$1898:$F$1907,0))</formula>
    </cfRule>
  </conditionalFormatting>
  <conditionalFormatting sqref="I43:M44">
    <cfRule type="expression" dxfId="299" priority="167" stopIfTrue="1">
      <formula>($AA43=TRUE)</formula>
    </cfRule>
  </conditionalFormatting>
  <conditionalFormatting sqref="I40:M41">
    <cfRule type="expression" dxfId="298" priority="168" stopIfTrue="1">
      <formula>($AA40=TRUE)</formula>
    </cfRule>
  </conditionalFormatting>
  <conditionalFormatting sqref="I42:M42">
    <cfRule type="expression" dxfId="297" priority="164" stopIfTrue="1">
      <formula>$AA42</formula>
    </cfRule>
  </conditionalFormatting>
  <conditionalFormatting sqref="I137:M140">
    <cfRule type="expression" dxfId="296" priority="163" stopIfTrue="1">
      <formula>$AA137</formula>
    </cfRule>
  </conditionalFormatting>
  <conditionalFormatting sqref="I175">
    <cfRule type="expression" dxfId="295" priority="160" stopIfTrue="1">
      <formula>$AA175</formula>
    </cfRule>
  </conditionalFormatting>
  <conditionalFormatting sqref="I193">
    <cfRule type="expression" dxfId="294" priority="159" stopIfTrue="1">
      <formula>$AA193</formula>
    </cfRule>
  </conditionalFormatting>
  <conditionalFormatting sqref="I184">
    <cfRule type="expression" dxfId="293" priority="158" stopIfTrue="1">
      <formula>$AA184</formula>
    </cfRule>
  </conditionalFormatting>
  <conditionalFormatting sqref="I26:M27">
    <cfRule type="expression" dxfId="292" priority="157" stopIfTrue="1">
      <formula>$AA26</formula>
    </cfRule>
  </conditionalFormatting>
  <conditionalFormatting sqref="I52:M52">
    <cfRule type="expression" dxfId="291" priority="156" stopIfTrue="1">
      <formula>$AA52</formula>
    </cfRule>
  </conditionalFormatting>
  <conditionalFormatting sqref="N25:N28">
    <cfRule type="expression" dxfId="290" priority="153" stopIfTrue="1">
      <formula>$Y25</formula>
    </cfRule>
  </conditionalFormatting>
  <conditionalFormatting sqref="N39:N44">
    <cfRule type="expression" dxfId="289" priority="151" stopIfTrue="1">
      <formula>$Y39</formula>
    </cfRule>
  </conditionalFormatting>
  <conditionalFormatting sqref="N52">
    <cfRule type="expression" dxfId="288" priority="147" stopIfTrue="1">
      <formula>$AA52</formula>
    </cfRule>
  </conditionalFormatting>
  <conditionalFormatting sqref="N51:N52">
    <cfRule type="expression" dxfId="287" priority="146" stopIfTrue="1">
      <formula>$Y51</formula>
    </cfRule>
  </conditionalFormatting>
  <conditionalFormatting sqref="C14:N250 C254:N430 C434:N610 C614:N790 C794:N970 C974:N1150 C1154:N1330 C1334:N1510 C1514:N1690 C1694:N1870">
    <cfRule type="expression" dxfId="286" priority="145" stopIfTrue="1">
      <formula>INDEX($AA:$AA,MATCH(MAX(INDIRECT(ADDRESS(1,3)&amp;":"&amp;ADDRESS(ROW(D14),3))),$C:$C,0))</formula>
    </cfRule>
  </conditionalFormatting>
  <conditionalFormatting sqref="I414:M415 E428:M429 I424:M425 E424:G425 I420:M421 E420:G421 E291:F300 H291:M300 I335:M335 I326:M329 I323:M323 I372:M373 I375:M375 I393 I396:M397 I399:M399 I401 I404:M405 I407:M407 I388:M389 I391:M391 I380:M381 I383:M383">
    <cfRule type="expression" dxfId="285" priority="141" stopIfTrue="1">
      <formula>$AA291</formula>
    </cfRule>
  </conditionalFormatting>
  <conditionalFormatting sqref="I272:M273">
    <cfRule type="expression" dxfId="284" priority="139" stopIfTrue="1">
      <formula>($AA272=TRUE)</formula>
    </cfRule>
  </conditionalFormatting>
  <conditionalFormatting sqref="I269:M270">
    <cfRule type="expression" dxfId="283" priority="140" stopIfTrue="1">
      <formula>($AA269=TRUE)</formula>
    </cfRule>
  </conditionalFormatting>
  <conditionalFormatting sqref="I271:M271">
    <cfRule type="expression" dxfId="282" priority="138" stopIfTrue="1">
      <formula>$AA271</formula>
    </cfRule>
  </conditionalFormatting>
  <conditionalFormatting sqref="I338:M341">
    <cfRule type="expression" dxfId="281" priority="137" stopIfTrue="1">
      <formula>$AA338</formula>
    </cfRule>
  </conditionalFormatting>
  <conditionalFormatting sqref="I369">
    <cfRule type="expression" dxfId="280" priority="136" stopIfTrue="1">
      <formula>$AA369</formula>
    </cfRule>
  </conditionalFormatting>
  <conditionalFormatting sqref="I385">
    <cfRule type="expression" dxfId="279" priority="135" stopIfTrue="1">
      <formula>$AA385</formula>
    </cfRule>
  </conditionalFormatting>
  <conditionalFormatting sqref="I377">
    <cfRule type="expression" dxfId="278" priority="134" stopIfTrue="1">
      <formula>$AA377</formula>
    </cfRule>
  </conditionalFormatting>
  <conditionalFormatting sqref="I259:M260">
    <cfRule type="expression" dxfId="277" priority="133" stopIfTrue="1">
      <formula>$AA259</formula>
    </cfRule>
  </conditionalFormatting>
  <conditionalFormatting sqref="I278:M278">
    <cfRule type="expression" dxfId="276" priority="132" stopIfTrue="1">
      <formula>$AA278</formula>
    </cfRule>
  </conditionalFormatting>
  <conditionalFormatting sqref="N258:N261">
    <cfRule type="expression" dxfId="275" priority="131" stopIfTrue="1">
      <formula>$Y258</formula>
    </cfRule>
  </conditionalFormatting>
  <conditionalFormatting sqref="N268:N273">
    <cfRule type="expression" dxfId="274" priority="130" stopIfTrue="1">
      <formula>$Y268</formula>
    </cfRule>
  </conditionalFormatting>
  <conditionalFormatting sqref="N278">
    <cfRule type="expression" dxfId="273" priority="129" stopIfTrue="1">
      <formula>$AA278</formula>
    </cfRule>
  </conditionalFormatting>
  <conditionalFormatting sqref="N277:N278">
    <cfRule type="expression" dxfId="272" priority="128" stopIfTrue="1">
      <formula>$Y277</formula>
    </cfRule>
  </conditionalFormatting>
  <conditionalFormatting sqref="I594:M595 E608:M609 I604:M605 E604:G605 I600:M601 E600:G601 E471:F480 H471:M480 I515:M515 I506:M509 I503:M503 I552:M553 I555:M555 I573 I576:M577 I579:M579 I581 I584:M585 I587:M587 I568:M569 I571:M571 I560:M561 I563:M563">
    <cfRule type="expression" dxfId="271" priority="120" stopIfTrue="1">
      <formula>$AA471</formula>
    </cfRule>
  </conditionalFormatting>
  <conditionalFormatting sqref="I452:M453">
    <cfRule type="expression" dxfId="270" priority="118" stopIfTrue="1">
      <formula>($AA452=TRUE)</formula>
    </cfRule>
  </conditionalFormatting>
  <conditionalFormatting sqref="I449:M450">
    <cfRule type="expression" dxfId="269" priority="119" stopIfTrue="1">
      <formula>($AA449=TRUE)</formula>
    </cfRule>
  </conditionalFormatting>
  <conditionalFormatting sqref="I451:M451">
    <cfRule type="expression" dxfId="268" priority="117" stopIfTrue="1">
      <formula>$AA451</formula>
    </cfRule>
  </conditionalFormatting>
  <conditionalFormatting sqref="I518:M521">
    <cfRule type="expression" dxfId="267" priority="116" stopIfTrue="1">
      <formula>$AA518</formula>
    </cfRule>
  </conditionalFormatting>
  <conditionalFormatting sqref="I549">
    <cfRule type="expression" dxfId="266" priority="115" stopIfTrue="1">
      <formula>$AA549</formula>
    </cfRule>
  </conditionalFormatting>
  <conditionalFormatting sqref="I565">
    <cfRule type="expression" dxfId="265" priority="114" stopIfTrue="1">
      <formula>$AA565</formula>
    </cfRule>
  </conditionalFormatting>
  <conditionalFormatting sqref="I557">
    <cfRule type="expression" dxfId="264" priority="113" stopIfTrue="1">
      <formula>$AA557</formula>
    </cfRule>
  </conditionalFormatting>
  <conditionalFormatting sqref="I439:M440">
    <cfRule type="expression" dxfId="263" priority="112" stopIfTrue="1">
      <formula>$AA439</formula>
    </cfRule>
  </conditionalFormatting>
  <conditionalFormatting sqref="I458:M458">
    <cfRule type="expression" dxfId="262" priority="111" stopIfTrue="1">
      <formula>$AA458</formula>
    </cfRule>
  </conditionalFormatting>
  <conditionalFormatting sqref="N438:N441">
    <cfRule type="expression" dxfId="261" priority="110" stopIfTrue="1">
      <formula>$Y438</formula>
    </cfRule>
  </conditionalFormatting>
  <conditionalFormatting sqref="N448:N453">
    <cfRule type="expression" dxfId="260" priority="109" stopIfTrue="1">
      <formula>$Y448</formula>
    </cfRule>
  </conditionalFormatting>
  <conditionalFormatting sqref="N458">
    <cfRule type="expression" dxfId="259" priority="108" stopIfTrue="1">
      <formula>$AA458</formula>
    </cfRule>
  </conditionalFormatting>
  <conditionalFormatting sqref="N457:N458">
    <cfRule type="expression" dxfId="258" priority="107" stopIfTrue="1">
      <formula>$Y457</formula>
    </cfRule>
  </conditionalFormatting>
  <conditionalFormatting sqref="I774:M775 E788:M789 I784:M785 E784:G785 I780:M781 E780:G781 E651:F660 H651:M660 I695:M695 I686:M689 I683:M683 I732:M733 I735:M735 I753 I756:M757 I759:M759 I761 I764:M765 I767:M767 I748:M749 I751:M751 I740:M741 I743:M743">
    <cfRule type="expression" dxfId="257" priority="105" stopIfTrue="1">
      <formula>$AA651</formula>
    </cfRule>
  </conditionalFormatting>
  <conditionalFormatting sqref="I632:M633">
    <cfRule type="expression" dxfId="256" priority="103" stopIfTrue="1">
      <formula>($AA632=TRUE)</formula>
    </cfRule>
  </conditionalFormatting>
  <conditionalFormatting sqref="I629:M630">
    <cfRule type="expression" dxfId="255" priority="104" stopIfTrue="1">
      <formula>($AA629=TRUE)</formula>
    </cfRule>
  </conditionalFormatting>
  <conditionalFormatting sqref="I631:M631">
    <cfRule type="expression" dxfId="254" priority="102" stopIfTrue="1">
      <formula>$AA631</formula>
    </cfRule>
  </conditionalFormatting>
  <conditionalFormatting sqref="I698:M701">
    <cfRule type="expression" dxfId="253" priority="101" stopIfTrue="1">
      <formula>$AA698</formula>
    </cfRule>
  </conditionalFormatting>
  <conditionalFormatting sqref="I729">
    <cfRule type="expression" dxfId="252" priority="100" stopIfTrue="1">
      <formula>$AA729</formula>
    </cfRule>
  </conditionalFormatting>
  <conditionalFormatting sqref="I745">
    <cfRule type="expression" dxfId="251" priority="99" stopIfTrue="1">
      <formula>$AA745</formula>
    </cfRule>
  </conditionalFormatting>
  <conditionalFormatting sqref="I737">
    <cfRule type="expression" dxfId="250" priority="98" stopIfTrue="1">
      <formula>$AA737</formula>
    </cfRule>
  </conditionalFormatting>
  <conditionalFormatting sqref="I619:M620">
    <cfRule type="expression" dxfId="249" priority="97" stopIfTrue="1">
      <formula>$AA619</formula>
    </cfRule>
  </conditionalFormatting>
  <conditionalFormatting sqref="I638:M638">
    <cfRule type="expression" dxfId="248" priority="96" stopIfTrue="1">
      <formula>$AA638</formula>
    </cfRule>
  </conditionalFormatting>
  <conditionalFormatting sqref="N618:N621">
    <cfRule type="expression" dxfId="247" priority="95" stopIfTrue="1">
      <formula>$Y618</formula>
    </cfRule>
  </conditionalFormatting>
  <conditionalFormatting sqref="N628:N633">
    <cfRule type="expression" dxfId="246" priority="94" stopIfTrue="1">
      <formula>$Y628</formula>
    </cfRule>
  </conditionalFormatting>
  <conditionalFormatting sqref="N638">
    <cfRule type="expression" dxfId="245" priority="93" stopIfTrue="1">
      <formula>$AA638</formula>
    </cfRule>
  </conditionalFormatting>
  <conditionalFormatting sqref="N637:N638">
    <cfRule type="expression" dxfId="244" priority="92" stopIfTrue="1">
      <formula>$Y637</formula>
    </cfRule>
  </conditionalFormatting>
  <conditionalFormatting sqref="I954:M955 E968:M969 I964:M965 E964:G965 I960:M961 E960:G961 E831:F840 H831:M840 I875:M875 I866:M869 I863:M863 I912:M913 I915:M915 I933 I936:M937 I939:M939 I941 I944:M945 I947:M947 I928:M929 I931:M931 I920:M921 I923:M923">
    <cfRule type="expression" dxfId="243" priority="90" stopIfTrue="1">
      <formula>$AA831</formula>
    </cfRule>
  </conditionalFormatting>
  <conditionalFormatting sqref="I812:M813">
    <cfRule type="expression" dxfId="242" priority="88" stopIfTrue="1">
      <formula>($AA812=TRUE)</formula>
    </cfRule>
  </conditionalFormatting>
  <conditionalFormatting sqref="I809:M810">
    <cfRule type="expression" dxfId="241" priority="89" stopIfTrue="1">
      <formula>($AA809=TRUE)</formula>
    </cfRule>
  </conditionalFormatting>
  <conditionalFormatting sqref="I811:M811">
    <cfRule type="expression" dxfId="240" priority="87" stopIfTrue="1">
      <formula>$AA811</formula>
    </cfRule>
  </conditionalFormatting>
  <conditionalFormatting sqref="I878:M881">
    <cfRule type="expression" dxfId="239" priority="86" stopIfTrue="1">
      <formula>$AA878</formula>
    </cfRule>
  </conditionalFormatting>
  <conditionalFormatting sqref="I909">
    <cfRule type="expression" dxfId="238" priority="85" stopIfTrue="1">
      <formula>$AA909</formula>
    </cfRule>
  </conditionalFormatting>
  <conditionalFormatting sqref="I925">
    <cfRule type="expression" dxfId="237" priority="84" stopIfTrue="1">
      <formula>$AA925</formula>
    </cfRule>
  </conditionalFormatting>
  <conditionalFormatting sqref="I917">
    <cfRule type="expression" dxfId="236" priority="83" stopIfTrue="1">
      <formula>$AA917</formula>
    </cfRule>
  </conditionalFormatting>
  <conditionalFormatting sqref="I799:M800">
    <cfRule type="expression" dxfId="235" priority="82" stopIfTrue="1">
      <formula>$AA799</formula>
    </cfRule>
  </conditionalFormatting>
  <conditionalFormatting sqref="I818:M818">
    <cfRule type="expression" dxfId="234" priority="81" stopIfTrue="1">
      <formula>$AA818</formula>
    </cfRule>
  </conditionalFormatting>
  <conditionalFormatting sqref="N798:N801">
    <cfRule type="expression" dxfId="233" priority="80" stopIfTrue="1">
      <formula>$Y798</formula>
    </cfRule>
  </conditionalFormatting>
  <conditionalFormatting sqref="N808:N813">
    <cfRule type="expression" dxfId="232" priority="79" stopIfTrue="1">
      <formula>$Y808</formula>
    </cfRule>
  </conditionalFormatting>
  <conditionalFormatting sqref="N818">
    <cfRule type="expression" dxfId="231" priority="78" stopIfTrue="1">
      <formula>$AA818</formula>
    </cfRule>
  </conditionalFormatting>
  <conditionalFormatting sqref="N817:N818">
    <cfRule type="expression" dxfId="230" priority="77" stopIfTrue="1">
      <formula>$Y817</formula>
    </cfRule>
  </conditionalFormatting>
  <conditionalFormatting sqref="I1134:M1135 E1148:M1149 I1144:M1145 E1144:G1145 I1140:M1141 E1140:G1141 E1011:F1020 H1011:M1020 I1055:M1055 I1046:M1049 I1043:M1043 I1092:M1093 I1095:M1095 I1113 I1116:M1117 I1119:M1119 I1121 I1124:M1125 I1127:M1127 I1108:M1109 I1111:M1111 I1100:M1101 I1103:M1103">
    <cfRule type="expression" dxfId="229" priority="75" stopIfTrue="1">
      <formula>$AA1011</formula>
    </cfRule>
  </conditionalFormatting>
  <conditionalFormatting sqref="I992:M993">
    <cfRule type="expression" dxfId="228" priority="73" stopIfTrue="1">
      <formula>($AA992=TRUE)</formula>
    </cfRule>
  </conditionalFormatting>
  <conditionalFormatting sqref="I989:M990">
    <cfRule type="expression" dxfId="227" priority="74" stopIfTrue="1">
      <formula>($AA989=TRUE)</formula>
    </cfRule>
  </conditionalFormatting>
  <conditionalFormatting sqref="I991:M991">
    <cfRule type="expression" dxfId="226" priority="72" stopIfTrue="1">
      <formula>$AA991</formula>
    </cfRule>
  </conditionalFormatting>
  <conditionalFormatting sqref="I1058:M1061">
    <cfRule type="expression" dxfId="225" priority="71" stopIfTrue="1">
      <formula>$AA1058</formula>
    </cfRule>
  </conditionalFormatting>
  <conditionalFormatting sqref="I1089">
    <cfRule type="expression" dxfId="224" priority="70" stopIfTrue="1">
      <formula>$AA1089</formula>
    </cfRule>
  </conditionalFormatting>
  <conditionalFormatting sqref="I1105">
    <cfRule type="expression" dxfId="223" priority="69" stopIfTrue="1">
      <formula>$AA1105</formula>
    </cfRule>
  </conditionalFormatting>
  <conditionalFormatting sqref="I1097">
    <cfRule type="expression" dxfId="222" priority="68" stopIfTrue="1">
      <formula>$AA1097</formula>
    </cfRule>
  </conditionalFormatting>
  <conditionalFormatting sqref="I979:M980">
    <cfRule type="expression" dxfId="221" priority="67" stopIfTrue="1">
      <formula>$AA979</formula>
    </cfRule>
  </conditionalFormatting>
  <conditionalFormatting sqref="I998:M998">
    <cfRule type="expression" dxfId="220" priority="66" stopIfTrue="1">
      <formula>$AA998</formula>
    </cfRule>
  </conditionalFormatting>
  <conditionalFormatting sqref="N978:N981">
    <cfRule type="expression" dxfId="219" priority="65" stopIfTrue="1">
      <formula>$Y978</formula>
    </cfRule>
  </conditionalFormatting>
  <conditionalFormatting sqref="N988:N993">
    <cfRule type="expression" dxfId="218" priority="64" stopIfTrue="1">
      <formula>$Y988</formula>
    </cfRule>
  </conditionalFormatting>
  <conditionalFormatting sqref="N998">
    <cfRule type="expression" dxfId="217" priority="63" stopIfTrue="1">
      <formula>$AA998</formula>
    </cfRule>
  </conditionalFormatting>
  <conditionalFormatting sqref="N997:N998">
    <cfRule type="expression" dxfId="216" priority="62" stopIfTrue="1">
      <formula>$Y997</formula>
    </cfRule>
  </conditionalFormatting>
  <conditionalFormatting sqref="I1314:M1315 E1328:M1329 I1324:M1325 E1324:G1325 I1320:M1321 E1320:G1321 E1191:F1200 H1191:M1200 I1235:M1235 I1226:M1229 I1223:M1223 I1272:M1273 I1275:M1275 I1293 I1296:M1297 I1299:M1299 I1301 I1304:M1305 I1307:M1307 I1288:M1289 I1291:M1291 I1280:M1281 I1283:M1283">
    <cfRule type="expression" dxfId="215" priority="60" stopIfTrue="1">
      <formula>$AA1191</formula>
    </cfRule>
  </conditionalFormatting>
  <conditionalFormatting sqref="I1172:M1173">
    <cfRule type="expression" dxfId="214" priority="58" stopIfTrue="1">
      <formula>($AA1172=TRUE)</formula>
    </cfRule>
  </conditionalFormatting>
  <conditionalFormatting sqref="I1169:M1170">
    <cfRule type="expression" dxfId="213" priority="59" stopIfTrue="1">
      <formula>($AA1169=TRUE)</formula>
    </cfRule>
  </conditionalFormatting>
  <conditionalFormatting sqref="I1171:M1171">
    <cfRule type="expression" dxfId="212" priority="57" stopIfTrue="1">
      <formula>$AA1171</formula>
    </cfRule>
  </conditionalFormatting>
  <conditionalFormatting sqref="I1238:M1241">
    <cfRule type="expression" dxfId="211" priority="56" stopIfTrue="1">
      <formula>$AA1238</formula>
    </cfRule>
  </conditionalFormatting>
  <conditionalFormatting sqref="I1269">
    <cfRule type="expression" dxfId="210" priority="55" stopIfTrue="1">
      <formula>$AA1269</formula>
    </cfRule>
  </conditionalFormatting>
  <conditionalFormatting sqref="I1285">
    <cfRule type="expression" dxfId="209" priority="54" stopIfTrue="1">
      <formula>$AA1285</formula>
    </cfRule>
  </conditionalFormatting>
  <conditionalFormatting sqref="I1277">
    <cfRule type="expression" dxfId="208" priority="53" stopIfTrue="1">
      <formula>$AA1277</formula>
    </cfRule>
  </conditionalFormatting>
  <conditionalFormatting sqref="I1159:M1160">
    <cfRule type="expression" dxfId="207" priority="52" stopIfTrue="1">
      <formula>$AA1159</formula>
    </cfRule>
  </conditionalFormatting>
  <conditionalFormatting sqref="I1178:M1178">
    <cfRule type="expression" dxfId="206" priority="51" stopIfTrue="1">
      <formula>$AA1178</formula>
    </cfRule>
  </conditionalFormatting>
  <conditionalFormatting sqref="N1158:N1161">
    <cfRule type="expression" dxfId="205" priority="50" stopIfTrue="1">
      <formula>$Y1158</formula>
    </cfRule>
  </conditionalFormatting>
  <conditionalFormatting sqref="N1168:N1173">
    <cfRule type="expression" dxfId="204" priority="49" stopIfTrue="1">
      <formula>$Y1168</formula>
    </cfRule>
  </conditionalFormatting>
  <conditionalFormatting sqref="N1178">
    <cfRule type="expression" dxfId="203" priority="48" stopIfTrue="1">
      <formula>$AA1178</formula>
    </cfRule>
  </conditionalFormatting>
  <conditionalFormatting sqref="N1177:N1178">
    <cfRule type="expression" dxfId="202" priority="47" stopIfTrue="1">
      <formula>$Y1177</formula>
    </cfRule>
  </conditionalFormatting>
  <conditionalFormatting sqref="I1494:M1495 E1508:M1509 I1504:M1505 E1504:G1505 I1500:M1501 E1500:G1501 E1371:F1380 H1371:M1380 I1415:M1415 I1406:M1409 I1403:M1403 I1452:M1453 I1455:M1455 I1473 I1476:M1477 I1479:M1479 I1481 I1484:M1485 I1487:M1487 I1468:M1469 I1471:M1471 I1460:M1461 I1463:M1463">
    <cfRule type="expression" dxfId="201" priority="45" stopIfTrue="1">
      <formula>$AA1371</formula>
    </cfRule>
  </conditionalFormatting>
  <conditionalFormatting sqref="I1352:M1353">
    <cfRule type="expression" dxfId="200" priority="43" stopIfTrue="1">
      <formula>($AA1352=TRUE)</formula>
    </cfRule>
  </conditionalFormatting>
  <conditionalFormatting sqref="I1349:M1350">
    <cfRule type="expression" dxfId="199" priority="44" stopIfTrue="1">
      <formula>($AA1349=TRUE)</formula>
    </cfRule>
  </conditionalFormatting>
  <conditionalFormatting sqref="I1351:M1351">
    <cfRule type="expression" dxfId="198" priority="42" stopIfTrue="1">
      <formula>$AA1351</formula>
    </cfRule>
  </conditionalFormatting>
  <conditionalFormatting sqref="I1418:M1421">
    <cfRule type="expression" dxfId="197" priority="41" stopIfTrue="1">
      <formula>$AA1418</formula>
    </cfRule>
  </conditionalFormatting>
  <conditionalFormatting sqref="I1449">
    <cfRule type="expression" dxfId="196" priority="40" stopIfTrue="1">
      <formula>$AA1449</formula>
    </cfRule>
  </conditionalFormatting>
  <conditionalFormatting sqref="I1465">
    <cfRule type="expression" dxfId="195" priority="39" stopIfTrue="1">
      <formula>$AA1465</formula>
    </cfRule>
  </conditionalFormatting>
  <conditionalFormatting sqref="I1457">
    <cfRule type="expression" dxfId="194" priority="38" stopIfTrue="1">
      <formula>$AA1457</formula>
    </cfRule>
  </conditionalFormatting>
  <conditionalFormatting sqref="I1339:M1340">
    <cfRule type="expression" dxfId="193" priority="37" stopIfTrue="1">
      <formula>$AA1339</formula>
    </cfRule>
  </conditionalFormatting>
  <conditionalFormatting sqref="I1358:M1358">
    <cfRule type="expression" dxfId="192" priority="36" stopIfTrue="1">
      <formula>$AA1358</formula>
    </cfRule>
  </conditionalFormatting>
  <conditionalFormatting sqref="N1338:N1341">
    <cfRule type="expression" dxfId="191" priority="35" stopIfTrue="1">
      <formula>$Y1338</formula>
    </cfRule>
  </conditionalFormatting>
  <conditionalFormatting sqref="N1348:N1353">
    <cfRule type="expression" dxfId="190" priority="34" stopIfTrue="1">
      <formula>$Y1348</formula>
    </cfRule>
  </conditionalFormatting>
  <conditionalFormatting sqref="N1358">
    <cfRule type="expression" dxfId="189" priority="33" stopIfTrue="1">
      <formula>$AA1358</formula>
    </cfRule>
  </conditionalFormatting>
  <conditionalFormatting sqref="N1357:N1358">
    <cfRule type="expression" dxfId="188" priority="32" stopIfTrue="1">
      <formula>$Y1357</formula>
    </cfRule>
  </conditionalFormatting>
  <conditionalFormatting sqref="I1674:M1675 E1688:M1689 I1684:M1685 E1684:G1685 I1680:M1681 E1680:G1681 E1551:F1560 H1551:M1560 I1595:M1595 I1586:M1589 I1583:M1583 I1632:M1633 I1635:M1635 I1653 I1656:M1657 I1659:M1659 I1661 I1664:M1665 I1667:M1667 I1648:M1649 I1651:M1651 I1640:M1641 I1643:M1643">
    <cfRule type="expression" dxfId="187" priority="30" stopIfTrue="1">
      <formula>$AA1551</formula>
    </cfRule>
  </conditionalFormatting>
  <conditionalFormatting sqref="I1532:M1533">
    <cfRule type="expression" dxfId="186" priority="28" stopIfTrue="1">
      <formula>($AA1532=TRUE)</formula>
    </cfRule>
  </conditionalFormatting>
  <conditionalFormatting sqref="I1529:M1530">
    <cfRule type="expression" dxfId="185" priority="29" stopIfTrue="1">
      <formula>($AA1529=TRUE)</formula>
    </cfRule>
  </conditionalFormatting>
  <conditionalFormatting sqref="I1531:M1531">
    <cfRule type="expression" dxfId="184" priority="27" stopIfTrue="1">
      <formula>$AA1531</formula>
    </cfRule>
  </conditionalFormatting>
  <conditionalFormatting sqref="I1598:M1601">
    <cfRule type="expression" dxfId="183" priority="26" stopIfTrue="1">
      <formula>$AA1598</formula>
    </cfRule>
  </conditionalFormatting>
  <conditionalFormatting sqref="I1629">
    <cfRule type="expression" dxfId="182" priority="25" stopIfTrue="1">
      <formula>$AA1629</formula>
    </cfRule>
  </conditionalFormatting>
  <conditionalFormatting sqref="I1645">
    <cfRule type="expression" dxfId="181" priority="24" stopIfTrue="1">
      <formula>$AA1645</formula>
    </cfRule>
  </conditionalFormatting>
  <conditionalFormatting sqref="I1637">
    <cfRule type="expression" dxfId="180" priority="23" stopIfTrue="1">
      <formula>$AA1637</formula>
    </cfRule>
  </conditionalFormatting>
  <conditionalFormatting sqref="I1519:M1520">
    <cfRule type="expression" dxfId="179" priority="22" stopIfTrue="1">
      <formula>$AA1519</formula>
    </cfRule>
  </conditionalFormatting>
  <conditionalFormatting sqref="I1538:M1538">
    <cfRule type="expression" dxfId="178" priority="21" stopIfTrue="1">
      <formula>$AA1538</formula>
    </cfRule>
  </conditionalFormatting>
  <conditionalFormatting sqref="N1518:N1521">
    <cfRule type="expression" dxfId="177" priority="20" stopIfTrue="1">
      <formula>$Y1518</formula>
    </cfRule>
  </conditionalFormatting>
  <conditionalFormatting sqref="N1528:N1533">
    <cfRule type="expression" dxfId="176" priority="19" stopIfTrue="1">
      <formula>$Y1528</formula>
    </cfRule>
  </conditionalFormatting>
  <conditionalFormatting sqref="N1538">
    <cfRule type="expression" dxfId="175" priority="18" stopIfTrue="1">
      <formula>$AA1538</formula>
    </cfRule>
  </conditionalFormatting>
  <conditionalFormatting sqref="N1537:N1538">
    <cfRule type="expression" dxfId="174" priority="17" stopIfTrue="1">
      <formula>$Y1537</formula>
    </cfRule>
  </conditionalFormatting>
  <conditionalFormatting sqref="I1854:M1855 E1868:M1869 I1864:M1865 E1864:G1865 I1860:M1861 E1860:G1861 E1731:F1740 H1731:M1740 I1775:M1775 I1766:M1769 I1763:M1763 I1812:M1813 I1815:M1815 I1833 I1836:M1837 I1839:M1839 I1841 I1844:M1845 I1847:M1847 I1828:M1829 I1831:M1831 I1820:M1821 I1823:M1823">
    <cfRule type="expression" dxfId="173" priority="15" stopIfTrue="1">
      <formula>$AA1731</formula>
    </cfRule>
  </conditionalFormatting>
  <conditionalFormatting sqref="I1712:M1713">
    <cfRule type="expression" dxfId="172" priority="13" stopIfTrue="1">
      <formula>($AA1712=TRUE)</formula>
    </cfRule>
  </conditionalFormatting>
  <conditionalFormatting sqref="I1709:M1710">
    <cfRule type="expression" dxfId="171" priority="14" stopIfTrue="1">
      <formula>($AA1709=TRUE)</formula>
    </cfRule>
  </conditionalFormatting>
  <conditionalFormatting sqref="I1711:M1711">
    <cfRule type="expression" dxfId="170" priority="12" stopIfTrue="1">
      <formula>$AA1711</formula>
    </cfRule>
  </conditionalFormatting>
  <conditionalFormatting sqref="I1778:M1781">
    <cfRule type="expression" dxfId="169" priority="11" stopIfTrue="1">
      <formula>$AA1778</formula>
    </cfRule>
  </conditionalFormatting>
  <conditionalFormatting sqref="I1809">
    <cfRule type="expression" dxfId="168" priority="10" stopIfTrue="1">
      <formula>$AA1809</formula>
    </cfRule>
  </conditionalFormatting>
  <conditionalFormatting sqref="I1825">
    <cfRule type="expression" dxfId="167" priority="9" stopIfTrue="1">
      <formula>$AA1825</formula>
    </cfRule>
  </conditionalFormatting>
  <conditionalFormatting sqref="I1817">
    <cfRule type="expression" dxfId="166" priority="8" stopIfTrue="1">
      <formula>$AA1817</formula>
    </cfRule>
  </conditionalFormatting>
  <conditionalFormatting sqref="I1699:M1700">
    <cfRule type="expression" dxfId="165" priority="7" stopIfTrue="1">
      <formula>$AA1699</formula>
    </cfRule>
  </conditionalFormatting>
  <conditionalFormatting sqref="I1718:M1718">
    <cfRule type="expression" dxfId="164" priority="6" stopIfTrue="1">
      <formula>$AA1718</formula>
    </cfRule>
  </conditionalFormatting>
  <conditionalFormatting sqref="N1698:N1701">
    <cfRule type="expression" dxfId="163" priority="5" stopIfTrue="1">
      <formula>$Y1698</formula>
    </cfRule>
  </conditionalFormatting>
  <conditionalFormatting sqref="N1708:N1713">
    <cfRule type="expression" dxfId="162" priority="4" stopIfTrue="1">
      <formula>$Y1708</formula>
    </cfRule>
  </conditionalFormatting>
  <conditionalFormatting sqref="N1718">
    <cfRule type="expression" dxfId="161" priority="3" stopIfTrue="1">
      <formula>$AA1718</formula>
    </cfRule>
  </conditionalFormatting>
  <conditionalFormatting sqref="N1717:N1718">
    <cfRule type="expression" dxfId="160" priority="2" stopIfTrue="1">
      <formula>$Y1717</formula>
    </cfRule>
  </conditionalFormatting>
  <dataValidations count="5">
    <dataValidation type="list" allowBlank="1" showInputMessage="1" showErrorMessage="1" sqref="L173 L120 L236 L367 L321 L417 L547 L501 L597 L727 L681 L777 L907 L861 L957 L1087 L1041 L1137 L1267 L1221 L1317 L1447 L1401 L1497 L1627 L1581 L1677 L1807 L1761 L1857">
      <formula1>Euconst_TrueFalse</formula1>
    </dataValidation>
    <dataValidation type="list" allowBlank="1" showInputMessage="1" showErrorMessage="1" sqref="H179 H207 H216 H198 H188 H372 H396 H404 H388 H380 H552 H576 H584 H568 H560 H732 H756 H764 H748 H740 H912 H936 H944 H928 H920 H1092 H1116 H1124 H1108 H1100 H1272 H1296 H1304 H1288 H1280 H1452 H1476 H1484 H1468 H1460 H1632 H1656 H1664 H1648 H1640 H1812 H1836 H1844 H1828 H1820">
      <formula1>EUconst_TonnesOrkNm3pa</formula1>
    </dataValidation>
    <dataValidation type="list" allowBlank="1" showInputMessage="1" showErrorMessage="1" sqref="E239:G240 E243:G244 E420:G421 E424:G425 E600:G601 E604:G605 E780:G781 E784:G785 E960:G961 E964:G965 E1140:G1141 E1144:G1145 E1320:G1321 E1324:G1325 E1500:G1501 E1504:G1505 E1680:G1681 E1684:G1685 E1860:G1861 E1864:G1865">
      <formula1>EUconst_BMlistNames</formula1>
    </dataValidation>
    <dataValidation type="decimal" operator="greaterThanOrEqual" allowBlank="1" showInputMessage="1" showErrorMessage="1" errorTitle="Value &lt; 0" error="Values have to be &gt;= 0" sqref="I168:M168 I362:M362 I542:M542 I722:M722 I902:M902 I1082:M1082 I1262:M1262 I1442:M1442 I1622:M1622 I1802:M1802">
      <formula1>0</formula1>
    </dataValidation>
    <dataValidation type="decimal" operator="greaterThanOrEqual" allowBlank="1" showInputMessage="1" showErrorMessage="1" errorTitle="Values &lt; 0" error="Values have to be &gt;= 0 " sqref="I216:M216 I243:M244 I404:M404 I424:M425 I584:M584 I604:M605 I764:M764 I784:M785 I944:M944 I964:M965 I1124:M1124 I1144:M1145 I1304:M1304 I1324:M1325 I1484:M1484 I1504:M1505 I1664:M1664 I1684:M1685 I1844:M1844 I1864:M1865">
      <formula1>0</formula1>
    </dataValidation>
  </dataValidations>
  <hyperlinks>
    <hyperlink ref="E62" r:id="rId1" display="http://ec.europa.eu/eurostat/ramon/nomenclatures/index.cfm?TargetUrl=LST_CLS_DLD&amp;StrNom=PRD_2010&amp;StrLanguageCode=EN&amp;StrLayoutCode=HIERARCHIC"/>
    <hyperlink ref="G2:H2" location="JUMP_TOC_Home" display="Table of contents"/>
    <hyperlink ref="M2:N2" location="JUMP_K_I" display="Summary"/>
    <hyperlink ref="E3:F3" location="JUMP_F_Top" display="Top of sheet"/>
    <hyperlink ref="I2:J2" location="JUMP_E_Top" display="Previous sheet"/>
    <hyperlink ref="E4:F4" location="JUMP_F_Bottom" display="End of sheet"/>
    <hyperlink ref="D1874:N1874" location="JUMP_G_Top" display="&lt;&lt;&lt; Click here to proceed to next sheet &gt;&gt;&gt; "/>
    <hyperlink ref="K2:L2" location="JUMP_G_Top" display="Next sheet"/>
    <hyperlink ref="E158:M158" location="JUMP_D_III" display="For attributing emissions from cogeneration (CHP) to production of heat and electricity, the &quot;CHP tool&quot; in section D.III. has to be used."/>
    <hyperlink ref="E89:M89" location="JUMP_K_III2" display="Upon entries made below, the attributable emissions are calculated in section K.III.2 of the summary sheet."/>
    <hyperlink ref="E286" r:id="rId2" display="http://ec.europa.eu/eurostat/ramon/nomenclatures/index.cfm?TargetUrl=LST_CLS_DLD&amp;StrNom=PRD_2010&amp;StrLanguageCode=EN&amp;StrLayoutCode=HIERARCHIC"/>
    <hyperlink ref="E308:M308" location="JUMP_K_III2" display="Upon entries made below, the attributable emissions are calculated in section K.III.2 of the summary sheet."/>
    <hyperlink ref="E255:N255" location="JUMP_F1" display="JUMP_F1"/>
    <hyperlink ref="E352:M352" location="JUMP_D_III" display="For attributing emissions from cogeneration (CHP) to production of heat and electricity, the &quot;CHP tool&quot; in section D.III. has to be used."/>
    <hyperlink ref="E466" r:id="rId3" display="http://ec.europa.eu/eurostat/ramon/nomenclatures/index.cfm?TargetUrl=LST_CLS_DLD&amp;StrNom=PRD_2010&amp;StrLanguageCode=EN&amp;StrLayoutCode=HIERARCHIC"/>
    <hyperlink ref="E488:M488" location="JUMP_K_III2" display="Upon entries made below, the attributable emissions are calculated in section K.III.2 of the summary sheet."/>
    <hyperlink ref="E435:N435" location="JUMP_F1" display="JUMP_F1"/>
    <hyperlink ref="E532:M532" location="JUMP_D_III" display="For attributing emissions from cogeneration (CHP) to production of heat and electricity, the &quot;CHP tool&quot; in section D.III. has to be used."/>
    <hyperlink ref="E646" r:id="rId4" display="http://ec.europa.eu/eurostat/ramon/nomenclatures/index.cfm?TargetUrl=LST_CLS_DLD&amp;StrNom=PRD_2010&amp;StrLanguageCode=EN&amp;StrLayoutCode=HIERARCHIC"/>
    <hyperlink ref="E668:M668" location="JUMP_K_III2" display="Upon entries made below, the attributable emissions are calculated in section K.III.2 of the summary sheet."/>
    <hyperlink ref="E615:N615" location="JUMP_F1" display="JUMP_F1"/>
    <hyperlink ref="E712:M712" location="JUMP_D_III" display="For attributing emissions from cogeneration (CHP) to production of heat and electricity, the &quot;CHP tool&quot; in section D.III. has to be used."/>
    <hyperlink ref="E826" r:id="rId5" display="http://ec.europa.eu/eurostat/ramon/nomenclatures/index.cfm?TargetUrl=LST_CLS_DLD&amp;StrNom=PRD_2010&amp;StrLanguageCode=EN&amp;StrLayoutCode=HIERARCHIC"/>
    <hyperlink ref="E848:M848" location="JUMP_K_III2" display="Upon entries made below, the attributable emissions are calculated in section K.III.2 of the summary sheet."/>
    <hyperlink ref="E795:N795" location="JUMP_F1" display="JUMP_F1"/>
    <hyperlink ref="E892:M892" location="JUMP_D_III" display="For attributing emissions from cogeneration (CHP) to production of heat and electricity, the &quot;CHP tool&quot; in section D.III. has to be used."/>
    <hyperlink ref="E1006" r:id="rId6" display="http://ec.europa.eu/eurostat/ramon/nomenclatures/index.cfm?TargetUrl=LST_CLS_DLD&amp;StrNom=PRD_2010&amp;StrLanguageCode=EN&amp;StrLayoutCode=HIERARCHIC"/>
    <hyperlink ref="E1028:M1028" location="JUMP_K_III2" display="Upon entries made below, the attributable emissions are calculated in section K.III.2 of the summary sheet."/>
    <hyperlink ref="E975:N975" location="JUMP_F1" display="JUMP_F1"/>
    <hyperlink ref="E1072:M1072" location="JUMP_D_III" display="For attributing emissions from cogeneration (CHP) to production of heat and electricity, the &quot;CHP tool&quot; in section D.III. has to be used."/>
    <hyperlink ref="E1186" r:id="rId7" display="http://ec.europa.eu/eurostat/ramon/nomenclatures/index.cfm?TargetUrl=LST_CLS_DLD&amp;StrNom=PRD_2010&amp;StrLanguageCode=EN&amp;StrLayoutCode=HIERARCHIC"/>
    <hyperlink ref="E1208:M1208" location="JUMP_K_III2" display="Upon entries made below, the attributable emissions are calculated in section K.III.2 of the summary sheet."/>
    <hyperlink ref="E1155:N1155" location="JUMP_F1" display="JUMP_F1"/>
    <hyperlink ref="E1252:M1252" location="JUMP_D_III" display="For attributing emissions from cogeneration (CHP) to production of heat and electricity, the &quot;CHP tool&quot; in section D.III. has to be used."/>
    <hyperlink ref="E1366" r:id="rId8" display="http://ec.europa.eu/eurostat/ramon/nomenclatures/index.cfm?TargetUrl=LST_CLS_DLD&amp;StrNom=PRD_2010&amp;StrLanguageCode=EN&amp;StrLayoutCode=HIERARCHIC"/>
    <hyperlink ref="E1388:M1388" location="JUMP_K_III2" display="Upon entries made below, the attributable emissions are calculated in section K.III.2 of the summary sheet."/>
    <hyperlink ref="E1335:N1335" location="JUMP_F1" display="JUMP_F1"/>
    <hyperlink ref="E1432:M1432" location="JUMP_D_III" display="For attributing emissions from cogeneration (CHP) to production of heat and electricity, the &quot;CHP tool&quot; in section D.III. has to be used."/>
    <hyperlink ref="E1546" r:id="rId9" display="http://ec.europa.eu/eurostat/ramon/nomenclatures/index.cfm?TargetUrl=LST_CLS_DLD&amp;StrNom=PRD_2010&amp;StrLanguageCode=EN&amp;StrLayoutCode=HIERARCHIC"/>
    <hyperlink ref="E1568:M1568" location="JUMP_K_III2" display="Upon entries made below, the attributable emissions are calculated in section K.III.2 of the summary sheet."/>
    <hyperlink ref="E1515:N1515" location="JUMP_F1" display="JUMP_F1"/>
    <hyperlink ref="E1612:M1612" location="JUMP_D_III" display="For attributing emissions from cogeneration (CHP) to production of heat and electricity, the &quot;CHP tool&quot; in section D.III. has to be used."/>
    <hyperlink ref="E1726" r:id="rId10" display="http://ec.europa.eu/eurostat/ramon/nomenclatures/index.cfm?TargetUrl=LST_CLS_DLD&amp;StrNom=PRD_2010&amp;StrLanguageCode=EN&amp;StrLayoutCode=HIERARCHIC"/>
    <hyperlink ref="E1748:M1748" location="JUMP_K_III2" display="Upon entries made below, the attributable emissions are calculated in section K.III.2 of the summary sheet."/>
    <hyperlink ref="E1695:N1695" location="JUMP_F1" display="JUMP_F1"/>
    <hyperlink ref="E1792:M1792" location="JUMP_D_III" display="For attributing emissions from cogeneration (CHP) to production of heat and electricity, the &quot;CHP tool&quot; in section D.III. has to be used."/>
    <hyperlink ref="E87:M87" r:id="rId11" location="tab-0-1" display="https://ec.europa.eu/clima/policies/ets/allowances_en - tab-0-1"/>
  </hyperlinks>
  <pageMargins left="0.78740157480314965" right="0.78740157480314965" top="0.78740157480314965" bottom="0.78740157480314965" header="0.51181102362204722" footer="0.51181102362204722"/>
  <pageSetup paperSize="9" scale="59" fitToHeight="40" orientation="portrait" r:id="rId12"/>
  <headerFooter alignWithMargins="0">
    <oddHeader>&amp;L&amp;F; &amp;A&amp;R&amp;D; &amp;T</oddHeader>
    <oddFooter>&amp;C&amp;P / &amp;N</oddFooter>
  </headerFooter>
  <legacyDrawing r:id="rId1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
    <tabColor indexed="48"/>
    <pageSetUpPr fitToPage="1"/>
  </sheetPr>
  <dimension ref="A1:AD575"/>
  <sheetViews>
    <sheetView topLeftCell="B1" zoomScaleNormal="100" workbookViewId="0">
      <pane ySplit="4" topLeftCell="A5" activePane="bottomLeft" state="frozen"/>
      <selection activeCell="B2" sqref="B2"/>
      <selection pane="bottomLeft" activeCell="I297" sqref="I297:M297"/>
    </sheetView>
  </sheetViews>
  <sheetFormatPr defaultColWidth="11.42578125" defaultRowHeight="12.75" x14ac:dyDescent="0.2"/>
  <cols>
    <col min="1" max="1" width="5.42578125" style="2" hidden="1" customWidth="1"/>
    <col min="2" max="2" width="2.7109375" style="1" customWidth="1"/>
    <col min="3" max="4" width="4.7109375" style="1" customWidth="1"/>
    <col min="5" max="7" width="12.7109375" style="1" customWidth="1"/>
    <col min="8" max="8" width="17.28515625" style="1" customWidth="1"/>
    <col min="9" max="14" width="12.7109375" style="1" customWidth="1"/>
    <col min="15" max="15" width="4.7109375" style="1" customWidth="1"/>
    <col min="16" max="24" width="12.7109375" style="2" hidden="1" customWidth="1"/>
    <col min="25" max="29" width="11.42578125" style="2" hidden="1" customWidth="1"/>
    <col min="30" max="16384" width="11.42578125" style="700"/>
  </cols>
  <sheetData>
    <row r="1" spans="1:29" s="2" customFormat="1" ht="13.5" hidden="1" thickBot="1" x14ac:dyDescent="0.25">
      <c r="A1" s="2" t="s">
        <v>101</v>
      </c>
      <c r="P1" s="2" t="s">
        <v>101</v>
      </c>
      <c r="Q1" s="2" t="s">
        <v>101</v>
      </c>
      <c r="R1" s="2" t="s">
        <v>101</v>
      </c>
      <c r="S1" s="2" t="s">
        <v>101</v>
      </c>
      <c r="T1" s="2" t="s">
        <v>101</v>
      </c>
      <c r="U1" s="2" t="s">
        <v>101</v>
      </c>
      <c r="V1" s="2" t="s">
        <v>101</v>
      </c>
      <c r="W1" s="2" t="s">
        <v>101</v>
      </c>
      <c r="X1" s="2" t="s">
        <v>101</v>
      </c>
      <c r="Y1" s="2" t="s">
        <v>101</v>
      </c>
      <c r="Z1" s="2" t="s">
        <v>101</v>
      </c>
      <c r="AA1" s="2" t="s">
        <v>101</v>
      </c>
      <c r="AB1" s="2" t="s">
        <v>101</v>
      </c>
      <c r="AC1" s="2" t="s">
        <v>101</v>
      </c>
    </row>
    <row r="2" spans="1:29" ht="13.5" thickBot="1" x14ac:dyDescent="0.25">
      <c r="B2" s="1548" t="str">
        <f>Translations!$B$821</f>
        <v>G. Fall-back</v>
      </c>
      <c r="C2" s="1549"/>
      <c r="D2" s="1550"/>
      <c r="E2" s="790" t="str">
        <f>Translations!$B$2</f>
        <v>Obszar nawigacji:</v>
      </c>
      <c r="F2" s="791"/>
      <c r="G2" s="1558" t="str">
        <f>Translations!$B$18</f>
        <v>Spis treści</v>
      </c>
      <c r="H2" s="1339"/>
      <c r="I2" s="1339" t="str">
        <f>Translations!$B$19</f>
        <v>Poprzedni arkusz</v>
      </c>
      <c r="J2" s="1339"/>
      <c r="K2" s="1339" t="str">
        <f>Translations!$B$3</f>
        <v>Następny arkusz</v>
      </c>
      <c r="L2" s="1339"/>
      <c r="M2" s="1339" t="str">
        <f>Translations!$B$4</f>
        <v>Podsumowanie</v>
      </c>
      <c r="N2" s="1339"/>
      <c r="O2" s="7"/>
      <c r="P2" s="8"/>
      <c r="Q2" s="8"/>
      <c r="R2" s="8"/>
      <c r="S2" s="8"/>
      <c r="T2" s="8"/>
      <c r="U2" s="8"/>
      <c r="V2" s="8"/>
      <c r="W2" s="8"/>
      <c r="X2" s="8"/>
      <c r="Y2" s="372"/>
      <c r="Z2" s="372"/>
      <c r="AA2" s="372"/>
      <c r="AB2" s="372"/>
      <c r="AC2" s="8"/>
    </row>
    <row r="3" spans="1:29" ht="13.5" customHeight="1" thickBot="1" x14ac:dyDescent="0.25">
      <c r="B3" s="1551"/>
      <c r="C3" s="1552"/>
      <c r="D3" s="1553"/>
      <c r="E3" s="1339" t="str">
        <f>Translations!$B$5</f>
        <v>Początek arkusza</v>
      </c>
      <c r="F3" s="1542"/>
      <c r="G3" s="1889" t="str">
        <f>IF(AND(CNTR_ExistSubInstEntries,INDEX(CNTR_FallBackSubInstRelevant,P3)=FALSE),"",HYPERLINK("#JUMP_G"&amp;P3,INDEX(EUconst_FallBackListNames,P3)))</f>
        <v>Podinstalacja objęta wskaźnikiem emisyjności opartym na cieple, „CL”</v>
      </c>
      <c r="H3" s="1890"/>
      <c r="I3" s="1889" t="str">
        <f>IF(AND(CNTR_ExistSubInstEntries,INDEX(CNTR_FallBackSubInstRelevant,R3)=FALSE),"",HYPERLINK("#JUMP_G"&amp;R3,INDEX(EUconst_FallBackListNames,R3)))</f>
        <v>Podinstalacja objęta wskaźnikiem emisyjności opartym na cieple, „nie-CL”</v>
      </c>
      <c r="J3" s="1890"/>
      <c r="K3" s="1889" t="str">
        <f>IF(AND(CNTR_ExistSubInstEntries,INDEX(CNTR_FallBackSubInstRelevant,T3)=FALSE),"",HYPERLINK("#JUMP_G"&amp;T3,INDEX(EUconst_FallBackListNames,T3)))</f>
        <v>Podinstalacja sieci ciepłowniczej</v>
      </c>
      <c r="L3" s="1890"/>
      <c r="M3" s="1889" t="str">
        <f>IF(AND(CNTR_ExistSubInstEntries,INDEX(CNTR_FallBackSubInstRelevant,V3)=FALSE),"",HYPERLINK("#JUMP_G"&amp;V3,INDEX(EUconst_FallBackListNames,V3)))</f>
        <v/>
      </c>
      <c r="N3" s="1890"/>
      <c r="O3" s="7"/>
      <c r="P3" s="1334">
        <v>1</v>
      </c>
      <c r="Q3" s="1334"/>
      <c r="R3" s="1334">
        <v>2</v>
      </c>
      <c r="S3" s="1334"/>
      <c r="T3" s="1334">
        <v>3</v>
      </c>
      <c r="U3" s="1334" t="s">
        <v>508</v>
      </c>
      <c r="V3" s="1334">
        <v>4</v>
      </c>
      <c r="W3" s="1334"/>
      <c r="X3" s="8"/>
      <c r="Y3" s="8"/>
      <c r="Z3" s="8"/>
      <c r="AA3" s="8"/>
      <c r="AB3" s="8"/>
      <c r="AC3" s="8"/>
    </row>
    <row r="4" spans="1:29" ht="13.5" customHeight="1" thickBot="1" x14ac:dyDescent="0.25">
      <c r="B4" s="1554"/>
      <c r="C4" s="1555"/>
      <c r="D4" s="1556"/>
      <c r="E4" s="1339" t="str">
        <f>Translations!$B$6</f>
        <v>Koniec arkusza</v>
      </c>
      <c r="F4" s="1339"/>
      <c r="G4" s="1889" t="str">
        <f>IF(AND(CNTR_ExistSubInstEntries,INDEX(CNTR_FallBackSubInstRelevant,P4)=FALSE),"",HYPERLINK("#JUMP_G"&amp;P4,INDEX(EUconst_FallBackListNames,P4)))</f>
        <v/>
      </c>
      <c r="H4" s="1890"/>
      <c r="I4" s="1889" t="str">
        <f>IF(AND(CNTR_ExistSubInstEntries,INDEX(CNTR_FallBackSubInstRelevant,R4)=FALSE),"",HYPERLINK("#JUMP_G"&amp;R4,INDEX(EUconst_FallBackListNames,R4)))</f>
        <v/>
      </c>
      <c r="J4" s="1890"/>
      <c r="K4" s="1889" t="str">
        <f>IF(AND(CNTR_ExistSubInstEntries,INDEX(CNTR_FallBackSubInstRelevant,T4)=FALSE),"",HYPERLINK("#JUMP_G"&amp;T4,INDEX(EUconst_FallBackListNames,T4)))</f>
        <v/>
      </c>
      <c r="L4" s="1890"/>
      <c r="M4" s="1889"/>
      <c r="N4" s="1890"/>
      <c r="O4" s="7"/>
      <c r="P4" s="1334">
        <v>5</v>
      </c>
      <c r="Q4" s="1334"/>
      <c r="R4" s="1334">
        <v>6</v>
      </c>
      <c r="S4" s="1334"/>
      <c r="T4" s="1334">
        <v>7</v>
      </c>
      <c r="U4" s="1334"/>
      <c r="V4" s="1334"/>
      <c r="W4" s="1334"/>
      <c r="X4" s="8"/>
      <c r="Y4" s="8"/>
      <c r="Z4" s="8"/>
      <c r="AA4" s="8"/>
      <c r="AB4" s="8"/>
      <c r="AC4" s="8"/>
    </row>
    <row r="5" spans="1:29" x14ac:dyDescent="0.2">
      <c r="B5" s="3"/>
      <c r="C5" s="4"/>
      <c r="D5" s="5"/>
      <c r="E5" s="5"/>
      <c r="F5" s="6"/>
      <c r="G5" s="6"/>
      <c r="H5" s="6"/>
      <c r="I5" s="3"/>
      <c r="J5" s="3"/>
      <c r="K5" s="3"/>
      <c r="L5" s="3"/>
      <c r="M5" s="7"/>
      <c r="N5" s="7"/>
      <c r="O5" s="7"/>
      <c r="P5" s="8"/>
      <c r="Q5" s="8"/>
      <c r="R5" s="8"/>
      <c r="S5" s="8"/>
      <c r="T5" s="8"/>
      <c r="U5" s="8"/>
      <c r="V5" s="8"/>
      <c r="W5" s="8"/>
      <c r="X5" s="8"/>
      <c r="Y5" s="8"/>
      <c r="Z5" s="8"/>
      <c r="AA5" s="8"/>
      <c r="AB5" s="8"/>
      <c r="AC5" s="8"/>
    </row>
    <row r="6" spans="1:29" ht="38.25" customHeight="1" x14ac:dyDescent="0.2">
      <c r="B6" s="3"/>
      <c r="C6" s="9" t="s">
        <v>266</v>
      </c>
      <c r="D6" s="1371" t="str">
        <f>Translations!$B$822</f>
        <v>Arkusz „Fall-back” (Podinstalacje, dla których wprowadzono rozwiązania rezerwowe) – DANE DOTYCZĄCE PODINSTALACJI ODNOSZĄCE SIĘ DO PODINSTALACJI REZERWOWYCH</v>
      </c>
      <c r="E6" s="1370"/>
      <c r="F6" s="1370"/>
      <c r="G6" s="1370"/>
      <c r="H6" s="1370"/>
      <c r="I6" s="1370"/>
      <c r="J6" s="1370"/>
      <c r="K6" s="1370"/>
      <c r="L6" s="1370"/>
      <c r="M6" s="1370"/>
      <c r="N6" s="1370"/>
      <c r="O6" s="7"/>
    </row>
    <row r="7" spans="1:29" ht="5.0999999999999996" customHeight="1" x14ac:dyDescent="0.2">
      <c r="B7" s="3"/>
      <c r="C7" s="3"/>
      <c r="D7" s="3"/>
      <c r="E7" s="3"/>
      <c r="F7" s="3"/>
      <c r="G7" s="3"/>
      <c r="H7" s="3"/>
      <c r="I7" s="3"/>
      <c r="J7" s="3"/>
      <c r="K7" s="3"/>
      <c r="L7" s="3"/>
      <c r="M7" s="7"/>
      <c r="N7" s="7"/>
      <c r="O7" s="7"/>
      <c r="P7" s="884"/>
      <c r="Q7" s="884"/>
      <c r="R7" s="884"/>
      <c r="S7" s="884"/>
      <c r="T7" s="884"/>
      <c r="U7" s="884"/>
      <c r="V7" s="884"/>
      <c r="W7" s="884"/>
      <c r="X7" s="884"/>
      <c r="Y7" s="884"/>
      <c r="Z7" s="884"/>
      <c r="AA7" s="884"/>
      <c r="AB7" s="884"/>
      <c r="AC7" s="884"/>
    </row>
    <row r="8" spans="1:29" ht="15" customHeight="1" x14ac:dyDescent="0.2">
      <c r="B8" s="3"/>
      <c r="C8" s="3"/>
      <c r="D8" s="3"/>
      <c r="E8" s="1892" t="str">
        <f>Translations!$B$823</f>
        <v>Powyższy pasek nawigacyjny zawiera wyłącznie łącza do podinstalacji wybranych jako te, których to „dotyczy” w części A.III.2.</v>
      </c>
      <c r="F8" s="1892"/>
      <c r="G8" s="1892"/>
      <c r="H8" s="1892"/>
      <c r="I8" s="1892"/>
      <c r="J8" s="1892"/>
      <c r="K8" s="1892"/>
      <c r="L8" s="1892"/>
      <c r="M8" s="1892"/>
      <c r="N8" s="7"/>
      <c r="O8" s="7"/>
      <c r="P8" s="884"/>
      <c r="Q8" s="884"/>
      <c r="R8" s="884"/>
      <c r="S8" s="884"/>
      <c r="T8" s="884"/>
      <c r="U8" s="884"/>
      <c r="V8" s="884"/>
      <c r="W8" s="884"/>
      <c r="X8" s="884"/>
      <c r="Y8" s="884"/>
      <c r="Z8" s="884"/>
      <c r="AA8" s="884"/>
      <c r="AB8" s="884"/>
      <c r="AC8" s="884"/>
    </row>
    <row r="9" spans="1:29" ht="12.75" customHeight="1" thickBot="1" x14ac:dyDescent="0.25">
      <c r="B9" s="3"/>
      <c r="C9" s="3"/>
      <c r="D9" s="3"/>
      <c r="E9" s="3"/>
      <c r="F9" s="3"/>
      <c r="G9" s="3"/>
      <c r="H9" s="3"/>
      <c r="I9" s="3"/>
      <c r="J9" s="3"/>
      <c r="K9" s="3"/>
      <c r="L9" s="3"/>
      <c r="M9" s="7"/>
      <c r="N9" s="7"/>
      <c r="O9" s="7"/>
    </row>
    <row r="10" spans="1:29" ht="25.5" customHeight="1" thickBot="1" x14ac:dyDescent="0.3">
      <c r="B10" s="3"/>
      <c r="C10" s="12" t="s">
        <v>407</v>
      </c>
      <c r="D10" s="1384" t="str">
        <f>Translations!$B$666</f>
        <v>Historyczne poziomy działalności oraz zdezagregowane dane szczegółowe dotyczące produkcji</v>
      </c>
      <c r="E10" s="1384"/>
      <c r="F10" s="1384"/>
      <c r="G10" s="1384"/>
      <c r="H10" s="1384"/>
      <c r="I10" s="1384"/>
      <c r="J10" s="1384"/>
      <c r="K10" s="1384"/>
      <c r="L10" s="1384"/>
      <c r="M10" s="1384"/>
      <c r="N10" s="1384"/>
      <c r="O10" s="7"/>
      <c r="Y10" s="349" t="s">
        <v>413</v>
      </c>
    </row>
    <row r="11" spans="1:29" ht="5.0999999999999996" customHeight="1" thickBot="1" x14ac:dyDescent="0.25">
      <c r="B11" s="3"/>
      <c r="C11" s="3"/>
      <c r="D11" s="3"/>
      <c r="E11" s="3"/>
      <c r="F11" s="3"/>
      <c r="G11" s="3"/>
      <c r="H11" s="3"/>
      <c r="I11" s="3"/>
      <c r="J11" s="3"/>
      <c r="K11" s="3"/>
      <c r="L11" s="3"/>
      <c r="M11" s="7"/>
      <c r="N11" s="7"/>
      <c r="O11" s="7"/>
      <c r="P11" s="8"/>
      <c r="Q11" s="8"/>
      <c r="R11" s="8"/>
      <c r="S11" s="8"/>
      <c r="T11" s="8"/>
      <c r="U11" s="8"/>
      <c r="V11" s="8"/>
      <c r="W11" s="8"/>
      <c r="X11" s="8"/>
    </row>
    <row r="12" spans="1:29" ht="38.25" customHeight="1" thickBot="1" x14ac:dyDescent="0.3">
      <c r="B12" s="3"/>
      <c r="C12" s="18">
        <v>1</v>
      </c>
      <c r="D12" s="1439" t="str">
        <f>EUconst_FBSubinst &amp; ":"</f>
        <v>Podinstalacja, dla której wprowadzono rozwiązania rezerwowe (fall-back):</v>
      </c>
      <c r="E12" s="1370"/>
      <c r="F12" s="1370"/>
      <c r="G12" s="1370"/>
      <c r="H12" s="1432"/>
      <c r="I12" s="1781" t="str">
        <f>INDEX(EUconst_FallBackListNames,$C12)</f>
        <v>Podinstalacja objęta wskaźnikiem emisyjności opartym na cieple, „CL”</v>
      </c>
      <c r="J12" s="1666"/>
      <c r="K12" s="1666"/>
      <c r="L12" s="1782"/>
      <c r="M12" s="1860" t="str">
        <f>IF(ISBLANK(INDEX(CNTR_FallBackSubInstRelevant,C12)),"",IF(INDEX(CNTR_FallBackSubInstRelevant,C12),EUconst_Relevant,EUconst_NotRelevant))</f>
        <v>dotyczy</v>
      </c>
      <c r="N12" s="1861"/>
      <c r="O12" s="7"/>
      <c r="P12" s="574">
        <f>C12</f>
        <v>1</v>
      </c>
      <c r="Q12" s="371" t="s">
        <v>234</v>
      </c>
      <c r="R12" s="856">
        <f>IF(M12&lt;&gt;EUconst_Relevant,"",INDEX(CNTR_SubInstStartDate,MATCH($I12,CNTR_SubInstListNames,0)))</f>
        <v>0</v>
      </c>
      <c r="S12" s="853" t="b">
        <f>IF($M12&lt;&gt;EUconst_Relevant,FALSE,AND(I$562, IF($R12&lt;DATE($L$559,1,1),YEAR($R12)&lt;=I$559,YEAR($R12-1)&lt;I$559) ) )</f>
        <v>1</v>
      </c>
      <c r="T12" s="853" t="b">
        <f>IF($M12&lt;&gt;EUconst_Relevant,FALSE,AND(J$562, IF($R12&lt;DATE($L$559,1,1),YEAR($R12)&lt;=J$559,YEAR($R12-1)&lt;J$559) ) )</f>
        <v>1</v>
      </c>
      <c r="U12" s="853" t="b">
        <f>IF($M12&lt;&gt;EUconst_Relevant,FALSE,AND(K$562, IF($R12&lt;DATE($L$559,1,1),YEAR($R12)&lt;=K$559,YEAR($R12-1)&lt;K$559) ) )</f>
        <v>1</v>
      </c>
      <c r="V12" s="853" t="b">
        <f>IF($M12&lt;&gt;EUconst_Relevant,FALSE,AND(L$562, IF($R12&lt;DATE($L$559,1,1),YEAR($R12)&lt;=L$559,YEAR($R12-1)&lt;L$559) ) )</f>
        <v>1</v>
      </c>
      <c r="W12" s="853" t="b">
        <f>IF($M12&lt;&gt;EUconst_Relevant,FALSE,AND(M$562, IF($R12&lt;DATE($L$559,1,1),YEAR($R12)&lt;=M$559,YEAR($R12-1)&lt;M$559) ) )</f>
        <v>1</v>
      </c>
      <c r="X12" s="8"/>
      <c r="Y12" s="8"/>
      <c r="AB12" s="736" t="s">
        <v>550</v>
      </c>
      <c r="AC12" s="738" t="b">
        <f>AND(CNTR_ExistSubInstEntries,M12=EUconst_NotRelevant)</f>
        <v>0</v>
      </c>
    </row>
    <row r="13" spans="1:29" ht="12.75" customHeight="1" x14ac:dyDescent="0.2">
      <c r="B13" s="20"/>
      <c r="C13" s="20"/>
      <c r="D13" s="20"/>
      <c r="E13" s="20"/>
      <c r="F13" s="20"/>
      <c r="G13" s="20"/>
      <c r="H13" s="50"/>
      <c r="I13" s="1869" t="str">
        <f>IF(M12="","",IF(M12=EUconst_Relevant,HYPERLINK("",EUconst_MsgEnterThisSection),HYPERLINK(Q13,EUconst_MsgGoToNextSubInst)))</f>
        <v>Proszę podać dane w tej części!</v>
      </c>
      <c r="J13" s="1870"/>
      <c r="K13" s="1870"/>
      <c r="L13" s="1870"/>
      <c r="M13" s="1871"/>
      <c r="N13" s="1872"/>
      <c r="O13" s="7"/>
      <c r="P13" s="2" t="s">
        <v>199</v>
      </c>
      <c r="Q13" s="589" t="str">
        <f>"#JUMP_G"&amp;P12+1</f>
        <v>#JUMP_G2</v>
      </c>
      <c r="Y13" s="422"/>
    </row>
    <row r="14" spans="1:29" ht="12.75" customHeight="1" x14ac:dyDescent="0.2">
      <c r="B14" s="3"/>
      <c r="C14" s="3"/>
      <c r="D14" s="16"/>
      <c r="E14" s="1408" t="str">
        <f>Translations!$B$824</f>
        <v>Nazwa podinstalacji rezerwowej jest automatycznie wyświetlana z ogólnej listy możliwych instalacji, dla których wprowadzono rozwiązania rezerwowe (fall-back).</v>
      </c>
      <c r="F14" s="1370"/>
      <c r="G14" s="1370"/>
      <c r="H14" s="1370"/>
      <c r="I14" s="1370"/>
      <c r="J14" s="1370"/>
      <c r="K14" s="1370"/>
      <c r="L14" s="1370"/>
      <c r="M14" s="1370"/>
      <c r="N14" s="1370"/>
      <c r="O14" s="7"/>
      <c r="P14" s="8"/>
      <c r="Q14" s="8"/>
      <c r="R14" s="8"/>
      <c r="S14" s="8"/>
      <c r="T14" s="8"/>
      <c r="U14" s="8"/>
      <c r="V14" s="8"/>
      <c r="W14" s="8"/>
      <c r="X14" s="8"/>
    </row>
    <row r="15" spans="1:29" ht="12.75" customHeight="1" x14ac:dyDescent="0.2">
      <c r="B15" s="3"/>
      <c r="C15" s="3"/>
      <c r="D15" s="16"/>
      <c r="E15" s="1809" t="str">
        <f>Translations!$B$667</f>
        <v>Niniejszy arkusz służy dwóm następującym celom:</v>
      </c>
      <c r="F15" s="1810"/>
      <c r="G15" s="1810"/>
      <c r="H15" s="1810"/>
      <c r="I15" s="1810"/>
      <c r="J15" s="1810"/>
      <c r="K15" s="1810"/>
      <c r="L15" s="1810"/>
      <c r="M15" s="1810"/>
      <c r="N15" s="1810"/>
      <c r="O15" s="7"/>
      <c r="P15" s="8"/>
      <c r="R15" s="8"/>
      <c r="S15" s="8"/>
    </row>
    <row r="16" spans="1:29" ht="12.75" customHeight="1" x14ac:dyDescent="0.2">
      <c r="B16" s="3"/>
      <c r="C16" s="3"/>
      <c r="D16" s="16"/>
      <c r="E16" s="625" t="s">
        <v>408</v>
      </c>
      <c r="F16" s="1809" t="str">
        <f>Translations!$B$825</f>
        <v>dane niezbędne do określenia ilości przydziału bezpłatnych uprawnień podinstalacjom objętym wskaźnikiem rezerwowym (fall-back)</v>
      </c>
      <c r="G16" s="1810"/>
      <c r="H16" s="1810"/>
      <c r="I16" s="1810"/>
      <c r="J16" s="1810"/>
      <c r="K16" s="1810"/>
      <c r="L16" s="1810"/>
      <c r="M16" s="1810"/>
      <c r="N16" s="1810"/>
      <c r="O16" s="7"/>
      <c r="P16" s="8"/>
      <c r="R16" s="8"/>
      <c r="S16" s="8"/>
    </row>
    <row r="17" spans="2:28" ht="12.75" customHeight="1" x14ac:dyDescent="0.2">
      <c r="B17" s="3"/>
      <c r="C17" s="3"/>
      <c r="D17" s="16"/>
      <c r="E17" s="625" t="s">
        <v>408</v>
      </c>
      <c r="F17" s="1809" t="str">
        <f>Translations!$B$826</f>
        <v>dane niezbędne do określenia współczynników poprawy wartości wskaźników rezerwowych (fall-back)</v>
      </c>
      <c r="G17" s="1810"/>
      <c r="H17" s="1810"/>
      <c r="I17" s="1810"/>
      <c r="J17" s="1810"/>
      <c r="K17" s="1810"/>
      <c r="L17" s="1810"/>
      <c r="M17" s="1810"/>
      <c r="N17" s="1810"/>
      <c r="O17" s="7"/>
      <c r="P17" s="8"/>
      <c r="R17" s="8"/>
      <c r="S17" s="8"/>
    </row>
    <row r="18" spans="2:28" ht="5.0999999999999996" customHeight="1" x14ac:dyDescent="0.2">
      <c r="B18" s="3"/>
      <c r="C18" s="3"/>
      <c r="D18" s="3"/>
      <c r="E18" s="3"/>
      <c r="F18" s="3"/>
      <c r="G18" s="3"/>
      <c r="H18" s="3"/>
      <c r="I18" s="3"/>
      <c r="J18" s="3"/>
      <c r="K18" s="3"/>
      <c r="L18" s="3"/>
      <c r="M18" s="7"/>
      <c r="N18" s="7"/>
      <c r="O18" s="7"/>
      <c r="P18" s="8"/>
      <c r="Q18" s="8"/>
      <c r="R18" s="8"/>
      <c r="S18" s="8"/>
      <c r="T18" s="8"/>
      <c r="U18" s="8"/>
      <c r="V18" s="8"/>
      <c r="W18" s="8"/>
      <c r="X18" s="8"/>
    </row>
    <row r="19" spans="2:28" ht="12.75" customHeight="1" x14ac:dyDescent="0.2">
      <c r="B19" s="3"/>
      <c r="C19" s="355"/>
      <c r="D19" s="14" t="s">
        <v>173</v>
      </c>
      <c r="E19" s="1375" t="str">
        <f>Translations!$B$670</f>
        <v>Historyczne poziomy działalności</v>
      </c>
      <c r="F19" s="1370"/>
      <c r="G19" s="1370"/>
      <c r="H19" s="1370"/>
      <c r="I19" s="1370"/>
      <c r="J19" s="1370"/>
      <c r="K19" s="1370"/>
      <c r="L19" s="1370"/>
      <c r="M19" s="1370"/>
      <c r="N19" s="1370"/>
      <c r="O19" s="7"/>
      <c r="P19" s="8"/>
      <c r="Q19" s="8"/>
      <c r="R19" s="8"/>
      <c r="S19" s="8"/>
      <c r="T19" s="8"/>
      <c r="U19" s="8"/>
      <c r="V19" s="8"/>
      <c r="W19" s="8"/>
      <c r="X19" s="8"/>
      <c r="AA19" s="422"/>
    </row>
    <row r="20" spans="2:28" ht="12.75" customHeight="1" x14ac:dyDescent="0.2">
      <c r="B20" s="3"/>
      <c r="C20" s="369"/>
      <c r="D20" s="16"/>
      <c r="E20" s="1891" t="str">
        <f>Translations!$B$827</f>
        <v>Następujące dane są pobierane automatycznie z arkusza „E_EnergyFlows” część E.II lit. r).W związku z tym wprowadzenie danych jest tam obowiązkowe.</v>
      </c>
      <c r="F20" s="1891"/>
      <c r="G20" s="1891"/>
      <c r="H20" s="1891"/>
      <c r="I20" s="1891"/>
      <c r="J20" s="1891"/>
      <c r="K20" s="1891"/>
      <c r="L20" s="1891"/>
      <c r="M20" s="1891"/>
      <c r="N20" s="1891"/>
      <c r="O20" s="7"/>
      <c r="P20" s="8"/>
    </row>
    <row r="21" spans="2:28" ht="38.85" customHeight="1" thickBot="1" x14ac:dyDescent="0.25">
      <c r="B21" s="3"/>
      <c r="C21" s="3"/>
      <c r="D21" s="16"/>
      <c r="E21" s="1408" t="str">
        <f>Translations!$B$828</f>
        <v>Na podstawie daty rozpoczęcia normalnej działalności wpisanej w części A.III zostanie automatycznie ustalony fakt, czy podinstalacja ta działała mniej niż rok w okresie odniesienia. W takim przypadku historyczny poziom działalności zostanie ustalony na podstawie pierwszego roku kalendarzowego po rozpoczęciu normalnej działalności, zgodnie z art. 15 ust. 7 akapit trzeci FAR.</v>
      </c>
      <c r="F21" s="1370"/>
      <c r="G21" s="1370"/>
      <c r="H21" s="1370"/>
      <c r="I21" s="1370"/>
      <c r="J21" s="1370"/>
      <c r="K21" s="1370"/>
      <c r="L21" s="1370"/>
      <c r="M21" s="1370"/>
      <c r="N21" s="1370"/>
      <c r="O21" s="7"/>
      <c r="P21" s="8"/>
      <c r="R21" s="8"/>
      <c r="S21" s="8"/>
      <c r="AA21" s="422"/>
    </row>
    <row r="22" spans="2:28" ht="25.5" customHeight="1" thickBot="1" x14ac:dyDescent="0.25">
      <c r="B22" s="3"/>
      <c r="C22" s="3"/>
      <c r="D22" s="16"/>
      <c r="E22" s="1408" t="str">
        <f>Translations!$B$675</f>
        <v>Powiązane wpisy są wymagane w kolumnie dla tego roku, tj. 2019 albo 2020. Ponieważ jednak w momencie przedłożenia krajowych środków wykonawczych roczna produkcja dla tego roku nie będzie znana, wpisów w tym miejscu można dokonać dopiero na późniejszym etapie.</v>
      </c>
      <c r="F22" s="1370"/>
      <c r="G22" s="1370"/>
      <c r="H22" s="1370"/>
      <c r="I22" s="1370"/>
      <c r="J22" s="1370"/>
      <c r="K22" s="1370"/>
      <c r="L22" s="1370"/>
      <c r="M22" s="1370"/>
      <c r="N22" s="1370"/>
      <c r="O22" s="7"/>
      <c r="P22" s="8"/>
      <c r="Q22" s="424" t="s">
        <v>432</v>
      </c>
      <c r="R22" s="169" t="s">
        <v>238</v>
      </c>
      <c r="S22" s="170"/>
      <c r="T22" s="170"/>
      <c r="U22" s="170"/>
      <c r="V22" s="170"/>
      <c r="W22" s="170"/>
      <c r="X22" s="171"/>
      <c r="Y22" s="422"/>
      <c r="AA22" s="422" t="s">
        <v>606</v>
      </c>
    </row>
    <row r="23" spans="2:28" ht="12.75" customHeight="1" x14ac:dyDescent="0.2">
      <c r="B23" s="20"/>
      <c r="C23" s="355"/>
      <c r="D23" s="14"/>
      <c r="E23" s="1430" t="str">
        <f>Translations!$B$829</f>
        <v>Główny poziom działalności:</v>
      </c>
      <c r="F23" s="1377"/>
      <c r="G23" s="1377"/>
      <c r="H23" s="34" t="str">
        <f>EUconst_Unit</f>
        <v>Jednostka</v>
      </c>
      <c r="I23" s="396">
        <f>I$559</f>
        <v>2014</v>
      </c>
      <c r="J23" s="396">
        <f>J$559</f>
        <v>2015</v>
      </c>
      <c r="K23" s="396">
        <f>K$559</f>
        <v>2016</v>
      </c>
      <c r="L23" s="396">
        <f>L$559</f>
        <v>2017</v>
      </c>
      <c r="M23" s="421">
        <f>M$559</f>
        <v>2018</v>
      </c>
      <c r="N23" s="888" t="str">
        <f>IF(M12&lt;&gt;EUconst_Relevant,"",IF(Z24,YEAR(R12)+1,""))</f>
        <v/>
      </c>
      <c r="O23" s="7"/>
      <c r="P23" s="164" t="s">
        <v>237</v>
      </c>
      <c r="Q23" s="1239" t="s">
        <v>2190</v>
      </c>
      <c r="R23" s="173" t="s">
        <v>437</v>
      </c>
      <c r="S23" s="165">
        <f>I23</f>
        <v>2014</v>
      </c>
      <c r="T23" s="116">
        <f>J23</f>
        <v>2015</v>
      </c>
      <c r="U23" s="116">
        <f>K23</f>
        <v>2016</v>
      </c>
      <c r="V23" s="116">
        <f>L23</f>
        <v>2017</v>
      </c>
      <c r="W23" s="116">
        <f>M23</f>
        <v>2018</v>
      </c>
      <c r="X23" s="117"/>
      <c r="AA23" s="955" t="b">
        <f>IF(CNTR_ExistSubInstEntries,IF(M12=EUconst_Relevant,NOT(Z24),TRUE),FALSE)</f>
        <v>1</v>
      </c>
    </row>
    <row r="24" spans="2:28" ht="25.5" customHeight="1" thickBot="1" x14ac:dyDescent="0.25">
      <c r="B24" s="20"/>
      <c r="C24" s="20"/>
      <c r="D24" s="20"/>
      <c r="E24" s="1801" t="str">
        <f>I12</f>
        <v>Podinstalacja objęta wskaźnikiem emisyjności opartym na cieple, „CL”</v>
      </c>
      <c r="F24" s="1801"/>
      <c r="G24" s="1801"/>
      <c r="H24" s="98" t="str">
        <f>INDEX(EUconst_FallBackListUnits,MATCH(E24,EUconst_FallBackListNames,0))</f>
        <v>TJ</v>
      </c>
      <c r="I24" s="311">
        <f>IF($M12=EUconst_Relevant,IF(ISNUMBER(INDEX(E_EnergyFlows!I$387:I$393,MATCH($E24,E_EnergyFlows!$E$387:$E$393,0))),INDEX(E_EnergyFlows!I$387:I$393,MATCH($E24,E_EnergyFlows!$E$387:$E$393,0)),INDEX(EUconst_FallbackListMissing,$P12)),"")</f>
        <v>663.67106823104518</v>
      </c>
      <c r="J24" s="311">
        <f>IF($M12=EUconst_Relevant,IF(ISNUMBER(INDEX(E_EnergyFlows!J$387:J$393,MATCH($E24,E_EnergyFlows!$E$387:$E$393,0))),INDEX(E_EnergyFlows!J$387:J$393,MATCH($E24,E_EnergyFlows!$E$387:$E$393,0)),INDEX(EUconst_FallbackListMissing,$P12)),"")</f>
        <v>628.23125271862386</v>
      </c>
      <c r="K24" s="311">
        <f>IF($M12=EUconst_Relevant,IF(ISNUMBER(INDEX(E_EnergyFlows!K$387:K$393,MATCH($E24,E_EnergyFlows!$E$387:$E$393,0))),INDEX(E_EnergyFlows!K$387:K$393,MATCH($E24,E_EnergyFlows!$E$387:$E$393,0)),INDEX(EUconst_FallbackListMissing,$P12)),"")</f>
        <v>725.31445740656966</v>
      </c>
      <c r="L24" s="311">
        <f>IF($M12=EUconst_Relevant,IF(ISNUMBER(INDEX(E_EnergyFlows!L$387:L$393,MATCH($E24,E_EnergyFlows!$E$387:$E$393,0))),INDEX(E_EnergyFlows!L$387:L$393,MATCH($E24,E_EnergyFlows!$E$387:$E$393,0)),INDEX(EUconst_FallbackListMissing,$P12)),"")</f>
        <v>610.92741807413177</v>
      </c>
      <c r="M24" s="940">
        <f>IF($M12=EUconst_Relevant,IF(ISNUMBER(INDEX(E_EnergyFlows!M$387:M$393,MATCH($E24,E_EnergyFlows!$E$387:$E$393,0))),INDEX(E_EnergyFlows!M$387:M$393,MATCH($E24,E_EnergyFlows!$E$387:$E$393,0)),INDEX(EUconst_FallbackListMissing,$P12)),"")</f>
        <v>702.52094494868709</v>
      </c>
      <c r="N24" s="954"/>
      <c r="O24" s="7"/>
      <c r="P24" s="167" t="str">
        <f>EUconst_CNTR_HAL&amp;E24</f>
        <v>HAL_Podinstalacja objęta wskaźnikiem emisyjności opartym na cieple, „CL”</v>
      </c>
      <c r="Q24" s="168">
        <f>IF(COUNT($K24:$L24)&gt;0,AVERAGE($K24:$L24),"")</f>
        <v>668.12093774035066</v>
      </c>
      <c r="R24" s="166">
        <f>IF(COUNT(S24:W24)&gt;0,AVERAGE(S24:W24),"")</f>
        <v>666.13302827581151</v>
      </c>
      <c r="S24" s="172">
        <f>IF(S12,IF(ISNUMBER(I24),I24,0),"")</f>
        <v>663.67106823104518</v>
      </c>
      <c r="T24" s="119">
        <f>IF(T12,IF(ISNUMBER(J24),J24,0),"")</f>
        <v>628.23125271862386</v>
      </c>
      <c r="U24" s="119">
        <f>IF(U12,IF(ISNUMBER(K24),K24,0),"")</f>
        <v>725.31445740656966</v>
      </c>
      <c r="V24" s="119">
        <f>IF(V12,IF(ISNUMBER(L24),L24,0),"")</f>
        <v>610.92741807413177</v>
      </c>
      <c r="W24" s="119">
        <f>IF(W12,IF(ISNUMBER(M24),M24,0),"")</f>
        <v>702.52094494868709</v>
      </c>
      <c r="X24" s="120"/>
      <c r="Y24" s="371" t="s">
        <v>598</v>
      </c>
      <c r="Z24" s="164" t="b">
        <f>IF(M12&lt;&gt;EUconst_Relevant,FALSE,INDEX(CNTR_SubInstLess1Year,MATCH(I12,CNTR_SubInstListNames,0)))</f>
        <v>0</v>
      </c>
      <c r="AA24" s="956" t="b">
        <f>AA23</f>
        <v>1</v>
      </c>
      <c r="AB24" s="371"/>
    </row>
    <row r="25" spans="2:28" ht="12.75" customHeight="1" x14ac:dyDescent="0.2">
      <c r="B25" s="20"/>
      <c r="C25" s="5"/>
      <c r="D25" s="5"/>
      <c r="E25" s="5"/>
      <c r="F25" s="5"/>
      <c r="G25" s="5"/>
      <c r="H25" s="5"/>
      <c r="I25" s="5"/>
      <c r="J25" s="5"/>
      <c r="K25" s="5"/>
      <c r="L25" s="5"/>
      <c r="M25" s="5"/>
      <c r="N25" s="5"/>
      <c r="O25" s="7"/>
    </row>
    <row r="26" spans="2:28" ht="15" x14ac:dyDescent="0.25">
      <c r="B26" s="20"/>
      <c r="C26" s="368"/>
      <c r="D26" s="1439" t="str">
        <f>Translations!$B$700</f>
        <v>Szczegółowe dane dotyczące produkcji</v>
      </c>
      <c r="E26" s="1370"/>
      <c r="F26" s="1370"/>
      <c r="G26" s="1370"/>
      <c r="H26" s="1370"/>
      <c r="I26" s="1370"/>
      <c r="J26" s="1370"/>
      <c r="K26" s="1370"/>
      <c r="L26" s="1370"/>
      <c r="M26" s="1370"/>
      <c r="N26" s="1370"/>
      <c r="O26" s="7"/>
      <c r="Y26" s="8"/>
      <c r="Z26" s="8"/>
      <c r="AA26" s="8"/>
      <c r="AB26" s="8"/>
    </row>
    <row r="27" spans="2:28" ht="5.0999999999999996" customHeight="1" x14ac:dyDescent="0.2">
      <c r="B27" s="3"/>
      <c r="C27" s="5"/>
      <c r="D27" s="3"/>
      <c r="E27" s="3"/>
      <c r="F27" s="3"/>
      <c r="G27" s="3"/>
      <c r="H27" s="3"/>
      <c r="I27" s="3"/>
      <c r="J27" s="3"/>
      <c r="K27" s="3"/>
      <c r="L27" s="3"/>
      <c r="M27" s="3"/>
      <c r="N27" s="3"/>
      <c r="O27" s="7"/>
      <c r="P27" s="8"/>
      <c r="Q27" s="8"/>
    </row>
    <row r="28" spans="2:28" ht="12.75" customHeight="1" x14ac:dyDescent="0.2">
      <c r="B28" s="3"/>
      <c r="C28" s="355"/>
      <c r="D28" s="14" t="s">
        <v>353</v>
      </c>
      <c r="E28" s="1375" t="str">
        <f>Translations!$B$830</f>
        <v>Identyfikacja odpowiednich produktów i usług związanych z tą podinstalacją</v>
      </c>
      <c r="F28" s="1370"/>
      <c r="G28" s="1370"/>
      <c r="H28" s="1370"/>
      <c r="I28" s="1370"/>
      <c r="J28" s="1370"/>
      <c r="K28" s="1370"/>
      <c r="L28" s="1370"/>
      <c r="M28" s="1370"/>
      <c r="N28" s="1370"/>
      <c r="O28" s="7"/>
      <c r="P28" s="8"/>
    </row>
    <row r="29" spans="2:28" ht="12.75" customHeight="1" x14ac:dyDescent="0.2">
      <c r="B29" s="3"/>
      <c r="C29" s="369"/>
      <c r="D29" s="16"/>
      <c r="E29" s="1408" t="str">
        <f>Translations!$B$831</f>
        <v>W tym miejscu proszę podać, do jakich procesów produkcji lub usług odnosi się ta podinstalacja. Procesy te mogą być następujące:</v>
      </c>
      <c r="F29" s="1370"/>
      <c r="G29" s="1370"/>
      <c r="H29" s="1370"/>
      <c r="I29" s="1370"/>
      <c r="J29" s="1370"/>
      <c r="K29" s="1370"/>
      <c r="L29" s="1370"/>
      <c r="M29" s="1370"/>
      <c r="N29" s="1370"/>
      <c r="O29" s="7"/>
      <c r="P29" s="8"/>
      <c r="Q29" s="8"/>
      <c r="R29" s="8"/>
      <c r="S29" s="8"/>
      <c r="T29" s="8"/>
      <c r="U29" s="8"/>
      <c r="V29" s="8"/>
      <c r="W29" s="8"/>
      <c r="X29" s="8"/>
      <c r="Y29" s="8"/>
      <c r="Z29" s="8"/>
      <c r="AA29" s="8"/>
      <c r="AB29" s="8"/>
    </row>
    <row r="30" spans="2:28" ht="12.75" customHeight="1" x14ac:dyDescent="0.2">
      <c r="B30" s="3"/>
      <c r="C30" s="369"/>
      <c r="D30" s="16"/>
      <c r="E30" s="100" t="s">
        <v>378</v>
      </c>
      <c r="F30" s="1408" t="str">
        <f>Translations!$B$832</f>
        <v>Wytwarzanie produktów nieobjętych wskaźnikami emisyjności dla produktów w instalacji (proszę podać typy produktów);</v>
      </c>
      <c r="G30" s="1370"/>
      <c r="H30" s="1370"/>
      <c r="I30" s="1370"/>
      <c r="J30" s="1370"/>
      <c r="K30" s="1370"/>
      <c r="L30" s="1370"/>
      <c r="M30" s="1370"/>
      <c r="N30" s="1370"/>
      <c r="O30" s="7"/>
      <c r="P30" s="8"/>
      <c r="Q30" s="8"/>
      <c r="R30" s="8"/>
      <c r="S30" s="8"/>
      <c r="T30" s="8"/>
      <c r="U30" s="8"/>
      <c r="V30" s="8"/>
      <c r="W30" s="8"/>
      <c r="X30" s="8"/>
      <c r="Y30" s="8"/>
      <c r="Z30" s="8"/>
      <c r="AA30" s="8"/>
      <c r="AB30" s="8"/>
    </row>
    <row r="31" spans="2:28" ht="12.75" customHeight="1" x14ac:dyDescent="0.2">
      <c r="B31" s="3"/>
      <c r="C31" s="369"/>
      <c r="D31" s="16"/>
      <c r="E31" s="100" t="s">
        <v>378</v>
      </c>
      <c r="F31" s="1408" t="str">
        <f>Translations!$B$833</f>
        <v>wytwarzanie energii mechanicznej, ogrzewanie lub chłodzenie (wszystkie zastosowania poza wytwarzaniem energii elektrycznej);</v>
      </c>
      <c r="G31" s="1370"/>
      <c r="H31" s="1370"/>
      <c r="I31" s="1370"/>
      <c r="J31" s="1370"/>
      <c r="K31" s="1370"/>
      <c r="L31" s="1370"/>
      <c r="M31" s="1370"/>
      <c r="N31" s="1370"/>
      <c r="O31" s="7"/>
      <c r="P31" s="8"/>
      <c r="Q31" s="8"/>
      <c r="R31" s="8"/>
      <c r="S31" s="8"/>
      <c r="T31" s="8"/>
      <c r="U31" s="8"/>
      <c r="V31" s="8"/>
      <c r="W31" s="8"/>
      <c r="X31" s="8"/>
    </row>
    <row r="32" spans="2:28" ht="25.5" customHeight="1" x14ac:dyDescent="0.2">
      <c r="B32" s="3"/>
      <c r="C32" s="369"/>
      <c r="D32" s="16"/>
      <c r="E32" s="100" t="s">
        <v>378</v>
      </c>
      <c r="F32" s="1408" t="str">
        <f>Translations!$B$834</f>
        <v>wyprowadzanie ciepła do instalacji lub innych podmiotów (innych niż sieć ciepłownicza). W takim przypadku proszę wskazać wykorzystanie ciepła w takiej instalacji lub u takiego odbiorcy (jeśli jest znane).</v>
      </c>
      <c r="G32" s="1370"/>
      <c r="H32" s="1370"/>
      <c r="I32" s="1370"/>
      <c r="J32" s="1370"/>
      <c r="K32" s="1370"/>
      <c r="L32" s="1370"/>
      <c r="M32" s="1370"/>
      <c r="N32" s="1370"/>
      <c r="O32" s="7"/>
      <c r="P32" s="8"/>
      <c r="Q32" s="8"/>
      <c r="R32" s="8"/>
      <c r="S32" s="8"/>
      <c r="T32" s="8"/>
      <c r="U32" s="8"/>
      <c r="V32" s="8"/>
      <c r="W32" s="8"/>
      <c r="X32" s="8"/>
    </row>
    <row r="33" spans="2:28" ht="25.5" customHeight="1" x14ac:dyDescent="0.2">
      <c r="B33" s="3"/>
      <c r="C33" s="369"/>
      <c r="D33" s="16"/>
      <c r="E33" s="1408" t="str">
        <f>Translations!$B$703</f>
        <v>Kody PRODCOM należy wpisywać w formacie „nnnnnnnn”, tj. bez kropek ani innych separatorów. Tylko w przypadku, gdy kody PRODCOM nie są dostępne, należy podać co najmniej 4-cyfrowy kod NACE w formacie „nnnn”.</v>
      </c>
      <c r="F33" s="1370"/>
      <c r="G33" s="1370"/>
      <c r="H33" s="1370"/>
      <c r="I33" s="1370"/>
      <c r="J33" s="1370"/>
      <c r="K33" s="1370"/>
      <c r="L33" s="1370"/>
      <c r="M33" s="1370"/>
      <c r="N33" s="1370"/>
      <c r="O33" s="7"/>
      <c r="P33" s="8"/>
    </row>
    <row r="34" spans="2:28" ht="12.75" customHeight="1" x14ac:dyDescent="0.2">
      <c r="B34" s="3"/>
      <c r="C34" s="369"/>
      <c r="D34" s="16"/>
      <c r="E34" s="1408" t="str">
        <f>Translations!$B$704</f>
        <v>Wykaz kodów PRODCOM 2010 jest dostępny pod adresem:</v>
      </c>
      <c r="F34" s="1370"/>
      <c r="G34" s="1370"/>
      <c r="H34" s="1370"/>
      <c r="I34" s="1370"/>
      <c r="J34" s="1370"/>
      <c r="K34" s="1370"/>
      <c r="L34" s="1370"/>
      <c r="M34" s="1370"/>
      <c r="N34" s="1370"/>
      <c r="O34" s="7"/>
      <c r="P34" s="8"/>
    </row>
    <row r="35" spans="2:28" ht="12.75" customHeight="1" x14ac:dyDescent="0.2">
      <c r="B35" s="3"/>
      <c r="C35" s="369"/>
      <c r="D35" s="16"/>
      <c r="E35" s="1795" t="str">
        <f>Translations!$B$705</f>
        <v>http://ec.europa.eu/eurostat/ramon/nomenclatures/index.cfm?TargetUrl=LST_CLS_DLD&amp;StrNom=PRD_2010&amp;StrLanguageCode=EN&amp;StrLayoutCode=HIERARCHIChttp://ec.europa.eu/eurostat/ramon/nomenclatures/index.cfm?TargetUrl=LST_CLS_DLD&amp;StrNom=PRD_2010&amp;StrLanguageCode=EN&amp;StrLayoutCode=HIERARCHIC</v>
      </c>
      <c r="F35" s="1895"/>
      <c r="G35" s="1895"/>
      <c r="H35" s="1895"/>
      <c r="I35" s="1895"/>
      <c r="J35" s="1895"/>
      <c r="K35" s="1895"/>
      <c r="L35" s="1895"/>
      <c r="M35" s="1895"/>
      <c r="N35" s="1895"/>
      <c r="O35" s="7"/>
      <c r="P35" s="8"/>
    </row>
    <row r="36" spans="2:28" ht="12.75" customHeight="1" x14ac:dyDescent="0.2">
      <c r="B36" s="3"/>
      <c r="C36" s="369"/>
      <c r="D36" s="16"/>
      <c r="E36" s="1408" t="str">
        <f>Translations!$B$835</f>
        <v>Kody według NACE mogą być użyte zamiast kodów PRODCOM, jeśli w jednej grupie NACE zawiera się kilka podobnych produktów.</v>
      </c>
      <c r="F36" s="1370"/>
      <c r="G36" s="1370"/>
      <c r="H36" s="1370"/>
      <c r="I36" s="1370"/>
      <c r="J36" s="1370"/>
      <c r="K36" s="1370"/>
      <c r="L36" s="1370"/>
      <c r="M36" s="1370"/>
      <c r="N36" s="1370"/>
      <c r="O36" s="7"/>
      <c r="P36" s="8"/>
      <c r="Q36" s="8"/>
      <c r="R36" s="8"/>
      <c r="S36" s="8"/>
      <c r="T36" s="8"/>
      <c r="U36" s="8"/>
      <c r="V36" s="8"/>
      <c r="W36" s="8"/>
      <c r="X36" s="8"/>
    </row>
    <row r="37" spans="2:28" ht="12.75" customHeight="1" x14ac:dyDescent="0.2">
      <c r="B37" s="3"/>
      <c r="C37" s="369"/>
      <c r="D37" s="16"/>
      <c r="E37" s="1408" t="str">
        <f>Translations!$B$836</f>
        <v>Jeśli ciepło jest wyprowadzane, można wybrać powiązaną instalację lub podmiot zgodnie z arkuszem „A_InstallationData” część IV.</v>
      </c>
      <c r="F37" s="1370"/>
      <c r="G37" s="1370"/>
      <c r="H37" s="1370"/>
      <c r="I37" s="1370"/>
      <c r="J37" s="1370"/>
      <c r="K37" s="1370"/>
      <c r="L37" s="1370"/>
      <c r="M37" s="1370"/>
      <c r="N37" s="1370"/>
      <c r="O37" s="7"/>
      <c r="P37" s="8"/>
      <c r="Q37" s="8"/>
      <c r="R37" s="8"/>
      <c r="S37" s="8"/>
      <c r="T37" s="8"/>
      <c r="U37" s="8"/>
      <c r="V37" s="8"/>
      <c r="W37" s="8"/>
      <c r="X37" s="8"/>
    </row>
    <row r="38" spans="2:28" ht="5.0999999999999996" customHeight="1" x14ac:dyDescent="0.2">
      <c r="B38" s="3"/>
      <c r="C38" s="369"/>
      <c r="D38" s="16"/>
      <c r="E38" s="17"/>
      <c r="F38" s="17"/>
      <c r="G38" s="17"/>
      <c r="H38" s="17"/>
      <c r="I38" s="17"/>
      <c r="J38" s="21"/>
      <c r="K38" s="353"/>
      <c r="L38" s="353"/>
      <c r="M38" s="26"/>
      <c r="N38" s="26"/>
      <c r="O38" s="7"/>
      <c r="P38" s="8"/>
    </row>
    <row r="39" spans="2:28" ht="25.5" x14ac:dyDescent="0.2">
      <c r="B39" s="20"/>
      <c r="C39" s="355"/>
      <c r="D39" s="344"/>
      <c r="E39" s="1885" t="str">
        <f>Translations!$B$837</f>
        <v>Rodzaj wykorzystania</v>
      </c>
      <c r="F39" s="1431"/>
      <c r="G39" s="1885" t="str">
        <f>Translations!$B$838</f>
        <v>W instalacji czy wyprowadzanie?</v>
      </c>
      <c r="H39" s="1431"/>
      <c r="I39" s="1852" t="str">
        <f>Translations!$B$839</f>
        <v>Nazwa produktu lub wyprowadzanie ciepła inne niż „do sieci ciepłowniczej”</v>
      </c>
      <c r="J39" s="1377"/>
      <c r="K39" s="1377"/>
      <c r="L39" s="1431"/>
      <c r="M39" s="399" t="s">
        <v>386</v>
      </c>
      <c r="N39" s="26"/>
      <c r="O39" s="7"/>
      <c r="Y39" s="8"/>
      <c r="Z39" s="8"/>
      <c r="AA39" s="8"/>
      <c r="AB39" s="8"/>
    </row>
    <row r="40" spans="2:28" ht="51.75" customHeight="1" x14ac:dyDescent="0.2">
      <c r="B40" s="20"/>
      <c r="C40" s="50"/>
      <c r="D40" s="37">
        <v>1</v>
      </c>
      <c r="E40" s="1522" t="s">
        <v>3465</v>
      </c>
      <c r="F40" s="1426"/>
      <c r="G40" s="1899" t="s">
        <v>3677</v>
      </c>
      <c r="H40" s="1900"/>
      <c r="I40" s="1886" t="s">
        <v>3691</v>
      </c>
      <c r="J40" s="1887"/>
      <c r="K40" s="1887"/>
      <c r="L40" s="1888"/>
      <c r="M40" s="1315" t="s">
        <v>3692</v>
      </c>
      <c r="N40" s="26"/>
      <c r="O40" s="7"/>
    </row>
    <row r="41" spans="2:28" ht="29.25" customHeight="1" x14ac:dyDescent="0.2">
      <c r="B41" s="20"/>
      <c r="C41" s="50"/>
      <c r="D41" s="38">
        <f>D40+1</f>
        <v>2</v>
      </c>
      <c r="E41" s="1413" t="s">
        <v>3465</v>
      </c>
      <c r="F41" s="1410"/>
      <c r="G41" s="1893" t="s">
        <v>3677</v>
      </c>
      <c r="H41" s="1894"/>
      <c r="I41" s="1896" t="s">
        <v>3693</v>
      </c>
      <c r="J41" s="1897"/>
      <c r="K41" s="1897"/>
      <c r="L41" s="1898"/>
      <c r="M41" s="1315" t="s">
        <v>3694</v>
      </c>
      <c r="N41" s="26"/>
      <c r="O41" s="7"/>
    </row>
    <row r="42" spans="2:28" ht="12.75" customHeight="1" x14ac:dyDescent="0.2">
      <c r="B42" s="20"/>
      <c r="C42" s="50"/>
      <c r="D42" s="38">
        <f t="shared" ref="D42:D49" si="0">D41+1</f>
        <v>3</v>
      </c>
      <c r="E42" s="1413"/>
      <c r="F42" s="1410"/>
      <c r="G42" s="1837"/>
      <c r="H42" s="1838"/>
      <c r="I42" s="1511"/>
      <c r="J42" s="1845"/>
      <c r="K42" s="1845"/>
      <c r="L42" s="1846"/>
      <c r="M42" s="550"/>
      <c r="N42" s="26"/>
      <c r="O42" s="7"/>
    </row>
    <row r="43" spans="2:28" ht="12.75" customHeight="1" x14ac:dyDescent="0.2">
      <c r="B43" s="20"/>
      <c r="C43" s="50"/>
      <c r="D43" s="38">
        <f t="shared" si="0"/>
        <v>4</v>
      </c>
      <c r="E43" s="1413"/>
      <c r="F43" s="1410"/>
      <c r="G43" s="1837"/>
      <c r="H43" s="1838"/>
      <c r="I43" s="1511"/>
      <c r="J43" s="1845"/>
      <c r="K43" s="1845"/>
      <c r="L43" s="1846"/>
      <c r="M43" s="550"/>
      <c r="N43" s="26"/>
      <c r="O43" s="7"/>
    </row>
    <row r="44" spans="2:28" ht="12.75" customHeight="1" x14ac:dyDescent="0.2">
      <c r="B44" s="20"/>
      <c r="C44" s="50"/>
      <c r="D44" s="38">
        <f t="shared" si="0"/>
        <v>5</v>
      </c>
      <c r="E44" s="1413"/>
      <c r="F44" s="1410"/>
      <c r="G44" s="1837"/>
      <c r="H44" s="1838"/>
      <c r="I44" s="1511"/>
      <c r="J44" s="1845"/>
      <c r="K44" s="1845"/>
      <c r="L44" s="1846"/>
      <c r="M44" s="550"/>
      <c r="N44" s="26"/>
      <c r="O44" s="7"/>
      <c r="Y44" s="8"/>
      <c r="Z44" s="8"/>
      <c r="AA44" s="8"/>
      <c r="AB44" s="8"/>
    </row>
    <row r="45" spans="2:28" ht="12.75" customHeight="1" x14ac:dyDescent="0.2">
      <c r="B45" s="20"/>
      <c r="C45" s="50"/>
      <c r="D45" s="38">
        <f t="shared" si="0"/>
        <v>6</v>
      </c>
      <c r="E45" s="1413"/>
      <c r="F45" s="1410"/>
      <c r="G45" s="1837"/>
      <c r="H45" s="1838"/>
      <c r="I45" s="1511"/>
      <c r="J45" s="1845"/>
      <c r="K45" s="1845"/>
      <c r="L45" s="1846"/>
      <c r="M45" s="550"/>
      <c r="N45" s="26"/>
      <c r="O45" s="7"/>
    </row>
    <row r="46" spans="2:28" ht="12.75" customHeight="1" x14ac:dyDescent="0.2">
      <c r="B46" s="20"/>
      <c r="C46" s="50"/>
      <c r="D46" s="38">
        <f t="shared" si="0"/>
        <v>7</v>
      </c>
      <c r="E46" s="1413"/>
      <c r="F46" s="1410"/>
      <c r="G46" s="1837"/>
      <c r="H46" s="1838"/>
      <c r="I46" s="1511"/>
      <c r="J46" s="1845"/>
      <c r="K46" s="1845"/>
      <c r="L46" s="1846"/>
      <c r="M46" s="550"/>
      <c r="N46" s="26"/>
      <c r="O46" s="7"/>
    </row>
    <row r="47" spans="2:28" ht="12.75" customHeight="1" x14ac:dyDescent="0.2">
      <c r="B47" s="20"/>
      <c r="C47" s="50"/>
      <c r="D47" s="38">
        <f t="shared" si="0"/>
        <v>8</v>
      </c>
      <c r="E47" s="1413"/>
      <c r="F47" s="1410"/>
      <c r="G47" s="1837"/>
      <c r="H47" s="1838"/>
      <c r="I47" s="1511"/>
      <c r="J47" s="1845"/>
      <c r="K47" s="1845"/>
      <c r="L47" s="1846"/>
      <c r="M47" s="550"/>
      <c r="N47" s="26"/>
      <c r="O47" s="7"/>
    </row>
    <row r="48" spans="2:28" ht="12.75" customHeight="1" x14ac:dyDescent="0.2">
      <c r="B48" s="20"/>
      <c r="C48" s="50"/>
      <c r="D48" s="38">
        <f t="shared" si="0"/>
        <v>9</v>
      </c>
      <c r="E48" s="1413"/>
      <c r="F48" s="1410"/>
      <c r="G48" s="1837"/>
      <c r="H48" s="1838"/>
      <c r="I48" s="1511"/>
      <c r="J48" s="1845"/>
      <c r="K48" s="1845"/>
      <c r="L48" s="1846"/>
      <c r="M48" s="550"/>
      <c r="N48" s="26"/>
      <c r="O48" s="7"/>
    </row>
    <row r="49" spans="2:28" ht="12.75" customHeight="1" x14ac:dyDescent="0.2">
      <c r="B49" s="20"/>
      <c r="C49" s="50"/>
      <c r="D49" s="41">
        <f t="shared" si="0"/>
        <v>10</v>
      </c>
      <c r="E49" s="1508"/>
      <c r="F49" s="1506"/>
      <c r="G49" s="1847"/>
      <c r="H49" s="1848"/>
      <c r="I49" s="1509"/>
      <c r="J49" s="1843"/>
      <c r="K49" s="1843"/>
      <c r="L49" s="1844"/>
      <c r="M49" s="551"/>
      <c r="N49" s="26"/>
      <c r="O49" s="7"/>
      <c r="Y49" s="8"/>
      <c r="Z49" s="8"/>
      <c r="AA49" s="8"/>
      <c r="AB49" s="8"/>
    </row>
    <row r="50" spans="2:28" ht="5.0999999999999996" customHeight="1" x14ac:dyDescent="0.2">
      <c r="B50" s="3"/>
      <c r="C50" s="5"/>
      <c r="D50" s="3"/>
      <c r="E50" s="3"/>
      <c r="F50" s="3"/>
      <c r="G50" s="3"/>
      <c r="H50" s="3"/>
      <c r="I50" s="3"/>
      <c r="J50" s="3"/>
      <c r="K50" s="3"/>
      <c r="L50" s="3"/>
      <c r="M50" s="3"/>
      <c r="N50" s="3"/>
      <c r="O50" s="7"/>
      <c r="P50" s="8"/>
      <c r="Q50" s="8"/>
    </row>
    <row r="51" spans="2:28" ht="12.75" customHeight="1" x14ac:dyDescent="0.2">
      <c r="B51" s="3"/>
      <c r="C51" s="355"/>
      <c r="D51" s="14"/>
      <c r="E51" s="1375" t="str">
        <f>Translations!$B$840</f>
        <v>Poziomy produkcji:</v>
      </c>
      <c r="F51" s="1370"/>
      <c r="G51" s="1370"/>
      <c r="H51" s="1370"/>
      <c r="I51" s="1370"/>
      <c r="J51" s="1370"/>
      <c r="K51" s="1370"/>
      <c r="L51" s="1370"/>
      <c r="M51" s="1370"/>
      <c r="N51" s="1370"/>
      <c r="O51" s="7"/>
      <c r="P51" s="8"/>
    </row>
    <row r="52" spans="2:28" ht="5.0999999999999996" customHeight="1" x14ac:dyDescent="0.2">
      <c r="B52" s="3"/>
      <c r="C52" s="369"/>
      <c r="D52" s="16"/>
      <c r="E52" s="17"/>
      <c r="F52" s="17"/>
      <c r="G52" s="17"/>
      <c r="H52" s="17"/>
      <c r="I52" s="17"/>
      <c r="J52" s="21"/>
      <c r="K52" s="21"/>
      <c r="L52" s="21"/>
      <c r="M52" s="7"/>
      <c r="N52" s="7"/>
      <c r="O52" s="7"/>
      <c r="P52" s="8"/>
    </row>
    <row r="53" spans="2:28" ht="25.5" customHeight="1" x14ac:dyDescent="0.2">
      <c r="B53" s="20"/>
      <c r="C53" s="355"/>
      <c r="D53" s="344"/>
      <c r="E53" s="1852" t="str">
        <f>I39</f>
        <v>Nazwa produktu lub wyprowadzanie ciepła inne niż „do sieci ciepłowniczej”</v>
      </c>
      <c r="F53" s="1377"/>
      <c r="G53" s="1431"/>
      <c r="H53" s="34" t="str">
        <f>EUconst_Unit</f>
        <v>Jednostka</v>
      </c>
      <c r="I53" s="396">
        <f>I$559</f>
        <v>2014</v>
      </c>
      <c r="J53" s="396">
        <f>J$559</f>
        <v>2015</v>
      </c>
      <c r="K53" s="396">
        <f>K$559</f>
        <v>2016</v>
      </c>
      <c r="L53" s="396">
        <f>L$559</f>
        <v>2017</v>
      </c>
      <c r="M53" s="421">
        <f>M$559</f>
        <v>2018</v>
      </c>
      <c r="N53" s="7"/>
      <c r="O53" s="7"/>
    </row>
    <row r="54" spans="2:28" ht="12.75" customHeight="1" x14ac:dyDescent="0.2">
      <c r="B54" s="20"/>
      <c r="C54" s="50"/>
      <c r="D54" s="37">
        <v>1</v>
      </c>
      <c r="E54" s="1873" t="str">
        <f t="shared" ref="E54:E63" si="1">IF(ISBLANK(I40),"",I40)</f>
        <v>Produkt objęty CL 1 np. Przetwórstwo mleka i wyrób serów/Mleko pełne w proszku     (http://ec.europa.eu/transparency/regdoc/rep/3/2019/PL/C-2019-930-F1-PL-ANNEX-1-PART-1.PDF)</v>
      </c>
      <c r="F54" s="1874"/>
      <c r="G54" s="1875"/>
      <c r="H54" s="1317" t="s">
        <v>93</v>
      </c>
      <c r="I54" s="472">
        <v>331.83553411552259</v>
      </c>
      <c r="J54" s="472">
        <v>314.11562635931193</v>
      </c>
      <c r="K54" s="472">
        <v>362.65722870328483</v>
      </c>
      <c r="L54" s="472">
        <v>305.46370903706588</v>
      </c>
      <c r="M54" s="472">
        <v>351.26047247434354</v>
      </c>
      <c r="N54" s="7"/>
      <c r="O54" s="7"/>
    </row>
    <row r="55" spans="2:28" ht="12.75" customHeight="1" x14ac:dyDescent="0.2">
      <c r="B55" s="20"/>
      <c r="C55" s="50"/>
      <c r="D55" s="38">
        <f>D54+1</f>
        <v>2</v>
      </c>
      <c r="E55" s="1839" t="str">
        <f t="shared" si="1"/>
        <v>Produkt objęty CL 2 np. Przetwórstwo mleka i wyrób serów/Kazeina</v>
      </c>
      <c r="F55" s="1441"/>
      <c r="G55" s="1840"/>
      <c r="H55" s="1318" t="s">
        <v>93</v>
      </c>
      <c r="I55" s="548">
        <v>331.83553411552259</v>
      </c>
      <c r="J55" s="548">
        <v>314.11562635931193</v>
      </c>
      <c r="K55" s="548">
        <v>362.65722870328483</v>
      </c>
      <c r="L55" s="548">
        <v>305.46370903706588</v>
      </c>
      <c r="M55" s="548">
        <v>351.26047247434354</v>
      </c>
      <c r="N55" s="7"/>
      <c r="O55" s="7"/>
    </row>
    <row r="56" spans="2:28" ht="12.75" customHeight="1" x14ac:dyDescent="0.2">
      <c r="B56" s="20"/>
      <c r="C56" s="50"/>
      <c r="D56" s="38">
        <f t="shared" ref="D56:D63" si="2">D55+1</f>
        <v>3</v>
      </c>
      <c r="E56" s="1839" t="str">
        <f t="shared" si="1"/>
        <v/>
      </c>
      <c r="F56" s="1441"/>
      <c r="G56" s="1840"/>
      <c r="H56" s="768"/>
      <c r="I56" s="548"/>
      <c r="J56" s="548"/>
      <c r="K56" s="548"/>
      <c r="L56" s="548"/>
      <c r="M56" s="606"/>
      <c r="N56" s="7"/>
      <c r="O56" s="7"/>
    </row>
    <row r="57" spans="2:28" ht="12.75" customHeight="1" x14ac:dyDescent="0.2">
      <c r="B57" s="20"/>
      <c r="C57" s="50"/>
      <c r="D57" s="38">
        <f t="shared" si="2"/>
        <v>4</v>
      </c>
      <c r="E57" s="1839" t="str">
        <f t="shared" si="1"/>
        <v/>
      </c>
      <c r="F57" s="1441"/>
      <c r="G57" s="1840"/>
      <c r="H57" s="768"/>
      <c r="I57" s="548"/>
      <c r="J57" s="548"/>
      <c r="K57" s="548"/>
      <c r="L57" s="548"/>
      <c r="M57" s="606"/>
      <c r="N57" s="7"/>
      <c r="O57" s="7"/>
    </row>
    <row r="58" spans="2:28" ht="12.75" customHeight="1" x14ac:dyDescent="0.2">
      <c r="B58" s="20"/>
      <c r="C58" s="50"/>
      <c r="D58" s="38">
        <f t="shared" si="2"/>
        <v>5</v>
      </c>
      <c r="E58" s="1839" t="str">
        <f t="shared" si="1"/>
        <v/>
      </c>
      <c r="F58" s="1441"/>
      <c r="G58" s="1840"/>
      <c r="H58" s="768"/>
      <c r="I58" s="548"/>
      <c r="J58" s="548"/>
      <c r="K58" s="548"/>
      <c r="L58" s="548"/>
      <c r="M58" s="606"/>
      <c r="N58" s="7"/>
      <c r="O58" s="7"/>
    </row>
    <row r="59" spans="2:28" ht="12.75" customHeight="1" x14ac:dyDescent="0.2">
      <c r="B59" s="20"/>
      <c r="C59" s="50"/>
      <c r="D59" s="38">
        <f t="shared" si="2"/>
        <v>6</v>
      </c>
      <c r="E59" s="1839" t="str">
        <f t="shared" si="1"/>
        <v/>
      </c>
      <c r="F59" s="1441"/>
      <c r="G59" s="1840"/>
      <c r="H59" s="768"/>
      <c r="I59" s="548"/>
      <c r="J59" s="548"/>
      <c r="K59" s="548"/>
      <c r="L59" s="548"/>
      <c r="M59" s="606"/>
      <c r="N59" s="7"/>
      <c r="O59" s="7"/>
    </row>
    <row r="60" spans="2:28" ht="12.75" customHeight="1" x14ac:dyDescent="0.2">
      <c r="B60" s="20"/>
      <c r="C60" s="50"/>
      <c r="D60" s="38">
        <f t="shared" si="2"/>
        <v>7</v>
      </c>
      <c r="E60" s="1839" t="str">
        <f t="shared" si="1"/>
        <v/>
      </c>
      <c r="F60" s="1441"/>
      <c r="G60" s="1840"/>
      <c r="H60" s="768"/>
      <c r="I60" s="548"/>
      <c r="J60" s="548"/>
      <c r="K60" s="548"/>
      <c r="L60" s="548"/>
      <c r="M60" s="606"/>
      <c r="N60" s="7"/>
      <c r="O60" s="7"/>
    </row>
    <row r="61" spans="2:28" ht="12.75" customHeight="1" x14ac:dyDescent="0.2">
      <c r="B61" s="20"/>
      <c r="C61" s="50"/>
      <c r="D61" s="38">
        <f t="shared" si="2"/>
        <v>8</v>
      </c>
      <c r="E61" s="1839" t="str">
        <f t="shared" si="1"/>
        <v/>
      </c>
      <c r="F61" s="1441"/>
      <c r="G61" s="1840"/>
      <c r="H61" s="768"/>
      <c r="I61" s="548"/>
      <c r="J61" s="548"/>
      <c r="K61" s="548"/>
      <c r="L61" s="548"/>
      <c r="M61" s="606"/>
      <c r="N61" s="7"/>
      <c r="O61" s="7"/>
    </row>
    <row r="62" spans="2:28" ht="12.75" customHeight="1" x14ac:dyDescent="0.2">
      <c r="B62" s="20"/>
      <c r="C62" s="50"/>
      <c r="D62" s="38">
        <f t="shared" si="2"/>
        <v>9</v>
      </c>
      <c r="E62" s="1839" t="str">
        <f t="shared" si="1"/>
        <v/>
      </c>
      <c r="F62" s="1441"/>
      <c r="G62" s="1840"/>
      <c r="H62" s="768"/>
      <c r="I62" s="548"/>
      <c r="J62" s="548"/>
      <c r="K62" s="548"/>
      <c r="L62" s="548"/>
      <c r="M62" s="606"/>
      <c r="N62" s="7"/>
      <c r="O62" s="7"/>
    </row>
    <row r="63" spans="2:28" ht="12.75" customHeight="1" x14ac:dyDescent="0.2">
      <c r="B63" s="20"/>
      <c r="C63" s="50"/>
      <c r="D63" s="41">
        <f t="shared" si="2"/>
        <v>10</v>
      </c>
      <c r="E63" s="1841" t="str">
        <f t="shared" si="1"/>
        <v/>
      </c>
      <c r="F63" s="1450"/>
      <c r="G63" s="1842"/>
      <c r="H63" s="769"/>
      <c r="I63" s="446"/>
      <c r="J63" s="446"/>
      <c r="K63" s="446"/>
      <c r="L63" s="446"/>
      <c r="M63" s="607"/>
      <c r="N63" s="7"/>
      <c r="O63" s="7"/>
    </row>
    <row r="64" spans="2:28" ht="12.75" customHeight="1" x14ac:dyDescent="0.2">
      <c r="B64" s="20"/>
      <c r="C64" s="20"/>
      <c r="D64" s="97"/>
      <c r="E64" s="1849" t="str">
        <f>Translations!$B$708</f>
        <v>Suma poziomów produkcji</v>
      </c>
      <c r="F64" s="1666"/>
      <c r="G64" s="1383"/>
      <c r="H64" s="236"/>
      <c r="I64" s="327">
        <f>IF(COUNT(I54:I63)&gt;0,SUM(I54:I63),"")</f>
        <v>663.67106823104518</v>
      </c>
      <c r="J64" s="327">
        <f>IF(COUNT(J54:J63)&gt;0,SUM(J54:J63),"")</f>
        <v>628.23125271862386</v>
      </c>
      <c r="K64" s="327">
        <f>IF(COUNT(K54:K63)&gt;0,SUM(K54:K63),"")</f>
        <v>725.31445740656966</v>
      </c>
      <c r="L64" s="327">
        <f>IF(COUNT(L54:L63)&gt;0,SUM(L54:L63),"")</f>
        <v>610.92741807413177</v>
      </c>
      <c r="M64" s="332">
        <f>IF(COUNT(M54:M63)&gt;0,SUM(M54:M63),"")</f>
        <v>702.52094494868709</v>
      </c>
      <c r="N64" s="7"/>
      <c r="O64" s="7"/>
    </row>
    <row r="65" spans="2:19" ht="12.75" customHeight="1" thickBot="1" x14ac:dyDescent="0.25">
      <c r="B65" s="20"/>
      <c r="C65" s="20"/>
      <c r="D65" s="20"/>
      <c r="E65" s="20"/>
      <c r="F65" s="20"/>
      <c r="G65" s="20"/>
      <c r="H65" s="20"/>
      <c r="I65" s="20"/>
      <c r="J65" s="20"/>
      <c r="K65" s="20"/>
      <c r="L65" s="20"/>
      <c r="M65" s="20"/>
      <c r="N65" s="20"/>
      <c r="O65" s="7"/>
    </row>
    <row r="66" spans="2:19" ht="5.0999999999999996" customHeight="1" x14ac:dyDescent="0.2">
      <c r="B66" s="3"/>
      <c r="C66" s="455"/>
      <c r="D66" s="456"/>
      <c r="E66" s="456"/>
      <c r="F66" s="456"/>
      <c r="G66" s="456"/>
      <c r="H66" s="456"/>
      <c r="I66" s="456"/>
      <c r="J66" s="456"/>
      <c r="K66" s="456"/>
      <c r="L66" s="456"/>
      <c r="M66" s="457"/>
      <c r="N66" s="458"/>
      <c r="O66" s="7"/>
      <c r="P66" s="8"/>
      <c r="R66" s="8"/>
      <c r="S66" s="8"/>
    </row>
    <row r="67" spans="2:19" ht="15" customHeight="1" x14ac:dyDescent="0.2">
      <c r="B67" s="20"/>
      <c r="C67" s="459"/>
      <c r="D67" s="1776" t="str">
        <f>Translations!$B$709</f>
        <v>Dane wymagane do określenia współczynnika poprawy wskaźników zgodnie z art. 10a ust. 2 dyrektywy w sprawie EU ETS</v>
      </c>
      <c r="E67" s="1734"/>
      <c r="F67" s="1734"/>
      <c r="G67" s="1734"/>
      <c r="H67" s="1734"/>
      <c r="I67" s="1734"/>
      <c r="J67" s="1734"/>
      <c r="K67" s="1734"/>
      <c r="L67" s="1734"/>
      <c r="M67" s="1734"/>
      <c r="N67" s="1735"/>
      <c r="O67" s="7"/>
      <c r="R67" s="8"/>
      <c r="S67" s="8"/>
    </row>
    <row r="68" spans="2:19" ht="5.0999999999999996" customHeight="1" x14ac:dyDescent="0.2">
      <c r="B68" s="20"/>
      <c r="C68" s="460"/>
      <c r="D68" s="449"/>
      <c r="E68" s="449"/>
      <c r="F68" s="449"/>
      <c r="G68" s="449"/>
      <c r="H68" s="449"/>
      <c r="I68" s="449"/>
      <c r="J68" s="449"/>
      <c r="K68" s="449"/>
      <c r="L68" s="449"/>
      <c r="M68" s="449"/>
      <c r="N68" s="461"/>
      <c r="O68" s="7"/>
      <c r="R68" s="8"/>
      <c r="S68" s="8"/>
    </row>
    <row r="69" spans="2:19" ht="15" customHeight="1" x14ac:dyDescent="0.2">
      <c r="B69" s="20"/>
      <c r="C69" s="460"/>
      <c r="D69" s="1778" t="str">
        <f>EUconst_FBSubinst &amp; ":"</f>
        <v>Podinstalacja, dla której wprowadzono rozwiązania rezerwowe (fall-back):</v>
      </c>
      <c r="E69" s="1779"/>
      <c r="F69" s="1779"/>
      <c r="G69" s="1779"/>
      <c r="H69" s="1780"/>
      <c r="I69" s="1781" t="str">
        <f>I12</f>
        <v>Podinstalacja objęta wskaźnikiem emisyjności opartym na cieple, „CL”</v>
      </c>
      <c r="J69" s="1666"/>
      <c r="K69" s="1666"/>
      <c r="L69" s="1666"/>
      <c r="M69" s="1666"/>
      <c r="N69" s="1782"/>
      <c r="O69" s="7"/>
      <c r="R69" s="8"/>
      <c r="S69" s="8"/>
    </row>
    <row r="70" spans="2:19" ht="5.0999999999999996" customHeight="1" x14ac:dyDescent="0.2">
      <c r="B70" s="20"/>
      <c r="C70" s="460"/>
      <c r="D70" s="449"/>
      <c r="E70" s="449"/>
      <c r="F70" s="449"/>
      <c r="G70" s="449"/>
      <c r="H70" s="449"/>
      <c r="I70" s="449"/>
      <c r="J70" s="449"/>
      <c r="K70" s="449"/>
      <c r="L70" s="449"/>
      <c r="M70" s="449"/>
      <c r="N70" s="461"/>
      <c r="O70" s="7"/>
      <c r="R70" s="8"/>
      <c r="S70" s="8"/>
    </row>
    <row r="71" spans="2:19" ht="51" customHeight="1" x14ac:dyDescent="0.2">
      <c r="B71" s="3"/>
      <c r="C71" s="459"/>
      <c r="D71" s="448"/>
      <c r="E71" s="1892" t="str">
        <f>Translations!$B$710</f>
        <v>Niniejsza podsekcja obejmuje przypisywanie emisji związanych ze strumieniami materiałów wsadowych, źródłami emisji, wprowadzaniem i wyprowadzaniem mierzalnego ciepła i gazów odlotowych, w tym stratami ciepła zgodnie z pkt 10 załącznika VII do FAR.</v>
      </c>
      <c r="F71" s="1892"/>
      <c r="G71" s="1892"/>
      <c r="H71" s="1892"/>
      <c r="I71" s="1892"/>
      <c r="J71" s="1892"/>
      <c r="K71" s="1892"/>
      <c r="L71" s="1892"/>
      <c r="M71" s="1892"/>
      <c r="N71" s="518"/>
      <c r="O71" s="7"/>
      <c r="P71" s="8"/>
    </row>
    <row r="72" spans="2:19" ht="38.25" customHeight="1" x14ac:dyDescent="0.2">
      <c r="B72" s="207"/>
      <c r="C72" s="1060"/>
      <c r="D72" s="1061"/>
      <c r="E72" s="1736" t="str">
        <f>Translations!$B$711</f>
        <v xml:space="preserve">Należy zauważyć, że chociaż w odniesieniu do każdego z poniższych punktów przedstawiono pewne wskazówki, trzeba zapoznać się z dodatkowymi informacjami w wytycznych nr 5 („Monitorowanie i raportowanie w odniesieniu do FAR”), które zawierają również przykłady. </v>
      </c>
      <c r="F72" s="1736"/>
      <c r="G72" s="1736"/>
      <c r="H72" s="1736"/>
      <c r="I72" s="1736"/>
      <c r="J72" s="1736"/>
      <c r="K72" s="1736"/>
      <c r="L72" s="1736"/>
      <c r="M72" s="1736"/>
      <c r="N72" s="702"/>
      <c r="O72" s="7"/>
      <c r="P72" s="1037"/>
    </row>
    <row r="73" spans="2:19" ht="12.75" customHeight="1" x14ac:dyDescent="0.2">
      <c r="B73" s="207"/>
      <c r="C73" s="1060"/>
      <c r="D73" s="1061"/>
      <c r="E73" s="1736" t="str">
        <f>Translations!$B$712</f>
        <v xml:space="preserve">Wytyczne są dostępne pod adresem: </v>
      </c>
      <c r="F73" s="1364"/>
      <c r="G73" s="1364"/>
      <c r="H73" s="1364"/>
      <c r="I73" s="1364"/>
      <c r="J73" s="1364"/>
      <c r="K73" s="1364"/>
      <c r="L73" s="1364"/>
      <c r="M73" s="1364"/>
      <c r="N73" s="702"/>
      <c r="O73" s="7"/>
      <c r="P73" s="1037"/>
    </row>
    <row r="74" spans="2:19" ht="15" customHeight="1" x14ac:dyDescent="0.2">
      <c r="B74" s="207"/>
      <c r="C74" s="1060"/>
      <c r="D74" s="1061"/>
      <c r="E74" s="1623" t="str">
        <f>Translations!$B$713</f>
        <v>https://ec.europa.eu/clima/policies/ets/allowances_en#tab-0-1</v>
      </c>
      <c r="F74" s="1623"/>
      <c r="G74" s="1623"/>
      <c r="H74" s="1623"/>
      <c r="I74" s="1623"/>
      <c r="J74" s="1623"/>
      <c r="K74" s="1623"/>
      <c r="L74" s="1623"/>
      <c r="M74" s="1623"/>
      <c r="N74" s="702"/>
      <c r="O74" s="7"/>
      <c r="P74" s="1037"/>
    </row>
    <row r="75" spans="2:19" ht="15" customHeight="1" x14ac:dyDescent="0.2">
      <c r="B75" s="3"/>
      <c r="C75" s="459"/>
      <c r="D75" s="448"/>
      <c r="E75" s="1783" t="str">
        <f>Translations!$B$714</f>
        <v>Po dokonaniu poniższych wpisów emisje, które można przypisać, są obliczane w części K.III.2 arkusza podsumowania.</v>
      </c>
      <c r="F75" s="1783"/>
      <c r="G75" s="1783"/>
      <c r="H75" s="1783"/>
      <c r="I75" s="1783"/>
      <c r="J75" s="1783"/>
      <c r="K75" s="1783"/>
      <c r="L75" s="1783"/>
      <c r="M75" s="1783"/>
      <c r="N75" s="518"/>
      <c r="O75" s="7"/>
      <c r="P75" s="8"/>
    </row>
    <row r="76" spans="2:19" ht="5.0999999999999996" customHeight="1" x14ac:dyDescent="0.2">
      <c r="B76" s="20"/>
      <c r="C76" s="460"/>
      <c r="D76" s="449"/>
      <c r="E76" s="449"/>
      <c r="F76" s="449"/>
      <c r="G76" s="449"/>
      <c r="H76" s="449"/>
      <c r="I76" s="449"/>
      <c r="J76" s="449"/>
      <c r="K76" s="449"/>
      <c r="L76" s="449"/>
      <c r="M76" s="449"/>
      <c r="N76" s="461"/>
      <c r="O76" s="7"/>
      <c r="R76" s="8"/>
      <c r="S76" s="8"/>
    </row>
    <row r="77" spans="2:19" ht="12.75" customHeight="1" x14ac:dyDescent="0.2">
      <c r="B77" s="3"/>
      <c r="C77" s="459"/>
      <c r="D77" s="462" t="s">
        <v>11</v>
      </c>
      <c r="E77" s="1731" t="str">
        <f>Translations!$B$841</f>
        <v>Emisje, które można bezpośrednio przypisać (DirEm*) do tej podinstalacji</v>
      </c>
      <c r="F77" s="1734"/>
      <c r="G77" s="1734"/>
      <c r="H77" s="1734"/>
      <c r="I77" s="1734"/>
      <c r="J77" s="1734"/>
      <c r="K77" s="1734"/>
      <c r="L77" s="1734"/>
      <c r="M77" s="1734"/>
      <c r="N77" s="1735"/>
      <c r="O77" s="7"/>
      <c r="P77" s="8"/>
      <c r="R77" s="8"/>
      <c r="S77" s="8"/>
    </row>
    <row r="78" spans="2:19" ht="12.75" customHeight="1" x14ac:dyDescent="0.2">
      <c r="B78" s="3"/>
      <c r="C78" s="459"/>
      <c r="D78" s="462"/>
      <c r="E78" s="1835" t="str">
        <f>Translations!$B$716</f>
        <v>Podane tu dane wpłyną na emisje, które można przypisać, zgodnie z pkt 10.1.1 załącznika VII do FAR.</v>
      </c>
      <c r="F78" s="1835"/>
      <c r="G78" s="1835"/>
      <c r="H78" s="1835"/>
      <c r="I78" s="1835"/>
      <c r="J78" s="1835"/>
      <c r="K78" s="1835"/>
      <c r="L78" s="1835"/>
      <c r="M78" s="1835"/>
      <c r="N78" s="1836"/>
      <c r="O78" s="7"/>
      <c r="P78" s="8"/>
      <c r="R78" s="8"/>
      <c r="S78" s="8"/>
    </row>
    <row r="79" spans="2:19" ht="12.75" customHeight="1" x14ac:dyDescent="0.2">
      <c r="B79" s="3"/>
      <c r="C79" s="459"/>
      <c r="D79" s="448"/>
      <c r="E79" s="1745" t="str">
        <f>Translations!$B$842</f>
        <v>W tym miejscu proszę podać emisje bezpośrednie, uwzględniając następujące przepisy:</v>
      </c>
      <c r="F79" s="1745"/>
      <c r="G79" s="1745"/>
      <c r="H79" s="1745"/>
      <c r="I79" s="1745"/>
      <c r="J79" s="1745"/>
      <c r="K79" s="1745"/>
      <c r="L79" s="1745"/>
      <c r="M79" s="1745"/>
      <c r="N79" s="1746"/>
      <c r="O79" s="7"/>
      <c r="P79" s="8"/>
      <c r="R79" s="8"/>
    </row>
    <row r="80" spans="2:19" ht="38.25" customHeight="1" x14ac:dyDescent="0.2">
      <c r="B80" s="3"/>
      <c r="C80" s="459"/>
      <c r="D80" s="448"/>
      <c r="E80" s="676" t="s">
        <v>408</v>
      </c>
      <c r="F80" s="1733" t="str">
        <f>Translations!$B$843</f>
        <v>Emisje bezpośrednie monitoruje się zgodnie z planem monitorowania zatwierdzonym na podstawie MRR, tj. z uwzględnieniem emisji z metodyki opartej na obliczeniach (z wykorzystaniem strumieni materiałów wsadowych), metodyki opartej na pomiarach (CEMS), a także metod nieuwzględniających poziomów dokładności („fall-back”).</v>
      </c>
      <c r="G80" s="1733"/>
      <c r="H80" s="1733"/>
      <c r="I80" s="1733"/>
      <c r="J80" s="1733"/>
      <c r="K80" s="1733"/>
      <c r="L80" s="1733"/>
      <c r="M80" s="1733"/>
      <c r="N80" s="1768"/>
      <c r="O80" s="7"/>
      <c r="P80" s="8"/>
      <c r="R80" s="8"/>
    </row>
    <row r="81" spans="2:30" ht="38.25" customHeight="1" x14ac:dyDescent="0.2">
      <c r="B81" s="207"/>
      <c r="C81" s="1060"/>
      <c r="D81" s="1061"/>
      <c r="E81" s="676"/>
      <c r="F81" s="1737" t="str">
        <f>Translations!$B$844</f>
        <v>W kilku sytuacjach jednak „emisje bezpośrednie” w tej części nie są identyczne z emisjami zgłaszanymi na podstawie MRR. Takie sytuacje dotyczą np. strumieni materiałów wsadowych stosowanych do wytwarzania mierzalnego ciepła, gazów odlotowych itp. Innymi słowy, poniższe części należy wypełnić, ściśle przestrzegając instrukcji w celu uniknięcia podwójnego liczenia lub pominięć.</v>
      </c>
      <c r="G81" s="1364"/>
      <c r="H81" s="1364"/>
      <c r="I81" s="1364"/>
      <c r="J81" s="1364"/>
      <c r="K81" s="1364"/>
      <c r="L81" s="1364"/>
      <c r="M81" s="1364"/>
      <c r="N81" s="1738"/>
      <c r="O81" s="7"/>
      <c r="P81" s="1037"/>
      <c r="R81" s="1037"/>
    </row>
    <row r="82" spans="2:30" ht="25.5" customHeight="1" x14ac:dyDescent="0.2">
      <c r="B82" s="3"/>
      <c r="C82" s="459"/>
      <c r="D82" s="448"/>
      <c r="E82" s="676" t="s">
        <v>408</v>
      </c>
      <c r="F82" s="1733" t="str">
        <f>Translations!$B$845</f>
        <v xml:space="preserve">Mierzalne ciepło: w przypadku gdy ciepło jest wytwarzane wyłącznie dla tej podinstalacji, emisje można w tym przypadku przypisać bezpośrednio, wykorzystując emisje z paliwa. </v>
      </c>
      <c r="G82" s="1733"/>
      <c r="H82" s="1733"/>
      <c r="I82" s="1733"/>
      <c r="J82" s="1733"/>
      <c r="K82" s="1733"/>
      <c r="L82" s="1733"/>
      <c r="M82" s="1733"/>
      <c r="N82" s="1768"/>
      <c r="O82" s="7"/>
      <c r="P82" s="8"/>
      <c r="R82" s="8"/>
    </row>
    <row r="83" spans="2:30" ht="38.25" customHeight="1" x14ac:dyDescent="0.2">
      <c r="B83" s="3"/>
      <c r="C83" s="459"/>
      <c r="D83" s="448"/>
      <c r="E83" s="676"/>
      <c r="F83" s="1733" t="str">
        <f>Translations!$B$846</f>
        <v>W każdym przypadku, w którym paliwa wykorzystuje się do wytwarzania mierzalnego ciepła zużywanego w więcej niż jednej podinstalacji (np. głównej elektrowni w instalacji lub bardziej złożonej sieci parowej z kilkoma jednostkami wytwarzającymi ciepło), paliw nie należy uwzględniać w emisjach bezpośrednich z podinstalacji, tylko w lit. f) poniżej.</v>
      </c>
      <c r="G83" s="1733"/>
      <c r="H83" s="1733"/>
      <c r="I83" s="1733"/>
      <c r="J83" s="1733"/>
      <c r="K83" s="1733"/>
      <c r="L83" s="1733"/>
      <c r="M83" s="1733"/>
      <c r="N83" s="1768"/>
      <c r="O83" s="7"/>
      <c r="P83" s="8"/>
      <c r="R83" s="8"/>
    </row>
    <row r="84" spans="2:30" ht="25.5" customHeight="1" thickBot="1" x14ac:dyDescent="0.25">
      <c r="B84" s="3"/>
      <c r="C84" s="459"/>
      <c r="D84" s="448"/>
      <c r="E84" s="676" t="s">
        <v>408</v>
      </c>
      <c r="F84" s="1733" t="str">
        <f>Translations!$B$847</f>
        <v>Gazy odlotowe: emisji związanych z mierzalnym ciepłem wytworzonym z gazów odlotowych wprowadzonych z innych instalacji lub podinstalacji i zużytych w tej podinstalacji nie należy uwzględniać w tym miejscu, tylko w lit. f) ppkt (xiii) poniżej.</v>
      </c>
      <c r="G84" s="1804"/>
      <c r="H84" s="1804"/>
      <c r="I84" s="1804"/>
      <c r="J84" s="1804"/>
      <c r="K84" s="1804"/>
      <c r="L84" s="1804"/>
      <c r="M84" s="1804"/>
      <c r="N84" s="1805"/>
      <c r="O84" s="7"/>
      <c r="P84" s="8"/>
      <c r="R84" s="8"/>
    </row>
    <row r="85" spans="2:30" ht="12.75" customHeight="1" x14ac:dyDescent="0.2">
      <c r="B85" s="3"/>
      <c r="C85" s="459"/>
      <c r="D85" s="462"/>
      <c r="E85" s="1757" t="str">
        <f>Translations!$B$690</f>
        <v>Całkowite emisje bezpośrednie</v>
      </c>
      <c r="F85" s="1758"/>
      <c r="G85" s="1758"/>
      <c r="H85" s="450" t="str">
        <f>EUconst_Unit</f>
        <v>Jednostka</v>
      </c>
      <c r="I85" s="451">
        <f>I$559</f>
        <v>2014</v>
      </c>
      <c r="J85" s="451">
        <f>J$559</f>
        <v>2015</v>
      </c>
      <c r="K85" s="451">
        <f>K$559</f>
        <v>2016</v>
      </c>
      <c r="L85" s="451">
        <f>L$559</f>
        <v>2017</v>
      </c>
      <c r="M85" s="451">
        <f>M$559</f>
        <v>2018</v>
      </c>
      <c r="N85" s="463"/>
      <c r="O85" s="340" t="s">
        <v>3690</v>
      </c>
      <c r="P85" s="8"/>
      <c r="R85" s="813"/>
      <c r="S85" s="814">
        <f>I85</f>
        <v>2014</v>
      </c>
      <c r="T85" s="814">
        <f>J85</f>
        <v>2015</v>
      </c>
      <c r="U85" s="814">
        <f>K85</f>
        <v>2016</v>
      </c>
      <c r="V85" s="814">
        <f>L85</f>
        <v>2017</v>
      </c>
      <c r="W85" s="815">
        <f>M85</f>
        <v>2018</v>
      </c>
      <c r="AD85" s="1325" t="s">
        <v>3695</v>
      </c>
    </row>
    <row r="86" spans="2:30" ht="25.5" customHeight="1" thickBot="1" x14ac:dyDescent="0.25">
      <c r="B86" s="3"/>
      <c r="C86" s="459"/>
      <c r="D86" s="448"/>
      <c r="E86" s="1762" t="str">
        <f>I12</f>
        <v>Podinstalacja objęta wskaźnikiem emisyjności opartym na cieple, „CL”</v>
      </c>
      <c r="F86" s="1762"/>
      <c r="G86" s="1762"/>
      <c r="H86" s="452" t="str">
        <f>EUconst_tCO2epa</f>
        <v>t CO2e/rok</v>
      </c>
      <c r="I86" s="322"/>
      <c r="J86" s="322"/>
      <c r="K86" s="322"/>
      <c r="L86" s="322"/>
      <c r="M86" s="322"/>
      <c r="N86" s="463"/>
      <c r="O86" s="340" t="s">
        <v>3690</v>
      </c>
      <c r="P86" s="351" t="str">
        <f>EUconst_CNTR_Emissions &amp; I12</f>
        <v>DirEmissions_Podinstalacja objęta wskaźnikiem emisyjności opartym na cieple, „CL”</v>
      </c>
      <c r="R86" s="816" t="str">
        <f>EUconst_CNTR_AttributedEmissions &amp; I12</f>
        <v>AttrEmissions_Podinstalacja objęta wskaźnikiem emisyjności opartym na cieple, „CL”</v>
      </c>
      <c r="S86" s="119">
        <f>IF(S12,SUM(I86),"")</f>
        <v>0</v>
      </c>
      <c r="T86" s="119">
        <f>IF(T12,SUM(J86),"")</f>
        <v>0</v>
      </c>
      <c r="U86" s="119">
        <f>IF(U12,SUM(K86),"")</f>
        <v>0</v>
      </c>
      <c r="V86" s="119">
        <f>IF(V12,SUM(L86),"")</f>
        <v>0</v>
      </c>
      <c r="W86" s="120">
        <f>IF(W12,SUM(M86),"")</f>
        <v>0</v>
      </c>
      <c r="AD86" s="701" t="s">
        <v>3696</v>
      </c>
    </row>
    <row r="87" spans="2:30" ht="3.75" customHeight="1" x14ac:dyDescent="0.2">
      <c r="B87" s="3"/>
      <c r="C87" s="459"/>
      <c r="D87" s="448"/>
      <c r="E87" s="448"/>
      <c r="F87" s="448"/>
      <c r="G87" s="448"/>
      <c r="H87" s="448"/>
      <c r="I87" s="448"/>
      <c r="J87" s="448"/>
      <c r="K87" s="448"/>
      <c r="L87" s="448"/>
      <c r="M87" s="464"/>
      <c r="N87" s="463"/>
      <c r="O87" s="7"/>
      <c r="P87" s="8"/>
      <c r="R87" s="8"/>
    </row>
    <row r="88" spans="2:30" ht="12.75" customHeight="1" x14ac:dyDescent="0.2">
      <c r="B88" s="3"/>
      <c r="C88" s="459"/>
      <c r="D88" s="462" t="s">
        <v>356</v>
      </c>
      <c r="E88" s="1760" t="str">
        <f>Translations!$B$726</f>
        <v>Wsad paliwa do tej podinstalacji oraz odpowiedni współczynnik emisji</v>
      </c>
      <c r="F88" s="1760"/>
      <c r="G88" s="1760"/>
      <c r="H88" s="1760"/>
      <c r="I88" s="1760"/>
      <c r="J88" s="1760"/>
      <c r="K88" s="1760"/>
      <c r="L88" s="1760"/>
      <c r="M88" s="1760"/>
      <c r="N88" s="1761"/>
      <c r="O88" s="340" t="s">
        <v>3690</v>
      </c>
      <c r="R88" s="8"/>
      <c r="AD88" s="1326" t="s">
        <v>3697</v>
      </c>
    </row>
    <row r="89" spans="2:30" ht="25.5" customHeight="1" x14ac:dyDescent="0.2">
      <c r="B89" s="3"/>
      <c r="C89" s="459"/>
      <c r="D89" s="448"/>
      <c r="E89" s="1733" t="str">
        <f>Translations!$B$848</f>
        <v>Zgodnie z wymogami określonymi w pkt 2.4 lit. a) załącznika IV do FAR proszę podać całkowity wsad paliwa i odpowiedni ważony współczynnik emisji, biorąc pod uwagę powiązaną zawartość energii w każdym paliwie.</v>
      </c>
      <c r="F89" s="1734"/>
      <c r="G89" s="1734"/>
      <c r="H89" s="1734"/>
      <c r="I89" s="1734"/>
      <c r="J89" s="1734"/>
      <c r="K89" s="1734"/>
      <c r="L89" s="1734"/>
      <c r="M89" s="1734"/>
      <c r="N89" s="1735"/>
      <c r="O89" s="7"/>
      <c r="P89" s="8"/>
      <c r="Q89" s="8"/>
      <c r="R89" s="8"/>
    </row>
    <row r="90" spans="2:30" ht="25.5" customHeight="1" x14ac:dyDescent="0.2">
      <c r="B90" s="3"/>
      <c r="C90" s="459"/>
      <c r="D90" s="448"/>
      <c r="E90" s="1733" t="str">
        <f>Translations!$B$849</f>
        <v>Zgodnie z MRR termin „paliwo” należy rozumieć jako każdy strumień materiałów wsadowych, który jest palny i dla którego można określić wartość opałową. Ważony współczynnik emisji odpowiada skumulowanym emisjom z paliw, w tym paliw wykorzystywanych do wytwarzania mierzalnego ciepła, podzielonym przez całkowitą zawartość energii.</v>
      </c>
      <c r="F90" s="1734"/>
      <c r="G90" s="1734"/>
      <c r="H90" s="1734"/>
      <c r="I90" s="1734"/>
      <c r="J90" s="1734"/>
      <c r="K90" s="1734"/>
      <c r="L90" s="1734"/>
      <c r="M90" s="1734"/>
      <c r="N90" s="1735"/>
      <c r="O90" s="7"/>
      <c r="P90" s="8"/>
      <c r="R90" s="8"/>
    </row>
    <row r="91" spans="2:30" ht="12.75" customHeight="1" x14ac:dyDescent="0.2">
      <c r="B91" s="3"/>
      <c r="C91" s="459"/>
      <c r="D91" s="448"/>
      <c r="E91" s="1733" t="str">
        <f>Translations!$B$729</f>
        <v>W stosownych przypadkach ważony współczynnik emisji powinien ponadto uwzględniać emisje pochodzące z odpowiedniego oczyszczania spalin.</v>
      </c>
      <c r="F91" s="1734"/>
      <c r="G91" s="1734"/>
      <c r="H91" s="1734"/>
      <c r="I91" s="1734"/>
      <c r="J91" s="1734"/>
      <c r="K91" s="1734"/>
      <c r="L91" s="1734"/>
      <c r="M91" s="1734"/>
      <c r="N91" s="1735"/>
      <c r="O91" s="7"/>
      <c r="P91" s="8"/>
      <c r="R91" s="8"/>
    </row>
    <row r="92" spans="2:30" ht="12.75" customHeight="1" x14ac:dyDescent="0.2">
      <c r="B92" s="3"/>
      <c r="C92" s="459"/>
      <c r="D92" s="448"/>
      <c r="E92" s="1733" t="str">
        <f>Translations!$B$850</f>
        <v>Wsad paliwa z gazów odlotowych obejmuje odpowiadającą mu energię wejściową przeznaczoną do wytwarzania mierzalnego ciepła wykorzystywanego przez tę podinstalację.</v>
      </c>
      <c r="F92" s="1734"/>
      <c r="G92" s="1734"/>
      <c r="H92" s="1734"/>
      <c r="I92" s="1734"/>
      <c r="J92" s="1734"/>
      <c r="K92" s="1734"/>
      <c r="L92" s="1734"/>
      <c r="M92" s="1734"/>
      <c r="N92" s="1735"/>
      <c r="O92" s="7"/>
      <c r="P92" s="8"/>
      <c r="R92" s="8"/>
    </row>
    <row r="93" spans="2:30" ht="12.75" customHeight="1" x14ac:dyDescent="0.2">
      <c r="B93" s="3"/>
      <c r="C93" s="459"/>
      <c r="D93" s="448"/>
      <c r="E93" s="1733" t="str">
        <f>Translations!$B$851</f>
        <v>Podane tu wartości wykorzystuje się do obliczania bilansu gazów odlotowych w części E.III lit. h).</v>
      </c>
      <c r="F93" s="1734"/>
      <c r="G93" s="1734"/>
      <c r="H93" s="1734"/>
      <c r="I93" s="1734"/>
      <c r="J93" s="1734"/>
      <c r="K93" s="1734"/>
      <c r="L93" s="1734"/>
      <c r="M93" s="1734"/>
      <c r="N93" s="1735"/>
      <c r="O93" s="7"/>
      <c r="P93" s="8"/>
      <c r="R93" s="8"/>
    </row>
    <row r="94" spans="2:30" ht="12.75" customHeight="1" x14ac:dyDescent="0.2">
      <c r="B94" s="3"/>
      <c r="C94" s="459"/>
      <c r="D94" s="448"/>
      <c r="E94" s="1730" t="str">
        <f>Translations!$B$730</f>
        <v>Podane tu dane wykorzystuje się jedynie do weryfikacji spójności i nie mają one bezpośredniego wpływu ani na emisje, które można przypisać, ani na przydział.</v>
      </c>
      <c r="F94" s="1731"/>
      <c r="G94" s="1731"/>
      <c r="H94" s="1731"/>
      <c r="I94" s="1731"/>
      <c r="J94" s="1731"/>
      <c r="K94" s="1731"/>
      <c r="L94" s="1731"/>
      <c r="M94" s="1731"/>
      <c r="N94" s="1732"/>
      <c r="O94" s="7"/>
      <c r="P94" s="8"/>
      <c r="R94" s="8"/>
    </row>
    <row r="95" spans="2:30" ht="12.75" customHeight="1" x14ac:dyDescent="0.2">
      <c r="B95" s="3"/>
      <c r="C95" s="459"/>
      <c r="D95" s="462"/>
      <c r="E95" s="1757"/>
      <c r="F95" s="1758"/>
      <c r="G95" s="1758"/>
      <c r="H95" s="450" t="str">
        <f>EUconst_Unit</f>
        <v>Jednostka</v>
      </c>
      <c r="I95" s="451">
        <f>I$559</f>
        <v>2014</v>
      </c>
      <c r="J95" s="451">
        <f>J$559</f>
        <v>2015</v>
      </c>
      <c r="K95" s="451">
        <f>K$559</f>
        <v>2016</v>
      </c>
      <c r="L95" s="451">
        <f>L$559</f>
        <v>2017</v>
      </c>
      <c r="M95" s="451">
        <f>M$559</f>
        <v>2018</v>
      </c>
      <c r="N95" s="463"/>
      <c r="O95" s="7"/>
      <c r="P95" s="8"/>
      <c r="R95" s="8"/>
    </row>
    <row r="96" spans="2:30" ht="12.75" customHeight="1" x14ac:dyDescent="0.2">
      <c r="B96" s="3"/>
      <c r="C96" s="459"/>
      <c r="D96" s="465" t="s">
        <v>2</v>
      </c>
      <c r="E96" s="1739" t="str">
        <f>Translations!$B$852</f>
        <v>Całkowity wsad paliwa</v>
      </c>
      <c r="F96" s="1740"/>
      <c r="G96" s="1740"/>
      <c r="H96" s="453" t="str">
        <f>EUconst_TJpa</f>
        <v>TJ / rok</v>
      </c>
      <c r="I96" s="313">
        <v>922.56295696173515</v>
      </c>
      <c r="J96" s="313">
        <v>866.98209654222171</v>
      </c>
      <c r="K96" s="313">
        <v>960.42198401934661</v>
      </c>
      <c r="L96" s="313">
        <v>829.30008547193631</v>
      </c>
      <c r="M96" s="313">
        <v>931.0294694610003</v>
      </c>
      <c r="N96" s="518"/>
      <c r="O96" s="7"/>
      <c r="P96" s="351" t="str">
        <f>EUconst_CNTR_FuelInput &amp; I12</f>
        <v>FuelInput_Podinstalacja objęta wskaźnikiem emisyjności opartym na cieple, „CL”</v>
      </c>
      <c r="R96" s="8"/>
    </row>
    <row r="97" spans="2:30" ht="12.75" customHeight="1" x14ac:dyDescent="0.2">
      <c r="B97" s="3"/>
      <c r="C97" s="459"/>
      <c r="D97" s="465" t="s">
        <v>3</v>
      </c>
      <c r="E97" s="1772" t="str">
        <f>Translations!$B$732</f>
        <v>Ważony współczynnik emisji</v>
      </c>
      <c r="F97" s="1773"/>
      <c r="G97" s="1773"/>
      <c r="H97" s="569" t="str">
        <f>EUconst_tCO2pTJ</f>
        <v>t CO2 / TJ</v>
      </c>
      <c r="I97" s="323">
        <v>52.941562000000005</v>
      </c>
      <c r="J97" s="323">
        <v>52.824505280000004</v>
      </c>
      <c r="K97" s="323">
        <v>52.659561719999992</v>
      </c>
      <c r="L97" s="323">
        <v>52.659561719999999</v>
      </c>
      <c r="M97" s="323">
        <v>52.941562000000005</v>
      </c>
      <c r="N97" s="463"/>
      <c r="O97" s="340" t="s">
        <v>3690</v>
      </c>
      <c r="P97" s="351" t="str">
        <f>EUconst_CNTR_FuelEF &amp; I12</f>
        <v>FuelEF_Podinstalacja objęta wskaźnikiem emisyjności opartym na cieple, „CL”</v>
      </c>
      <c r="R97" s="8"/>
      <c r="AD97" s="701" t="s">
        <v>3699</v>
      </c>
    </row>
    <row r="98" spans="2:30" ht="5.0999999999999996" customHeight="1" x14ac:dyDescent="0.2">
      <c r="B98" s="3"/>
      <c r="C98" s="459"/>
      <c r="D98" s="448"/>
      <c r="E98" s="448"/>
      <c r="F98" s="448"/>
      <c r="G98" s="448"/>
      <c r="H98" s="448"/>
      <c r="I98" s="448"/>
      <c r="J98" s="448"/>
      <c r="K98" s="448"/>
      <c r="L98" s="448"/>
      <c r="M98" s="448"/>
      <c r="N98" s="463"/>
      <c r="O98" s="7"/>
      <c r="P98" s="8"/>
      <c r="R98" s="8"/>
    </row>
    <row r="99" spans="2:30" ht="12.75" customHeight="1" x14ac:dyDescent="0.2">
      <c r="B99" s="3"/>
      <c r="C99" s="459"/>
      <c r="D99" s="465" t="s">
        <v>4</v>
      </c>
      <c r="E99" s="1739" t="str">
        <f>Translations!$B$853</f>
        <v>Wsad paliwa z gazów odlotowych</v>
      </c>
      <c r="F99" s="1740"/>
      <c r="G99" s="1740"/>
      <c r="H99" s="453" t="str">
        <f>EUconst_TJpa</f>
        <v>TJ / rok</v>
      </c>
      <c r="I99" s="313"/>
      <c r="J99" s="313"/>
      <c r="K99" s="313"/>
      <c r="L99" s="313"/>
      <c r="M99" s="313"/>
      <c r="N99" s="463"/>
      <c r="O99" s="7"/>
      <c r="P99" s="438" t="str">
        <f>EUconst_CNTR_WGConsumed &amp; I12</f>
        <v>WasteGasCons_Podinstalacja objęta wskaźnikiem emisyjności opartym na cieple, „CL”</v>
      </c>
      <c r="R99" s="8"/>
    </row>
    <row r="100" spans="2:30" ht="25.5" customHeight="1" x14ac:dyDescent="0.2">
      <c r="B100" s="3"/>
      <c r="C100" s="459"/>
      <c r="D100" s="465" t="s">
        <v>6</v>
      </c>
      <c r="E100" s="1739" t="str">
        <f>Translations!$B$854</f>
        <v>Właściwy współczynnik emisji (gazy odlotowe)</v>
      </c>
      <c r="F100" s="1740"/>
      <c r="G100" s="1740"/>
      <c r="H100" s="569" t="str">
        <f>EUconst_tCO2pTJ</f>
        <v>t CO2 / TJ</v>
      </c>
      <c r="I100" s="323"/>
      <c r="J100" s="323"/>
      <c r="K100" s="323"/>
      <c r="L100" s="323"/>
      <c r="M100" s="323"/>
      <c r="N100" s="463"/>
      <c r="O100" s="7"/>
      <c r="P100" s="351" t="str">
        <f>EUconst_CNTR_WGConsumedEF &amp; I12</f>
        <v>WasteGasConsEF_Podinstalacja objęta wskaźnikiem emisyjności opartym na cieple, „CL”</v>
      </c>
      <c r="R100" s="8"/>
    </row>
    <row r="101" spans="2:30" ht="5.0999999999999996" customHeight="1" x14ac:dyDescent="0.2">
      <c r="B101" s="20"/>
      <c r="C101" s="460"/>
      <c r="D101" s="449"/>
      <c r="E101" s="449"/>
      <c r="F101" s="449"/>
      <c r="G101" s="449"/>
      <c r="H101" s="449"/>
      <c r="I101" s="449"/>
      <c r="J101" s="449"/>
      <c r="K101" s="449"/>
      <c r="L101" s="449"/>
      <c r="M101" s="449"/>
      <c r="N101" s="461"/>
      <c r="O101" s="7"/>
      <c r="R101" s="8"/>
      <c r="S101" s="8"/>
    </row>
    <row r="102" spans="2:30" ht="12.75" customHeight="1" x14ac:dyDescent="0.2">
      <c r="B102" s="3"/>
      <c r="C102" s="459"/>
      <c r="D102" s="462" t="s">
        <v>12</v>
      </c>
      <c r="E102" s="1731" t="str">
        <f>Translations!$B$532</f>
        <v>Wytworzone mierzalne ciepło</v>
      </c>
      <c r="F102" s="1734"/>
      <c r="G102" s="1734"/>
      <c r="H102" s="1734"/>
      <c r="I102" s="1734"/>
      <c r="J102" s="1734"/>
      <c r="K102" s="1734"/>
      <c r="L102" s="1734"/>
      <c r="M102" s="1734"/>
      <c r="N102" s="1735"/>
      <c r="O102" s="7"/>
      <c r="P102" s="8"/>
      <c r="R102" s="8"/>
      <c r="S102" s="8"/>
    </row>
    <row r="103" spans="2:30" ht="12.75" customHeight="1" x14ac:dyDescent="0.2">
      <c r="B103" s="3"/>
      <c r="C103" s="459"/>
      <c r="D103" s="448"/>
      <c r="E103" s="1745" t="str">
        <f>Translations!$B$855</f>
        <v xml:space="preserve">Proszę tu podać wytworzone mierzalne ciepło zgodnie z pkt 3.2 lit. a) załącznika IV do FAR. </v>
      </c>
      <c r="F103" s="1745"/>
      <c r="G103" s="1745"/>
      <c r="H103" s="1745"/>
      <c r="I103" s="1745"/>
      <c r="J103" s="1745"/>
      <c r="K103" s="1745"/>
      <c r="L103" s="1745"/>
      <c r="M103" s="1745"/>
      <c r="N103" s="1746"/>
      <c r="O103" s="7"/>
      <c r="P103" s="8"/>
      <c r="R103" s="8"/>
    </row>
    <row r="104" spans="2:30" ht="25.5" customHeight="1" x14ac:dyDescent="0.2">
      <c r="B104" s="3"/>
      <c r="C104" s="459"/>
      <c r="D104" s="448"/>
      <c r="E104" s="1745" t="str">
        <f>Translations!$B$856</f>
        <v>Wartość ta różni się zazwyczaj od poziomu działalności podinstalacji, o którym mowa w lit. a) powyżej, ponieważ uwzględnia straty ciepła oprócz ilości netto mierzalnego ciepła zużytego lub wyprowadzonego do podmiotów nieobjętych EU ETS, a także pomija wprowadzenia ciepła, które należy podać w lit. f) poniżej.</v>
      </c>
      <c r="F104" s="1745"/>
      <c r="G104" s="1745"/>
      <c r="H104" s="1745"/>
      <c r="I104" s="1745"/>
      <c r="J104" s="1745"/>
      <c r="K104" s="1745"/>
      <c r="L104" s="1745"/>
      <c r="M104" s="1745"/>
      <c r="N104" s="1746"/>
      <c r="O104" s="7"/>
      <c r="P104" s="8"/>
      <c r="R104" s="8"/>
      <c r="S104" s="8"/>
      <c r="T104" s="8"/>
      <c r="U104" s="8"/>
      <c r="V104" s="8"/>
      <c r="W104" s="8"/>
    </row>
    <row r="105" spans="2:30" ht="12.75" customHeight="1" x14ac:dyDescent="0.2">
      <c r="B105" s="3"/>
      <c r="C105" s="459"/>
      <c r="D105" s="462"/>
      <c r="E105" s="1757" t="str">
        <f>Translations!$B$532</f>
        <v>Wytworzone mierzalne ciepło</v>
      </c>
      <c r="F105" s="1758"/>
      <c r="G105" s="1758"/>
      <c r="H105" s="450" t="str">
        <f>EUconst_Unit</f>
        <v>Jednostka</v>
      </c>
      <c r="I105" s="451">
        <f>I$559</f>
        <v>2014</v>
      </c>
      <c r="J105" s="451">
        <f>J$559</f>
        <v>2015</v>
      </c>
      <c r="K105" s="451">
        <f>K$559</f>
        <v>2016</v>
      </c>
      <c r="L105" s="451">
        <f>L$559</f>
        <v>2017</v>
      </c>
      <c r="M105" s="451">
        <f>M$559</f>
        <v>2018</v>
      </c>
      <c r="N105" s="463"/>
      <c r="O105" s="7"/>
      <c r="P105" s="8"/>
      <c r="R105" s="8"/>
      <c r="S105" s="8"/>
      <c r="T105" s="8"/>
      <c r="U105" s="8"/>
      <c r="V105" s="8"/>
      <c r="W105" s="8"/>
    </row>
    <row r="106" spans="2:30" ht="25.5" customHeight="1" x14ac:dyDescent="0.2">
      <c r="B106" s="3"/>
      <c r="C106" s="459"/>
      <c r="D106" s="448"/>
      <c r="E106" s="1762" t="str">
        <f>E86</f>
        <v>Podinstalacja objęta wskaźnikiem emisyjności opartym na cieple, „CL”</v>
      </c>
      <c r="F106" s="1762"/>
      <c r="G106" s="1762"/>
      <c r="H106" s="452" t="str">
        <f>EUconst_TJpa</f>
        <v>TJ / rok</v>
      </c>
      <c r="I106" s="322">
        <v>665.25584761898585</v>
      </c>
      <c r="J106" s="322">
        <v>629.80137438531574</v>
      </c>
      <c r="K106" s="322">
        <v>726.93030500753707</v>
      </c>
      <c r="L106" s="322">
        <v>612.48366598819814</v>
      </c>
      <c r="M106" s="322">
        <v>704.11900803145159</v>
      </c>
      <c r="N106" s="463"/>
      <c r="O106" s="7"/>
      <c r="P106" s="351" t="str">
        <f>EUconst_CNTR_HeatProduced &amp; I12</f>
        <v>HeatProd_Podinstalacja objęta wskaźnikiem emisyjności opartym na cieple, „CL”</v>
      </c>
      <c r="R106" s="8"/>
      <c r="S106" s="8"/>
      <c r="T106" s="8"/>
      <c r="U106" s="8"/>
      <c r="V106" s="8"/>
      <c r="W106" s="8"/>
    </row>
    <row r="107" spans="2:30" ht="5.0999999999999996" customHeight="1" x14ac:dyDescent="0.2">
      <c r="B107" s="3"/>
      <c r="C107" s="459"/>
      <c r="D107" s="448"/>
      <c r="E107" s="448"/>
      <c r="F107" s="448"/>
      <c r="G107" s="448"/>
      <c r="H107" s="448"/>
      <c r="I107" s="448"/>
      <c r="J107" s="448"/>
      <c r="K107" s="448"/>
      <c r="L107" s="448"/>
      <c r="M107" s="464"/>
      <c r="N107" s="463"/>
      <c r="O107" s="7"/>
      <c r="P107" s="8"/>
      <c r="R107" s="8"/>
    </row>
    <row r="108" spans="2:30" ht="12.75" customHeight="1" x14ac:dyDescent="0.2">
      <c r="B108" s="3"/>
      <c r="C108" s="459"/>
      <c r="D108" s="462" t="s">
        <v>13</v>
      </c>
      <c r="E108" s="1731" t="str">
        <f>Translations!$B$857</f>
        <v>Mierzalne ciepło wprowadzone</v>
      </c>
      <c r="F108" s="1734"/>
      <c r="G108" s="1734"/>
      <c r="H108" s="1734"/>
      <c r="I108" s="1734"/>
      <c r="J108" s="1734"/>
      <c r="K108" s="1734"/>
      <c r="L108" s="1734"/>
      <c r="M108" s="1734"/>
      <c r="N108" s="1735"/>
      <c r="O108" s="7"/>
      <c r="P108" s="8"/>
      <c r="R108" s="8"/>
    </row>
    <row r="109" spans="2:30" ht="12.75" customHeight="1" x14ac:dyDescent="0.2">
      <c r="B109" s="3"/>
      <c r="C109" s="459"/>
      <c r="D109" s="462"/>
      <c r="E109" s="1730" t="str">
        <f>Translations!$B$758</f>
        <v>Podane tu dane wpłyną na emisje, które można przypisać, zgodnie z pkt 10.1.2 i 10.1.3 załącznika VII do FAR.</v>
      </c>
      <c r="F109" s="1731"/>
      <c r="G109" s="1731"/>
      <c r="H109" s="1731"/>
      <c r="I109" s="1731"/>
      <c r="J109" s="1731"/>
      <c r="K109" s="1731"/>
      <c r="L109" s="1731"/>
      <c r="M109" s="1731"/>
      <c r="N109" s="1732"/>
      <c r="O109" s="7"/>
      <c r="P109" s="8"/>
      <c r="R109" s="8"/>
    </row>
    <row r="110" spans="2:30" ht="12.75" customHeight="1" x14ac:dyDescent="0.2">
      <c r="B110" s="3"/>
      <c r="C110" s="459"/>
      <c r="D110" s="448"/>
      <c r="E110" s="1733" t="str">
        <f>Translations!$B$858</f>
        <v>Poniżej proszę podać ilość mierzalnego ciepła wprowadzonego z każdego z następujących źródeł:</v>
      </c>
      <c r="F110" s="1734"/>
      <c r="G110" s="1734"/>
      <c r="H110" s="1734"/>
      <c r="I110" s="1734"/>
      <c r="J110" s="1734"/>
      <c r="K110" s="1734"/>
      <c r="L110" s="1734"/>
      <c r="M110" s="1734"/>
      <c r="N110" s="1735"/>
      <c r="O110" s="7"/>
      <c r="P110" s="8"/>
      <c r="R110" s="8"/>
    </row>
    <row r="111" spans="2:30" ht="51" customHeight="1" x14ac:dyDescent="0.2">
      <c r="B111" s="3"/>
      <c r="C111" s="459"/>
      <c r="D111" s="448"/>
      <c r="E111" s="676" t="s">
        <v>408</v>
      </c>
      <c r="F111" s="1733" t="str">
        <f>Translations!$B$859</f>
        <v>Ciepło wprowadzone netto (z innych źródeł): obejmuje ciepło wprowadzone z innych instalacji lub – w przypadku gdy mierzalne ciepło jest zużywane przez więcej niż jedną podinstalację – ciepło wytworzone na miejscu i zużyte w tej podinstalacji. Nie należy w tym miejscu uwzględniać mierzalnego ciepła wprowadzonego z jakiejkolwiek podinstalacji objętej wskaźnikiem emisyjności dla produktów, produkcji masy celulozowej, mierzalnego ciepła odzyskanego z podinstalacji objętych wskaźnikiem emisyjności opartym na paliwie lub z gazów odlotowych, ponieważ na te wartości przeznaczono odrębne pola.</v>
      </c>
      <c r="G111" s="1804"/>
      <c r="H111" s="1804"/>
      <c r="I111" s="1804"/>
      <c r="J111" s="1804"/>
      <c r="K111" s="1804"/>
      <c r="L111" s="1804"/>
      <c r="M111" s="1804"/>
      <c r="N111" s="1805"/>
      <c r="O111" s="7"/>
      <c r="P111" s="8"/>
      <c r="R111" s="8"/>
    </row>
    <row r="112" spans="2:30" ht="25.5" customHeight="1" x14ac:dyDescent="0.2">
      <c r="B112" s="3"/>
      <c r="C112" s="459"/>
      <c r="D112" s="448"/>
      <c r="E112" s="676" t="s">
        <v>408</v>
      </c>
      <c r="F112" s="1733" t="str">
        <f>Translations!$B$860</f>
        <v>Ciepło z podinstalacji objętych wskaźnikiem emisyjności dla produktów: obejmuje mierzalne ciepło wyprowadzone z podinstalacji objętych wskaźnikiem emisyjności dla produktów, z wyjątkiem mierzalnego ciepła z podinstalacji produkujących masę celulozową lub kwas azotowy.</v>
      </c>
      <c r="G112" s="1804"/>
      <c r="H112" s="1804"/>
      <c r="I112" s="1804"/>
      <c r="J112" s="1804"/>
      <c r="K112" s="1804"/>
      <c r="L112" s="1804"/>
      <c r="M112" s="1804"/>
      <c r="N112" s="1805"/>
      <c r="O112" s="7"/>
      <c r="P112" s="8"/>
      <c r="R112" s="8"/>
    </row>
    <row r="113" spans="2:30" ht="12.75" customHeight="1" x14ac:dyDescent="0.2">
      <c r="B113" s="3"/>
      <c r="C113" s="459"/>
      <c r="D113" s="448"/>
      <c r="E113" s="676" t="s">
        <v>408</v>
      </c>
      <c r="F113" s="1733" t="str">
        <f>Translations!$B$861</f>
        <v>Ciepło z masy celulozowej: obejmuje ciepło wprowadzone z podinstalacji produkujących masę celulozową.</v>
      </c>
      <c r="G113" s="1804"/>
      <c r="H113" s="1804"/>
      <c r="I113" s="1804"/>
      <c r="J113" s="1804"/>
      <c r="K113" s="1804"/>
      <c r="L113" s="1804"/>
      <c r="M113" s="1804"/>
      <c r="N113" s="1805"/>
      <c r="O113" s="7"/>
      <c r="P113" s="8"/>
      <c r="R113" s="8"/>
    </row>
    <row r="114" spans="2:30" ht="25.5" customHeight="1" x14ac:dyDescent="0.2">
      <c r="B114" s="3"/>
      <c r="C114" s="459"/>
      <c r="D114" s="448"/>
      <c r="E114" s="676" t="s">
        <v>408</v>
      </c>
      <c r="F114" s="1733" t="str">
        <f>Translations!$B$862</f>
        <v>Ciepło z podinstalacji objętych wskaźnikiem emisyjności opartym na paliwie: obejmuje mierzalne ciepło odzyskane z ciepła odpadowego z podinstalacji objętych wskaźnikiem emisyjności opartym na paliwie.</v>
      </c>
      <c r="G114" s="1804"/>
      <c r="H114" s="1804"/>
      <c r="I114" s="1804"/>
      <c r="J114" s="1804"/>
      <c r="K114" s="1804"/>
      <c r="L114" s="1804"/>
      <c r="M114" s="1804"/>
      <c r="N114" s="1805"/>
      <c r="O114" s="7"/>
      <c r="P114" s="8"/>
      <c r="R114" s="8"/>
    </row>
    <row r="115" spans="2:30" ht="12.75" customHeight="1" x14ac:dyDescent="0.2">
      <c r="B115" s="3"/>
      <c r="C115" s="459"/>
      <c r="D115" s="448"/>
      <c r="E115" s="676" t="s">
        <v>408</v>
      </c>
      <c r="F115" s="1733" t="str">
        <f>Translations!$B$863</f>
        <v>Ciepło z gazów odlotowych: obejmuje mierzalne ciepło wytworzone z gazów odlotowych.</v>
      </c>
      <c r="G115" s="1804"/>
      <c r="H115" s="1804"/>
      <c r="I115" s="1804"/>
      <c r="J115" s="1804"/>
      <c r="K115" s="1804"/>
      <c r="L115" s="1804"/>
      <c r="M115" s="1804"/>
      <c r="N115" s="1805"/>
      <c r="O115" s="7"/>
      <c r="P115" s="8"/>
      <c r="R115" s="8"/>
    </row>
    <row r="116" spans="2:30" ht="25.5" customHeight="1" x14ac:dyDescent="0.2">
      <c r="B116" s="3"/>
      <c r="C116" s="459"/>
      <c r="D116" s="448"/>
      <c r="E116" s="1745" t="str">
        <f>Translations!$B$864</f>
        <v>Nie uwzględnia się w tym miejscu żadnego wprowadzania ciepła z „niekwalifikujących się” źródeł, tj. instalacji nieobjętych EU ETS, ani ciepła wytworzonego w podinstalacjach produkujących kwas azotowy.</v>
      </c>
      <c r="F116" s="1364"/>
      <c r="G116" s="1364"/>
      <c r="H116" s="1364"/>
      <c r="I116" s="1364"/>
      <c r="J116" s="1364"/>
      <c r="K116" s="1364"/>
      <c r="L116" s="1364"/>
      <c r="M116" s="1364"/>
      <c r="N116" s="1738"/>
      <c r="O116" s="7"/>
      <c r="P116" s="8"/>
      <c r="R116" s="8"/>
    </row>
    <row r="117" spans="2:30" ht="25.5" customHeight="1" x14ac:dyDescent="0.2">
      <c r="B117" s="3"/>
      <c r="C117" s="459"/>
      <c r="D117" s="448"/>
      <c r="E117" s="1733" t="str">
        <f>Translations!$B$865</f>
        <v>Właściwe współczynniki emisji związane z ciepłem powinny uwzględniać przepisy zawarte w pkt 8 i 10 załącznika VII do FAR, w szczególności w jego pkt 10.1.2 i 10.1.3.</v>
      </c>
      <c r="F117" s="1734"/>
      <c r="G117" s="1734"/>
      <c r="H117" s="1734"/>
      <c r="I117" s="1734"/>
      <c r="J117" s="1734"/>
      <c r="K117" s="1734"/>
      <c r="L117" s="1734"/>
      <c r="M117" s="1734"/>
      <c r="N117" s="1735"/>
      <c r="O117" s="7"/>
      <c r="P117" s="8"/>
      <c r="R117" s="8"/>
    </row>
    <row r="118" spans="2:30" ht="12.75" customHeight="1" x14ac:dyDescent="0.2">
      <c r="B118" s="3"/>
      <c r="C118" s="459"/>
      <c r="D118" s="448"/>
      <c r="E118" s="1674" t="str">
        <f>Translations!$B$819</f>
        <v>W celu przypisania emisji z kogeneracji (CHP) do wytwarzania ciepła należy zastosować „narzędzie dotyczące CHP” w części D.III.</v>
      </c>
      <c r="F118" s="1674"/>
      <c r="G118" s="1674"/>
      <c r="H118" s="1674"/>
      <c r="I118" s="1674"/>
      <c r="J118" s="1674"/>
      <c r="K118" s="1674"/>
      <c r="L118" s="1674"/>
      <c r="M118" s="1674"/>
      <c r="N118" s="1257"/>
      <c r="O118" s="7"/>
      <c r="P118" s="8"/>
    </row>
    <row r="119" spans="2:30" ht="25.5" customHeight="1" x14ac:dyDescent="0.2">
      <c r="B119" s="3"/>
      <c r="C119" s="459"/>
      <c r="D119" s="448"/>
      <c r="E119" s="1757" t="str">
        <f>Translations!$B$866</f>
        <v>Ciepło wprowadzone netto (z innych źródeł):</v>
      </c>
      <c r="F119" s="1758"/>
      <c r="G119" s="1758"/>
      <c r="H119" s="450" t="str">
        <f>EUconst_Unit</f>
        <v>Jednostka</v>
      </c>
      <c r="I119" s="451">
        <f>I$559</f>
        <v>2014</v>
      </c>
      <c r="J119" s="451">
        <f>J$559</f>
        <v>2015</v>
      </c>
      <c r="K119" s="451">
        <f>K$559</f>
        <v>2016</v>
      </c>
      <c r="L119" s="451">
        <f>L$559</f>
        <v>2017</v>
      </c>
      <c r="M119" s="451">
        <f>M$559</f>
        <v>2018</v>
      </c>
      <c r="N119" s="1257"/>
      <c r="O119" s="7"/>
      <c r="P119" s="8"/>
      <c r="R119" s="8"/>
      <c r="S119" s="45">
        <f>I119</f>
        <v>2014</v>
      </c>
      <c r="T119" s="45">
        <f>J119</f>
        <v>2015</v>
      </c>
      <c r="U119" s="45">
        <f>K119</f>
        <v>2016</v>
      </c>
      <c r="V119" s="45">
        <f>L119</f>
        <v>2017</v>
      </c>
      <c r="W119" s="45">
        <f>M119</f>
        <v>2018</v>
      </c>
    </row>
    <row r="120" spans="2:30" ht="12.75" customHeight="1" x14ac:dyDescent="0.2">
      <c r="B120" s="3"/>
      <c r="C120" s="459"/>
      <c r="D120" s="465" t="s">
        <v>2</v>
      </c>
      <c r="E120" s="1739" t="str">
        <f>Translations!$B$764</f>
        <v>Ciepło wprowadzone netto</v>
      </c>
      <c r="F120" s="1740"/>
      <c r="G120" s="1740"/>
      <c r="H120" s="453" t="str">
        <f>EUconst_TJpa</f>
        <v>TJ / rok</v>
      </c>
      <c r="I120" s="471">
        <v>663.67106823104518</v>
      </c>
      <c r="J120" s="471">
        <v>628.23125271862386</v>
      </c>
      <c r="K120" s="471">
        <v>725.31445740656966</v>
      </c>
      <c r="L120" s="471">
        <v>610.92741807413177</v>
      </c>
      <c r="M120" s="471">
        <v>702.52094494868709</v>
      </c>
      <c r="N120" s="518"/>
      <c r="O120" s="7"/>
      <c r="P120" s="351" t="str">
        <f>EUconst_CNTR_HeatImport &amp; I12</f>
        <v>HeatIm_Podinstalacja objęta wskaźnikiem emisyjności opartym na cieple, „CL”</v>
      </c>
      <c r="R120" s="882" t="str">
        <f>EUconst_ERR_AttrEmBMapplied &amp; $I12</f>
        <v>ERR_AttrEmBM_ Podinstalacja objęta wskaźnikiem emisyjności opartym na cieple, „CL”</v>
      </c>
      <c r="S120" s="116">
        <f>IF(AND(I120&lt;&gt;0,I121="",EUconst_StatusOfDataCollection=FALSE),1,0)</f>
        <v>0</v>
      </c>
      <c r="T120" s="116">
        <f>IF(AND(J120&lt;&gt;0,J121="",EUconst_StatusOfDataCollection=FALSE),1,0)</f>
        <v>0</v>
      </c>
      <c r="U120" s="116">
        <f>IF(AND(K120&lt;&gt;0,K121="",EUconst_StatusOfDataCollection=FALSE),1,0)</f>
        <v>0</v>
      </c>
      <c r="V120" s="116">
        <f>IF(AND(L120&lt;&gt;0,L121="",EUconst_StatusOfDataCollection=FALSE),1,0)</f>
        <v>0</v>
      </c>
      <c r="W120" s="116">
        <f>IF(AND(M120&lt;&gt;0,M121="",EUconst_StatusOfDataCollection=FALSE),1,0)</f>
        <v>0</v>
      </c>
    </row>
    <row r="121" spans="2:30" ht="25.5" customHeight="1" x14ac:dyDescent="0.2">
      <c r="B121" s="3"/>
      <c r="C121" s="459"/>
      <c r="D121" s="465" t="s">
        <v>3</v>
      </c>
      <c r="E121" s="1739" t="str">
        <f>Translations!$B$765</f>
        <v>Właściwy współczynnik emisji (ciepło wprowadzone)</v>
      </c>
      <c r="F121" s="1740"/>
      <c r="G121" s="1740"/>
      <c r="H121" s="453" t="str">
        <f>EUconst_tCO2pTJ</f>
        <v>t CO2 / TJ</v>
      </c>
      <c r="I121" s="764">
        <v>63.92069610741153</v>
      </c>
      <c r="J121" s="764">
        <v>62.832816784810731</v>
      </c>
      <c r="K121" s="764">
        <v>61.220901364612999</v>
      </c>
      <c r="L121" s="764">
        <v>61.403224397952918</v>
      </c>
      <c r="M121" s="764">
        <v>61.409990495302431</v>
      </c>
      <c r="N121" s="463"/>
      <c r="O121" s="340" t="s">
        <v>3690</v>
      </c>
      <c r="P121" s="351" t="str">
        <f>EUconst_CNTR_HeatImportEF &amp; I12</f>
        <v>HeatImEF_Podinstalacja objęta wskaźnikiem emisyjności opartym na cieple, „CL”</v>
      </c>
      <c r="R121" s="883" t="str">
        <f>EUconst_CNTR_AttributedEmissions &amp; $I12</f>
        <v>AttrEmissions_Podinstalacja objęta wskaźnikiem emisyjności opartym na cieple, „CL”</v>
      </c>
      <c r="S121" s="116">
        <f>IF(S12,SUM(I120)*IF(ISNUMBER(I121),I121,EUconst_HeatBMvalue),"")</f>
        <v>42422.31666767782</v>
      </c>
      <c r="T121" s="116">
        <f>IF(T12,SUM(J120)*IF(ISNUMBER(J121),J121,EUconst_HeatBMvalue),"")</f>
        <v>39473.539200561419</v>
      </c>
      <c r="U121" s="116">
        <f>IF(U12,SUM(K120)*IF(ISNUMBER(K121),K121,EUconst_HeatBMvalue),"")</f>
        <v>44404.404855215398</v>
      </c>
      <c r="V121" s="116">
        <f>IF(V12,SUM(L120)*IF(ISNUMBER(L121),L121,EUconst_HeatBMvalue),"")</f>
        <v>37512.913342867912</v>
      </c>
      <c r="W121" s="116">
        <f>IF(W12,SUM(M120)*IF(ISNUMBER(M121),M121,EUconst_HeatBMvalue),"")</f>
        <v>43141.804552049754</v>
      </c>
      <c r="AD121" s="701" t="s">
        <v>3698</v>
      </c>
    </row>
    <row r="122" spans="2:30" ht="5.0999999999999996" customHeight="1" x14ac:dyDescent="0.2">
      <c r="B122" s="3"/>
      <c r="C122" s="459"/>
      <c r="D122" s="448"/>
      <c r="E122" s="448"/>
      <c r="F122" s="448"/>
      <c r="G122" s="448"/>
      <c r="H122" s="448"/>
      <c r="I122" s="448"/>
      <c r="J122" s="448"/>
      <c r="K122" s="448"/>
      <c r="L122" s="448"/>
      <c r="M122" s="464"/>
      <c r="N122" s="463"/>
      <c r="O122" s="7"/>
      <c r="P122" s="8"/>
      <c r="R122" s="8"/>
      <c r="S122" s="8"/>
    </row>
    <row r="123" spans="2:30" ht="25.5" customHeight="1" x14ac:dyDescent="0.2">
      <c r="B123" s="3"/>
      <c r="C123" s="459"/>
      <c r="D123" s="448"/>
      <c r="E123" s="1757" t="str">
        <f>Translations!$B$867</f>
        <v>Ciepło z podinstalacji objętych wskaźnikiem emisyjności dla produktów</v>
      </c>
      <c r="F123" s="1758"/>
      <c r="G123" s="1758"/>
      <c r="H123" s="450" t="str">
        <f>EUconst_Unit</f>
        <v>Jednostka</v>
      </c>
      <c r="I123" s="451">
        <f>I$559</f>
        <v>2014</v>
      </c>
      <c r="J123" s="451">
        <f>J$559</f>
        <v>2015</v>
      </c>
      <c r="K123" s="451">
        <f>K$559</f>
        <v>2016</v>
      </c>
      <c r="L123" s="451">
        <f>L$559</f>
        <v>2017</v>
      </c>
      <c r="M123" s="451">
        <f>M$559</f>
        <v>2018</v>
      </c>
      <c r="N123" s="1257"/>
      <c r="O123" s="7"/>
      <c r="P123" s="8"/>
      <c r="R123" s="8"/>
      <c r="S123" s="45">
        <f>I123</f>
        <v>2014</v>
      </c>
      <c r="T123" s="45">
        <f>J123</f>
        <v>2015</v>
      </c>
      <c r="U123" s="45">
        <f>K123</f>
        <v>2016</v>
      </c>
      <c r="V123" s="45">
        <f>L123</f>
        <v>2017</v>
      </c>
      <c r="W123" s="45">
        <f>M123</f>
        <v>2018</v>
      </c>
    </row>
    <row r="124" spans="2:30" ht="12.75" customHeight="1" x14ac:dyDescent="0.2">
      <c r="B124" s="3"/>
      <c r="C124" s="459"/>
      <c r="D124" s="465" t="s">
        <v>6</v>
      </c>
      <c r="E124" s="1739" t="str">
        <f>Translations!$B$764</f>
        <v>Ciepło wprowadzone netto</v>
      </c>
      <c r="F124" s="1740"/>
      <c r="G124" s="1740"/>
      <c r="H124" s="453" t="str">
        <f>EUconst_TJpa</f>
        <v>TJ / rok</v>
      </c>
      <c r="I124" s="471"/>
      <c r="J124" s="471"/>
      <c r="K124" s="471"/>
      <c r="L124" s="471"/>
      <c r="M124" s="471"/>
      <c r="N124" s="518"/>
      <c r="O124" s="7"/>
      <c r="P124" s="351" t="str">
        <f>EUconst_CNTR_HeatImportProduct &amp; I12</f>
        <v>HeatImProd_Podinstalacja objęta wskaźnikiem emisyjności opartym na cieple, „CL”</v>
      </c>
      <c r="R124" s="882" t="str">
        <f>EUconst_ERR_AttrEmBMapplied &amp; $I12</f>
        <v>ERR_AttrEmBM_ Podinstalacja objęta wskaźnikiem emisyjności opartym na cieple, „CL”</v>
      </c>
      <c r="S124" s="116">
        <f>IF(AND(I124&lt;&gt;0,I125="",EUconst_StatusOfDataCollection=FALSE),1,0)</f>
        <v>0</v>
      </c>
      <c r="T124" s="116">
        <f>IF(AND(J124&lt;&gt;0,J125="",EUconst_StatusOfDataCollection=FALSE),1,0)</f>
        <v>0</v>
      </c>
      <c r="U124" s="116">
        <f>IF(AND(K124&lt;&gt;0,K125="",EUconst_StatusOfDataCollection=FALSE),1,0)</f>
        <v>0</v>
      </c>
      <c r="V124" s="116">
        <f>IF(AND(L124&lt;&gt;0,L125="",EUconst_StatusOfDataCollection=FALSE),1,0)</f>
        <v>0</v>
      </c>
      <c r="W124" s="116">
        <f>IF(AND(M124&lt;&gt;0,M125="",EUconst_StatusOfDataCollection=FALSE),1,0)</f>
        <v>0</v>
      </c>
    </row>
    <row r="125" spans="2:30" ht="38.25" customHeight="1" x14ac:dyDescent="0.2">
      <c r="B125" s="3"/>
      <c r="C125" s="459"/>
      <c r="D125" s="465" t="s">
        <v>316</v>
      </c>
      <c r="E125" s="1739" t="str">
        <f>Translations!$B$868</f>
        <v>Właściwy współczynnik emisji (z podinstalacji objętych wskaźnikiem emisyjności dla produktów)</v>
      </c>
      <c r="F125" s="1740"/>
      <c r="G125" s="1740"/>
      <c r="H125" s="453" t="str">
        <f>EUconst_tCO2pTJ</f>
        <v>t CO2 / TJ</v>
      </c>
      <c r="I125" s="764"/>
      <c r="J125" s="764"/>
      <c r="K125" s="764"/>
      <c r="L125" s="764"/>
      <c r="M125" s="764"/>
      <c r="N125" s="463"/>
      <c r="O125" s="7"/>
      <c r="P125" s="351" t="str">
        <f>EUconst_CNTR_HeatImportProductEF &amp; I12</f>
        <v>HeatImProdEF_Podinstalacja objęta wskaźnikiem emisyjności opartym na cieple, „CL”</v>
      </c>
      <c r="R125" s="883" t="str">
        <f>EUconst_CNTR_AttributedEmissions &amp; $I12</f>
        <v>AttrEmissions_Podinstalacja objęta wskaźnikiem emisyjności opartym na cieple, „CL”</v>
      </c>
      <c r="S125" s="116">
        <f>IF(S12,SUM(I124)*IF(ISNUMBER(I125),I125,EUconst_HeatBMvalue),"")</f>
        <v>0</v>
      </c>
      <c r="T125" s="116">
        <f>IF(T12,SUM(J124)*IF(ISNUMBER(J125),J125,EUconst_HeatBMvalue),"")</f>
        <v>0</v>
      </c>
      <c r="U125" s="116">
        <f>IF(U12,SUM(K124)*IF(ISNUMBER(K125),K125,EUconst_HeatBMvalue),"")</f>
        <v>0</v>
      </c>
      <c r="V125" s="116">
        <f>IF(V12,SUM(L124)*IF(ISNUMBER(L125),L125,EUconst_HeatBMvalue),"")</f>
        <v>0</v>
      </c>
      <c r="W125" s="116">
        <f>IF(W12,SUM(M124)*IF(ISNUMBER(M125),M125,EUconst_HeatBMvalue),"")</f>
        <v>0</v>
      </c>
    </row>
    <row r="126" spans="2:30" ht="5.0999999999999996" customHeight="1" x14ac:dyDescent="0.2">
      <c r="B126" s="3"/>
      <c r="C126" s="459"/>
      <c r="D126" s="448"/>
      <c r="E126" s="448"/>
      <c r="F126" s="448"/>
      <c r="G126" s="448"/>
      <c r="H126" s="448"/>
      <c r="I126" s="448"/>
      <c r="J126" s="448"/>
      <c r="K126" s="448"/>
      <c r="L126" s="448"/>
      <c r="M126" s="464"/>
      <c r="N126" s="463"/>
      <c r="O126" s="7"/>
      <c r="P126" s="8"/>
      <c r="R126" s="8"/>
      <c r="S126" s="8"/>
    </row>
    <row r="127" spans="2:30" ht="12.75" customHeight="1" x14ac:dyDescent="0.2">
      <c r="B127" s="3"/>
      <c r="C127" s="459"/>
      <c r="D127" s="448"/>
      <c r="E127" s="1757" t="str">
        <f>Translations!$B$869</f>
        <v>Ciepło z masy celulozowej</v>
      </c>
      <c r="F127" s="1758"/>
      <c r="G127" s="1758"/>
      <c r="H127" s="450" t="str">
        <f>EUconst_Unit</f>
        <v>Jednostka</v>
      </c>
      <c r="I127" s="451">
        <f>I$559</f>
        <v>2014</v>
      </c>
      <c r="J127" s="451">
        <f>J$559</f>
        <v>2015</v>
      </c>
      <c r="K127" s="451">
        <f>K$559</f>
        <v>2016</v>
      </c>
      <c r="L127" s="451">
        <f>L$559</f>
        <v>2017</v>
      </c>
      <c r="M127" s="451">
        <f>M$559</f>
        <v>2018</v>
      </c>
      <c r="N127" s="1257"/>
      <c r="O127" s="7"/>
      <c r="P127" s="8"/>
      <c r="R127" s="8"/>
      <c r="S127" s="45">
        <f>I127</f>
        <v>2014</v>
      </c>
      <c r="T127" s="45">
        <f>J127</f>
        <v>2015</v>
      </c>
      <c r="U127" s="45">
        <f>K127</f>
        <v>2016</v>
      </c>
      <c r="V127" s="45">
        <f>L127</f>
        <v>2017</v>
      </c>
      <c r="W127" s="45">
        <f>M127</f>
        <v>2018</v>
      </c>
    </row>
    <row r="128" spans="2:30" ht="12.75" customHeight="1" x14ac:dyDescent="0.2">
      <c r="B128" s="3"/>
      <c r="C128" s="459"/>
      <c r="D128" s="465" t="s">
        <v>318</v>
      </c>
      <c r="E128" s="1739" t="str">
        <f>Translations!$B$764</f>
        <v>Ciepło wprowadzone netto</v>
      </c>
      <c r="F128" s="1740"/>
      <c r="G128" s="1740"/>
      <c r="H128" s="453" t="str">
        <f>EUconst_TJpa</f>
        <v>TJ / rok</v>
      </c>
      <c r="I128" s="471"/>
      <c r="J128" s="471"/>
      <c r="K128" s="471"/>
      <c r="L128" s="471"/>
      <c r="M128" s="471"/>
      <c r="N128" s="518"/>
      <c r="O128" s="7"/>
      <c r="P128" s="351" t="str">
        <f>EUconst_CNTR_HeatImportPulp &amp; I12</f>
        <v>HeatImPulp_Podinstalacja objęta wskaźnikiem emisyjności opartym na cieple, „CL”</v>
      </c>
      <c r="R128" s="882" t="str">
        <f>EUconst_ERR_AttrEmBMapplied &amp; $I12</f>
        <v>ERR_AttrEmBM_ Podinstalacja objęta wskaźnikiem emisyjności opartym na cieple, „CL”</v>
      </c>
      <c r="S128" s="116">
        <f>IF(AND(I128&lt;&gt;0,I129="",EUconst_StatusOfDataCollection=FALSE),1,0)</f>
        <v>0</v>
      </c>
      <c r="T128" s="116">
        <f>IF(AND(J128&lt;&gt;0,J129="",EUconst_StatusOfDataCollection=FALSE),1,0)</f>
        <v>0</v>
      </c>
      <c r="U128" s="116">
        <f>IF(AND(K128&lt;&gt;0,K129="",EUconst_StatusOfDataCollection=FALSE),1,0)</f>
        <v>0</v>
      </c>
      <c r="V128" s="116">
        <f>IF(AND(L128&lt;&gt;0,L129="",EUconst_StatusOfDataCollection=FALSE),1,0)</f>
        <v>0</v>
      </c>
      <c r="W128" s="116">
        <f>IF(AND(M128&lt;&gt;0,M129="",EUconst_StatusOfDataCollection=FALSE),1,0)</f>
        <v>0</v>
      </c>
    </row>
    <row r="129" spans="2:29" ht="25.5" customHeight="1" x14ac:dyDescent="0.2">
      <c r="B129" s="3"/>
      <c r="C129" s="459"/>
      <c r="D129" s="465" t="s">
        <v>319</v>
      </c>
      <c r="E129" s="1739" t="str">
        <f>Translations!$B$870</f>
        <v>Właściwy współczynnik emisji (z masy celulozowej)</v>
      </c>
      <c r="F129" s="1740"/>
      <c r="G129" s="1740"/>
      <c r="H129" s="453" t="str">
        <f>EUconst_tCO2pTJ</f>
        <v>t CO2 / TJ</v>
      </c>
      <c r="I129" s="764"/>
      <c r="J129" s="764"/>
      <c r="K129" s="764"/>
      <c r="L129" s="764"/>
      <c r="M129" s="764"/>
      <c r="N129" s="463"/>
      <c r="O129" s="7"/>
      <c r="P129" s="351" t="str">
        <f>EUconst_CNTR_HeatImportPulpEF &amp; I12</f>
        <v>HeatImPulpEF_Podinstalacja objęta wskaźnikiem emisyjności opartym na cieple, „CL”</v>
      </c>
      <c r="R129" s="883" t="str">
        <f>EUconst_CNTR_AttributedEmissions &amp; $I12</f>
        <v>AttrEmissions_Podinstalacja objęta wskaźnikiem emisyjności opartym na cieple, „CL”</v>
      </c>
      <c r="S129" s="116">
        <f>IF(S12,SUM(I128)*IF(ISNUMBER(I129),I129,EUconst_HeatBMvalue),"")</f>
        <v>0</v>
      </c>
      <c r="T129" s="116">
        <f>IF(T12,SUM(J128)*IF(ISNUMBER(J129),J129,EUconst_HeatBMvalue),"")</f>
        <v>0</v>
      </c>
      <c r="U129" s="116">
        <f>IF(U12,SUM(K128)*IF(ISNUMBER(K129),K129,EUconst_HeatBMvalue),"")</f>
        <v>0</v>
      </c>
      <c r="V129" s="116">
        <f>IF(V12,SUM(L128)*IF(ISNUMBER(L129),L129,EUconst_HeatBMvalue),"")</f>
        <v>0</v>
      </c>
      <c r="W129" s="116">
        <f>IF(W12,SUM(M128)*IF(ISNUMBER(M129),M129,EUconst_HeatBMvalue),"")</f>
        <v>0</v>
      </c>
    </row>
    <row r="130" spans="2:29" ht="5.0999999999999996" customHeight="1" x14ac:dyDescent="0.2">
      <c r="B130" s="3"/>
      <c r="C130" s="459"/>
      <c r="D130" s="448"/>
      <c r="E130" s="448"/>
      <c r="F130" s="448"/>
      <c r="G130" s="448"/>
      <c r="H130" s="448"/>
      <c r="I130" s="448"/>
      <c r="J130" s="448"/>
      <c r="K130" s="448"/>
      <c r="L130" s="448"/>
      <c r="M130" s="464"/>
      <c r="N130" s="463"/>
      <c r="O130" s="7"/>
      <c r="P130" s="8"/>
      <c r="R130" s="8"/>
      <c r="S130" s="8"/>
    </row>
    <row r="131" spans="2:29" ht="38.25" customHeight="1" x14ac:dyDescent="0.2">
      <c r="B131" s="3"/>
      <c r="C131" s="459"/>
      <c r="D131" s="448"/>
      <c r="E131" s="1757" t="str">
        <f>Translations!$B$871</f>
        <v>Ciepło z podinstalacji objętych wskaźnikiem emisyjności opartym na paliwie</v>
      </c>
      <c r="F131" s="1758"/>
      <c r="G131" s="1758"/>
      <c r="H131" s="450" t="str">
        <f>EUconst_Unit</f>
        <v>Jednostka</v>
      </c>
      <c r="I131" s="451">
        <f>I$559</f>
        <v>2014</v>
      </c>
      <c r="J131" s="451">
        <f>J$559</f>
        <v>2015</v>
      </c>
      <c r="K131" s="451">
        <f>K$559</f>
        <v>2016</v>
      </c>
      <c r="L131" s="451">
        <f>L$559</f>
        <v>2017</v>
      </c>
      <c r="M131" s="451">
        <f>M$559</f>
        <v>2018</v>
      </c>
      <c r="N131" s="1257"/>
      <c r="O131" s="7"/>
      <c r="P131" s="8"/>
      <c r="R131" s="8"/>
      <c r="S131" s="45">
        <f>I131</f>
        <v>2014</v>
      </c>
      <c r="T131" s="45">
        <f>J131</f>
        <v>2015</v>
      </c>
      <c r="U131" s="45">
        <f>K131</f>
        <v>2016</v>
      </c>
      <c r="V131" s="45">
        <f>L131</f>
        <v>2017</v>
      </c>
      <c r="W131" s="45">
        <f>M131</f>
        <v>2018</v>
      </c>
    </row>
    <row r="132" spans="2:29" ht="12.75" customHeight="1" x14ac:dyDescent="0.2">
      <c r="B132" s="3"/>
      <c r="C132" s="459"/>
      <c r="D132" s="465" t="s">
        <v>16</v>
      </c>
      <c r="E132" s="1739" t="str">
        <f>Translations!$B$764</f>
        <v>Ciepło wprowadzone netto</v>
      </c>
      <c r="F132" s="1740"/>
      <c r="G132" s="1740"/>
      <c r="H132" s="453" t="str">
        <f>EUconst_TJpa</f>
        <v>TJ / rok</v>
      </c>
      <c r="I132" s="471"/>
      <c r="J132" s="471"/>
      <c r="K132" s="471"/>
      <c r="L132" s="471"/>
      <c r="M132" s="471"/>
      <c r="N132" s="518"/>
      <c r="O132" s="7"/>
      <c r="P132" s="351" t="str">
        <f>EUconst_CNTR_HeatImportFuel &amp; I12</f>
        <v>HeatImFuel_Podinstalacja objęta wskaźnikiem emisyjności opartym na cieple, „CL”</v>
      </c>
      <c r="R132" s="882" t="str">
        <f>EUconst_ERR_AttrEmBMapplied &amp; $I12</f>
        <v>ERR_AttrEmBM_ Podinstalacja objęta wskaźnikiem emisyjności opartym na cieple, „CL”</v>
      </c>
      <c r="S132" s="116">
        <f>IF(AND(I132&lt;&gt;0,I133="",EUconst_StatusOfDataCollection=FALSE),1,0)</f>
        <v>0</v>
      </c>
      <c r="T132" s="116">
        <f>IF(AND(J132&lt;&gt;0,J133="",EUconst_StatusOfDataCollection=FALSE),1,0)</f>
        <v>0</v>
      </c>
      <c r="U132" s="116">
        <f>IF(AND(K132&lt;&gt;0,K133="",EUconst_StatusOfDataCollection=FALSE),1,0)</f>
        <v>0</v>
      </c>
      <c r="V132" s="116">
        <f>IF(AND(L132&lt;&gt;0,L133="",EUconst_StatusOfDataCollection=FALSE),1,0)</f>
        <v>0</v>
      </c>
      <c r="W132" s="116">
        <f>IF(AND(M132&lt;&gt;0,M133="",EUconst_StatusOfDataCollection=FALSE),1,0)</f>
        <v>0</v>
      </c>
    </row>
    <row r="133" spans="2:29" ht="38.25" customHeight="1" x14ac:dyDescent="0.2">
      <c r="B133" s="3"/>
      <c r="C133" s="459"/>
      <c r="D133" s="465" t="s">
        <v>17</v>
      </c>
      <c r="E133" s="1739" t="str">
        <f>Translations!$B$872</f>
        <v>Właściwy współczynnik emisji (z podinstalacji objętych wskaźnikiem emisyjności opartym na paliwie)</v>
      </c>
      <c r="F133" s="1740"/>
      <c r="G133" s="1740"/>
      <c r="H133" s="453" t="str">
        <f>EUconst_tCO2pTJ</f>
        <v>t CO2 / TJ</v>
      </c>
      <c r="I133" s="764"/>
      <c r="J133" s="764"/>
      <c r="K133" s="764"/>
      <c r="L133" s="764"/>
      <c r="M133" s="764"/>
      <c r="N133" s="463"/>
      <c r="O133" s="7"/>
      <c r="P133" s="351" t="str">
        <f>EUconst_CNTR_HeatImportPulpEF &amp; I12</f>
        <v>HeatImPulpEF_Podinstalacja objęta wskaźnikiem emisyjności opartym na cieple, „CL”</v>
      </c>
      <c r="R133" s="883" t="str">
        <f>EUconst_CNTR_AttributedEmissions &amp; $I12</f>
        <v>AttrEmissions_Podinstalacja objęta wskaźnikiem emisyjności opartym na cieple, „CL”</v>
      </c>
      <c r="S133" s="116">
        <f>IF(S12,SUM(I132)*IF(ISNUMBER(I133),I133,EUconst_HeatBMvalue),"")</f>
        <v>0</v>
      </c>
      <c r="T133" s="116">
        <f>IF(T12,SUM(J132)*IF(ISNUMBER(J133),J133,EUconst_HeatBMvalue),"")</f>
        <v>0</v>
      </c>
      <c r="U133" s="116">
        <f>IF(U12,SUM(K132)*IF(ISNUMBER(K133),K133,EUconst_HeatBMvalue),"")</f>
        <v>0</v>
      </c>
      <c r="V133" s="116">
        <f>IF(V12,SUM(L132)*IF(ISNUMBER(L133),L133,EUconst_HeatBMvalue),"")</f>
        <v>0</v>
      </c>
      <c r="W133" s="116">
        <f>IF(W12,SUM(M132)*IF(ISNUMBER(M133),M133,EUconst_HeatBMvalue),"")</f>
        <v>0</v>
      </c>
    </row>
    <row r="134" spans="2:29" ht="5.0999999999999996" customHeight="1" x14ac:dyDescent="0.2">
      <c r="B134" s="3"/>
      <c r="C134" s="459"/>
      <c r="D134" s="448"/>
      <c r="E134" s="448"/>
      <c r="F134" s="448"/>
      <c r="G134" s="448"/>
      <c r="H134" s="448"/>
      <c r="I134" s="448"/>
      <c r="J134" s="448"/>
      <c r="K134" s="448"/>
      <c r="L134" s="448"/>
      <c r="M134" s="464"/>
      <c r="N134" s="463"/>
      <c r="O134" s="7"/>
      <c r="P134" s="8"/>
      <c r="R134" s="8"/>
      <c r="S134" s="8"/>
    </row>
    <row r="135" spans="2:29" ht="12.75" customHeight="1" x14ac:dyDescent="0.2">
      <c r="B135" s="3"/>
      <c r="C135" s="459"/>
      <c r="D135" s="448"/>
      <c r="E135" s="1757" t="str">
        <f>Translations!$B$873</f>
        <v>Ciepło z gazów odlotowych</v>
      </c>
      <c r="F135" s="1758"/>
      <c r="G135" s="1758"/>
      <c r="H135" s="450" t="str">
        <f>EUconst_Unit</f>
        <v>Jednostka</v>
      </c>
      <c r="I135" s="451">
        <f>I$559</f>
        <v>2014</v>
      </c>
      <c r="J135" s="451">
        <f>J$559</f>
        <v>2015</v>
      </c>
      <c r="K135" s="451">
        <f>K$559</f>
        <v>2016</v>
      </c>
      <c r="L135" s="451">
        <f>L$559</f>
        <v>2017</v>
      </c>
      <c r="M135" s="451">
        <f>M$559</f>
        <v>2018</v>
      </c>
      <c r="N135" s="1257"/>
      <c r="O135" s="7"/>
      <c r="P135" s="8"/>
      <c r="R135" s="8"/>
      <c r="S135" s="45">
        <f>I135</f>
        <v>2014</v>
      </c>
      <c r="T135" s="45">
        <f>J135</f>
        <v>2015</v>
      </c>
      <c r="U135" s="45">
        <f>K135</f>
        <v>2016</v>
      </c>
      <c r="V135" s="45">
        <f>L135</f>
        <v>2017</v>
      </c>
      <c r="W135" s="45">
        <f>M135</f>
        <v>2018</v>
      </c>
    </row>
    <row r="136" spans="2:29" ht="12.75" customHeight="1" x14ac:dyDescent="0.2">
      <c r="B136" s="3"/>
      <c r="C136" s="459"/>
      <c r="D136" s="465" t="s">
        <v>454</v>
      </c>
      <c r="E136" s="1739" t="str">
        <f>Translations!$B$764</f>
        <v>Ciepło wprowadzone netto</v>
      </c>
      <c r="F136" s="1740"/>
      <c r="G136" s="1740"/>
      <c r="H136" s="453" t="str">
        <f>EUconst_TJpa</f>
        <v>TJ / rok</v>
      </c>
      <c r="I136" s="471"/>
      <c r="J136" s="471"/>
      <c r="K136" s="471"/>
      <c r="L136" s="471"/>
      <c r="M136" s="471"/>
      <c r="N136" s="518"/>
      <c r="O136" s="7"/>
      <c r="P136" s="351" t="str">
        <f>EUconst_CNTR_WGImport &amp; I12</f>
        <v>WasteGasIm_Podinstalacja objęta wskaźnikiem emisyjności opartym na cieple, „CL”</v>
      </c>
      <c r="R136" s="882" t="str">
        <f>EUconst_ERR_AttrEmBMapplied &amp; $I12</f>
        <v>ERR_AttrEmBM_ Podinstalacja objęta wskaźnikiem emisyjności opartym na cieple, „CL”</v>
      </c>
      <c r="S136" s="116">
        <f>IF(AND(I136&lt;&gt;0,EUconst_StatusOfDataCollection=FALSE),1,0)</f>
        <v>0</v>
      </c>
      <c r="T136" s="116">
        <f>IF(AND(J136&lt;&gt;0,EUconst_StatusOfDataCollection=FALSE),1,0)</f>
        <v>0</v>
      </c>
      <c r="U136" s="116">
        <f>IF(AND(K136&lt;&gt;0,EUconst_StatusOfDataCollection=FALSE),1,0)</f>
        <v>0</v>
      </c>
      <c r="V136" s="116">
        <f>IF(AND(L136&lt;&gt;0,EUconst_StatusOfDataCollection=FALSE),1,0)</f>
        <v>0</v>
      </c>
      <c r="W136" s="116">
        <f>IF(AND(M136&lt;&gt;0,EUconst_StatusOfDataCollection=FALSE),1,0)</f>
        <v>0</v>
      </c>
    </row>
    <row r="137" spans="2:29" ht="25.5" customHeight="1" x14ac:dyDescent="0.2">
      <c r="B137" s="3"/>
      <c r="C137" s="459"/>
      <c r="D137" s="465" t="s">
        <v>455</v>
      </c>
      <c r="E137" s="1739" t="str">
        <f>Translations!$B$874</f>
        <v>Właściwy współczynnik emisji (z gazów odlotowych)</v>
      </c>
      <c r="F137" s="1740"/>
      <c r="G137" s="1740"/>
      <c r="H137" s="453" t="str">
        <f>EUconst_tCO2pTJ</f>
        <v>t CO2 / TJ</v>
      </c>
      <c r="I137" s="764"/>
      <c r="J137" s="764"/>
      <c r="K137" s="764"/>
      <c r="L137" s="764"/>
      <c r="M137" s="764"/>
      <c r="N137" s="463"/>
      <c r="O137" s="7"/>
      <c r="P137" s="351" t="str">
        <f>EUconst_CNTR_WGImportEF &amp; I12</f>
        <v>WasteGasImEF_Podinstalacja objęta wskaźnikiem emisyjności opartym na cieple, „CL”</v>
      </c>
      <c r="R137" s="883" t="str">
        <f>EUconst_CNTR_AttributedEmissions &amp; $I12</f>
        <v>AttrEmissions_Podinstalacja objęta wskaźnikiem emisyjności opartym na cieple, „CL”</v>
      </c>
      <c r="S137" s="116">
        <f>IF(S12,SUM(I136)*IF(ISNUMBER(I137),I137,EUconst_HeatBMvalue),"")</f>
        <v>0</v>
      </c>
      <c r="T137" s="116">
        <f>IF(T12,SUM(J136)*IF(ISNUMBER(J137),J137,EUconst_HeatBMvalue),"")</f>
        <v>0</v>
      </c>
      <c r="U137" s="116">
        <f>IF(U12,SUM(K136)*IF(ISNUMBER(K137),K137,EUconst_HeatBMvalue),"")</f>
        <v>0</v>
      </c>
      <c r="V137" s="116">
        <f>IF(V12,SUM(L136)*IF(ISNUMBER(L137),L137,EUconst_HeatBMvalue),"")</f>
        <v>0</v>
      </c>
      <c r="W137" s="116">
        <f>IF(W12,SUM(M136)*IF(ISNUMBER(M137),M137,EUconst_HeatBMvalue),"")</f>
        <v>0</v>
      </c>
    </row>
    <row r="138" spans="2:29" ht="5.0999999999999996" customHeight="1" x14ac:dyDescent="0.2">
      <c r="B138" s="3"/>
      <c r="C138" s="459"/>
      <c r="D138" s="448"/>
      <c r="E138" s="448"/>
      <c r="F138" s="448"/>
      <c r="G138" s="448"/>
      <c r="H138" s="448"/>
      <c r="I138" s="448"/>
      <c r="J138" s="448"/>
      <c r="K138" s="448"/>
      <c r="L138" s="448"/>
      <c r="M138" s="464"/>
      <c r="N138" s="463"/>
      <c r="O138" s="7"/>
      <c r="P138" s="8"/>
      <c r="R138" s="8"/>
      <c r="S138" s="8"/>
    </row>
    <row r="139" spans="2:29" ht="12.75" customHeight="1" x14ac:dyDescent="0.2">
      <c r="B139" s="3"/>
      <c r="C139" s="459"/>
      <c r="D139" s="465" t="s">
        <v>457</v>
      </c>
      <c r="E139" s="1739" t="str">
        <f>Translations!$B$875</f>
        <v>Całkowite ciepło wprowadzone netto</v>
      </c>
      <c r="F139" s="1740"/>
      <c r="G139" s="1740"/>
      <c r="H139" s="453" t="str">
        <f>EUconst_TJpa</f>
        <v>TJ / rok</v>
      </c>
      <c r="I139" s="433">
        <f>IF(COUNT(I120,I124,I128,I132,I136)&gt;0,SUM(I120,I124,I128,I132,I136),"")</f>
        <v>663.67106823104518</v>
      </c>
      <c r="J139" s="433">
        <f>IF(COUNT(J120,J124,J128,J132,J136)&gt;0,SUM(J120,J124,J128,J132,J136),"")</f>
        <v>628.23125271862386</v>
      </c>
      <c r="K139" s="433">
        <f>IF(COUNT(K120,K124,K128,K132,K136)&gt;0,SUM(K120,K124,K128,K132,K136),"")</f>
        <v>725.31445740656966</v>
      </c>
      <c r="L139" s="433">
        <f>IF(COUNT(L120,L124,L128,L132,L136)&gt;0,SUM(L120,L124,L128,L132,L136),"")</f>
        <v>610.92741807413177</v>
      </c>
      <c r="M139" s="433">
        <f>IF(COUNT(M120,M124,M128,M132,M136)&gt;0,SUM(M120,M124,M128,M132,M136),"")</f>
        <v>702.52094494868709</v>
      </c>
      <c r="N139" s="486"/>
      <c r="O139" s="7"/>
      <c r="R139" s="8"/>
      <c r="S139" s="8"/>
    </row>
    <row r="140" spans="2:29" ht="12.75" customHeight="1" thickBot="1" x14ac:dyDescent="0.25">
      <c r="B140" s="3"/>
      <c r="C140" s="466"/>
      <c r="D140" s="467"/>
      <c r="E140" s="467"/>
      <c r="F140" s="467"/>
      <c r="G140" s="467"/>
      <c r="H140" s="467"/>
      <c r="I140" s="467"/>
      <c r="J140" s="467"/>
      <c r="K140" s="467"/>
      <c r="L140" s="467"/>
      <c r="M140" s="468"/>
      <c r="N140" s="469"/>
      <c r="O140" s="7"/>
      <c r="P140" s="8"/>
      <c r="R140" s="8"/>
    </row>
    <row r="141" spans="2:29" ht="25.5" customHeight="1" thickBot="1" x14ac:dyDescent="0.25">
      <c r="B141" s="20"/>
      <c r="C141" s="20"/>
      <c r="D141" s="20"/>
      <c r="E141" s="20"/>
      <c r="F141" s="20"/>
      <c r="G141" s="20"/>
      <c r="H141" s="20"/>
      <c r="I141" s="20"/>
      <c r="J141" s="20"/>
      <c r="K141" s="20"/>
      <c r="L141" s="20"/>
      <c r="M141" s="20"/>
      <c r="N141" s="20"/>
      <c r="O141" s="7"/>
    </row>
    <row r="142" spans="2:29" ht="12.75" customHeight="1" thickBot="1" x14ac:dyDescent="0.25">
      <c r="B142" s="3"/>
      <c r="C142" s="281"/>
      <c r="D142" s="281"/>
      <c r="E142" s="281"/>
      <c r="F142" s="281"/>
      <c r="G142" s="281"/>
      <c r="H142" s="281"/>
      <c r="I142" s="281"/>
      <c r="J142" s="281"/>
      <c r="K142" s="281"/>
      <c r="L142" s="281"/>
      <c r="M142" s="281"/>
      <c r="N142" s="281"/>
      <c r="O142" s="7"/>
    </row>
    <row r="143" spans="2:29" ht="38.25" customHeight="1" thickBot="1" x14ac:dyDescent="0.3">
      <c r="B143" s="3"/>
      <c r="C143" s="18">
        <v>2</v>
      </c>
      <c r="D143" s="1439" t="str">
        <f>EUconst_FBSubinst &amp; ":"</f>
        <v>Podinstalacja, dla której wprowadzono rozwiązania rezerwowe (fall-back):</v>
      </c>
      <c r="E143" s="1370"/>
      <c r="F143" s="1370"/>
      <c r="G143" s="1370"/>
      <c r="H143" s="1432"/>
      <c r="I143" s="1781" t="str">
        <f>INDEX(EUconst_FallBackListNames,$C143)</f>
        <v>Podinstalacja objęta wskaźnikiem emisyjności opartym na cieple, „nie-CL”</v>
      </c>
      <c r="J143" s="1666"/>
      <c r="K143" s="1666"/>
      <c r="L143" s="1782"/>
      <c r="M143" s="1860" t="str">
        <f>IF(ISBLANK(INDEX(CNTR_FallBackSubInstRelevant,C143)),"",IF(INDEX(CNTR_FallBackSubInstRelevant,C143),EUconst_Relevant,EUconst_NotRelevant))</f>
        <v>dotyczy</v>
      </c>
      <c r="N143" s="1861"/>
      <c r="O143" s="7"/>
      <c r="P143" s="574">
        <f>C143</f>
        <v>2</v>
      </c>
      <c r="Q143" s="371" t="s">
        <v>234</v>
      </c>
      <c r="R143" s="856">
        <f>IF(M143&lt;&gt;EUconst_Relevant,"",INDEX(CNTR_SubInstStartDate,MATCH($I143,CNTR_SubInstListNames,0)))</f>
        <v>0</v>
      </c>
      <c r="S143" s="853" t="b">
        <f>IF($M143&lt;&gt;EUconst_Relevant,FALSE,AND(I$562, IF($R143&lt;DATE($L$559,1,1),YEAR($R143)&lt;=I$559,YEAR($R143-1)&lt;I$559) ) )</f>
        <v>1</v>
      </c>
      <c r="T143" s="853" t="b">
        <f>IF($M143&lt;&gt;EUconst_Relevant,FALSE,AND(J$562, IF($R143&lt;DATE($L$559,1,1),YEAR($R143)&lt;=J$559,YEAR($R143-1)&lt;J$559) ) )</f>
        <v>1</v>
      </c>
      <c r="U143" s="853" t="b">
        <f>IF($M143&lt;&gt;EUconst_Relevant,FALSE,AND(K$562, IF($R143&lt;DATE($L$559,1,1),YEAR($R143)&lt;=K$559,YEAR($R143-1)&lt;K$559) ) )</f>
        <v>1</v>
      </c>
      <c r="V143" s="853" t="b">
        <f>IF($M143&lt;&gt;EUconst_Relevant,FALSE,AND(L$562, IF($R143&lt;DATE($L$559,1,1),YEAR($R143)&lt;=L$559,YEAR($R143-1)&lt;L$559) ) )</f>
        <v>1</v>
      </c>
      <c r="W143" s="853" t="b">
        <f>IF($M143&lt;&gt;EUconst_Relevant,FALSE,AND(M$562, IF($R143&lt;DATE($L$559,1,1),YEAR($R143)&lt;=M$559,YEAR($R143-1)&lt;M$559) ) )</f>
        <v>1</v>
      </c>
      <c r="X143" s="8"/>
      <c r="AB143" s="736" t="s">
        <v>550</v>
      </c>
      <c r="AC143" s="738" t="b">
        <f>AND(CNTR_ExistSubInstEntries,M143=EUconst_NotRelevant)</f>
        <v>0</v>
      </c>
    </row>
    <row r="144" spans="2:29" ht="12.75" customHeight="1" x14ac:dyDescent="0.2">
      <c r="B144" s="20"/>
      <c r="C144" s="20"/>
      <c r="D144" s="20"/>
      <c r="E144" s="20"/>
      <c r="F144" s="20"/>
      <c r="G144" s="20"/>
      <c r="H144" s="50"/>
      <c r="I144" s="1869" t="str">
        <f>IF(M143="","",IF(M143=EUconst_Relevant,HYPERLINK("",EUconst_MsgEnterThisSection),HYPERLINK(Q144,EUconst_MsgGoToNextSubInst)))</f>
        <v>Proszę podać dane w tej części!</v>
      </c>
      <c r="J144" s="1870"/>
      <c r="K144" s="1870"/>
      <c r="L144" s="1870"/>
      <c r="M144" s="1871"/>
      <c r="N144" s="1872"/>
      <c r="O144" s="7"/>
      <c r="P144" s="2" t="s">
        <v>199</v>
      </c>
      <c r="Q144" s="589" t="str">
        <f>"#JUMP_G"&amp;P143+1</f>
        <v>#JUMP_G3</v>
      </c>
    </row>
    <row r="145" spans="1:29" s="701" customFormat="1" ht="5.0999999999999996" customHeight="1" x14ac:dyDescent="0.2">
      <c r="A145" s="422"/>
      <c r="B145" s="3"/>
      <c r="C145" s="3"/>
      <c r="D145" s="3"/>
      <c r="E145" s="3"/>
      <c r="F145" s="3"/>
      <c r="G145" s="3"/>
      <c r="H145" s="3"/>
      <c r="I145" s="3"/>
      <c r="J145" s="3"/>
      <c r="K145" s="3"/>
      <c r="L145" s="3"/>
      <c r="M145" s="7"/>
      <c r="N145" s="7"/>
      <c r="O145" s="7"/>
      <c r="P145" s="8"/>
      <c r="Q145" s="422"/>
      <c r="R145" s="422"/>
      <c r="S145" s="422"/>
      <c r="T145" s="422"/>
      <c r="U145" s="422"/>
      <c r="V145" s="422"/>
      <c r="W145" s="422"/>
      <c r="X145" s="422"/>
      <c r="Y145" s="422"/>
      <c r="Z145" s="422"/>
      <c r="AA145" s="422"/>
      <c r="AB145" s="422"/>
      <c r="AC145" s="422"/>
    </row>
    <row r="146" spans="1:29" s="701" customFormat="1" ht="12.75" customHeight="1" x14ac:dyDescent="0.2">
      <c r="A146" s="422"/>
      <c r="B146" s="398"/>
      <c r="C146" s="398"/>
      <c r="D146" s="398"/>
      <c r="E146" s="1622" t="str">
        <f>CONCATENATE(EUconst_MsgSeeFirst," (G.I.1)")</f>
        <v>Szczegółowe instrukcje dotyczące wprowadzania danych w tym narzędziu znajdują się w pierwszej kopii tego narzędzia.  (G.I.1)</v>
      </c>
      <c r="F146" s="1622"/>
      <c r="G146" s="1622"/>
      <c r="H146" s="1622"/>
      <c r="I146" s="1622"/>
      <c r="J146" s="1622"/>
      <c r="K146" s="1622"/>
      <c r="L146" s="1622"/>
      <c r="M146" s="1622"/>
      <c r="N146" s="1622"/>
      <c r="O146" s="7"/>
      <c r="P146" s="422"/>
      <c r="Q146" s="422"/>
      <c r="R146" s="422"/>
      <c r="S146" s="422"/>
      <c r="T146" s="422"/>
      <c r="U146" s="422"/>
      <c r="V146" s="422"/>
      <c r="W146" s="422"/>
      <c r="X146" s="422"/>
      <c r="Y146" s="422"/>
      <c r="Z146" s="422"/>
      <c r="AA146" s="422"/>
      <c r="AB146" s="422"/>
      <c r="AC146" s="422"/>
    </row>
    <row r="147" spans="1:29" ht="5.0999999999999996" customHeight="1" x14ac:dyDescent="0.2">
      <c r="B147" s="3"/>
      <c r="C147" s="3"/>
      <c r="D147" s="3"/>
      <c r="E147" s="3"/>
      <c r="F147" s="3"/>
      <c r="G147" s="3"/>
      <c r="H147" s="3"/>
      <c r="I147" s="3"/>
      <c r="J147" s="3"/>
      <c r="K147" s="3"/>
      <c r="L147" s="3"/>
      <c r="M147" s="7"/>
      <c r="N147" s="7"/>
      <c r="O147" s="7"/>
      <c r="P147" s="8"/>
      <c r="Q147" s="8"/>
      <c r="R147" s="8"/>
      <c r="S147" s="8"/>
      <c r="T147" s="8"/>
      <c r="U147" s="8"/>
      <c r="V147" s="8"/>
      <c r="W147" s="8"/>
      <c r="X147" s="8"/>
    </row>
    <row r="148" spans="1:29" ht="12.75" customHeight="1" thickBot="1" x14ac:dyDescent="0.25">
      <c r="B148" s="3"/>
      <c r="C148" s="355"/>
      <c r="D148" s="14" t="s">
        <v>173</v>
      </c>
      <c r="E148" s="1375" t="str">
        <f>Translations!$B$670</f>
        <v>Historyczne poziomy działalności</v>
      </c>
      <c r="F148" s="1370"/>
      <c r="G148" s="1370"/>
      <c r="H148" s="1370"/>
      <c r="I148" s="1370"/>
      <c r="J148" s="1370"/>
      <c r="K148" s="1370"/>
      <c r="L148" s="1370"/>
      <c r="M148" s="1370"/>
      <c r="N148" s="1370"/>
      <c r="O148" s="7"/>
      <c r="P148" s="8"/>
      <c r="Q148" s="8"/>
      <c r="R148" s="8"/>
      <c r="S148" s="8"/>
      <c r="T148" s="8"/>
      <c r="U148" s="8"/>
      <c r="V148" s="8"/>
      <c r="W148" s="8"/>
      <c r="X148" s="8"/>
    </row>
    <row r="149" spans="1:29" ht="12.75" customHeight="1" thickBot="1" x14ac:dyDescent="0.25">
      <c r="B149" s="3"/>
      <c r="C149" s="369"/>
      <c r="D149" s="16"/>
      <c r="E149" s="1891" t="str">
        <f>Translations!$B$827</f>
        <v>Następujące dane są pobierane automatycznie z arkusza „E_EnergyFlows” część E.II lit. r).W związku z tym wprowadzenie danych jest tam obowiązkowe.</v>
      </c>
      <c r="F149" s="1891"/>
      <c r="G149" s="1891"/>
      <c r="H149" s="1891"/>
      <c r="I149" s="1891"/>
      <c r="J149" s="1891"/>
      <c r="K149" s="1891"/>
      <c r="L149" s="1891"/>
      <c r="M149" s="1891"/>
      <c r="N149" s="1891"/>
      <c r="O149" s="7"/>
      <c r="P149" s="8"/>
      <c r="Q149" s="424" t="s">
        <v>432</v>
      </c>
      <c r="R149" s="169" t="s">
        <v>238</v>
      </c>
      <c r="S149" s="170"/>
      <c r="T149" s="170"/>
      <c r="U149" s="170"/>
      <c r="V149" s="170"/>
      <c r="W149" s="170"/>
      <c r="X149" s="171"/>
    </row>
    <row r="150" spans="1:29" ht="12.75" customHeight="1" x14ac:dyDescent="0.2">
      <c r="B150" s="20"/>
      <c r="C150" s="355"/>
      <c r="D150" s="14"/>
      <c r="E150" s="1430" t="str">
        <f>Translations!$B$829</f>
        <v>Główny poziom działalności:</v>
      </c>
      <c r="F150" s="1377"/>
      <c r="G150" s="1377"/>
      <c r="H150" s="34" t="str">
        <f>EUconst_Unit</f>
        <v>Jednostka</v>
      </c>
      <c r="I150" s="396">
        <f>I$559</f>
        <v>2014</v>
      </c>
      <c r="J150" s="396">
        <f>J$559</f>
        <v>2015</v>
      </c>
      <c r="K150" s="396">
        <f>K$559</f>
        <v>2016</v>
      </c>
      <c r="L150" s="396">
        <f>L$559</f>
        <v>2017</v>
      </c>
      <c r="M150" s="396">
        <f>M$559</f>
        <v>2018</v>
      </c>
      <c r="N150" s="888" t="str">
        <f>IF(M143&lt;&gt;EUconst_Relevant,"",IF(Z151,YEAR(R143)+1,""))</f>
        <v/>
      </c>
      <c r="O150" s="7"/>
      <c r="P150" s="164" t="s">
        <v>237</v>
      </c>
      <c r="Q150" s="1239" t="s">
        <v>2190</v>
      </c>
      <c r="R150" s="173" t="s">
        <v>437</v>
      </c>
      <c r="S150" s="165">
        <f>I150</f>
        <v>2014</v>
      </c>
      <c r="T150" s="116">
        <f>J150</f>
        <v>2015</v>
      </c>
      <c r="U150" s="116">
        <f>K150</f>
        <v>2016</v>
      </c>
      <c r="V150" s="116">
        <f>L150</f>
        <v>2017</v>
      </c>
      <c r="W150" s="116">
        <f>M150</f>
        <v>2018</v>
      </c>
      <c r="X150" s="117"/>
      <c r="AA150" s="962" t="b">
        <f>IF(CNTR_ExistSubInstEntries,IF(M143=EUconst_Relevant,NOT(Z151),TRUE),FALSE)</f>
        <v>1</v>
      </c>
    </row>
    <row r="151" spans="1:29" ht="25.5" customHeight="1" thickBot="1" x14ac:dyDescent="0.25">
      <c r="B151" s="20"/>
      <c r="C151" s="20"/>
      <c r="D151" s="20"/>
      <c r="E151" s="1801" t="str">
        <f>I143</f>
        <v>Podinstalacja objęta wskaźnikiem emisyjności opartym na cieple, „nie-CL”</v>
      </c>
      <c r="F151" s="1801"/>
      <c r="G151" s="1801"/>
      <c r="H151" s="98" t="str">
        <f>INDEX(EUconst_FallBackListUnits,MATCH(E151,EUconst_FallBackListNames,0))</f>
        <v>TJ</v>
      </c>
      <c r="I151" s="311">
        <f>IF($M143=EUconst_Relevant,IF(ISNUMBER(INDEX(E_EnergyFlows!I$387:I$393,MATCH($E151,E_EnergyFlows!$E$387:$E$393,0))),INDEX(E_EnergyFlows!I$387:I$393,MATCH($E151,E_EnergyFlows!$E$387:$E$393,0)),INDEX(EUconst_FallbackListMissing,$P143)),"")</f>
        <v>688.51799635030102</v>
      </c>
      <c r="J151" s="311">
        <f>IF($M143=EUconst_Relevant,IF(ISNUMBER(INDEX(E_EnergyFlows!J$387:J$393,MATCH($E151,E_EnergyFlows!$E$387:$E$393,0))),INDEX(E_EnergyFlows!J$387:J$393,MATCH($E151,E_EnergyFlows!$E$387:$E$393,0)),INDEX(EUconst_FallbackListMissing,$P143)),"")</f>
        <v>647.24553979430743</v>
      </c>
      <c r="K151" s="311">
        <f>IF($M143=EUconst_Relevant,IF(ISNUMBER(INDEX(E_EnergyFlows!K$387:K$393,MATCH($E151,E_EnergyFlows!$E$387:$E$393,0))),INDEX(E_EnergyFlows!K$387:K$393,MATCH($E151,E_EnergyFlows!$E$387:$E$393,0)),INDEX(EUconst_FallbackListMissing,$P143)),"")</f>
        <v>744.86796245655296</v>
      </c>
      <c r="L151" s="311">
        <f>IF($M143=EUconst_Relevant,IF(ISNUMBER(INDEX(E_EnergyFlows!L$387:L$393,MATCH($E151,E_EnergyFlows!$E$387:$E$393,0))),INDEX(E_EnergyFlows!L$387:L$393,MATCH($E151,E_EnergyFlows!$E$387:$E$393,0)),INDEX(EUconst_FallbackListMissing,$P143)),"")</f>
        <v>636.15108326654081</v>
      </c>
      <c r="M151" s="311">
        <f>IF($M143=EUconst_Relevant,IF(ISNUMBER(INDEX(E_EnergyFlows!M$387:M$393,MATCH($E151,E_EnergyFlows!$E$387:$E$393,0))),INDEX(E_EnergyFlows!M$387:M$393,MATCH($E151,E_EnergyFlows!$E$387:$E$393,0)),INDEX(EUconst_FallbackListMissing,$P143)),"")</f>
        <v>735.76769914288332</v>
      </c>
      <c r="N151" s="954"/>
      <c r="O151" s="7"/>
      <c r="P151" s="167" t="str">
        <f>EUconst_CNTR_HAL&amp;E151</f>
        <v>HAL_Podinstalacja objęta wskaźnikiem emisyjności opartym na cieple, „nie-CL”</v>
      </c>
      <c r="Q151" s="168">
        <f>IF(COUNT($K151:$L151)&gt;0,AVERAGE($K151:$L151),"")</f>
        <v>690.50952286154688</v>
      </c>
      <c r="R151" s="166">
        <f>IF(COUNT(S151:W151)&gt;0,AVERAGE(S151:W151),"")</f>
        <v>690.51005620211708</v>
      </c>
      <c r="S151" s="172">
        <f>IF(S143,IF(ISNUMBER(I151),I151,0),"")</f>
        <v>688.51799635030102</v>
      </c>
      <c r="T151" s="119">
        <f>IF(T143,IF(ISNUMBER(J151),J151,0),"")</f>
        <v>647.24553979430743</v>
      </c>
      <c r="U151" s="119">
        <f>IF(U143,IF(ISNUMBER(K151),K151,0),"")</f>
        <v>744.86796245655296</v>
      </c>
      <c r="V151" s="119">
        <f>IF(V143,IF(ISNUMBER(L151),L151,0),"")</f>
        <v>636.15108326654081</v>
      </c>
      <c r="W151" s="119">
        <f>IF(W143,IF(ISNUMBER(M151),M151,0),"")</f>
        <v>735.76769914288332</v>
      </c>
      <c r="X151" s="120"/>
      <c r="Y151" s="371" t="s">
        <v>598</v>
      </c>
      <c r="Z151" s="164" t="b">
        <f>IF(M143&lt;&gt;EUconst_Relevant,FALSE,INDEX(CNTR_SubInstLess1Year,MATCH(I143,CNTR_SubInstListNames,0)))</f>
        <v>0</v>
      </c>
      <c r="AA151" s="956" t="b">
        <f>AA150</f>
        <v>1</v>
      </c>
    </row>
    <row r="152" spans="1:29" ht="12.75" customHeight="1" x14ac:dyDescent="0.2">
      <c r="B152" s="20"/>
      <c r="C152" s="5"/>
      <c r="D152" s="5"/>
      <c r="E152" s="5"/>
      <c r="F152" s="5"/>
      <c r="G152" s="5"/>
      <c r="H152" s="5"/>
      <c r="I152" s="5"/>
      <c r="J152" s="5"/>
      <c r="K152" s="5"/>
      <c r="L152" s="5"/>
      <c r="M152" s="5"/>
      <c r="N152" s="5"/>
      <c r="O152" s="7"/>
    </row>
    <row r="153" spans="1:29" ht="15" x14ac:dyDescent="0.25">
      <c r="B153" s="20"/>
      <c r="C153" s="368"/>
      <c r="D153" s="1439" t="str">
        <f>Translations!$B$700</f>
        <v>Szczegółowe dane dotyczące produkcji</v>
      </c>
      <c r="E153" s="1370"/>
      <c r="F153" s="1370"/>
      <c r="G153" s="1370"/>
      <c r="H153" s="1370"/>
      <c r="I153" s="1370"/>
      <c r="J153" s="1370"/>
      <c r="K153" s="1370"/>
      <c r="L153" s="1370"/>
      <c r="M153" s="1370"/>
      <c r="N153" s="1370"/>
      <c r="O153" s="7"/>
      <c r="Y153" s="8"/>
      <c r="Z153" s="8"/>
      <c r="AA153" s="8"/>
      <c r="AB153" s="8"/>
    </row>
    <row r="154" spans="1:29" ht="5.0999999999999996" customHeight="1" x14ac:dyDescent="0.2">
      <c r="B154" s="3"/>
      <c r="C154" s="5"/>
      <c r="D154" s="3"/>
      <c r="E154" s="3"/>
      <c r="F154" s="3"/>
      <c r="G154" s="3"/>
      <c r="H154" s="3"/>
      <c r="I154" s="3"/>
      <c r="J154" s="3"/>
      <c r="K154" s="3"/>
      <c r="L154" s="3"/>
      <c r="M154" s="3"/>
      <c r="N154" s="3"/>
      <c r="O154" s="7"/>
      <c r="P154" s="8"/>
      <c r="Q154" s="8"/>
    </row>
    <row r="155" spans="1:29" ht="12.75" customHeight="1" x14ac:dyDescent="0.2">
      <c r="B155" s="3"/>
      <c r="C155" s="355"/>
      <c r="D155" s="14" t="s">
        <v>353</v>
      </c>
      <c r="E155" s="1375" t="str">
        <f>Translations!$B$830</f>
        <v>Identyfikacja odpowiednich produktów i usług związanych z tą podinstalacją</v>
      </c>
      <c r="F155" s="1370"/>
      <c r="G155" s="1370"/>
      <c r="H155" s="1370"/>
      <c r="I155" s="1370"/>
      <c r="J155" s="1370"/>
      <c r="K155" s="1370"/>
      <c r="L155" s="1370"/>
      <c r="M155" s="1370"/>
      <c r="N155" s="1370"/>
      <c r="O155" s="7"/>
      <c r="P155" s="8"/>
    </row>
    <row r="156" spans="1:29" ht="5.0999999999999996" customHeight="1" x14ac:dyDescent="0.2">
      <c r="B156" s="3"/>
      <c r="C156" s="369"/>
      <c r="D156" s="16"/>
      <c r="E156" s="17"/>
      <c r="F156" s="17"/>
      <c r="G156" s="17"/>
      <c r="H156" s="17"/>
      <c r="I156" s="17"/>
      <c r="J156" s="21"/>
      <c r="K156" s="353"/>
      <c r="L156" s="353"/>
      <c r="M156" s="26"/>
      <c r="N156" s="26"/>
      <c r="O156" s="7"/>
      <c r="P156" s="8"/>
    </row>
    <row r="157" spans="1:29" ht="25.5" x14ac:dyDescent="0.2">
      <c r="B157" s="20"/>
      <c r="C157" s="355"/>
      <c r="D157" s="344"/>
      <c r="E157" s="1885" t="str">
        <f>Translations!$B$837</f>
        <v>Rodzaj wykorzystania</v>
      </c>
      <c r="F157" s="1431"/>
      <c r="G157" s="1885" t="str">
        <f>Translations!$B$838</f>
        <v>W instalacji czy wyprowadzanie?</v>
      </c>
      <c r="H157" s="1431"/>
      <c r="I157" s="1852" t="str">
        <f>Translations!$B$839</f>
        <v>Nazwa produktu lub wyprowadzanie ciepła inne niż „do sieci ciepłowniczej”</v>
      </c>
      <c r="J157" s="1377"/>
      <c r="K157" s="1377"/>
      <c r="L157" s="1431"/>
      <c r="M157" s="399" t="s">
        <v>386</v>
      </c>
      <c r="N157" s="26"/>
      <c r="O157" s="7"/>
      <c r="Y157" s="8"/>
      <c r="Z157" s="8"/>
      <c r="AA157" s="8"/>
      <c r="AB157" s="8"/>
    </row>
    <row r="158" spans="1:29" ht="31.5" customHeight="1" x14ac:dyDescent="0.2">
      <c r="B158" s="20"/>
      <c r="C158" s="50"/>
      <c r="D158" s="37">
        <v>1</v>
      </c>
      <c r="E158" s="1522" t="s">
        <v>3465</v>
      </c>
      <c r="F158" s="1426"/>
      <c r="G158" s="1901" t="s">
        <v>3679</v>
      </c>
      <c r="H158" s="1902"/>
      <c r="I158" s="1886" t="s">
        <v>3700</v>
      </c>
      <c r="J158" s="1887"/>
      <c r="K158" s="1887"/>
      <c r="L158" s="1888"/>
      <c r="M158" s="1315" t="s">
        <v>3701</v>
      </c>
      <c r="N158" s="26"/>
      <c r="O158" s="7"/>
    </row>
    <row r="159" spans="1:29" ht="32.25" customHeight="1" x14ac:dyDescent="0.2">
      <c r="B159" s="20"/>
      <c r="C159" s="50"/>
      <c r="D159" s="38">
        <f>D158+1</f>
        <v>2</v>
      </c>
      <c r="E159" s="1413" t="s">
        <v>3465</v>
      </c>
      <c r="F159" s="1410"/>
      <c r="G159" s="1837" t="s">
        <v>3679</v>
      </c>
      <c r="H159" s="1838"/>
      <c r="I159" s="1886" t="s">
        <v>3702</v>
      </c>
      <c r="J159" s="1887"/>
      <c r="K159" s="1887"/>
      <c r="L159" s="1888"/>
      <c r="M159" s="1316" t="s">
        <v>3703</v>
      </c>
      <c r="N159" s="26"/>
      <c r="O159" s="7"/>
    </row>
    <row r="160" spans="1:29" ht="12.75" customHeight="1" x14ac:dyDescent="0.2">
      <c r="B160" s="20"/>
      <c r="C160" s="50"/>
      <c r="D160" s="38">
        <f t="shared" ref="D160:D167" si="3">D159+1</f>
        <v>3</v>
      </c>
      <c r="E160" s="1413"/>
      <c r="F160" s="1410"/>
      <c r="G160" s="1837"/>
      <c r="H160" s="1838"/>
      <c r="I160" s="1511"/>
      <c r="J160" s="1845"/>
      <c r="K160" s="1845"/>
      <c r="L160" s="1846"/>
      <c r="M160" s="550"/>
      <c r="N160" s="26"/>
      <c r="O160" s="7"/>
    </row>
    <row r="161" spans="2:28" ht="12.75" customHeight="1" x14ac:dyDescent="0.2">
      <c r="B161" s="20"/>
      <c r="C161" s="50"/>
      <c r="D161" s="38">
        <f t="shared" si="3"/>
        <v>4</v>
      </c>
      <c r="E161" s="1413"/>
      <c r="F161" s="1410"/>
      <c r="G161" s="1837"/>
      <c r="H161" s="1838"/>
      <c r="I161" s="1511"/>
      <c r="J161" s="1845"/>
      <c r="K161" s="1845"/>
      <c r="L161" s="1846"/>
      <c r="M161" s="550"/>
      <c r="N161" s="26"/>
      <c r="O161" s="7"/>
    </row>
    <row r="162" spans="2:28" ht="12.75" customHeight="1" x14ac:dyDescent="0.2">
      <c r="B162" s="20"/>
      <c r="C162" s="50"/>
      <c r="D162" s="38">
        <f t="shared" si="3"/>
        <v>5</v>
      </c>
      <c r="E162" s="1413"/>
      <c r="F162" s="1410"/>
      <c r="G162" s="1837"/>
      <c r="H162" s="1838"/>
      <c r="I162" s="1511"/>
      <c r="J162" s="1845"/>
      <c r="K162" s="1845"/>
      <c r="L162" s="1846"/>
      <c r="M162" s="550"/>
      <c r="N162" s="26"/>
      <c r="O162" s="7"/>
      <c r="Y162" s="8"/>
      <c r="Z162" s="8"/>
      <c r="AA162" s="8"/>
      <c r="AB162" s="8"/>
    </row>
    <row r="163" spans="2:28" ht="12.75" customHeight="1" x14ac:dyDescent="0.2">
      <c r="B163" s="20"/>
      <c r="C163" s="50"/>
      <c r="D163" s="38">
        <f t="shared" si="3"/>
        <v>6</v>
      </c>
      <c r="E163" s="1413"/>
      <c r="F163" s="1410"/>
      <c r="G163" s="1837"/>
      <c r="H163" s="1838"/>
      <c r="I163" s="1511"/>
      <c r="J163" s="1845"/>
      <c r="K163" s="1845"/>
      <c r="L163" s="1846"/>
      <c r="M163" s="550"/>
      <c r="N163" s="26"/>
      <c r="O163" s="7"/>
    </row>
    <row r="164" spans="2:28" ht="12.75" customHeight="1" x14ac:dyDescent="0.2">
      <c r="B164" s="20"/>
      <c r="C164" s="50"/>
      <c r="D164" s="38">
        <f t="shared" si="3"/>
        <v>7</v>
      </c>
      <c r="E164" s="1413"/>
      <c r="F164" s="1410"/>
      <c r="G164" s="1837"/>
      <c r="H164" s="1838"/>
      <c r="I164" s="1511"/>
      <c r="J164" s="1845"/>
      <c r="K164" s="1845"/>
      <c r="L164" s="1846"/>
      <c r="M164" s="550"/>
      <c r="N164" s="26"/>
      <c r="O164" s="7"/>
    </row>
    <row r="165" spans="2:28" ht="12.75" customHeight="1" x14ac:dyDescent="0.2">
      <c r="B165" s="20"/>
      <c r="C165" s="50"/>
      <c r="D165" s="38">
        <f t="shared" si="3"/>
        <v>8</v>
      </c>
      <c r="E165" s="1413"/>
      <c r="F165" s="1410"/>
      <c r="G165" s="1837"/>
      <c r="H165" s="1838"/>
      <c r="I165" s="1511"/>
      <c r="J165" s="1845"/>
      <c r="K165" s="1845"/>
      <c r="L165" s="1846"/>
      <c r="M165" s="550"/>
      <c r="N165" s="26"/>
      <c r="O165" s="7"/>
    </row>
    <row r="166" spans="2:28" ht="12.75" customHeight="1" x14ac:dyDescent="0.2">
      <c r="B166" s="20"/>
      <c r="C166" s="50"/>
      <c r="D166" s="38">
        <f t="shared" si="3"/>
        <v>9</v>
      </c>
      <c r="E166" s="1413"/>
      <c r="F166" s="1410"/>
      <c r="G166" s="1837"/>
      <c r="H166" s="1838"/>
      <c r="I166" s="1511"/>
      <c r="J166" s="1845"/>
      <c r="K166" s="1845"/>
      <c r="L166" s="1846"/>
      <c r="M166" s="550"/>
      <c r="N166" s="26"/>
      <c r="O166" s="7"/>
    </row>
    <row r="167" spans="2:28" ht="12.75" customHeight="1" x14ac:dyDescent="0.2">
      <c r="B167" s="20"/>
      <c r="C167" s="50"/>
      <c r="D167" s="41">
        <f t="shared" si="3"/>
        <v>10</v>
      </c>
      <c r="E167" s="1508"/>
      <c r="F167" s="1506"/>
      <c r="G167" s="1847"/>
      <c r="H167" s="1848"/>
      <c r="I167" s="1509"/>
      <c r="J167" s="1843"/>
      <c r="K167" s="1843"/>
      <c r="L167" s="1844"/>
      <c r="M167" s="551"/>
      <c r="N167" s="26"/>
      <c r="O167" s="7"/>
      <c r="Y167" s="8"/>
      <c r="Z167" s="8"/>
      <c r="AA167" s="8"/>
      <c r="AB167" s="8"/>
    </row>
    <row r="168" spans="2:28" ht="5.0999999999999996" customHeight="1" x14ac:dyDescent="0.2">
      <c r="B168" s="3"/>
      <c r="C168" s="5"/>
      <c r="D168" s="3"/>
      <c r="E168" s="3"/>
      <c r="F168" s="3"/>
      <c r="G168" s="3"/>
      <c r="H168" s="3"/>
      <c r="I168" s="3"/>
      <c r="J168" s="3"/>
      <c r="K168" s="3"/>
      <c r="L168" s="3"/>
      <c r="M168" s="3"/>
      <c r="N168" s="3"/>
      <c r="O168" s="7"/>
      <c r="P168" s="8"/>
      <c r="Q168" s="8"/>
    </row>
    <row r="169" spans="2:28" ht="12.75" customHeight="1" x14ac:dyDescent="0.2">
      <c r="B169" s="3"/>
      <c r="C169" s="355"/>
      <c r="D169" s="14"/>
      <c r="E169" s="1375" t="str">
        <f>Translations!$B$840</f>
        <v>Poziomy produkcji:</v>
      </c>
      <c r="F169" s="1370"/>
      <c r="G169" s="1370"/>
      <c r="H169" s="1370"/>
      <c r="I169" s="1370"/>
      <c r="J169" s="1370"/>
      <c r="K169" s="1370"/>
      <c r="L169" s="1370"/>
      <c r="M169" s="1370"/>
      <c r="N169" s="1370"/>
      <c r="O169" s="7"/>
      <c r="P169" s="8"/>
    </row>
    <row r="170" spans="2:28" ht="5.0999999999999996" customHeight="1" x14ac:dyDescent="0.2">
      <c r="B170" s="3"/>
      <c r="C170" s="369"/>
      <c r="D170" s="16"/>
      <c r="E170" s="17"/>
      <c r="F170" s="17"/>
      <c r="G170" s="17"/>
      <c r="H170" s="17"/>
      <c r="I170" s="17"/>
      <c r="J170" s="21"/>
      <c r="K170" s="21"/>
      <c r="L170" s="21"/>
      <c r="M170" s="7"/>
      <c r="N170" s="7"/>
      <c r="O170" s="7"/>
      <c r="P170" s="8"/>
    </row>
    <row r="171" spans="2:28" ht="25.5" customHeight="1" x14ac:dyDescent="0.2">
      <c r="B171" s="20"/>
      <c r="C171" s="355"/>
      <c r="D171" s="344"/>
      <c r="E171" s="1852" t="str">
        <f>I157</f>
        <v>Nazwa produktu lub wyprowadzanie ciepła inne niż „do sieci ciepłowniczej”</v>
      </c>
      <c r="F171" s="1377"/>
      <c r="G171" s="1431"/>
      <c r="H171" s="34" t="str">
        <f>EUconst_Unit</f>
        <v>Jednostka</v>
      </c>
      <c r="I171" s="396">
        <f>I$559</f>
        <v>2014</v>
      </c>
      <c r="J171" s="396">
        <f>J$559</f>
        <v>2015</v>
      </c>
      <c r="K171" s="396">
        <f>K$559</f>
        <v>2016</v>
      </c>
      <c r="L171" s="396">
        <f>L$559</f>
        <v>2017</v>
      </c>
      <c r="M171" s="421">
        <f>M$559</f>
        <v>2018</v>
      </c>
      <c r="N171" s="7"/>
      <c r="O171" s="7"/>
    </row>
    <row r="172" spans="2:28" ht="12.75" customHeight="1" x14ac:dyDescent="0.2">
      <c r="B172" s="20"/>
      <c r="C172" s="50"/>
      <c r="D172" s="37">
        <v>1</v>
      </c>
      <c r="E172" s="1873" t="str">
        <f t="shared" ref="E172:E181" si="4">IF(ISBLANK(I158),"",I158)</f>
        <v xml:space="preserve">Produkt nie objęty CL 1 np. Przetwórstwo mleka i wyrób serów/Masło i pozostałe tłuszcze do smarowania 
 </v>
      </c>
      <c r="F172" s="1874"/>
      <c r="G172" s="1875"/>
      <c r="H172" s="1317" t="s">
        <v>93</v>
      </c>
      <c r="I172" s="548">
        <v>328.25899817515051</v>
      </c>
      <c r="J172" s="548">
        <v>311.12276989715372</v>
      </c>
      <c r="K172" s="548">
        <v>359.93398122827648</v>
      </c>
      <c r="L172" s="548">
        <v>301.5755416332704</v>
      </c>
      <c r="M172" s="548">
        <v>346.88384957144166</v>
      </c>
      <c r="N172" s="7"/>
      <c r="O172" s="7"/>
    </row>
    <row r="173" spans="2:28" ht="12.75" customHeight="1" x14ac:dyDescent="0.2">
      <c r="B173" s="20"/>
      <c r="C173" s="50"/>
      <c r="D173" s="38">
        <f>D172+1</f>
        <v>2</v>
      </c>
      <c r="E173" s="1839" t="str">
        <f t="shared" si="4"/>
        <v xml:space="preserve">Produkt nie objęty CL 2 np. Przetwórstwo mleka i wyrób serów/Sery i twarogi 
 </v>
      </c>
      <c r="F173" s="1441"/>
      <c r="G173" s="1840"/>
      <c r="H173" s="1318" t="s">
        <v>93</v>
      </c>
      <c r="I173" s="548">
        <v>328.25899817515051</v>
      </c>
      <c r="J173" s="548">
        <v>311.12276989715372</v>
      </c>
      <c r="K173" s="548">
        <v>359.93398122827648</v>
      </c>
      <c r="L173" s="548">
        <v>301.5755416332704</v>
      </c>
      <c r="M173" s="548">
        <v>346.88384957144166</v>
      </c>
      <c r="N173" s="7"/>
      <c r="O173" s="7"/>
    </row>
    <row r="174" spans="2:28" ht="12.75" customHeight="1" x14ac:dyDescent="0.2">
      <c r="B174" s="20"/>
      <c r="C174" s="50"/>
      <c r="D174" s="38">
        <f t="shared" ref="D174:D181" si="5">D173+1</f>
        <v>3</v>
      </c>
      <c r="E174" s="1839" t="str">
        <f t="shared" si="4"/>
        <v/>
      </c>
      <c r="F174" s="1441"/>
      <c r="G174" s="1840"/>
      <c r="H174" s="768"/>
      <c r="I174" s="548"/>
      <c r="J174" s="548"/>
      <c r="K174" s="548"/>
      <c r="L174" s="548"/>
      <c r="M174" s="606"/>
      <c r="N174" s="7"/>
      <c r="O174" s="7"/>
    </row>
    <row r="175" spans="2:28" ht="12.75" customHeight="1" x14ac:dyDescent="0.2">
      <c r="B175" s="20"/>
      <c r="C175" s="50"/>
      <c r="D175" s="38">
        <f t="shared" si="5"/>
        <v>4</v>
      </c>
      <c r="E175" s="1839" t="str">
        <f t="shared" si="4"/>
        <v/>
      </c>
      <c r="F175" s="1441"/>
      <c r="G175" s="1840"/>
      <c r="H175" s="768"/>
      <c r="I175" s="548"/>
      <c r="J175" s="548"/>
      <c r="K175" s="548"/>
      <c r="L175" s="548"/>
      <c r="M175" s="606"/>
      <c r="N175" s="7"/>
      <c r="O175" s="7"/>
    </row>
    <row r="176" spans="2:28" ht="12.75" customHeight="1" x14ac:dyDescent="0.2">
      <c r="B176" s="20"/>
      <c r="C176" s="50"/>
      <c r="D176" s="38">
        <f t="shared" si="5"/>
        <v>5</v>
      </c>
      <c r="E176" s="1839" t="str">
        <f t="shared" si="4"/>
        <v/>
      </c>
      <c r="F176" s="1441"/>
      <c r="G176" s="1840"/>
      <c r="H176" s="768"/>
      <c r="I176" s="548"/>
      <c r="J176" s="548"/>
      <c r="K176" s="548"/>
      <c r="L176" s="548"/>
      <c r="M176" s="606"/>
      <c r="N176" s="7"/>
      <c r="O176" s="7"/>
    </row>
    <row r="177" spans="2:30" ht="12.75" customHeight="1" x14ac:dyDescent="0.2">
      <c r="B177" s="20"/>
      <c r="C177" s="50"/>
      <c r="D177" s="38">
        <f t="shared" si="5"/>
        <v>6</v>
      </c>
      <c r="E177" s="1839" t="str">
        <f t="shared" si="4"/>
        <v/>
      </c>
      <c r="F177" s="1441"/>
      <c r="G177" s="1840"/>
      <c r="H177" s="768"/>
      <c r="I177" s="548"/>
      <c r="J177" s="548"/>
      <c r="K177" s="548"/>
      <c r="L177" s="548"/>
      <c r="M177" s="606"/>
      <c r="N177" s="7"/>
      <c r="O177" s="7"/>
    </row>
    <row r="178" spans="2:30" ht="12.75" customHeight="1" x14ac:dyDescent="0.2">
      <c r="B178" s="20"/>
      <c r="C178" s="50"/>
      <c r="D178" s="38">
        <f t="shared" si="5"/>
        <v>7</v>
      </c>
      <c r="E178" s="1839" t="str">
        <f t="shared" si="4"/>
        <v/>
      </c>
      <c r="F178" s="1441"/>
      <c r="G178" s="1840"/>
      <c r="H178" s="768"/>
      <c r="I178" s="548"/>
      <c r="J178" s="548"/>
      <c r="K178" s="548"/>
      <c r="L178" s="548"/>
      <c r="M178" s="606"/>
      <c r="N178" s="7"/>
      <c r="O178" s="7"/>
    </row>
    <row r="179" spans="2:30" ht="12.75" customHeight="1" x14ac:dyDescent="0.2">
      <c r="B179" s="20"/>
      <c r="C179" s="50"/>
      <c r="D179" s="38">
        <f t="shared" si="5"/>
        <v>8</v>
      </c>
      <c r="E179" s="1839" t="str">
        <f t="shared" si="4"/>
        <v/>
      </c>
      <c r="F179" s="1441"/>
      <c r="G179" s="1840"/>
      <c r="H179" s="768"/>
      <c r="I179" s="548"/>
      <c r="J179" s="548"/>
      <c r="K179" s="548"/>
      <c r="L179" s="548"/>
      <c r="M179" s="606"/>
      <c r="N179" s="7"/>
      <c r="O179" s="7"/>
    </row>
    <row r="180" spans="2:30" ht="12.75" customHeight="1" x14ac:dyDescent="0.2">
      <c r="B180" s="20"/>
      <c r="C180" s="50"/>
      <c r="D180" s="38">
        <f t="shared" si="5"/>
        <v>9</v>
      </c>
      <c r="E180" s="1839" t="str">
        <f t="shared" si="4"/>
        <v/>
      </c>
      <c r="F180" s="1441"/>
      <c r="G180" s="1840"/>
      <c r="H180" s="768"/>
      <c r="I180" s="548"/>
      <c r="J180" s="548"/>
      <c r="K180" s="548"/>
      <c r="L180" s="548"/>
      <c r="M180" s="606"/>
      <c r="N180" s="7"/>
      <c r="O180" s="7"/>
    </row>
    <row r="181" spans="2:30" ht="12.75" customHeight="1" x14ac:dyDescent="0.2">
      <c r="B181" s="20"/>
      <c r="C181" s="50"/>
      <c r="D181" s="41">
        <f t="shared" si="5"/>
        <v>10</v>
      </c>
      <c r="E181" s="1841" t="str">
        <f t="shared" si="4"/>
        <v/>
      </c>
      <c r="F181" s="1450"/>
      <c r="G181" s="1842"/>
      <c r="H181" s="769"/>
      <c r="I181" s="446"/>
      <c r="J181" s="446"/>
      <c r="K181" s="446"/>
      <c r="L181" s="446"/>
      <c r="M181" s="607"/>
      <c r="N181" s="7"/>
      <c r="O181" s="7"/>
    </row>
    <row r="182" spans="2:30" ht="12.75" customHeight="1" x14ac:dyDescent="0.2">
      <c r="B182" s="20"/>
      <c r="C182" s="20"/>
      <c r="D182" s="97"/>
      <c r="E182" s="1849" t="str">
        <f>Translations!$B$708</f>
        <v>Suma poziomów produkcji</v>
      </c>
      <c r="F182" s="1666"/>
      <c r="G182" s="1383"/>
      <c r="H182" s="236"/>
      <c r="I182" s="327">
        <f>IF(COUNT(I172:I181)&gt;0,SUM(I172:I181),"")</f>
        <v>656.51799635030102</v>
      </c>
      <c r="J182" s="327">
        <f>IF(COUNT(J172:J181)&gt;0,SUM(J172:J181),"")</f>
        <v>622.24553979430743</v>
      </c>
      <c r="K182" s="327">
        <f>IF(COUNT(K172:K181)&gt;0,SUM(K172:K181),"")</f>
        <v>719.86796245655296</v>
      </c>
      <c r="L182" s="327">
        <f>IF(COUNT(L172:L181)&gt;0,SUM(L172:L181),"")</f>
        <v>603.15108326654081</v>
      </c>
      <c r="M182" s="332">
        <f>IF(COUNT(M172:M181)&gt;0,SUM(M172:M181),"")</f>
        <v>693.76769914288332</v>
      </c>
      <c r="N182" s="7"/>
      <c r="O182" s="7"/>
    </row>
    <row r="183" spans="2:30" ht="12.75" customHeight="1" thickBot="1" x14ac:dyDescent="0.25">
      <c r="B183" s="20"/>
      <c r="C183" s="20"/>
      <c r="D183" s="20"/>
      <c r="E183" s="20"/>
      <c r="F183" s="20"/>
      <c r="G183" s="20"/>
      <c r="H183" s="20"/>
      <c r="I183" s="20"/>
      <c r="J183" s="20"/>
      <c r="K183" s="20"/>
      <c r="L183" s="20"/>
      <c r="M183" s="20"/>
      <c r="N183" s="20"/>
      <c r="O183" s="7"/>
    </row>
    <row r="184" spans="2:30" ht="5.0999999999999996" customHeight="1" x14ac:dyDescent="0.2">
      <c r="B184" s="3"/>
      <c r="C184" s="455"/>
      <c r="D184" s="456"/>
      <c r="E184" s="456"/>
      <c r="F184" s="456"/>
      <c r="G184" s="456"/>
      <c r="H184" s="456"/>
      <c r="I184" s="456"/>
      <c r="J184" s="456"/>
      <c r="K184" s="456"/>
      <c r="L184" s="456"/>
      <c r="M184" s="457"/>
      <c r="N184" s="458"/>
      <c r="O184" s="7"/>
      <c r="P184" s="8"/>
      <c r="R184" s="8"/>
      <c r="S184" s="8"/>
    </row>
    <row r="185" spans="2:30" ht="15" customHeight="1" x14ac:dyDescent="0.2">
      <c r="B185" s="20"/>
      <c r="C185" s="459"/>
      <c r="D185" s="1776" t="str">
        <f>Translations!$B$709</f>
        <v>Dane wymagane do określenia współczynnika poprawy wskaźników zgodnie z art. 10a ust. 2 dyrektywy w sprawie EU ETS</v>
      </c>
      <c r="E185" s="1734"/>
      <c r="F185" s="1734"/>
      <c r="G185" s="1734"/>
      <c r="H185" s="1734"/>
      <c r="I185" s="1734"/>
      <c r="J185" s="1734"/>
      <c r="K185" s="1734"/>
      <c r="L185" s="1734"/>
      <c r="M185" s="1734"/>
      <c r="N185" s="1735"/>
      <c r="O185" s="7"/>
      <c r="R185" s="8"/>
      <c r="S185" s="8"/>
    </row>
    <row r="186" spans="2:30" ht="5.0999999999999996" customHeight="1" x14ac:dyDescent="0.2">
      <c r="B186" s="20"/>
      <c r="C186" s="460"/>
      <c r="D186" s="449"/>
      <c r="E186" s="449"/>
      <c r="F186" s="449"/>
      <c r="G186" s="449"/>
      <c r="H186" s="449"/>
      <c r="I186" s="449"/>
      <c r="J186" s="449"/>
      <c r="K186" s="449"/>
      <c r="L186" s="449"/>
      <c r="M186" s="449"/>
      <c r="N186" s="461"/>
      <c r="O186" s="7"/>
      <c r="R186" s="8"/>
      <c r="S186" s="8"/>
    </row>
    <row r="187" spans="2:30" ht="15" customHeight="1" x14ac:dyDescent="0.2">
      <c r="B187" s="20"/>
      <c r="C187" s="460"/>
      <c r="D187" s="1778" t="str">
        <f>EUconst_FBSubinst &amp; ":"</f>
        <v>Podinstalacja, dla której wprowadzono rozwiązania rezerwowe (fall-back):</v>
      </c>
      <c r="E187" s="1779"/>
      <c r="F187" s="1779"/>
      <c r="G187" s="1779"/>
      <c r="H187" s="1780"/>
      <c r="I187" s="1781" t="str">
        <f>I143</f>
        <v>Podinstalacja objęta wskaźnikiem emisyjności opartym na cieple, „nie-CL”</v>
      </c>
      <c r="J187" s="1666"/>
      <c r="K187" s="1666"/>
      <c r="L187" s="1666"/>
      <c r="M187" s="1666"/>
      <c r="N187" s="1782"/>
      <c r="O187" s="7"/>
      <c r="R187" s="8"/>
      <c r="S187" s="8"/>
    </row>
    <row r="188" spans="2:30" ht="5.0999999999999996" customHeight="1" x14ac:dyDescent="0.2">
      <c r="B188" s="20"/>
      <c r="C188" s="460"/>
      <c r="D188" s="449"/>
      <c r="E188" s="449"/>
      <c r="F188" s="449"/>
      <c r="G188" s="449"/>
      <c r="H188" s="449"/>
      <c r="I188" s="449"/>
      <c r="J188" s="449"/>
      <c r="K188" s="449"/>
      <c r="L188" s="449"/>
      <c r="M188" s="449"/>
      <c r="N188" s="461"/>
      <c r="O188" s="7"/>
      <c r="R188" s="8"/>
      <c r="S188" s="8"/>
    </row>
    <row r="189" spans="2:30" ht="12.75" customHeight="1" x14ac:dyDescent="0.2">
      <c r="B189" s="3"/>
      <c r="C189" s="459"/>
      <c r="D189" s="462" t="s">
        <v>11</v>
      </c>
      <c r="E189" s="1731" t="str">
        <f>Translations!$B$841</f>
        <v>Emisje, które można bezpośrednio przypisać (DirEm*) do tej podinstalacji</v>
      </c>
      <c r="F189" s="1734"/>
      <c r="G189" s="1734"/>
      <c r="H189" s="1734"/>
      <c r="I189" s="1734"/>
      <c r="J189" s="1734"/>
      <c r="K189" s="1734"/>
      <c r="L189" s="1734"/>
      <c r="M189" s="1734"/>
      <c r="N189" s="1735"/>
      <c r="O189" s="7"/>
      <c r="P189" s="8"/>
      <c r="R189" s="8"/>
      <c r="S189" s="8"/>
    </row>
    <row r="190" spans="2:30" ht="12.75" customHeight="1" thickBot="1" x14ac:dyDescent="0.25">
      <c r="B190" s="3"/>
      <c r="C190" s="459"/>
      <c r="D190" s="448"/>
      <c r="E190" s="1733" t="str">
        <f>Translations!$B$876</f>
        <v>Szczegółowe instrukcje dotyczące wprowadzania danych w tym polu znajdują się w pkt 1 lit. c) powyżej.</v>
      </c>
      <c r="F190" s="1733"/>
      <c r="G190" s="1733"/>
      <c r="H190" s="1733"/>
      <c r="I190" s="1733"/>
      <c r="J190" s="1733"/>
      <c r="K190" s="1733"/>
      <c r="L190" s="1733"/>
      <c r="M190" s="1733"/>
      <c r="N190" s="1768"/>
      <c r="O190" s="7"/>
      <c r="P190" s="8"/>
      <c r="R190" s="8"/>
    </row>
    <row r="191" spans="2:30" ht="12.75" customHeight="1" x14ac:dyDescent="0.2">
      <c r="B191" s="3"/>
      <c r="C191" s="459"/>
      <c r="D191" s="462"/>
      <c r="E191" s="1757" t="str">
        <f>Translations!$B$690</f>
        <v>Całkowite emisje bezpośrednie</v>
      </c>
      <c r="F191" s="1758"/>
      <c r="G191" s="1758"/>
      <c r="H191" s="450" t="str">
        <f>EUconst_Unit</f>
        <v>Jednostka</v>
      </c>
      <c r="I191" s="451">
        <f>I$559</f>
        <v>2014</v>
      </c>
      <c r="J191" s="451">
        <f>J$559</f>
        <v>2015</v>
      </c>
      <c r="K191" s="451">
        <f>K$559</f>
        <v>2016</v>
      </c>
      <c r="L191" s="451">
        <f>L$559</f>
        <v>2017</v>
      </c>
      <c r="M191" s="451">
        <f>M$559</f>
        <v>2018</v>
      </c>
      <c r="N191" s="463"/>
      <c r="O191" s="340" t="s">
        <v>3690</v>
      </c>
      <c r="P191" s="8"/>
      <c r="R191" s="813"/>
      <c r="S191" s="814">
        <f>I191</f>
        <v>2014</v>
      </c>
      <c r="T191" s="814">
        <f>J191</f>
        <v>2015</v>
      </c>
      <c r="U191" s="814">
        <f>K191</f>
        <v>2016</v>
      </c>
      <c r="V191" s="814">
        <f>L191</f>
        <v>2017</v>
      </c>
      <c r="W191" s="815">
        <f>M191</f>
        <v>2018</v>
      </c>
      <c r="AD191" s="1325" t="s">
        <v>3695</v>
      </c>
    </row>
    <row r="192" spans="2:30" ht="25.5" customHeight="1" thickBot="1" x14ac:dyDescent="0.25">
      <c r="B192" s="3"/>
      <c r="C192" s="459"/>
      <c r="D192" s="448"/>
      <c r="E192" s="1762" t="str">
        <f>I143</f>
        <v>Podinstalacja objęta wskaźnikiem emisyjności opartym na cieple, „nie-CL”</v>
      </c>
      <c r="F192" s="1762"/>
      <c r="G192" s="1762"/>
      <c r="H192" s="452" t="str">
        <f>EUconst_tCO2epa</f>
        <v>t CO2e/rok</v>
      </c>
      <c r="I192" s="322"/>
      <c r="J192" s="322"/>
      <c r="K192" s="322"/>
      <c r="L192" s="322"/>
      <c r="M192" s="322"/>
      <c r="N192" s="463"/>
      <c r="O192" s="340" t="s">
        <v>3690</v>
      </c>
      <c r="P192" s="351" t="str">
        <f>EUconst_CNTR_Emissions &amp; I143</f>
        <v>DirEmissions_Podinstalacja objęta wskaźnikiem emisyjności opartym na cieple, „nie-CL”</v>
      </c>
      <c r="R192" s="816" t="str">
        <f>EUconst_CNTR_AttributedEmissions &amp; $I143</f>
        <v>AttrEmissions_Podinstalacja objęta wskaźnikiem emisyjności opartym na cieple, „nie-CL”</v>
      </c>
      <c r="S192" s="119">
        <f>IF(S143,SUM(I192),"")</f>
        <v>0</v>
      </c>
      <c r="T192" s="119">
        <f>IF(T143,SUM(J192),"")</f>
        <v>0</v>
      </c>
      <c r="U192" s="119">
        <f>IF(U143,SUM(K192),"")</f>
        <v>0</v>
      </c>
      <c r="V192" s="119">
        <f>IF(V143,SUM(L192),"")</f>
        <v>0</v>
      </c>
      <c r="W192" s="120">
        <f>IF(W143,SUM(M192),"")</f>
        <v>0</v>
      </c>
      <c r="AD192" s="701" t="s">
        <v>3696</v>
      </c>
    </row>
    <row r="193" spans="2:30" ht="5.0999999999999996" customHeight="1" x14ac:dyDescent="0.2">
      <c r="B193" s="3"/>
      <c r="C193" s="459"/>
      <c r="D193" s="448"/>
      <c r="E193" s="448"/>
      <c r="F193" s="448"/>
      <c r="G193" s="448"/>
      <c r="H193" s="448"/>
      <c r="I193" s="448"/>
      <c r="J193" s="448"/>
      <c r="K193" s="448"/>
      <c r="L193" s="448"/>
      <c r="M193" s="464"/>
      <c r="N193" s="463"/>
      <c r="O193" s="7"/>
      <c r="P193" s="8"/>
      <c r="R193" s="8"/>
    </row>
    <row r="194" spans="2:30" ht="12.75" customHeight="1" x14ac:dyDescent="0.2">
      <c r="B194" s="3"/>
      <c r="C194" s="459"/>
      <c r="D194" s="462" t="s">
        <v>356</v>
      </c>
      <c r="E194" s="1760" t="str">
        <f>Translations!$B$726</f>
        <v>Wsad paliwa do tej podinstalacji oraz odpowiedni współczynnik emisji</v>
      </c>
      <c r="F194" s="1760"/>
      <c r="G194" s="1760"/>
      <c r="H194" s="1760"/>
      <c r="I194" s="1760"/>
      <c r="J194" s="1760"/>
      <c r="K194" s="1760"/>
      <c r="L194" s="1760"/>
      <c r="M194" s="1760"/>
      <c r="N194" s="1761"/>
      <c r="O194" s="340" t="s">
        <v>3690</v>
      </c>
      <c r="R194" s="8"/>
      <c r="AD194" s="1326" t="s">
        <v>3697</v>
      </c>
    </row>
    <row r="195" spans="2:30" ht="12.75" customHeight="1" x14ac:dyDescent="0.2">
      <c r="B195" s="3"/>
      <c r="C195" s="459"/>
      <c r="D195" s="448"/>
      <c r="E195" s="1733" t="str">
        <f>Translations!$B$877</f>
        <v>Szczegółowe instrukcje dotyczące wprowadzania danych w tym polu znajdują się w pkt 1 lit. d) powyżej.</v>
      </c>
      <c r="F195" s="1733"/>
      <c r="G195" s="1733"/>
      <c r="H195" s="1733"/>
      <c r="I195" s="1733"/>
      <c r="J195" s="1733"/>
      <c r="K195" s="1733"/>
      <c r="L195" s="1733"/>
      <c r="M195" s="1733"/>
      <c r="N195" s="1768"/>
      <c r="O195" s="7"/>
      <c r="P195" s="8"/>
      <c r="R195" s="8"/>
    </row>
    <row r="196" spans="2:30" ht="12.75" customHeight="1" x14ac:dyDescent="0.2">
      <c r="B196" s="3"/>
      <c r="C196" s="459"/>
      <c r="D196" s="462"/>
      <c r="E196" s="1757"/>
      <c r="F196" s="1758"/>
      <c r="G196" s="1758"/>
      <c r="H196" s="450" t="str">
        <f>EUconst_Unit</f>
        <v>Jednostka</v>
      </c>
      <c r="I196" s="451">
        <f>I$559</f>
        <v>2014</v>
      </c>
      <c r="J196" s="451">
        <f>J$559</f>
        <v>2015</v>
      </c>
      <c r="K196" s="451">
        <f>K$559</f>
        <v>2016</v>
      </c>
      <c r="L196" s="451">
        <f>L$559</f>
        <v>2017</v>
      </c>
      <c r="M196" s="451">
        <f>M$559</f>
        <v>2018</v>
      </c>
      <c r="N196" s="463"/>
      <c r="O196" s="7"/>
      <c r="P196" s="8"/>
      <c r="R196" s="8"/>
    </row>
    <row r="197" spans="2:30" ht="12.75" customHeight="1" x14ac:dyDescent="0.2">
      <c r="B197" s="3"/>
      <c r="C197" s="459"/>
      <c r="D197" s="465" t="s">
        <v>2</v>
      </c>
      <c r="E197" s="1739" t="str">
        <f>Translations!$B$852</f>
        <v>Całkowity wsad paliwa</v>
      </c>
      <c r="F197" s="1740"/>
      <c r="G197" s="1740"/>
      <c r="H197" s="453" t="str">
        <f>EUconst_TJpa</f>
        <v>TJ / rok</v>
      </c>
      <c r="I197" s="313">
        <v>957.10243980858422</v>
      </c>
      <c r="J197" s="313">
        <v>893.2225078585866</v>
      </c>
      <c r="K197" s="313">
        <v>986.3136726833028</v>
      </c>
      <c r="L197" s="313">
        <v>863.53981196174027</v>
      </c>
      <c r="M197" s="313">
        <v>975.0903734686151</v>
      </c>
      <c r="N197" s="518"/>
      <c r="O197" s="7"/>
      <c r="P197" s="351" t="str">
        <f>EUconst_CNTR_FuelInput &amp; I143</f>
        <v>FuelInput_Podinstalacja objęta wskaźnikiem emisyjności opartym na cieple, „nie-CL”</v>
      </c>
      <c r="R197" s="8"/>
    </row>
    <row r="198" spans="2:30" ht="12.75" customHeight="1" x14ac:dyDescent="0.2">
      <c r="B198" s="3"/>
      <c r="C198" s="459"/>
      <c r="D198" s="465" t="s">
        <v>3</v>
      </c>
      <c r="E198" s="1772" t="str">
        <f>Translations!$B$732</f>
        <v>Ważony współczynnik emisji</v>
      </c>
      <c r="F198" s="1773"/>
      <c r="G198" s="1773"/>
      <c r="H198" s="569" t="str">
        <f>EUconst_tCO2pTJ</f>
        <v>t CO2 / TJ</v>
      </c>
      <c r="I198" s="323">
        <v>52.94156199999999</v>
      </c>
      <c r="J198" s="323">
        <v>52.824505280000011</v>
      </c>
      <c r="K198" s="323">
        <v>52.659561719999992</v>
      </c>
      <c r="L198" s="323">
        <v>52.659561719999999</v>
      </c>
      <c r="M198" s="323">
        <v>52.941562000000005</v>
      </c>
      <c r="N198" s="463"/>
      <c r="O198" s="340" t="s">
        <v>3690</v>
      </c>
      <c r="P198" s="351" t="str">
        <f>EUconst_CNTR_FuelEF &amp; I143</f>
        <v>FuelEF_Podinstalacja objęta wskaźnikiem emisyjności opartym na cieple, „nie-CL”</v>
      </c>
      <c r="R198" s="8"/>
      <c r="AD198" s="701" t="s">
        <v>3699</v>
      </c>
    </row>
    <row r="199" spans="2:30" ht="5.0999999999999996" customHeight="1" x14ac:dyDescent="0.2">
      <c r="B199" s="3"/>
      <c r="C199" s="459"/>
      <c r="D199" s="448"/>
      <c r="E199" s="448"/>
      <c r="F199" s="448"/>
      <c r="G199" s="448"/>
      <c r="H199" s="448"/>
      <c r="I199" s="448"/>
      <c r="J199" s="448"/>
      <c r="K199" s="448"/>
      <c r="L199" s="448"/>
      <c r="M199" s="448"/>
      <c r="N199" s="463"/>
      <c r="O199" s="7"/>
      <c r="P199" s="8"/>
      <c r="R199" s="8"/>
    </row>
    <row r="200" spans="2:30" ht="12.75" customHeight="1" x14ac:dyDescent="0.2">
      <c r="B200" s="3"/>
      <c r="C200" s="459"/>
      <c r="D200" s="465" t="s">
        <v>4</v>
      </c>
      <c r="E200" s="1739" t="str">
        <f>Translations!$B$853</f>
        <v>Wsad paliwa z gazów odlotowych</v>
      </c>
      <c r="F200" s="1740"/>
      <c r="G200" s="1740"/>
      <c r="H200" s="453" t="str">
        <f>EUconst_TJpa</f>
        <v>TJ / rok</v>
      </c>
      <c r="I200" s="313"/>
      <c r="J200" s="313"/>
      <c r="K200" s="313"/>
      <c r="L200" s="313"/>
      <c r="M200" s="313"/>
      <c r="N200" s="463"/>
      <c r="O200" s="7"/>
      <c r="P200" s="438" t="str">
        <f>EUconst_CNTR_WGConsumed &amp; I143</f>
        <v>WasteGasCons_Podinstalacja objęta wskaźnikiem emisyjności opartym na cieple, „nie-CL”</v>
      </c>
      <c r="R200" s="8"/>
    </row>
    <row r="201" spans="2:30" ht="25.5" customHeight="1" x14ac:dyDescent="0.2">
      <c r="B201" s="3"/>
      <c r="C201" s="459"/>
      <c r="D201" s="465" t="s">
        <v>6</v>
      </c>
      <c r="E201" s="1739" t="str">
        <f>Translations!$B$854</f>
        <v>Właściwy współczynnik emisji (gazy odlotowe)</v>
      </c>
      <c r="F201" s="1740"/>
      <c r="G201" s="1740"/>
      <c r="H201" s="569" t="str">
        <f>EUconst_tCO2pTJ</f>
        <v>t CO2 / TJ</v>
      </c>
      <c r="I201" s="323"/>
      <c r="J201" s="323"/>
      <c r="K201" s="323"/>
      <c r="L201" s="323"/>
      <c r="M201" s="323"/>
      <c r="N201" s="463"/>
      <c r="O201" s="7"/>
      <c r="P201" s="351" t="str">
        <f>EUconst_CNTR_WGConsumedEF &amp; I143</f>
        <v>WasteGasConsEF_Podinstalacja objęta wskaźnikiem emisyjności opartym na cieple, „nie-CL”</v>
      </c>
      <c r="R201" s="8"/>
    </row>
    <row r="202" spans="2:30" ht="5.0999999999999996" customHeight="1" x14ac:dyDescent="0.2">
      <c r="B202" s="20"/>
      <c r="C202" s="460"/>
      <c r="D202" s="449"/>
      <c r="E202" s="449"/>
      <c r="F202" s="449"/>
      <c r="G202" s="449"/>
      <c r="H202" s="449"/>
      <c r="I202" s="449"/>
      <c r="J202" s="449"/>
      <c r="K202" s="449"/>
      <c r="L202" s="449"/>
      <c r="M202" s="449"/>
      <c r="N202" s="461"/>
      <c r="O202" s="7"/>
      <c r="R202" s="8"/>
      <c r="S202" s="8"/>
    </row>
    <row r="203" spans="2:30" ht="12.75" customHeight="1" x14ac:dyDescent="0.2">
      <c r="B203" s="3"/>
      <c r="C203" s="459"/>
      <c r="D203" s="462" t="s">
        <v>12</v>
      </c>
      <c r="E203" s="1731" t="str">
        <f>Translations!$B$532</f>
        <v>Wytworzone mierzalne ciepło</v>
      </c>
      <c r="F203" s="1734"/>
      <c r="G203" s="1734"/>
      <c r="H203" s="1734"/>
      <c r="I203" s="1734"/>
      <c r="J203" s="1734"/>
      <c r="K203" s="1734"/>
      <c r="L203" s="1734"/>
      <c r="M203" s="1734"/>
      <c r="N203" s="1735"/>
      <c r="O203" s="7"/>
      <c r="P203" s="8"/>
      <c r="R203" s="8"/>
      <c r="S203" s="8"/>
    </row>
    <row r="204" spans="2:30" ht="12.75" customHeight="1" x14ac:dyDescent="0.2">
      <c r="B204" s="3"/>
      <c r="C204" s="459"/>
      <c r="D204" s="448"/>
      <c r="E204" s="1733" t="str">
        <f>Translations!$B$878</f>
        <v>Szczegółowe instrukcje dotyczące wprowadzania danych w tym polu znajdują się w pkt 1 lit. e) powyżej.</v>
      </c>
      <c r="F204" s="1733"/>
      <c r="G204" s="1733"/>
      <c r="H204" s="1733"/>
      <c r="I204" s="1733"/>
      <c r="J204" s="1733"/>
      <c r="K204" s="1733"/>
      <c r="L204" s="1733"/>
      <c r="M204" s="1733"/>
      <c r="N204" s="1768"/>
      <c r="O204" s="7"/>
      <c r="P204" s="8"/>
      <c r="R204" s="8"/>
    </row>
    <row r="205" spans="2:30" ht="12.75" customHeight="1" x14ac:dyDescent="0.2">
      <c r="B205" s="3"/>
      <c r="C205" s="459"/>
      <c r="D205" s="462"/>
      <c r="E205" s="1757" t="str">
        <f>Translations!$B$532</f>
        <v>Wytworzone mierzalne ciepło</v>
      </c>
      <c r="F205" s="1758"/>
      <c r="G205" s="1758"/>
      <c r="H205" s="450" t="str">
        <f>EUconst_Unit</f>
        <v>Jednostka</v>
      </c>
      <c r="I205" s="451">
        <f>I$559</f>
        <v>2014</v>
      </c>
      <c r="J205" s="451">
        <f>J$559</f>
        <v>2015</v>
      </c>
      <c r="K205" s="451">
        <f>K$559</f>
        <v>2016</v>
      </c>
      <c r="L205" s="451">
        <f>L$559</f>
        <v>2017</v>
      </c>
      <c r="M205" s="451">
        <f>M$559</f>
        <v>2018</v>
      </c>
      <c r="N205" s="463"/>
      <c r="O205" s="7"/>
      <c r="P205" s="8"/>
      <c r="R205" s="8"/>
      <c r="S205" s="8"/>
      <c r="T205" s="8"/>
      <c r="U205" s="8"/>
      <c r="V205" s="8"/>
      <c r="W205" s="8"/>
    </row>
    <row r="206" spans="2:30" ht="25.5" customHeight="1" x14ac:dyDescent="0.2">
      <c r="B206" s="3"/>
      <c r="C206" s="459"/>
      <c r="D206" s="448"/>
      <c r="E206" s="1762" t="str">
        <f>E192</f>
        <v>Podinstalacja objęta wskaźnikiem emisyjności opartym na cieple, „nie-CL”</v>
      </c>
      <c r="F206" s="1762"/>
      <c r="G206" s="1762"/>
      <c r="H206" s="452" t="str">
        <f>EUconst_TJpa</f>
        <v>TJ / rok</v>
      </c>
      <c r="I206" s="322">
        <v>690.16210768959809</v>
      </c>
      <c r="J206" s="322">
        <v>648.86318336314116</v>
      </c>
      <c r="K206" s="322">
        <v>746.52737114182355</v>
      </c>
      <c r="L206" s="322">
        <v>637.77158476487841</v>
      </c>
      <c r="M206" s="322">
        <v>737.44139044838118</v>
      </c>
      <c r="N206" s="463"/>
      <c r="O206" s="7"/>
      <c r="P206" s="351" t="str">
        <f>EUconst_CNTR_HeatProduced &amp; I143</f>
        <v>HeatProd_Podinstalacja objęta wskaźnikiem emisyjności opartym na cieple, „nie-CL”</v>
      </c>
      <c r="R206" s="8"/>
      <c r="S206" s="8"/>
      <c r="T206" s="8"/>
      <c r="U206" s="8"/>
      <c r="V206" s="8"/>
      <c r="W206" s="8"/>
    </row>
    <row r="207" spans="2:30" ht="5.0999999999999996" customHeight="1" x14ac:dyDescent="0.2">
      <c r="B207" s="3"/>
      <c r="C207" s="459"/>
      <c r="D207" s="448"/>
      <c r="E207" s="448"/>
      <c r="F207" s="448"/>
      <c r="G207" s="448"/>
      <c r="H207" s="448"/>
      <c r="I207" s="448"/>
      <c r="J207" s="448"/>
      <c r="K207" s="448"/>
      <c r="L207" s="448"/>
      <c r="M207" s="464"/>
      <c r="N207" s="463"/>
      <c r="O207" s="7"/>
      <c r="P207" s="8"/>
      <c r="R207" s="8"/>
    </row>
    <row r="208" spans="2:30" ht="12.75" customHeight="1" x14ac:dyDescent="0.2">
      <c r="B208" s="3"/>
      <c r="C208" s="459"/>
      <c r="D208" s="462" t="s">
        <v>13</v>
      </c>
      <c r="E208" s="1731" t="str">
        <f>Translations!$B$857</f>
        <v>Mierzalne ciepło wprowadzone</v>
      </c>
      <c r="F208" s="1734"/>
      <c r="G208" s="1734"/>
      <c r="H208" s="1734"/>
      <c r="I208" s="1734"/>
      <c r="J208" s="1734"/>
      <c r="K208" s="1734"/>
      <c r="L208" s="1734"/>
      <c r="M208" s="1734"/>
      <c r="N208" s="1735"/>
      <c r="O208" s="7"/>
      <c r="P208" s="8"/>
      <c r="R208" s="8"/>
    </row>
    <row r="209" spans="2:30" ht="12.75" customHeight="1" x14ac:dyDescent="0.2">
      <c r="B209" s="3"/>
      <c r="C209" s="459"/>
      <c r="D209" s="448"/>
      <c r="E209" s="1733" t="str">
        <f>Translations!$B$879</f>
        <v>Szczegółowe instrukcje dotyczące wprowadzania danych w tym polu znajdują się w pkt 1 lit. f) powyżej.</v>
      </c>
      <c r="F209" s="1733"/>
      <c r="G209" s="1733"/>
      <c r="H209" s="1733"/>
      <c r="I209" s="1733"/>
      <c r="J209" s="1733"/>
      <c r="K209" s="1733"/>
      <c r="L209" s="1733"/>
      <c r="M209" s="1733"/>
      <c r="N209" s="1768"/>
      <c r="O209" s="7"/>
      <c r="P209" s="8"/>
      <c r="R209" s="8"/>
    </row>
    <row r="210" spans="2:30" ht="25.5" customHeight="1" x14ac:dyDescent="0.2">
      <c r="B210" s="3"/>
      <c r="C210" s="459"/>
      <c r="D210" s="448"/>
      <c r="E210" s="1757" t="str">
        <f>Translations!$B$866</f>
        <v>Ciepło wprowadzone netto (z innych źródeł):</v>
      </c>
      <c r="F210" s="1758"/>
      <c r="G210" s="1758"/>
      <c r="H210" s="450" t="str">
        <f>EUconst_Unit</f>
        <v>Jednostka</v>
      </c>
      <c r="I210" s="451">
        <f>I$559</f>
        <v>2014</v>
      </c>
      <c r="J210" s="451">
        <f>J$559</f>
        <v>2015</v>
      </c>
      <c r="K210" s="451">
        <f>K$559</f>
        <v>2016</v>
      </c>
      <c r="L210" s="451">
        <f>L$559</f>
        <v>2017</v>
      </c>
      <c r="M210" s="451">
        <f>M$559</f>
        <v>2018</v>
      </c>
      <c r="N210" s="1257"/>
      <c r="O210" s="7"/>
      <c r="P210" s="8"/>
      <c r="R210" s="8"/>
      <c r="S210" s="45">
        <f>I210</f>
        <v>2014</v>
      </c>
      <c r="T210" s="45">
        <f>J210</f>
        <v>2015</v>
      </c>
      <c r="U210" s="45">
        <f>K210</f>
        <v>2016</v>
      </c>
      <c r="V210" s="45">
        <f>L210</f>
        <v>2017</v>
      </c>
      <c r="W210" s="45">
        <f>M210</f>
        <v>2018</v>
      </c>
    </row>
    <row r="211" spans="2:30" ht="12.75" customHeight="1" x14ac:dyDescent="0.2">
      <c r="B211" s="3"/>
      <c r="C211" s="459"/>
      <c r="D211" s="465" t="s">
        <v>2</v>
      </c>
      <c r="E211" s="1739" t="str">
        <f>Translations!$B$764</f>
        <v>Ciepło wprowadzone netto</v>
      </c>
      <c r="F211" s="1740"/>
      <c r="G211" s="1740"/>
      <c r="H211" s="453" t="str">
        <f>EUconst_TJpa</f>
        <v>TJ / rok</v>
      </c>
      <c r="I211" s="471">
        <v>688.51799635030102</v>
      </c>
      <c r="J211" s="471">
        <v>647.24553979430743</v>
      </c>
      <c r="K211" s="471">
        <v>744.86796245655296</v>
      </c>
      <c r="L211" s="471">
        <v>636.15108326654081</v>
      </c>
      <c r="M211" s="471">
        <v>735.76769914288332</v>
      </c>
      <c r="N211" s="518"/>
      <c r="O211" s="7"/>
      <c r="P211" s="351" t="str">
        <f>EUconst_CNTR_HeatImport &amp; I143</f>
        <v>HeatIm_Podinstalacja objęta wskaźnikiem emisyjności opartym na cieple, „nie-CL”</v>
      </c>
      <c r="R211" s="853" t="str">
        <f>EUconst_ERR_AttrEmBMapplied &amp; $I143</f>
        <v>ERR_AttrEmBM_ Podinstalacja objęta wskaźnikiem emisyjności opartym na cieple, „nie-CL”</v>
      </c>
      <c r="S211" s="116">
        <f>IF(AND(I211&lt;&gt;0,I212="",EUconst_StatusOfDataCollection=FALSE),1,0)</f>
        <v>0</v>
      </c>
      <c r="T211" s="116">
        <f>IF(AND(J211&lt;&gt;0,J212="",EUconst_StatusOfDataCollection=FALSE),1,0)</f>
        <v>0</v>
      </c>
      <c r="U211" s="116">
        <f>IF(AND(K211&lt;&gt;0,K212="",EUconst_StatusOfDataCollection=FALSE),1,0)</f>
        <v>0</v>
      </c>
      <c r="V211" s="116">
        <f>IF(AND(L211&lt;&gt;0,L212="",EUconst_StatusOfDataCollection=FALSE),1,0)</f>
        <v>0</v>
      </c>
      <c r="W211" s="116">
        <f>IF(AND(M211&lt;&gt;0,M212="",EUconst_StatusOfDataCollection=FALSE),1,0)</f>
        <v>0</v>
      </c>
    </row>
    <row r="212" spans="2:30" ht="25.5" customHeight="1" x14ac:dyDescent="0.2">
      <c r="B212" s="3"/>
      <c r="C212" s="459"/>
      <c r="D212" s="465" t="s">
        <v>3</v>
      </c>
      <c r="E212" s="1739" t="str">
        <f>Translations!$B$765</f>
        <v>Właściwy współczynnik emisji (ciepło wprowadzone)</v>
      </c>
      <c r="F212" s="1740"/>
      <c r="G212" s="1740"/>
      <c r="H212" s="453" t="str">
        <f>EUconst_tCO2pTJ</f>
        <v>t CO2 / TJ</v>
      </c>
      <c r="I212" s="764">
        <v>63.92069610741153</v>
      </c>
      <c r="J212" s="764">
        <v>62.832816784810731</v>
      </c>
      <c r="K212" s="764">
        <v>61.220901364612999</v>
      </c>
      <c r="L212" s="764">
        <v>61.403224397952918</v>
      </c>
      <c r="M212" s="764">
        <v>61.409990495302431</v>
      </c>
      <c r="N212" s="463"/>
      <c r="O212" s="340" t="s">
        <v>3690</v>
      </c>
      <c r="P212" s="351" t="str">
        <f>EUconst_CNTR_HeatImportEF &amp; I143</f>
        <v>HeatImEF_Podinstalacja objęta wskaźnikiem emisyjności opartym na cieple, „nie-CL”</v>
      </c>
      <c r="R212" s="883" t="str">
        <f>EUconst_CNTR_AttributedEmissions &amp; $I143</f>
        <v>AttrEmissions_Podinstalacja objęta wskaźnikiem emisyjności opartym na cieple, „nie-CL”</v>
      </c>
      <c r="S212" s="116">
        <f>IF(S143,SUM(I211)*IF(ISNUMBER(I212),I212,EUconst_HeatBMvalue),"")</f>
        <v>44010.549609191476</v>
      </c>
      <c r="T212" s="116">
        <f>IF(T143,SUM(J211)*IF(ISNUMBER(J212),J212,EUconst_HeatBMvalue),"")</f>
        <v>40668.260416681645</v>
      </c>
      <c r="U212" s="116">
        <f>IF(U143,SUM(K211)*IF(ISNUMBER(K212),K212,EUconst_HeatBMvalue),"")</f>
        <v>45601.48805921289</v>
      </c>
      <c r="V212" s="116">
        <f>IF(V143,SUM(L211)*IF(ISNUMBER(L212),L212,EUconst_HeatBMvalue),"")</f>
        <v>39061.72771681624</v>
      </c>
      <c r="W212" s="116">
        <f>IF(W143,SUM(M211)*IF(ISNUMBER(M212),M212,EUconst_HeatBMvalue),"")</f>
        <v>45183.487411115006</v>
      </c>
      <c r="AD212" s="701" t="s">
        <v>3698</v>
      </c>
    </row>
    <row r="213" spans="2:30" ht="5.0999999999999996" customHeight="1" x14ac:dyDescent="0.2">
      <c r="B213" s="3"/>
      <c r="C213" s="459"/>
      <c r="D213" s="448"/>
      <c r="E213" s="448"/>
      <c r="F213" s="448"/>
      <c r="G213" s="448"/>
      <c r="H213" s="448"/>
      <c r="I213" s="448"/>
      <c r="J213" s="448"/>
      <c r="K213" s="448"/>
      <c r="L213" s="448"/>
      <c r="M213" s="464"/>
      <c r="N213" s="463"/>
      <c r="O213" s="7"/>
      <c r="P213" s="8"/>
      <c r="R213" s="8"/>
      <c r="S213" s="8"/>
    </row>
    <row r="214" spans="2:30" ht="25.5" customHeight="1" x14ac:dyDescent="0.2">
      <c r="B214" s="3"/>
      <c r="C214" s="459"/>
      <c r="D214" s="448"/>
      <c r="E214" s="1757" t="str">
        <f>Translations!$B$867</f>
        <v>Ciepło z podinstalacji objętych wskaźnikiem emisyjności dla produktów</v>
      </c>
      <c r="F214" s="1758"/>
      <c r="G214" s="1758"/>
      <c r="H214" s="450" t="str">
        <f>EUconst_Unit</f>
        <v>Jednostka</v>
      </c>
      <c r="I214" s="451">
        <f>I$559</f>
        <v>2014</v>
      </c>
      <c r="J214" s="451">
        <f>J$559</f>
        <v>2015</v>
      </c>
      <c r="K214" s="451">
        <f>K$559</f>
        <v>2016</v>
      </c>
      <c r="L214" s="451">
        <f>L$559</f>
        <v>2017</v>
      </c>
      <c r="M214" s="451">
        <f>M$559</f>
        <v>2018</v>
      </c>
      <c r="N214" s="1257"/>
      <c r="O214" s="7"/>
      <c r="P214" s="8"/>
      <c r="R214" s="8"/>
      <c r="S214" s="45">
        <f>I214</f>
        <v>2014</v>
      </c>
      <c r="T214" s="45">
        <f>J214</f>
        <v>2015</v>
      </c>
      <c r="U214" s="45">
        <f>K214</f>
        <v>2016</v>
      </c>
      <c r="V214" s="45">
        <f>L214</f>
        <v>2017</v>
      </c>
      <c r="W214" s="45">
        <f>M214</f>
        <v>2018</v>
      </c>
    </row>
    <row r="215" spans="2:30" ht="12.75" customHeight="1" x14ac:dyDescent="0.2">
      <c r="B215" s="3"/>
      <c r="C215" s="459"/>
      <c r="D215" s="465" t="s">
        <v>6</v>
      </c>
      <c r="E215" s="1739" t="str">
        <f>Translations!$B$764</f>
        <v>Ciepło wprowadzone netto</v>
      </c>
      <c r="F215" s="1740"/>
      <c r="G215" s="1740"/>
      <c r="H215" s="453" t="str">
        <f>EUconst_TJpa</f>
        <v>TJ / rok</v>
      </c>
      <c r="I215" s="471"/>
      <c r="J215" s="471"/>
      <c r="K215" s="471"/>
      <c r="L215" s="471"/>
      <c r="M215" s="471"/>
      <c r="N215" s="518"/>
      <c r="O215" s="7"/>
      <c r="P215" s="351" t="str">
        <f>EUconst_CNTR_HeatImportProduct &amp; I143</f>
        <v>HeatImProd_Podinstalacja objęta wskaźnikiem emisyjności opartym na cieple, „nie-CL”</v>
      </c>
      <c r="R215" s="853" t="str">
        <f>EUconst_ERR_AttrEmBMapplied &amp; $I143</f>
        <v>ERR_AttrEmBM_ Podinstalacja objęta wskaźnikiem emisyjności opartym na cieple, „nie-CL”</v>
      </c>
      <c r="S215" s="116">
        <f>IF(AND(I215&lt;&gt;0,I216="",EUconst_StatusOfDataCollection=FALSE),1,0)</f>
        <v>0</v>
      </c>
      <c r="T215" s="116">
        <f>IF(AND(J215&lt;&gt;0,J216="",EUconst_StatusOfDataCollection=FALSE),1,0)</f>
        <v>0</v>
      </c>
      <c r="U215" s="116">
        <f>IF(AND(K215&lt;&gt;0,K216="",EUconst_StatusOfDataCollection=FALSE),1,0)</f>
        <v>0</v>
      </c>
      <c r="V215" s="116">
        <f>IF(AND(L215&lt;&gt;0,L216="",EUconst_StatusOfDataCollection=FALSE),1,0)</f>
        <v>0</v>
      </c>
      <c r="W215" s="116">
        <f>IF(AND(M215&lt;&gt;0,M216="",EUconst_StatusOfDataCollection=FALSE),1,0)</f>
        <v>0</v>
      </c>
    </row>
    <row r="216" spans="2:30" ht="25.5" customHeight="1" x14ac:dyDescent="0.2">
      <c r="B216" s="3"/>
      <c r="C216" s="459"/>
      <c r="D216" s="465" t="s">
        <v>316</v>
      </c>
      <c r="E216" s="1739" t="str">
        <f>Translations!$B$868</f>
        <v>Właściwy współczynnik emisji (z podinstalacji objętych wskaźnikiem emisyjności dla produktów)</v>
      </c>
      <c r="F216" s="1740"/>
      <c r="G216" s="1740"/>
      <c r="H216" s="453" t="str">
        <f>EUconst_tCO2pTJ</f>
        <v>t CO2 / TJ</v>
      </c>
      <c r="I216" s="764"/>
      <c r="J216" s="764"/>
      <c r="K216" s="764"/>
      <c r="L216" s="764"/>
      <c r="M216" s="764"/>
      <c r="N216" s="463"/>
      <c r="O216" s="7"/>
      <c r="P216" s="351" t="str">
        <f>EUconst_CNTR_HeatImportProductEF &amp; I143</f>
        <v>HeatImProdEF_Podinstalacja objęta wskaźnikiem emisyjności opartym na cieple, „nie-CL”</v>
      </c>
      <c r="R216" s="883" t="str">
        <f>EUconst_CNTR_AttributedEmissions &amp; $I143</f>
        <v>AttrEmissions_Podinstalacja objęta wskaźnikiem emisyjności opartym na cieple, „nie-CL”</v>
      </c>
      <c r="S216" s="116">
        <f>IF(S143,SUM(I215)*IF(ISNUMBER(I216),I216,EUconst_HeatBMvalue),"")</f>
        <v>0</v>
      </c>
      <c r="T216" s="116">
        <f>IF(T143,SUM(J215)*IF(ISNUMBER(J216),J216,EUconst_HeatBMvalue),"")</f>
        <v>0</v>
      </c>
      <c r="U216" s="116">
        <f>IF(U143,SUM(K215)*IF(ISNUMBER(K216),K216,EUconst_HeatBMvalue),"")</f>
        <v>0</v>
      </c>
      <c r="V216" s="116">
        <f>IF(V143,SUM(L215)*IF(ISNUMBER(L216),L216,EUconst_HeatBMvalue),"")</f>
        <v>0</v>
      </c>
      <c r="W216" s="116">
        <f>IF(W143,SUM(M215)*IF(ISNUMBER(M216),M216,EUconst_HeatBMvalue),"")</f>
        <v>0</v>
      </c>
    </row>
    <row r="217" spans="2:30" ht="5.0999999999999996" customHeight="1" x14ac:dyDescent="0.2">
      <c r="B217" s="3"/>
      <c r="C217" s="459"/>
      <c r="D217" s="448"/>
      <c r="E217" s="448"/>
      <c r="F217" s="448"/>
      <c r="G217" s="448"/>
      <c r="H217" s="448"/>
      <c r="I217" s="448"/>
      <c r="J217" s="448"/>
      <c r="K217" s="448"/>
      <c r="L217" s="448"/>
      <c r="M217" s="464"/>
      <c r="N217" s="463"/>
      <c r="O217" s="7"/>
      <c r="P217" s="8"/>
      <c r="R217" s="8"/>
      <c r="S217" s="8"/>
    </row>
    <row r="218" spans="2:30" ht="12.75" customHeight="1" x14ac:dyDescent="0.2">
      <c r="B218" s="3"/>
      <c r="C218" s="459"/>
      <c r="D218" s="448"/>
      <c r="E218" s="1757" t="str">
        <f>Translations!$B$869</f>
        <v>Ciepło z masy celulozowej</v>
      </c>
      <c r="F218" s="1758"/>
      <c r="G218" s="1758"/>
      <c r="H218" s="450" t="str">
        <f>EUconst_Unit</f>
        <v>Jednostka</v>
      </c>
      <c r="I218" s="451">
        <f>I$559</f>
        <v>2014</v>
      </c>
      <c r="J218" s="451">
        <f>J$559</f>
        <v>2015</v>
      </c>
      <c r="K218" s="451">
        <f>K$559</f>
        <v>2016</v>
      </c>
      <c r="L218" s="451">
        <f>L$559</f>
        <v>2017</v>
      </c>
      <c r="M218" s="451">
        <f>M$559</f>
        <v>2018</v>
      </c>
      <c r="N218" s="1257"/>
      <c r="O218" s="7"/>
      <c r="P218" s="8"/>
      <c r="R218" s="8"/>
      <c r="S218" s="45">
        <f>I218</f>
        <v>2014</v>
      </c>
      <c r="T218" s="45">
        <f>J218</f>
        <v>2015</v>
      </c>
      <c r="U218" s="45">
        <f>K218</f>
        <v>2016</v>
      </c>
      <c r="V218" s="45">
        <f>L218</f>
        <v>2017</v>
      </c>
      <c r="W218" s="45">
        <f>M218</f>
        <v>2018</v>
      </c>
    </row>
    <row r="219" spans="2:30" ht="12.75" customHeight="1" x14ac:dyDescent="0.2">
      <c r="B219" s="3"/>
      <c r="C219" s="459"/>
      <c r="D219" s="465" t="s">
        <v>318</v>
      </c>
      <c r="E219" s="1739" t="str">
        <f>Translations!$B$764</f>
        <v>Ciepło wprowadzone netto</v>
      </c>
      <c r="F219" s="1740"/>
      <c r="G219" s="1740"/>
      <c r="H219" s="453" t="str">
        <f>EUconst_TJpa</f>
        <v>TJ / rok</v>
      </c>
      <c r="I219" s="471"/>
      <c r="J219" s="471"/>
      <c r="K219" s="471"/>
      <c r="L219" s="471"/>
      <c r="M219" s="471"/>
      <c r="N219" s="518"/>
      <c r="O219" s="7"/>
      <c r="P219" s="351" t="str">
        <f>EUconst_CNTR_HeatImportPulp &amp; I143</f>
        <v>HeatImPulp_Podinstalacja objęta wskaźnikiem emisyjności opartym na cieple, „nie-CL”</v>
      </c>
      <c r="R219" s="853" t="str">
        <f>EUconst_ERR_AttrEmBMapplied &amp; $I143</f>
        <v>ERR_AttrEmBM_ Podinstalacja objęta wskaźnikiem emisyjności opartym na cieple, „nie-CL”</v>
      </c>
      <c r="S219" s="116">
        <f>IF(AND(I219&lt;&gt;0,I220="",EUconst_StatusOfDataCollection=FALSE),1,0)</f>
        <v>0</v>
      </c>
      <c r="T219" s="116">
        <f>IF(AND(J219&lt;&gt;0,J220="",EUconst_StatusOfDataCollection=FALSE),1,0)</f>
        <v>0</v>
      </c>
      <c r="U219" s="116">
        <f>IF(AND(K219&lt;&gt;0,K220="",EUconst_StatusOfDataCollection=FALSE),1,0)</f>
        <v>0</v>
      </c>
      <c r="V219" s="116">
        <f>IF(AND(L219&lt;&gt;0,L220="",EUconst_StatusOfDataCollection=FALSE),1,0)</f>
        <v>0</v>
      </c>
      <c r="W219" s="116">
        <f>IF(AND(M219&lt;&gt;0,M220="",EUconst_StatusOfDataCollection=FALSE),1,0)</f>
        <v>0</v>
      </c>
    </row>
    <row r="220" spans="2:30" ht="25.5" customHeight="1" x14ac:dyDescent="0.2">
      <c r="B220" s="3"/>
      <c r="C220" s="459"/>
      <c r="D220" s="465" t="s">
        <v>319</v>
      </c>
      <c r="E220" s="1739" t="str">
        <f>Translations!$B$870</f>
        <v>Właściwy współczynnik emisji (z masy celulozowej)</v>
      </c>
      <c r="F220" s="1740"/>
      <c r="G220" s="1740"/>
      <c r="H220" s="453" t="str">
        <f>EUconst_tCO2pTJ</f>
        <v>t CO2 / TJ</v>
      </c>
      <c r="I220" s="764"/>
      <c r="J220" s="764"/>
      <c r="K220" s="764"/>
      <c r="L220" s="764"/>
      <c r="M220" s="764"/>
      <c r="N220" s="463"/>
      <c r="O220" s="7"/>
      <c r="P220" s="351" t="str">
        <f>EUconst_CNTR_HeatImportPulpEF &amp; I143</f>
        <v>HeatImPulpEF_Podinstalacja objęta wskaźnikiem emisyjności opartym na cieple, „nie-CL”</v>
      </c>
      <c r="R220" s="883" t="str">
        <f>EUconst_CNTR_AttributedEmissions &amp; $I143</f>
        <v>AttrEmissions_Podinstalacja objęta wskaźnikiem emisyjności opartym na cieple, „nie-CL”</v>
      </c>
      <c r="S220" s="116">
        <f>IF(S143,SUM(I219)*IF(ISNUMBER(I220),I220,EUconst_HeatBMvalue),"")</f>
        <v>0</v>
      </c>
      <c r="T220" s="116">
        <f>IF(T143,SUM(J219)*IF(ISNUMBER(J220),J220,EUconst_HeatBMvalue),"")</f>
        <v>0</v>
      </c>
      <c r="U220" s="116">
        <f>IF(U143,SUM(K219)*IF(ISNUMBER(K220),K220,EUconst_HeatBMvalue),"")</f>
        <v>0</v>
      </c>
      <c r="V220" s="116">
        <f>IF(V143,SUM(L219)*IF(ISNUMBER(L220),L220,EUconst_HeatBMvalue),"")</f>
        <v>0</v>
      </c>
      <c r="W220" s="116">
        <f>IF(W143,SUM(M219)*IF(ISNUMBER(M220),M220,EUconst_HeatBMvalue),"")</f>
        <v>0</v>
      </c>
    </row>
    <row r="221" spans="2:30" ht="5.0999999999999996" customHeight="1" x14ac:dyDescent="0.2">
      <c r="B221" s="3"/>
      <c r="C221" s="459"/>
      <c r="D221" s="448"/>
      <c r="E221" s="448"/>
      <c r="F221" s="448"/>
      <c r="G221" s="448"/>
      <c r="H221" s="448"/>
      <c r="I221" s="448"/>
      <c r="J221" s="448"/>
      <c r="K221" s="448"/>
      <c r="L221" s="448"/>
      <c r="M221" s="464"/>
      <c r="N221" s="463"/>
      <c r="O221" s="7"/>
      <c r="P221" s="8"/>
      <c r="R221" s="8"/>
      <c r="S221" s="8"/>
    </row>
    <row r="222" spans="2:30" ht="38.25" customHeight="1" x14ac:dyDescent="0.2">
      <c r="B222" s="3"/>
      <c r="C222" s="459"/>
      <c r="D222" s="448"/>
      <c r="E222" s="1757" t="str">
        <f>Translations!$B$871</f>
        <v>Ciepło z podinstalacji objętych wskaźnikiem emisyjności opartym na paliwie</v>
      </c>
      <c r="F222" s="1758"/>
      <c r="G222" s="1758"/>
      <c r="H222" s="450" t="str">
        <f>EUconst_Unit</f>
        <v>Jednostka</v>
      </c>
      <c r="I222" s="451">
        <f>I$559</f>
        <v>2014</v>
      </c>
      <c r="J222" s="451">
        <f>J$559</f>
        <v>2015</v>
      </c>
      <c r="K222" s="451">
        <f>K$559</f>
        <v>2016</v>
      </c>
      <c r="L222" s="451">
        <f>L$559</f>
        <v>2017</v>
      </c>
      <c r="M222" s="451">
        <f>M$559</f>
        <v>2018</v>
      </c>
      <c r="N222" s="1257"/>
      <c r="O222" s="7"/>
      <c r="P222" s="8"/>
      <c r="R222" s="8"/>
      <c r="S222" s="45">
        <f>I222</f>
        <v>2014</v>
      </c>
      <c r="T222" s="45">
        <f>J222</f>
        <v>2015</v>
      </c>
      <c r="U222" s="45">
        <f>K222</f>
        <v>2016</v>
      </c>
      <c r="V222" s="45">
        <f>L222</f>
        <v>2017</v>
      </c>
      <c r="W222" s="45">
        <f>M222</f>
        <v>2018</v>
      </c>
    </row>
    <row r="223" spans="2:30" ht="12.75" customHeight="1" x14ac:dyDescent="0.2">
      <c r="B223" s="3"/>
      <c r="C223" s="459"/>
      <c r="D223" s="465" t="s">
        <v>16</v>
      </c>
      <c r="E223" s="1739" t="str">
        <f>Translations!$B$764</f>
        <v>Ciepło wprowadzone netto</v>
      </c>
      <c r="F223" s="1740"/>
      <c r="G223" s="1740"/>
      <c r="H223" s="453" t="str">
        <f>EUconst_TJpa</f>
        <v>TJ / rok</v>
      </c>
      <c r="I223" s="471"/>
      <c r="J223" s="471"/>
      <c r="K223" s="471"/>
      <c r="L223" s="471"/>
      <c r="M223" s="471"/>
      <c r="N223" s="518"/>
      <c r="O223" s="7"/>
      <c r="P223" s="351" t="str">
        <f>EUconst_CNTR_HeatImportFuel &amp; I143</f>
        <v>HeatImFuel_Podinstalacja objęta wskaźnikiem emisyjności opartym na cieple, „nie-CL”</v>
      </c>
      <c r="R223" s="853" t="str">
        <f>EUconst_ERR_AttrEmBMapplied &amp; $I143</f>
        <v>ERR_AttrEmBM_ Podinstalacja objęta wskaźnikiem emisyjności opartym na cieple, „nie-CL”</v>
      </c>
      <c r="S223" s="116">
        <f>IF(AND(I223&lt;&gt;0,I224="",EUconst_StatusOfDataCollection=FALSE),1,0)</f>
        <v>0</v>
      </c>
      <c r="T223" s="116">
        <f>IF(AND(J223&lt;&gt;0,J224="",EUconst_StatusOfDataCollection=FALSE),1,0)</f>
        <v>0</v>
      </c>
      <c r="U223" s="116">
        <f>IF(AND(K223&lt;&gt;0,K224="",EUconst_StatusOfDataCollection=FALSE),1,0)</f>
        <v>0</v>
      </c>
      <c r="V223" s="116">
        <f>IF(AND(L223&lt;&gt;0,L224="",EUconst_StatusOfDataCollection=FALSE),1,0)</f>
        <v>0</v>
      </c>
      <c r="W223" s="116">
        <f>IF(AND(M223&lt;&gt;0,M224="",EUconst_StatusOfDataCollection=FALSE),1,0)</f>
        <v>0</v>
      </c>
    </row>
    <row r="224" spans="2:30" ht="38.25" customHeight="1" x14ac:dyDescent="0.2">
      <c r="B224" s="3"/>
      <c r="C224" s="459"/>
      <c r="D224" s="465" t="s">
        <v>17</v>
      </c>
      <c r="E224" s="1739" t="str">
        <f>Translations!$B$872</f>
        <v>Właściwy współczynnik emisji (z podinstalacji objętych wskaźnikiem emisyjności opartym na paliwie)</v>
      </c>
      <c r="F224" s="1740"/>
      <c r="G224" s="1740"/>
      <c r="H224" s="453" t="str">
        <f>EUconst_tCO2pTJ</f>
        <v>t CO2 / TJ</v>
      </c>
      <c r="I224" s="764"/>
      <c r="J224" s="764"/>
      <c r="K224" s="764"/>
      <c r="L224" s="764"/>
      <c r="M224" s="764"/>
      <c r="N224" s="463"/>
      <c r="O224" s="7"/>
      <c r="P224" s="351" t="str">
        <f>EUconst_CNTR_HeatImportPulpEF &amp; I143</f>
        <v>HeatImPulpEF_Podinstalacja objęta wskaźnikiem emisyjności opartym na cieple, „nie-CL”</v>
      </c>
      <c r="R224" s="883" t="str">
        <f>EUconst_CNTR_AttributedEmissions &amp; $I143</f>
        <v>AttrEmissions_Podinstalacja objęta wskaźnikiem emisyjności opartym na cieple, „nie-CL”</v>
      </c>
      <c r="S224" s="116">
        <f>IF(S143,SUM(I223)*IF(ISNUMBER(I224),I224,EUconst_HeatBMvalue),"")</f>
        <v>0</v>
      </c>
      <c r="T224" s="116">
        <f>IF(T143,SUM(J223)*IF(ISNUMBER(J224),J224,EUconst_HeatBMvalue),"")</f>
        <v>0</v>
      </c>
      <c r="U224" s="116">
        <f>IF(U143,SUM(K223)*IF(ISNUMBER(K224),K224,EUconst_HeatBMvalue),"")</f>
        <v>0</v>
      </c>
      <c r="V224" s="116">
        <f>IF(V143,SUM(L223)*IF(ISNUMBER(L224),L224,EUconst_HeatBMvalue),"")</f>
        <v>0</v>
      </c>
      <c r="W224" s="116">
        <f>IF(W143,SUM(M223)*IF(ISNUMBER(M224),M224,EUconst_HeatBMvalue),"")</f>
        <v>0</v>
      </c>
    </row>
    <row r="225" spans="1:29" ht="5.0999999999999996" customHeight="1" x14ac:dyDescent="0.2">
      <c r="B225" s="3"/>
      <c r="C225" s="459"/>
      <c r="D225" s="448"/>
      <c r="E225" s="448"/>
      <c r="F225" s="448"/>
      <c r="G225" s="448"/>
      <c r="H225" s="448"/>
      <c r="I225" s="448"/>
      <c r="J225" s="448"/>
      <c r="K225" s="448"/>
      <c r="L225" s="448"/>
      <c r="M225" s="464"/>
      <c r="N225" s="463"/>
      <c r="O225" s="7"/>
      <c r="P225" s="8"/>
      <c r="R225" s="8"/>
      <c r="S225" s="8"/>
    </row>
    <row r="226" spans="1:29" ht="12.75" customHeight="1" x14ac:dyDescent="0.2">
      <c r="B226" s="3"/>
      <c r="C226" s="459"/>
      <c r="D226" s="448"/>
      <c r="E226" s="1757" t="str">
        <f>Translations!$B$873</f>
        <v>Ciepło z gazów odlotowych</v>
      </c>
      <c r="F226" s="1758"/>
      <c r="G226" s="1758"/>
      <c r="H226" s="450" t="str">
        <f>EUconst_Unit</f>
        <v>Jednostka</v>
      </c>
      <c r="I226" s="451">
        <f>I$559</f>
        <v>2014</v>
      </c>
      <c r="J226" s="451">
        <f>J$559</f>
        <v>2015</v>
      </c>
      <c r="K226" s="451">
        <f>K$559</f>
        <v>2016</v>
      </c>
      <c r="L226" s="451">
        <f>L$559</f>
        <v>2017</v>
      </c>
      <c r="M226" s="451">
        <f>M$559</f>
        <v>2018</v>
      </c>
      <c r="N226" s="1257"/>
      <c r="O226" s="7"/>
      <c r="P226" s="8"/>
      <c r="R226" s="8"/>
      <c r="S226" s="45">
        <f>I226</f>
        <v>2014</v>
      </c>
      <c r="T226" s="45">
        <f>J226</f>
        <v>2015</v>
      </c>
      <c r="U226" s="45">
        <f>K226</f>
        <v>2016</v>
      </c>
      <c r="V226" s="45">
        <f>L226</f>
        <v>2017</v>
      </c>
      <c r="W226" s="45">
        <f>M226</f>
        <v>2018</v>
      </c>
    </row>
    <row r="227" spans="1:29" ht="12.75" customHeight="1" x14ac:dyDescent="0.2">
      <c r="B227" s="3"/>
      <c r="C227" s="459"/>
      <c r="D227" s="465" t="s">
        <v>454</v>
      </c>
      <c r="E227" s="1739" t="str">
        <f>Translations!$B$764</f>
        <v>Ciepło wprowadzone netto</v>
      </c>
      <c r="F227" s="1740"/>
      <c r="G227" s="1740"/>
      <c r="H227" s="453" t="str">
        <f>EUconst_TJpa</f>
        <v>TJ / rok</v>
      </c>
      <c r="I227" s="471"/>
      <c r="J227" s="471"/>
      <c r="K227" s="471"/>
      <c r="L227" s="471"/>
      <c r="M227" s="471"/>
      <c r="N227" s="518"/>
      <c r="O227" s="7"/>
      <c r="P227" s="351" t="str">
        <f>EUconst_CNTR_WGImport &amp; I143</f>
        <v>WasteGasIm_Podinstalacja objęta wskaźnikiem emisyjności opartym na cieple, „nie-CL”</v>
      </c>
      <c r="R227" s="853" t="str">
        <f>EUconst_ERR_AttrEmBMapplied &amp; $I143</f>
        <v>ERR_AttrEmBM_ Podinstalacja objęta wskaźnikiem emisyjności opartym na cieple, „nie-CL”</v>
      </c>
      <c r="S227" s="116">
        <f>IF(AND(I227&lt;&gt;0,EUconst_StatusOfDataCollection=FALSE),1,0)</f>
        <v>0</v>
      </c>
      <c r="T227" s="116">
        <f>IF(AND(J227&lt;&gt;0,EUconst_StatusOfDataCollection=FALSE),1,0)</f>
        <v>0</v>
      </c>
      <c r="U227" s="116">
        <f>IF(AND(K227&lt;&gt;0,EUconst_StatusOfDataCollection=FALSE),1,0)</f>
        <v>0</v>
      </c>
      <c r="V227" s="116">
        <f>IF(AND(L227&lt;&gt;0,EUconst_StatusOfDataCollection=FALSE),1,0)</f>
        <v>0</v>
      </c>
      <c r="W227" s="116">
        <f>IF(AND(M227&lt;&gt;0,EUconst_StatusOfDataCollection=FALSE),1,0)</f>
        <v>0</v>
      </c>
    </row>
    <row r="228" spans="1:29" ht="25.5" customHeight="1" x14ac:dyDescent="0.2">
      <c r="B228" s="3"/>
      <c r="C228" s="459"/>
      <c r="D228" s="465" t="s">
        <v>455</v>
      </c>
      <c r="E228" s="1739" t="str">
        <f>Translations!$B$874</f>
        <v>Właściwy współczynnik emisji (z gazów odlotowych)</v>
      </c>
      <c r="F228" s="1740"/>
      <c r="G228" s="1740"/>
      <c r="H228" s="453" t="str">
        <f>EUconst_tCO2pTJ</f>
        <v>t CO2 / TJ</v>
      </c>
      <c r="I228" s="764"/>
      <c r="J228" s="764"/>
      <c r="K228" s="764"/>
      <c r="L228" s="764"/>
      <c r="M228" s="764"/>
      <c r="N228" s="463"/>
      <c r="O228" s="7"/>
      <c r="P228" s="351" t="str">
        <f>EUconst_CNTR_WGImportEF &amp; I143</f>
        <v>WasteGasImEF_Podinstalacja objęta wskaźnikiem emisyjności opartym na cieple, „nie-CL”</v>
      </c>
      <c r="R228" s="883" t="str">
        <f>EUconst_CNTR_AttributedEmissions &amp; $I143</f>
        <v>AttrEmissions_Podinstalacja objęta wskaźnikiem emisyjności opartym na cieple, „nie-CL”</v>
      </c>
      <c r="S228" s="116">
        <f>IF(S143,SUM(I227)*IF(ISNUMBER(I228),I228,EUconst_HeatBMvalue),"")</f>
        <v>0</v>
      </c>
      <c r="T228" s="116">
        <f>IF(T143,SUM(J227)*IF(ISNUMBER(J228),J228,EUconst_HeatBMvalue),"")</f>
        <v>0</v>
      </c>
      <c r="U228" s="116">
        <f>IF(U143,SUM(K227)*IF(ISNUMBER(K228),K228,EUconst_HeatBMvalue),"")</f>
        <v>0</v>
      </c>
      <c r="V228" s="116">
        <f>IF(V143,SUM(L227)*IF(ISNUMBER(L228),L228,EUconst_HeatBMvalue),"")</f>
        <v>0</v>
      </c>
      <c r="W228" s="116">
        <f>IF(W143,SUM(M227)*IF(ISNUMBER(M228),M228,EUconst_HeatBMvalue),"")</f>
        <v>0</v>
      </c>
    </row>
    <row r="229" spans="1:29" ht="5.0999999999999996" customHeight="1" x14ac:dyDescent="0.2">
      <c r="B229" s="3"/>
      <c r="C229" s="459"/>
      <c r="D229" s="448"/>
      <c r="E229" s="448"/>
      <c r="F229" s="448"/>
      <c r="G229" s="448"/>
      <c r="H229" s="448"/>
      <c r="I229" s="448"/>
      <c r="J229" s="448"/>
      <c r="K229" s="448"/>
      <c r="L229" s="448"/>
      <c r="M229" s="464"/>
      <c r="N229" s="463"/>
      <c r="O229" s="7"/>
      <c r="P229" s="8"/>
      <c r="R229" s="8"/>
      <c r="S229" s="8"/>
    </row>
    <row r="230" spans="1:29" ht="12.75" customHeight="1" x14ac:dyDescent="0.2">
      <c r="B230" s="3"/>
      <c r="C230" s="459"/>
      <c r="D230" s="465" t="s">
        <v>456</v>
      </c>
      <c r="E230" s="1739" t="str">
        <f>Translations!$B$875</f>
        <v>Całkowite ciepło wprowadzone netto</v>
      </c>
      <c r="F230" s="1740"/>
      <c r="G230" s="1740"/>
      <c r="H230" s="453" t="str">
        <f>EUconst_TJpa</f>
        <v>TJ / rok</v>
      </c>
      <c r="I230" s="433">
        <f>IF(COUNT(I211,I215,I219,I223,I227)&gt;0,SUM(I211,I215,I219,I223,I227),"")</f>
        <v>688.51799635030102</v>
      </c>
      <c r="J230" s="433">
        <f>IF(COUNT(J211,J215,J219,J223,J227)&gt;0,SUM(J211,J215,J219,J223,J227),"")</f>
        <v>647.24553979430743</v>
      </c>
      <c r="K230" s="433">
        <f>IF(COUNT(K211,K215,K219,K223,K227)&gt;0,SUM(K211,K215,K219,K223,K227),"")</f>
        <v>744.86796245655296</v>
      </c>
      <c r="L230" s="433">
        <f>IF(COUNT(L211,L215,L219,L223,L227)&gt;0,SUM(L211,L215,L219,L223,L227),"")</f>
        <v>636.15108326654081</v>
      </c>
      <c r="M230" s="433">
        <f>IF(COUNT(M211,M215,M219,M223,M227)&gt;0,SUM(M211,M215,M219,M223,M227),"")</f>
        <v>735.76769914288332</v>
      </c>
      <c r="N230" s="486"/>
      <c r="O230" s="7"/>
      <c r="R230" s="8"/>
      <c r="S230" s="8"/>
    </row>
    <row r="231" spans="1:29" ht="12.75" customHeight="1" thickBot="1" x14ac:dyDescent="0.25">
      <c r="B231" s="3"/>
      <c r="C231" s="466"/>
      <c r="D231" s="467"/>
      <c r="E231" s="467"/>
      <c r="F231" s="467"/>
      <c r="G231" s="467"/>
      <c r="H231" s="467"/>
      <c r="I231" s="467"/>
      <c r="J231" s="467"/>
      <c r="K231" s="467"/>
      <c r="L231" s="467"/>
      <c r="M231" s="468"/>
      <c r="N231" s="469"/>
      <c r="O231" s="7"/>
      <c r="P231" s="8"/>
      <c r="R231" s="8"/>
    </row>
    <row r="232" spans="1:29" ht="25.5" customHeight="1" thickBot="1" x14ac:dyDescent="0.25">
      <c r="B232" s="20"/>
      <c r="C232" s="20"/>
      <c r="D232" s="20"/>
      <c r="E232" s="20"/>
      <c r="F232" s="20"/>
      <c r="G232" s="20"/>
      <c r="H232" s="20"/>
      <c r="I232" s="20"/>
      <c r="J232" s="20"/>
      <c r="K232" s="20"/>
      <c r="L232" s="20"/>
      <c r="M232" s="20"/>
      <c r="N232" s="20"/>
      <c r="O232" s="7"/>
    </row>
    <row r="233" spans="1:29" ht="12.75" customHeight="1" thickBot="1" x14ac:dyDescent="0.25">
      <c r="B233" s="3"/>
      <c r="C233" s="281"/>
      <c r="D233" s="281"/>
      <c r="E233" s="281"/>
      <c r="F233" s="281"/>
      <c r="G233" s="281"/>
      <c r="H233" s="281"/>
      <c r="I233" s="281"/>
      <c r="J233" s="281"/>
      <c r="K233" s="281"/>
      <c r="L233" s="281"/>
      <c r="M233" s="281"/>
      <c r="N233" s="281"/>
      <c r="O233" s="7"/>
    </row>
    <row r="234" spans="1:29" ht="15.75" customHeight="1" thickBot="1" x14ac:dyDescent="0.3">
      <c r="B234" s="3"/>
      <c r="C234" s="18">
        <v>3</v>
      </c>
      <c r="D234" s="1439" t="str">
        <f>EUconst_FBSubinst &amp; ":"</f>
        <v>Podinstalacja, dla której wprowadzono rozwiązania rezerwowe (fall-back):</v>
      </c>
      <c r="E234" s="1370"/>
      <c r="F234" s="1370"/>
      <c r="G234" s="1370"/>
      <c r="H234" s="1432"/>
      <c r="I234" s="1781" t="str">
        <f>INDEX(EUconst_FallBackListNames,$C234)</f>
        <v>Podinstalacja sieci ciepłowniczej</v>
      </c>
      <c r="J234" s="1666"/>
      <c r="K234" s="1666"/>
      <c r="L234" s="1782"/>
      <c r="M234" s="1860" t="str">
        <f>IF(ISBLANK(INDEX(CNTR_FallBackSubInstRelevant,C234)),"",IF(INDEX(CNTR_FallBackSubInstRelevant,C234),EUconst_Relevant,EUconst_NotRelevant))</f>
        <v>dotyczy</v>
      </c>
      <c r="N234" s="1861"/>
      <c r="O234" s="7"/>
      <c r="P234" s="574">
        <f>C234</f>
        <v>3</v>
      </c>
      <c r="Q234" s="371" t="s">
        <v>234</v>
      </c>
      <c r="R234" s="856">
        <f>IF(M234&lt;&gt;EUconst_Relevant,"",INDEX(CNTR_SubInstStartDate,MATCH($I234,CNTR_SubInstListNames,0)))</f>
        <v>0</v>
      </c>
      <c r="S234" s="853" t="b">
        <f>IF($M234&lt;&gt;EUconst_Relevant,FALSE,AND(I$562, IF($R234&lt;DATE($L$559,1,1),YEAR($R234)&lt;=I$559,YEAR($R234-1)&lt;I$559) ) )</f>
        <v>1</v>
      </c>
      <c r="T234" s="853" t="b">
        <f>IF($M234&lt;&gt;EUconst_Relevant,FALSE,AND(J$562, IF($R234&lt;DATE($L$559,1,1),YEAR($R234)&lt;=J$559,YEAR($R234-1)&lt;J$559) ) )</f>
        <v>1</v>
      </c>
      <c r="U234" s="853" t="b">
        <f>IF($M234&lt;&gt;EUconst_Relevant,FALSE,AND(K$562, IF($R234&lt;DATE($L$559,1,1),YEAR($R234)&lt;=K$559,YEAR($R234-1)&lt;K$559) ) )</f>
        <v>1</v>
      </c>
      <c r="V234" s="853" t="b">
        <f>IF($M234&lt;&gt;EUconst_Relevant,FALSE,AND(L$562, IF($R234&lt;DATE($L$559,1,1),YEAR($R234)&lt;=L$559,YEAR($R234-1)&lt;L$559) ) )</f>
        <v>1</v>
      </c>
      <c r="W234" s="853" t="b">
        <f>IF($M234&lt;&gt;EUconst_Relevant,FALSE,AND(M$562, IF($R234&lt;DATE($L$559,1,1),YEAR($R234)&lt;=M$559,YEAR($R234-1)&lt;M$559) ) )</f>
        <v>1</v>
      </c>
      <c r="X234" s="8"/>
      <c r="AB234" s="736" t="s">
        <v>550</v>
      </c>
      <c r="AC234" s="738" t="b">
        <f>AND(CNTR_ExistSubInstEntries,M234=EUconst_NotRelevant)</f>
        <v>0</v>
      </c>
    </row>
    <row r="235" spans="1:29" ht="12.75" customHeight="1" x14ac:dyDescent="0.2">
      <c r="B235" s="20"/>
      <c r="C235" s="20"/>
      <c r="D235" s="20"/>
      <c r="E235" s="20"/>
      <c r="F235" s="20"/>
      <c r="G235" s="20"/>
      <c r="H235" s="50"/>
      <c r="I235" s="1869" t="str">
        <f>IF(M234="","",IF(M234=EUconst_Relevant,HYPERLINK("",EUconst_MsgEnterThisSection),HYPERLINK(Q235,EUconst_MsgGoToNextSubInst)))</f>
        <v>Proszę podać dane w tej części!</v>
      </c>
      <c r="J235" s="1870"/>
      <c r="K235" s="1870"/>
      <c r="L235" s="1870"/>
      <c r="M235" s="1871"/>
      <c r="N235" s="1872"/>
      <c r="O235" s="7"/>
      <c r="P235" s="2" t="s">
        <v>199</v>
      </c>
      <c r="Q235" s="589" t="str">
        <f>"#JUMP_G"&amp;P234+1</f>
        <v>#JUMP_G4</v>
      </c>
    </row>
    <row r="236" spans="1:29" s="701" customFormat="1" ht="5.0999999999999996" customHeight="1" x14ac:dyDescent="0.2">
      <c r="A236" s="422"/>
      <c r="B236" s="3"/>
      <c r="C236" s="3"/>
      <c r="D236" s="3"/>
      <c r="E236" s="3"/>
      <c r="F236" s="3"/>
      <c r="G236" s="3"/>
      <c r="H236" s="3"/>
      <c r="I236" s="3"/>
      <c r="J236" s="3"/>
      <c r="K236" s="3"/>
      <c r="L236" s="3"/>
      <c r="M236" s="7"/>
      <c r="N236" s="7"/>
      <c r="O236" s="7"/>
      <c r="P236" s="8"/>
      <c r="Q236" s="422"/>
      <c r="R236" s="422"/>
      <c r="S236" s="422"/>
      <c r="T236" s="422"/>
      <c r="U236" s="422"/>
      <c r="V236" s="422"/>
      <c r="W236" s="422"/>
      <c r="X236" s="422"/>
      <c r="Y236" s="422"/>
      <c r="Z236" s="422"/>
      <c r="AA236" s="422"/>
      <c r="AB236" s="422"/>
      <c r="AC236" s="422"/>
    </row>
    <row r="237" spans="1:29" s="701" customFormat="1" ht="12.75" customHeight="1" x14ac:dyDescent="0.2">
      <c r="A237" s="422"/>
      <c r="B237" s="398"/>
      <c r="C237" s="398"/>
      <c r="D237" s="398"/>
      <c r="E237" s="1622" t="str">
        <f>CONCATENATE(EUconst_MsgSeeFirst," (G.I.1)")</f>
        <v>Szczegółowe instrukcje dotyczące wprowadzania danych w tym narzędziu znajdują się w pierwszej kopii tego narzędzia.  (G.I.1)</v>
      </c>
      <c r="F237" s="1622"/>
      <c r="G237" s="1622"/>
      <c r="H237" s="1622"/>
      <c r="I237" s="1622"/>
      <c r="J237" s="1622"/>
      <c r="K237" s="1622"/>
      <c r="L237" s="1622"/>
      <c r="M237" s="1622"/>
      <c r="N237" s="1622"/>
      <c r="O237" s="7"/>
      <c r="P237" s="422"/>
      <c r="Q237" s="422"/>
      <c r="R237" s="422"/>
      <c r="S237" s="422"/>
      <c r="T237" s="422"/>
      <c r="U237" s="422"/>
      <c r="V237" s="422"/>
      <c r="W237" s="422"/>
      <c r="X237" s="422"/>
      <c r="Y237" s="422"/>
      <c r="Z237" s="422"/>
      <c r="AA237" s="422"/>
      <c r="AB237" s="422"/>
      <c r="AC237" s="422"/>
    </row>
    <row r="238" spans="1:29" ht="5.0999999999999996" customHeight="1" x14ac:dyDescent="0.2">
      <c r="B238" s="3"/>
      <c r="C238" s="3"/>
      <c r="D238" s="3"/>
      <c r="E238" s="3"/>
      <c r="F238" s="3"/>
      <c r="G238" s="3"/>
      <c r="H238" s="3"/>
      <c r="I238" s="3"/>
      <c r="J238" s="3"/>
      <c r="K238" s="3"/>
      <c r="L238" s="3"/>
      <c r="M238" s="7"/>
      <c r="N238" s="7"/>
      <c r="O238" s="7"/>
      <c r="P238" s="8"/>
      <c r="Q238" s="8"/>
      <c r="R238" s="8"/>
      <c r="S238" s="8"/>
      <c r="T238" s="8"/>
      <c r="U238" s="8"/>
      <c r="V238" s="8"/>
      <c r="W238" s="8"/>
      <c r="X238" s="8"/>
    </row>
    <row r="239" spans="1:29" ht="12.75" customHeight="1" thickBot="1" x14ac:dyDescent="0.25">
      <c r="B239" s="3"/>
      <c r="C239" s="355"/>
      <c r="D239" s="14" t="s">
        <v>173</v>
      </c>
      <c r="E239" s="1375" t="str">
        <f>Translations!$B$670</f>
        <v>Historyczne poziomy działalności</v>
      </c>
      <c r="F239" s="1370"/>
      <c r="G239" s="1370"/>
      <c r="H239" s="1370"/>
      <c r="I239" s="1370"/>
      <c r="J239" s="1370"/>
      <c r="K239" s="1370"/>
      <c r="L239" s="1370"/>
      <c r="M239" s="1370"/>
      <c r="N239" s="1370"/>
      <c r="O239" s="7"/>
      <c r="P239" s="8"/>
      <c r="Q239" s="8"/>
      <c r="R239" s="8"/>
      <c r="S239" s="8"/>
      <c r="T239" s="8"/>
      <c r="U239" s="8"/>
      <c r="V239" s="8"/>
      <c r="W239" s="8"/>
      <c r="X239" s="8"/>
    </row>
    <row r="240" spans="1:29" ht="12.75" customHeight="1" thickBot="1" x14ac:dyDescent="0.25">
      <c r="B240" s="3"/>
      <c r="C240" s="369"/>
      <c r="D240" s="16"/>
      <c r="E240" s="1891" t="str">
        <f>Translations!$B$827</f>
        <v>Następujące dane są pobierane automatycznie z arkusza „E_EnergyFlows” część E.II lit. r).W związku z tym wprowadzenie danych jest tam obowiązkowe.</v>
      </c>
      <c r="F240" s="1891"/>
      <c r="G240" s="1891"/>
      <c r="H240" s="1891"/>
      <c r="I240" s="1891"/>
      <c r="J240" s="1891"/>
      <c r="K240" s="1891"/>
      <c r="L240" s="1891"/>
      <c r="M240" s="1891"/>
      <c r="N240" s="1891"/>
      <c r="O240" s="7"/>
      <c r="P240" s="8"/>
      <c r="Q240" s="424" t="s">
        <v>432</v>
      </c>
      <c r="R240" s="169" t="s">
        <v>238</v>
      </c>
      <c r="S240" s="170"/>
      <c r="T240" s="170"/>
      <c r="U240" s="170"/>
      <c r="V240" s="170"/>
      <c r="W240" s="170"/>
      <c r="X240" s="171"/>
    </row>
    <row r="241" spans="2:28" ht="12.75" customHeight="1" x14ac:dyDescent="0.2">
      <c r="B241" s="20"/>
      <c r="C241" s="355"/>
      <c r="D241" s="14"/>
      <c r="E241" s="1430" t="str">
        <f>Translations!$B$829</f>
        <v>Główny poziom działalności:</v>
      </c>
      <c r="F241" s="1377"/>
      <c r="G241" s="1377"/>
      <c r="H241" s="34" t="str">
        <f>EUconst_Unit</f>
        <v>Jednostka</v>
      </c>
      <c r="I241" s="396">
        <f>I$559</f>
        <v>2014</v>
      </c>
      <c r="J241" s="396">
        <f>J$559</f>
        <v>2015</v>
      </c>
      <c r="K241" s="396">
        <f>K$559</f>
        <v>2016</v>
      </c>
      <c r="L241" s="396">
        <f>L$559</f>
        <v>2017</v>
      </c>
      <c r="M241" s="396">
        <f>M$559</f>
        <v>2018</v>
      </c>
      <c r="N241" s="888" t="str">
        <f>IF(M234&lt;&gt;EUconst_Relevant,"",IF(Z242,YEAR(R234)+1,""))</f>
        <v/>
      </c>
      <c r="O241" s="7"/>
      <c r="P241" s="164" t="s">
        <v>237</v>
      </c>
      <c r="Q241" s="1239" t="s">
        <v>2190</v>
      </c>
      <c r="R241" s="173" t="s">
        <v>437</v>
      </c>
      <c r="S241" s="165">
        <f>I241</f>
        <v>2014</v>
      </c>
      <c r="T241" s="116">
        <f>J241</f>
        <v>2015</v>
      </c>
      <c r="U241" s="116">
        <f>K241</f>
        <v>2016</v>
      </c>
      <c r="V241" s="116">
        <f>L241</f>
        <v>2017</v>
      </c>
      <c r="W241" s="116">
        <f>M241</f>
        <v>2018</v>
      </c>
      <c r="X241" s="117"/>
      <c r="AA241" s="962" t="b">
        <f>IF(CNTR_ExistSubInstEntries,IF(M234=EUconst_Relevant,NOT(Z242),TRUE),FALSE)</f>
        <v>1</v>
      </c>
    </row>
    <row r="242" spans="2:28" ht="12.75" customHeight="1" thickBot="1" x14ac:dyDescent="0.25">
      <c r="B242" s="20"/>
      <c r="C242" s="20"/>
      <c r="D242" s="20"/>
      <c r="E242" s="1801" t="str">
        <f>I234</f>
        <v>Podinstalacja sieci ciepłowniczej</v>
      </c>
      <c r="F242" s="1801"/>
      <c r="G242" s="1801"/>
      <c r="H242" s="98" t="str">
        <f>INDEX(EUconst_FallBackListUnits,MATCH(E242,EUconst_FallBackListNames,0))</f>
        <v>TJ</v>
      </c>
      <c r="I242" s="311">
        <f>IF($M234=EUconst_Relevant,IF(ISNUMBER(INDEX(E_EnergyFlows!I$387:I$393,MATCH($E242,E_EnergyFlows!$E$387:$E$393,0))),INDEX(E_EnergyFlows!I$387:I$393,MATCH($E242,E_EnergyFlows!$E$387:$E$393,0)),INDEX(EUconst_FallbackListMissing,$P234)),"")</f>
        <v>662.06804061044795</v>
      </c>
      <c r="J242" s="311">
        <f>IF($M234=EUconst_Relevant,IF(ISNUMBER(INDEX(E_EnergyFlows!J$387:J$393,MATCH($E242,E_EnergyFlows!$E$387:$E$393,0))),INDEX(E_EnergyFlows!J$387:J$393,MATCH($E242,E_EnergyFlows!$E$387:$E$393,0)),INDEX(EUconst_FallbackListMissing,$P234)),"")</f>
        <v>626.64672879565023</v>
      </c>
      <c r="K242" s="311">
        <f>IF($M234=EUconst_Relevant,IF(ISNUMBER(INDEX(E_EnergyFlows!K$387:K$393,MATCH($E242,E_EnergyFlows!$E$387:$E$393,0))),INDEX(E_EnergyFlows!K$387:K$393,MATCH($E242,E_EnergyFlows!$E$387:$E$393,0)),INDEX(EUconst_FallbackListMissing,$P234)),"")</f>
        <v>723.68499865240449</v>
      </c>
      <c r="L242" s="311">
        <f>IF($M234=EUconst_Relevant,IF(ISNUMBER(INDEX(E_EnergyFlows!L$387:L$393,MATCH($E242,E_EnergyFlows!$E$387:$E$393,0))),INDEX(E_EnergyFlows!L$387:L$393,MATCH($E242,E_EnergyFlows!$E$387:$E$393,0)),INDEX(EUconst_FallbackListMissing,$P234)),"")</f>
        <v>609.35093899960611</v>
      </c>
      <c r="M242" s="311">
        <f>IF($M234=EUconst_Relevant,IF(ISNUMBER(INDEX(E_EnergyFlows!M$387:M$393,MATCH($E242,E_EnergyFlows!$E$387:$E$393,0))),INDEX(E_EnergyFlows!M$387:M$393,MATCH($E242,E_EnergyFlows!$E$387:$E$393,0)),INDEX(EUconst_FallbackListMissing,$P234)),"")</f>
        <v>700.89915206116541</v>
      </c>
      <c r="N242" s="954"/>
      <c r="O242" s="7"/>
      <c r="P242" s="167" t="str">
        <f>EUconst_CNTR_HAL&amp;E242</f>
        <v>HAL_Podinstalacja sieci ciepłowniczej</v>
      </c>
      <c r="Q242" s="168">
        <f>IF(COUNT($K242:$L242)&gt;0,AVERAGE($K242:$L242),"")</f>
        <v>666.51796882600524</v>
      </c>
      <c r="R242" s="166">
        <f>IF(COUNT(S242:W242)&gt;0,AVERAGE(S242:W242),"")</f>
        <v>664.52997182385479</v>
      </c>
      <c r="S242" s="172">
        <f>IF(S234,IF(ISNUMBER(I242),I242,0),"")</f>
        <v>662.06804061044795</v>
      </c>
      <c r="T242" s="119">
        <f>IF(T234,IF(ISNUMBER(J242),J242,0),"")</f>
        <v>626.64672879565023</v>
      </c>
      <c r="U242" s="119">
        <f>IF(U234,IF(ISNUMBER(K242),K242,0),"")</f>
        <v>723.68499865240449</v>
      </c>
      <c r="V242" s="119">
        <f>IF(V234,IF(ISNUMBER(L242),L242,0),"")</f>
        <v>609.35093899960611</v>
      </c>
      <c r="W242" s="119">
        <f>IF(W234,IF(ISNUMBER(M242),M242,0),"")</f>
        <v>700.89915206116541</v>
      </c>
      <c r="X242" s="120"/>
      <c r="Y242" s="371" t="s">
        <v>598</v>
      </c>
      <c r="Z242" s="164" t="b">
        <f>IF(M234&lt;&gt;EUconst_Relevant,FALSE,INDEX(CNTR_SubInstLess1Year,MATCH(I234,CNTR_SubInstListNames,0)))</f>
        <v>0</v>
      </c>
      <c r="AA242" s="956" t="b">
        <f>AA241</f>
        <v>1</v>
      </c>
    </row>
    <row r="243" spans="2:28" ht="12.75" customHeight="1" x14ac:dyDescent="0.2">
      <c r="B243" s="20"/>
      <c r="C243" s="5"/>
      <c r="D243" s="5"/>
      <c r="E243" s="5"/>
      <c r="F243" s="5"/>
      <c r="G243" s="5"/>
      <c r="H243" s="5"/>
      <c r="I243" s="5"/>
      <c r="J243" s="5"/>
      <c r="K243" s="5"/>
      <c r="L243" s="5"/>
      <c r="M243" s="5"/>
      <c r="N243" s="5"/>
      <c r="O243" s="7"/>
    </row>
    <row r="244" spans="2:28" ht="15" x14ac:dyDescent="0.25">
      <c r="B244" s="20"/>
      <c r="C244" s="368"/>
      <c r="D244" s="1439" t="str">
        <f>Translations!$B$700</f>
        <v>Szczegółowe dane dotyczące produkcji</v>
      </c>
      <c r="E244" s="1370"/>
      <c r="F244" s="1370"/>
      <c r="G244" s="1370"/>
      <c r="H244" s="1370"/>
      <c r="I244" s="1370"/>
      <c r="J244" s="1370"/>
      <c r="K244" s="1370"/>
      <c r="L244" s="1370"/>
      <c r="M244" s="1370"/>
      <c r="N244" s="1370"/>
      <c r="O244" s="7"/>
      <c r="Y244" s="8"/>
      <c r="Z244" s="8"/>
      <c r="AA244" s="8"/>
      <c r="AB244" s="8"/>
    </row>
    <row r="245" spans="2:28" ht="5.0999999999999996" customHeight="1" x14ac:dyDescent="0.2">
      <c r="B245" s="3"/>
      <c r="C245" s="5"/>
      <c r="D245" s="3"/>
      <c r="E245" s="3"/>
      <c r="F245" s="3"/>
      <c r="G245" s="3"/>
      <c r="H245" s="3"/>
      <c r="I245" s="3"/>
      <c r="J245" s="3"/>
      <c r="K245" s="3"/>
      <c r="L245" s="3"/>
      <c r="M245" s="3"/>
      <c r="N245" s="3"/>
      <c r="O245" s="7"/>
      <c r="P245" s="8"/>
      <c r="Q245" s="8"/>
    </row>
    <row r="246" spans="2:28" ht="12.75" customHeight="1" x14ac:dyDescent="0.2">
      <c r="B246" s="3"/>
      <c r="C246" s="355"/>
      <c r="D246" s="14" t="s">
        <v>353</v>
      </c>
      <c r="E246" s="1375" t="str">
        <f>Translations!$B$830</f>
        <v>Identyfikacja odpowiednich produktów i usług związanych z tą podinstalacją</v>
      </c>
      <c r="F246" s="1370"/>
      <c r="G246" s="1370"/>
      <c r="H246" s="1370"/>
      <c r="I246" s="1370"/>
      <c r="J246" s="1370"/>
      <c r="K246" s="1370"/>
      <c r="L246" s="1370"/>
      <c r="M246" s="1370"/>
      <c r="N246" s="1370"/>
      <c r="O246" s="7"/>
      <c r="P246" s="8"/>
    </row>
    <row r="247" spans="2:28" ht="5.0999999999999996" customHeight="1" x14ac:dyDescent="0.2">
      <c r="B247" s="3"/>
      <c r="C247" s="369"/>
      <c r="D247" s="16"/>
      <c r="E247" s="17"/>
      <c r="F247" s="17"/>
      <c r="G247" s="17"/>
      <c r="H247" s="17"/>
      <c r="I247" s="17"/>
      <c r="J247" s="21"/>
      <c r="K247" s="353"/>
      <c r="L247" s="353"/>
      <c r="M247" s="26"/>
      <c r="N247" s="26"/>
      <c r="O247" s="7"/>
      <c r="P247" s="8"/>
    </row>
    <row r="248" spans="2:28" ht="25.5" customHeight="1" x14ac:dyDescent="0.2">
      <c r="B248" s="20"/>
      <c r="C248" s="355"/>
      <c r="D248" s="344"/>
      <c r="E248" s="1885" t="str">
        <f>Translations!$B$837</f>
        <v>Rodzaj wykorzystania</v>
      </c>
      <c r="F248" s="1431"/>
      <c r="G248" s="1903" t="str">
        <f>Translations!$B$880</f>
        <v>Lokalna sieć ciepłownicza</v>
      </c>
      <c r="H248" s="1904"/>
      <c r="I248" s="1904"/>
      <c r="J248" s="1904"/>
      <c r="K248" s="1904"/>
      <c r="L248" s="1905"/>
      <c r="M248" s="399" t="s">
        <v>386</v>
      </c>
      <c r="N248" s="26"/>
      <c r="O248" s="7"/>
      <c r="Y248" s="8"/>
      <c r="Z248" s="8"/>
      <c r="AA248" s="8"/>
      <c r="AB248" s="8"/>
    </row>
    <row r="249" spans="2:28" ht="12.75" customHeight="1" x14ac:dyDescent="0.2">
      <c r="B249" s="20"/>
      <c r="C249" s="50"/>
      <c r="D249" s="37">
        <v>1</v>
      </c>
      <c r="E249" s="1883" t="str">
        <f>Translations!$B$881</f>
        <v>Sieć ciepłownicza</v>
      </c>
      <c r="F249" s="1884"/>
      <c r="G249" s="1521" t="s">
        <v>3678</v>
      </c>
      <c r="H249" s="1522"/>
      <c r="I249" s="1522"/>
      <c r="J249" s="1522"/>
      <c r="K249" s="1522"/>
      <c r="L249" s="1426"/>
      <c r="M249" s="549"/>
      <c r="N249" s="26"/>
      <c r="O249" s="7"/>
    </row>
    <row r="250" spans="2:28" ht="12.75" customHeight="1" x14ac:dyDescent="0.2">
      <c r="B250" s="20"/>
      <c r="C250" s="50"/>
      <c r="D250" s="38">
        <f>D249+1</f>
        <v>2</v>
      </c>
      <c r="E250" s="1879" t="str">
        <f>Translations!$B$881</f>
        <v>Sieć ciepłownicza</v>
      </c>
      <c r="F250" s="1880"/>
      <c r="G250" s="1409"/>
      <c r="H250" s="1413"/>
      <c r="I250" s="1413"/>
      <c r="J250" s="1413"/>
      <c r="K250" s="1413"/>
      <c r="L250" s="1410"/>
      <c r="M250" s="550"/>
      <c r="N250" s="26"/>
      <c r="O250" s="7"/>
    </row>
    <row r="251" spans="2:28" ht="12.75" customHeight="1" x14ac:dyDescent="0.2">
      <c r="B251" s="20"/>
      <c r="C251" s="50"/>
      <c r="D251" s="38">
        <f t="shared" ref="D251:D258" si="6">D250+1</f>
        <v>3</v>
      </c>
      <c r="E251" s="1879" t="str">
        <f>Translations!$B$881</f>
        <v>Sieć ciepłownicza</v>
      </c>
      <c r="F251" s="1880"/>
      <c r="G251" s="1409"/>
      <c r="H251" s="1413"/>
      <c r="I251" s="1413"/>
      <c r="J251" s="1413"/>
      <c r="K251" s="1413"/>
      <c r="L251" s="1410"/>
      <c r="M251" s="550"/>
      <c r="N251" s="26"/>
      <c r="O251" s="7"/>
    </row>
    <row r="252" spans="2:28" ht="12.75" customHeight="1" x14ac:dyDescent="0.2">
      <c r="B252" s="20"/>
      <c r="C252" s="50"/>
      <c r="D252" s="38">
        <f t="shared" si="6"/>
        <v>4</v>
      </c>
      <c r="E252" s="1879" t="str">
        <f>Translations!$B$881</f>
        <v>Sieć ciepłownicza</v>
      </c>
      <c r="F252" s="1880"/>
      <c r="G252" s="1409"/>
      <c r="H252" s="1413"/>
      <c r="I252" s="1413"/>
      <c r="J252" s="1413"/>
      <c r="K252" s="1413"/>
      <c r="L252" s="1410"/>
      <c r="M252" s="550"/>
      <c r="N252" s="26"/>
      <c r="O252" s="7"/>
    </row>
    <row r="253" spans="2:28" ht="12.75" customHeight="1" x14ac:dyDescent="0.2">
      <c r="B253" s="20"/>
      <c r="C253" s="50"/>
      <c r="D253" s="38">
        <f t="shared" si="6"/>
        <v>5</v>
      </c>
      <c r="E253" s="1879" t="str">
        <f>Translations!$B$881</f>
        <v>Sieć ciepłownicza</v>
      </c>
      <c r="F253" s="1880"/>
      <c r="G253" s="1409"/>
      <c r="H253" s="1413"/>
      <c r="I253" s="1413"/>
      <c r="J253" s="1413"/>
      <c r="K253" s="1413"/>
      <c r="L253" s="1410"/>
      <c r="M253" s="550"/>
      <c r="N253" s="26"/>
      <c r="O253" s="7"/>
      <c r="Y253" s="8"/>
      <c r="Z253" s="8"/>
      <c r="AA253" s="8"/>
      <c r="AB253" s="8"/>
    </row>
    <row r="254" spans="2:28" ht="12.75" customHeight="1" x14ac:dyDescent="0.2">
      <c r="B254" s="20"/>
      <c r="C254" s="50"/>
      <c r="D254" s="38">
        <f t="shared" si="6"/>
        <v>6</v>
      </c>
      <c r="E254" s="1879" t="str">
        <f>Translations!$B$881</f>
        <v>Sieć ciepłownicza</v>
      </c>
      <c r="F254" s="1880"/>
      <c r="G254" s="1409"/>
      <c r="H254" s="1413"/>
      <c r="I254" s="1413"/>
      <c r="J254" s="1413"/>
      <c r="K254" s="1413"/>
      <c r="L254" s="1410"/>
      <c r="M254" s="550"/>
      <c r="N254" s="26"/>
      <c r="O254" s="7"/>
    </row>
    <row r="255" spans="2:28" ht="12.75" customHeight="1" x14ac:dyDescent="0.2">
      <c r="B255" s="20"/>
      <c r="C255" s="50"/>
      <c r="D255" s="38">
        <f t="shared" si="6"/>
        <v>7</v>
      </c>
      <c r="E255" s="1879" t="str">
        <f>Translations!$B$881</f>
        <v>Sieć ciepłownicza</v>
      </c>
      <c r="F255" s="1880"/>
      <c r="G255" s="1409"/>
      <c r="H255" s="1413"/>
      <c r="I255" s="1413"/>
      <c r="J255" s="1413"/>
      <c r="K255" s="1413"/>
      <c r="L255" s="1410"/>
      <c r="M255" s="550"/>
      <c r="N255" s="26"/>
      <c r="O255" s="7"/>
    </row>
    <row r="256" spans="2:28" ht="12.75" customHeight="1" x14ac:dyDescent="0.2">
      <c r="B256" s="20"/>
      <c r="C256" s="50"/>
      <c r="D256" s="38">
        <f t="shared" si="6"/>
        <v>8</v>
      </c>
      <c r="E256" s="1879" t="str">
        <f>Translations!$B$881</f>
        <v>Sieć ciepłownicza</v>
      </c>
      <c r="F256" s="1880"/>
      <c r="G256" s="1409"/>
      <c r="H256" s="1413"/>
      <c r="I256" s="1413"/>
      <c r="J256" s="1413"/>
      <c r="K256" s="1413"/>
      <c r="L256" s="1410"/>
      <c r="M256" s="550"/>
      <c r="N256" s="26"/>
      <c r="O256" s="7"/>
    </row>
    <row r="257" spans="2:28" ht="12.75" customHeight="1" x14ac:dyDescent="0.2">
      <c r="B257" s="20"/>
      <c r="C257" s="50"/>
      <c r="D257" s="38">
        <f t="shared" si="6"/>
        <v>9</v>
      </c>
      <c r="E257" s="1879" t="str">
        <f>Translations!$B$881</f>
        <v>Sieć ciepłownicza</v>
      </c>
      <c r="F257" s="1880"/>
      <c r="G257" s="1409"/>
      <c r="H257" s="1413"/>
      <c r="I257" s="1413"/>
      <c r="J257" s="1413"/>
      <c r="K257" s="1413"/>
      <c r="L257" s="1410"/>
      <c r="M257" s="550"/>
      <c r="N257" s="26"/>
      <c r="O257" s="7"/>
    </row>
    <row r="258" spans="2:28" ht="12.75" customHeight="1" x14ac:dyDescent="0.2">
      <c r="B258" s="20"/>
      <c r="C258" s="50"/>
      <c r="D258" s="41">
        <f t="shared" si="6"/>
        <v>10</v>
      </c>
      <c r="E258" s="1881" t="str">
        <f>Translations!$B$881</f>
        <v>Sieć ciepłownicza</v>
      </c>
      <c r="F258" s="1882"/>
      <c r="G258" s="1504"/>
      <c r="H258" s="1508"/>
      <c r="I258" s="1508"/>
      <c r="J258" s="1508"/>
      <c r="K258" s="1508"/>
      <c r="L258" s="1506"/>
      <c r="M258" s="551"/>
      <c r="N258" s="26"/>
      <c r="O258" s="7"/>
      <c r="Y258" s="8"/>
      <c r="Z258" s="8"/>
      <c r="AA258" s="8"/>
      <c r="AB258" s="8"/>
    </row>
    <row r="259" spans="2:28" ht="5.0999999999999996" customHeight="1" x14ac:dyDescent="0.2">
      <c r="B259" s="3"/>
      <c r="C259" s="5"/>
      <c r="D259" s="3"/>
      <c r="E259" s="3"/>
      <c r="F259" s="3"/>
      <c r="G259" s="3"/>
      <c r="H259" s="3"/>
      <c r="I259" s="3"/>
      <c r="J259" s="3"/>
      <c r="K259" s="3"/>
      <c r="L259" s="3"/>
      <c r="M259" s="3"/>
      <c r="N259" s="3"/>
      <c r="O259" s="7"/>
      <c r="P259" s="8"/>
      <c r="Q259" s="8"/>
    </row>
    <row r="260" spans="2:28" ht="12.75" customHeight="1" x14ac:dyDescent="0.2">
      <c r="B260" s="3"/>
      <c r="C260" s="355"/>
      <c r="D260" s="14"/>
      <c r="E260" s="1375" t="str">
        <f>Translations!$B$840</f>
        <v>Poziomy produkcji:</v>
      </c>
      <c r="F260" s="1370"/>
      <c r="G260" s="1370"/>
      <c r="H260" s="1370"/>
      <c r="I260" s="1370"/>
      <c r="J260" s="1370"/>
      <c r="K260" s="1370"/>
      <c r="L260" s="1370"/>
      <c r="M260" s="1370"/>
      <c r="N260" s="1370"/>
      <c r="O260" s="7"/>
      <c r="P260" s="8"/>
    </row>
    <row r="261" spans="2:28" ht="5.0999999999999996" customHeight="1" x14ac:dyDescent="0.2">
      <c r="B261" s="3"/>
      <c r="C261" s="369"/>
      <c r="D261" s="16"/>
      <c r="E261" s="17"/>
      <c r="F261" s="17"/>
      <c r="G261" s="17"/>
      <c r="H261" s="17"/>
      <c r="I261" s="17"/>
      <c r="J261" s="21"/>
      <c r="K261" s="21"/>
      <c r="L261" s="21"/>
      <c r="M261" s="7"/>
      <c r="N261" s="7"/>
      <c r="O261" s="7"/>
      <c r="P261" s="8"/>
    </row>
    <row r="262" spans="2:28" ht="12.75" customHeight="1" x14ac:dyDescent="0.2">
      <c r="B262" s="20"/>
      <c r="C262" s="355"/>
      <c r="D262" s="344"/>
      <c r="E262" s="1852" t="str">
        <f>G248</f>
        <v>Lokalna sieć ciepłownicza</v>
      </c>
      <c r="F262" s="1377"/>
      <c r="G262" s="1431"/>
      <c r="H262" s="34" t="str">
        <f>EUconst_Unit</f>
        <v>Jednostka</v>
      </c>
      <c r="I262" s="396">
        <f>I$559</f>
        <v>2014</v>
      </c>
      <c r="J262" s="396">
        <f>J$559</f>
        <v>2015</v>
      </c>
      <c r="K262" s="396">
        <f>K$559</f>
        <v>2016</v>
      </c>
      <c r="L262" s="396">
        <f>L$559</f>
        <v>2017</v>
      </c>
      <c r="M262" s="421">
        <f>M$559</f>
        <v>2018</v>
      </c>
      <c r="N262" s="7"/>
      <c r="O262" s="7"/>
    </row>
    <row r="263" spans="2:28" ht="12.75" customHeight="1" x14ac:dyDescent="0.2">
      <c r="B263" s="20"/>
      <c r="C263" s="50"/>
      <c r="D263" s="37">
        <v>1</v>
      </c>
      <c r="E263" s="1873" t="str">
        <f>IF(ISBLANK(G249),"",G249)</f>
        <v>Sieć ciepłownicza: Ciepło Wyprowadzanie</v>
      </c>
      <c r="F263" s="1874"/>
      <c r="G263" s="1875"/>
      <c r="H263" s="732" t="str">
        <f t="shared" ref="H263:H272" si="7">EUconst_TJ</f>
        <v>TJ</v>
      </c>
      <c r="I263" s="472">
        <v>662.06804061044795</v>
      </c>
      <c r="J263" s="472">
        <v>626.64672879565023</v>
      </c>
      <c r="K263" s="472">
        <v>723.68499865240449</v>
      </c>
      <c r="L263" s="472">
        <v>609.35093899960611</v>
      </c>
      <c r="M263" s="472">
        <v>700.89915206116541</v>
      </c>
      <c r="N263" s="7"/>
      <c r="O263" s="7"/>
    </row>
    <row r="264" spans="2:28" ht="12.75" customHeight="1" x14ac:dyDescent="0.2">
      <c r="B264" s="20"/>
      <c r="C264" s="50"/>
      <c r="D264" s="38">
        <f>D263+1</f>
        <v>2</v>
      </c>
      <c r="E264" s="1839" t="str">
        <f t="shared" ref="E264:E272" si="8">IF(ISBLANK(G250),"",G250)</f>
        <v/>
      </c>
      <c r="F264" s="1441"/>
      <c r="G264" s="1840"/>
      <c r="H264" s="733" t="str">
        <f t="shared" si="7"/>
        <v>TJ</v>
      </c>
      <c r="I264" s="548"/>
      <c r="J264" s="548"/>
      <c r="K264" s="548"/>
      <c r="L264" s="548"/>
      <c r="M264" s="606"/>
      <c r="N264" s="7"/>
      <c r="O264" s="7"/>
    </row>
    <row r="265" spans="2:28" ht="12.75" customHeight="1" x14ac:dyDescent="0.2">
      <c r="B265" s="20"/>
      <c r="C265" s="50"/>
      <c r="D265" s="38">
        <f t="shared" ref="D265:D272" si="9">D264+1</f>
        <v>3</v>
      </c>
      <c r="E265" s="1839" t="str">
        <f t="shared" si="8"/>
        <v/>
      </c>
      <c r="F265" s="1441"/>
      <c r="G265" s="1840"/>
      <c r="H265" s="733" t="str">
        <f t="shared" si="7"/>
        <v>TJ</v>
      </c>
      <c r="I265" s="548"/>
      <c r="J265" s="548"/>
      <c r="K265" s="548"/>
      <c r="L265" s="548"/>
      <c r="M265" s="606"/>
      <c r="N265" s="7"/>
      <c r="O265" s="7"/>
    </row>
    <row r="266" spans="2:28" ht="12.75" customHeight="1" x14ac:dyDescent="0.2">
      <c r="B266" s="20"/>
      <c r="C266" s="50"/>
      <c r="D266" s="38">
        <f t="shared" si="9"/>
        <v>4</v>
      </c>
      <c r="E266" s="1839" t="str">
        <f t="shared" si="8"/>
        <v/>
      </c>
      <c r="F266" s="1441"/>
      <c r="G266" s="1840"/>
      <c r="H266" s="733" t="str">
        <f t="shared" si="7"/>
        <v>TJ</v>
      </c>
      <c r="I266" s="548"/>
      <c r="J266" s="548"/>
      <c r="K266" s="548"/>
      <c r="L266" s="548"/>
      <c r="M266" s="606"/>
      <c r="N266" s="7"/>
      <c r="O266" s="7"/>
    </row>
    <row r="267" spans="2:28" ht="12.75" customHeight="1" x14ac:dyDescent="0.2">
      <c r="B267" s="20"/>
      <c r="C267" s="50"/>
      <c r="D267" s="38">
        <f t="shared" si="9"/>
        <v>5</v>
      </c>
      <c r="E267" s="1839" t="str">
        <f t="shared" si="8"/>
        <v/>
      </c>
      <c r="F267" s="1441"/>
      <c r="G267" s="1840"/>
      <c r="H267" s="733" t="str">
        <f t="shared" si="7"/>
        <v>TJ</v>
      </c>
      <c r="I267" s="548"/>
      <c r="J267" s="548"/>
      <c r="K267" s="548"/>
      <c r="L267" s="548"/>
      <c r="M267" s="606"/>
      <c r="N267" s="7"/>
      <c r="O267" s="7"/>
    </row>
    <row r="268" spans="2:28" ht="12.75" customHeight="1" x14ac:dyDescent="0.2">
      <c r="B268" s="20"/>
      <c r="C268" s="50"/>
      <c r="D268" s="38">
        <f t="shared" si="9"/>
        <v>6</v>
      </c>
      <c r="E268" s="1839" t="str">
        <f t="shared" si="8"/>
        <v/>
      </c>
      <c r="F268" s="1441"/>
      <c r="G268" s="1840"/>
      <c r="H268" s="733" t="str">
        <f t="shared" si="7"/>
        <v>TJ</v>
      </c>
      <c r="I268" s="548"/>
      <c r="J268" s="548"/>
      <c r="K268" s="548"/>
      <c r="L268" s="548"/>
      <c r="M268" s="606"/>
      <c r="N268" s="7"/>
      <c r="O268" s="7"/>
    </row>
    <row r="269" spans="2:28" ht="12.75" customHeight="1" x14ac:dyDescent="0.2">
      <c r="B269" s="20"/>
      <c r="C269" s="50"/>
      <c r="D269" s="38">
        <f t="shared" si="9"/>
        <v>7</v>
      </c>
      <c r="E269" s="1839" t="str">
        <f t="shared" si="8"/>
        <v/>
      </c>
      <c r="F269" s="1441"/>
      <c r="G269" s="1840"/>
      <c r="H269" s="733" t="str">
        <f t="shared" si="7"/>
        <v>TJ</v>
      </c>
      <c r="I269" s="548"/>
      <c r="J269" s="548"/>
      <c r="K269" s="548"/>
      <c r="L269" s="548"/>
      <c r="M269" s="606"/>
      <c r="N269" s="7"/>
      <c r="O269" s="7"/>
    </row>
    <row r="270" spans="2:28" ht="12.75" customHeight="1" x14ac:dyDescent="0.2">
      <c r="B270" s="20"/>
      <c r="C270" s="50"/>
      <c r="D270" s="38">
        <f t="shared" si="9"/>
        <v>8</v>
      </c>
      <c r="E270" s="1839" t="str">
        <f t="shared" si="8"/>
        <v/>
      </c>
      <c r="F270" s="1441"/>
      <c r="G270" s="1840"/>
      <c r="H270" s="733" t="str">
        <f t="shared" si="7"/>
        <v>TJ</v>
      </c>
      <c r="I270" s="548"/>
      <c r="J270" s="548"/>
      <c r="K270" s="548"/>
      <c r="L270" s="548"/>
      <c r="M270" s="606"/>
      <c r="N270" s="7"/>
      <c r="O270" s="7"/>
    </row>
    <row r="271" spans="2:28" ht="12.75" customHeight="1" x14ac:dyDescent="0.2">
      <c r="B271" s="20"/>
      <c r="C271" s="50"/>
      <c r="D271" s="38">
        <f t="shared" si="9"/>
        <v>9</v>
      </c>
      <c r="E271" s="1839" t="str">
        <f t="shared" si="8"/>
        <v/>
      </c>
      <c r="F271" s="1441"/>
      <c r="G271" s="1840"/>
      <c r="H271" s="733" t="str">
        <f t="shared" si="7"/>
        <v>TJ</v>
      </c>
      <c r="I271" s="548"/>
      <c r="J271" s="548"/>
      <c r="K271" s="548"/>
      <c r="L271" s="548"/>
      <c r="M271" s="606"/>
      <c r="N271" s="7"/>
      <c r="O271" s="7"/>
    </row>
    <row r="272" spans="2:28" ht="12.75" customHeight="1" x14ac:dyDescent="0.2">
      <c r="B272" s="20"/>
      <c r="C272" s="50"/>
      <c r="D272" s="41">
        <f t="shared" si="9"/>
        <v>10</v>
      </c>
      <c r="E272" s="1841" t="str">
        <f t="shared" si="8"/>
        <v/>
      </c>
      <c r="F272" s="1450"/>
      <c r="G272" s="1842"/>
      <c r="H272" s="734" t="str">
        <f t="shared" si="7"/>
        <v>TJ</v>
      </c>
      <c r="I272" s="446"/>
      <c r="J272" s="446"/>
      <c r="K272" s="446"/>
      <c r="L272" s="446"/>
      <c r="M272" s="607"/>
      <c r="N272" s="7"/>
      <c r="O272" s="7"/>
    </row>
    <row r="273" spans="2:30" ht="12.75" customHeight="1" x14ac:dyDescent="0.2">
      <c r="B273" s="20"/>
      <c r="C273" s="20"/>
      <c r="D273" s="97"/>
      <c r="E273" s="1849" t="str">
        <f>Translations!$B$708</f>
        <v>Suma poziomów produkcji</v>
      </c>
      <c r="F273" s="1666"/>
      <c r="G273" s="1383"/>
      <c r="H273" s="236"/>
      <c r="I273" s="327">
        <f>IF(COUNT(I263:I272)&gt;0,SUM(I263:I272),"")</f>
        <v>662.06804061044795</v>
      </c>
      <c r="J273" s="327">
        <f>IF(COUNT(J263:J272)&gt;0,SUM(J263:J272),"")</f>
        <v>626.64672879565023</v>
      </c>
      <c r="K273" s="327">
        <f>IF(COUNT(K263:K272)&gt;0,SUM(K263:K272),"")</f>
        <v>723.68499865240449</v>
      </c>
      <c r="L273" s="327">
        <f>IF(COUNT(L263:L272)&gt;0,SUM(L263:L272),"")</f>
        <v>609.35093899960611</v>
      </c>
      <c r="M273" s="332">
        <f>IF(COUNT(M263:M272)&gt;0,SUM(M263:M272),"")</f>
        <v>700.89915206116541</v>
      </c>
      <c r="N273" s="7"/>
      <c r="O273" s="7"/>
    </row>
    <row r="274" spans="2:30" ht="12.75" customHeight="1" thickBot="1" x14ac:dyDescent="0.25">
      <c r="B274" s="20"/>
      <c r="C274" s="20"/>
      <c r="D274" s="20"/>
      <c r="E274" s="20"/>
      <c r="F274" s="20"/>
      <c r="G274" s="20"/>
      <c r="H274" s="20"/>
      <c r="I274" s="20"/>
      <c r="J274" s="20"/>
      <c r="K274" s="20"/>
      <c r="L274" s="20"/>
      <c r="M274" s="20"/>
      <c r="N274" s="20"/>
      <c r="O274" s="7"/>
    </row>
    <row r="275" spans="2:30" ht="5.0999999999999996" customHeight="1" x14ac:dyDescent="0.2">
      <c r="B275" s="3"/>
      <c r="C275" s="455"/>
      <c r="D275" s="456"/>
      <c r="E275" s="456"/>
      <c r="F275" s="456"/>
      <c r="G275" s="456"/>
      <c r="H275" s="456"/>
      <c r="I275" s="456"/>
      <c r="J275" s="456"/>
      <c r="K275" s="456"/>
      <c r="L275" s="456"/>
      <c r="M275" s="457"/>
      <c r="N275" s="458"/>
      <c r="O275" s="7"/>
      <c r="P275" s="8"/>
      <c r="R275" s="8"/>
      <c r="S275" s="8"/>
    </row>
    <row r="276" spans="2:30" ht="12.75" customHeight="1" x14ac:dyDescent="0.2">
      <c r="B276" s="20"/>
      <c r="C276" s="459"/>
      <c r="D276" s="1776" t="str">
        <f>Translations!$B$709</f>
        <v>Dane wymagane do określenia współczynnika poprawy wskaźników zgodnie z art. 10a ust. 2 dyrektywy w sprawie EU ETS</v>
      </c>
      <c r="E276" s="1734"/>
      <c r="F276" s="1734"/>
      <c r="G276" s="1734"/>
      <c r="H276" s="1734"/>
      <c r="I276" s="1734"/>
      <c r="J276" s="1734"/>
      <c r="K276" s="1734"/>
      <c r="L276" s="1734"/>
      <c r="M276" s="1734"/>
      <c r="N276" s="1735"/>
      <c r="O276" s="7"/>
      <c r="R276" s="8"/>
      <c r="S276" s="8"/>
    </row>
    <row r="277" spans="2:30" ht="5.0999999999999996" customHeight="1" x14ac:dyDescent="0.2">
      <c r="B277" s="20"/>
      <c r="C277" s="460"/>
      <c r="D277" s="449"/>
      <c r="E277" s="449"/>
      <c r="F277" s="449"/>
      <c r="G277" s="449"/>
      <c r="H277" s="449"/>
      <c r="I277" s="449"/>
      <c r="J277" s="449"/>
      <c r="K277" s="449"/>
      <c r="L277" s="449"/>
      <c r="M277" s="449"/>
      <c r="N277" s="461"/>
      <c r="O277" s="7"/>
      <c r="R277" s="8"/>
      <c r="S277" s="8"/>
    </row>
    <row r="278" spans="2:30" ht="15" customHeight="1" x14ac:dyDescent="0.2">
      <c r="B278" s="20"/>
      <c r="C278" s="460"/>
      <c r="D278" s="1778" t="str">
        <f>EUconst_FBSubinst &amp; ":"</f>
        <v>Podinstalacja, dla której wprowadzono rozwiązania rezerwowe (fall-back):</v>
      </c>
      <c r="E278" s="1779"/>
      <c r="F278" s="1779"/>
      <c r="G278" s="1779"/>
      <c r="H278" s="1780"/>
      <c r="I278" s="1781" t="str">
        <f>I234</f>
        <v>Podinstalacja sieci ciepłowniczej</v>
      </c>
      <c r="J278" s="1666"/>
      <c r="K278" s="1666"/>
      <c r="L278" s="1666"/>
      <c r="M278" s="1666"/>
      <c r="N278" s="1782"/>
      <c r="O278" s="7"/>
      <c r="R278" s="8"/>
      <c r="S278" s="8"/>
    </row>
    <row r="279" spans="2:30" ht="5.0999999999999996" customHeight="1" x14ac:dyDescent="0.2">
      <c r="B279" s="20"/>
      <c r="C279" s="460"/>
      <c r="D279" s="449"/>
      <c r="E279" s="449"/>
      <c r="F279" s="449"/>
      <c r="G279" s="449"/>
      <c r="H279" s="449"/>
      <c r="I279" s="449"/>
      <c r="J279" s="449"/>
      <c r="K279" s="449"/>
      <c r="L279" s="449"/>
      <c r="M279" s="449"/>
      <c r="N279" s="461"/>
      <c r="O279" s="7"/>
      <c r="R279" s="8"/>
      <c r="S279" s="8"/>
    </row>
    <row r="280" spans="2:30" ht="12.75" customHeight="1" x14ac:dyDescent="0.2">
      <c r="B280" s="3"/>
      <c r="C280" s="459"/>
      <c r="D280" s="462" t="s">
        <v>11</v>
      </c>
      <c r="E280" s="1731" t="str">
        <f>Translations!$B$841</f>
        <v>Emisje, które można bezpośrednio przypisać (DirEm*) do tej podinstalacji</v>
      </c>
      <c r="F280" s="1734"/>
      <c r="G280" s="1734"/>
      <c r="H280" s="1734"/>
      <c r="I280" s="1734"/>
      <c r="J280" s="1734"/>
      <c r="K280" s="1734"/>
      <c r="L280" s="1734"/>
      <c r="M280" s="1734"/>
      <c r="N280" s="1735"/>
      <c r="O280" s="7"/>
      <c r="P280" s="8"/>
      <c r="R280" s="8"/>
      <c r="S280" s="8"/>
    </row>
    <row r="281" spans="2:30" ht="12.75" customHeight="1" thickBot="1" x14ac:dyDescent="0.25">
      <c r="B281" s="3"/>
      <c r="C281" s="459"/>
      <c r="D281" s="448"/>
      <c r="E281" s="1733" t="str">
        <f>Translations!$B$882</f>
        <v>Szczegółowe instrukcje dotyczące wprowadzania danych w tym polu znajdują się w pkt 1 lit. c) powyżej.</v>
      </c>
      <c r="F281" s="1733"/>
      <c r="G281" s="1733"/>
      <c r="H281" s="1733"/>
      <c r="I281" s="1733"/>
      <c r="J281" s="1733"/>
      <c r="K281" s="1733"/>
      <c r="L281" s="1733"/>
      <c r="M281" s="1733"/>
      <c r="N281" s="1768"/>
      <c r="O281" s="7"/>
      <c r="P281" s="8"/>
      <c r="R281" s="8"/>
    </row>
    <row r="282" spans="2:30" ht="12.75" customHeight="1" x14ac:dyDescent="0.2">
      <c r="B282" s="3"/>
      <c r="C282" s="459"/>
      <c r="D282" s="462"/>
      <c r="E282" s="1757" t="str">
        <f>Translations!$B$690</f>
        <v>Całkowite emisje bezpośrednie</v>
      </c>
      <c r="F282" s="1758"/>
      <c r="G282" s="1758"/>
      <c r="H282" s="450" t="str">
        <f>EUconst_Unit</f>
        <v>Jednostka</v>
      </c>
      <c r="I282" s="451">
        <f>I$559</f>
        <v>2014</v>
      </c>
      <c r="J282" s="451">
        <f>J$559</f>
        <v>2015</v>
      </c>
      <c r="K282" s="451">
        <f>K$559</f>
        <v>2016</v>
      </c>
      <c r="L282" s="451">
        <f>L$559</f>
        <v>2017</v>
      </c>
      <c r="M282" s="451">
        <f>M$559</f>
        <v>2018</v>
      </c>
      <c r="N282" s="463"/>
      <c r="O282" s="1324" t="s">
        <v>3690</v>
      </c>
      <c r="P282" s="8"/>
      <c r="R282" s="813"/>
      <c r="S282" s="814">
        <f>I282</f>
        <v>2014</v>
      </c>
      <c r="T282" s="814">
        <f>J282</f>
        <v>2015</v>
      </c>
      <c r="U282" s="814">
        <f>K282</f>
        <v>2016</v>
      </c>
      <c r="V282" s="814">
        <f>L282</f>
        <v>2017</v>
      </c>
      <c r="W282" s="815">
        <f>M282</f>
        <v>2018</v>
      </c>
      <c r="AD282" s="1325" t="s">
        <v>3695</v>
      </c>
    </row>
    <row r="283" spans="2:30" ht="12.75" customHeight="1" thickBot="1" x14ac:dyDescent="0.25">
      <c r="B283" s="3"/>
      <c r="C283" s="459"/>
      <c r="D283" s="448"/>
      <c r="E283" s="1762" t="str">
        <f>I234</f>
        <v>Podinstalacja sieci ciepłowniczej</v>
      </c>
      <c r="F283" s="1762"/>
      <c r="G283" s="1762"/>
      <c r="H283" s="452" t="str">
        <f>EUconst_tCO2epa</f>
        <v>t CO2e/rok</v>
      </c>
      <c r="I283" s="322"/>
      <c r="J283" s="322"/>
      <c r="K283" s="322"/>
      <c r="L283" s="322"/>
      <c r="M283" s="322"/>
      <c r="N283" s="463"/>
      <c r="O283" s="1324" t="s">
        <v>3690</v>
      </c>
      <c r="P283" s="351" t="str">
        <f>EUconst_CNTR_Emissions &amp; I234</f>
        <v>DirEmissions_Podinstalacja sieci ciepłowniczej</v>
      </c>
      <c r="R283" s="816" t="str">
        <f>EUconst_CNTR_AttributedEmissions &amp; $I234</f>
        <v>AttrEmissions_Podinstalacja sieci ciepłowniczej</v>
      </c>
      <c r="S283" s="119">
        <f>IF(S234,SUM(I283),"")</f>
        <v>0</v>
      </c>
      <c r="T283" s="119">
        <f>IF(T234,SUM(J283),"")</f>
        <v>0</v>
      </c>
      <c r="U283" s="119">
        <f>IF(U234,SUM(K283),"")</f>
        <v>0</v>
      </c>
      <c r="V283" s="119">
        <f>IF(V234,SUM(L283),"")</f>
        <v>0</v>
      </c>
      <c r="W283" s="120">
        <f>IF(W234,SUM(M283),"")</f>
        <v>0</v>
      </c>
      <c r="AD283" s="701" t="s">
        <v>3696</v>
      </c>
    </row>
    <row r="284" spans="2:30" ht="5.0999999999999996" customHeight="1" x14ac:dyDescent="0.2">
      <c r="B284" s="3"/>
      <c r="C284" s="459"/>
      <c r="D284" s="448"/>
      <c r="E284" s="448"/>
      <c r="F284" s="448"/>
      <c r="G284" s="448"/>
      <c r="H284" s="448"/>
      <c r="I284" s="448"/>
      <c r="J284" s="448"/>
      <c r="K284" s="448"/>
      <c r="L284" s="448"/>
      <c r="M284" s="464"/>
      <c r="N284" s="463"/>
      <c r="O284" s="7"/>
      <c r="P284" s="8"/>
      <c r="R284" s="8"/>
    </row>
    <row r="285" spans="2:30" ht="12.75" customHeight="1" x14ac:dyDescent="0.2">
      <c r="B285" s="3"/>
      <c r="C285" s="459"/>
      <c r="D285" s="462" t="s">
        <v>356</v>
      </c>
      <c r="E285" s="1760" t="str">
        <f>Translations!$B$726</f>
        <v>Wsad paliwa do tej podinstalacji oraz odpowiedni współczynnik emisji</v>
      </c>
      <c r="F285" s="1760"/>
      <c r="G285" s="1760"/>
      <c r="H285" s="1760"/>
      <c r="I285" s="1760"/>
      <c r="J285" s="1760"/>
      <c r="K285" s="1760"/>
      <c r="L285" s="1760"/>
      <c r="M285" s="1760"/>
      <c r="N285" s="1761"/>
      <c r="O285" s="1324" t="s">
        <v>3690</v>
      </c>
      <c r="R285" s="8"/>
      <c r="AD285" s="1326" t="s">
        <v>3697</v>
      </c>
    </row>
    <row r="286" spans="2:30" ht="12.75" customHeight="1" x14ac:dyDescent="0.2">
      <c r="B286" s="3"/>
      <c r="C286" s="459"/>
      <c r="D286" s="448"/>
      <c r="E286" s="1733" t="str">
        <f>Translations!$B$877</f>
        <v>Szczegółowe instrukcje dotyczące wprowadzania danych w tym polu znajdują się w pkt 1 lit. d) powyżej.</v>
      </c>
      <c r="F286" s="1733"/>
      <c r="G286" s="1733"/>
      <c r="H286" s="1733"/>
      <c r="I286" s="1733"/>
      <c r="J286" s="1733"/>
      <c r="K286" s="1733"/>
      <c r="L286" s="1733"/>
      <c r="M286" s="1733"/>
      <c r="N286" s="1768"/>
      <c r="O286" s="7"/>
      <c r="P286" s="8"/>
      <c r="R286" s="8"/>
    </row>
    <row r="287" spans="2:30" ht="12.75" customHeight="1" x14ac:dyDescent="0.2">
      <c r="B287" s="3"/>
      <c r="C287" s="459"/>
      <c r="D287" s="462"/>
      <c r="E287" s="1757"/>
      <c r="F287" s="1758"/>
      <c r="G287" s="1758"/>
      <c r="H287" s="450" t="str">
        <f>EUconst_Unit</f>
        <v>Jednostka</v>
      </c>
      <c r="I287" s="451">
        <f>I$559</f>
        <v>2014</v>
      </c>
      <c r="J287" s="451">
        <f>J$559</f>
        <v>2015</v>
      </c>
      <c r="K287" s="451">
        <f>K$559</f>
        <v>2016</v>
      </c>
      <c r="L287" s="451">
        <f>L$559</f>
        <v>2017</v>
      </c>
      <c r="M287" s="451">
        <f>M$559</f>
        <v>2018</v>
      </c>
      <c r="N287" s="463"/>
      <c r="O287" s="7"/>
      <c r="P287" s="8"/>
      <c r="R287" s="8"/>
    </row>
    <row r="288" spans="2:30" ht="12.75" customHeight="1" x14ac:dyDescent="0.2">
      <c r="B288" s="3"/>
      <c r="C288" s="459"/>
      <c r="D288" s="465" t="s">
        <v>2</v>
      </c>
      <c r="E288" s="1739" t="str">
        <f>Translations!$B$852</f>
        <v>Całkowity wsad paliwa</v>
      </c>
      <c r="F288" s="1740"/>
      <c r="G288" s="1740"/>
      <c r="H288" s="453" t="str">
        <f>EUconst_TJpa</f>
        <v>TJ / rok</v>
      </c>
      <c r="I288" s="313">
        <v>920.33460322968017</v>
      </c>
      <c r="J288" s="313">
        <v>864.79539559919135</v>
      </c>
      <c r="K288" s="313">
        <v>958.26434329735036</v>
      </c>
      <c r="L288" s="313">
        <v>827.16010256632342</v>
      </c>
      <c r="M288" s="313">
        <v>928.88015707038483</v>
      </c>
      <c r="N288" s="518"/>
      <c r="O288" s="7"/>
      <c r="P288" s="351" t="str">
        <f>EUconst_CNTR_FuelInput &amp; I234</f>
        <v>FuelInput_Podinstalacja sieci ciepłowniczej</v>
      </c>
      <c r="R288" s="8"/>
    </row>
    <row r="289" spans="2:30" ht="12.75" customHeight="1" x14ac:dyDescent="0.2">
      <c r="B289" s="3"/>
      <c r="C289" s="459"/>
      <c r="D289" s="465" t="s">
        <v>3</v>
      </c>
      <c r="E289" s="1772" t="str">
        <f>Translations!$B$732</f>
        <v>Ważony współczynnik emisji</v>
      </c>
      <c r="F289" s="1773"/>
      <c r="G289" s="1773"/>
      <c r="H289" s="569" t="str">
        <f>EUconst_tCO2pTJ</f>
        <v>t CO2 / TJ</v>
      </c>
      <c r="I289" s="323">
        <v>52.94156199999999</v>
      </c>
      <c r="J289" s="323">
        <v>52.824505280000011</v>
      </c>
      <c r="K289" s="323">
        <v>52.659561719999992</v>
      </c>
      <c r="L289" s="323">
        <v>52.659561719999999</v>
      </c>
      <c r="M289" s="323">
        <v>52.941562000000005</v>
      </c>
      <c r="N289" s="463"/>
      <c r="O289" s="1324" t="s">
        <v>3690</v>
      </c>
      <c r="P289" s="351" t="str">
        <f>EUconst_CNTR_FuelEF &amp; I234</f>
        <v>FuelEF_Podinstalacja sieci ciepłowniczej</v>
      </c>
      <c r="R289" s="8"/>
      <c r="AD289" s="701" t="s">
        <v>3699</v>
      </c>
    </row>
    <row r="290" spans="2:30" ht="5.0999999999999996" customHeight="1" x14ac:dyDescent="0.2">
      <c r="B290" s="3"/>
      <c r="C290" s="459"/>
      <c r="D290" s="448"/>
      <c r="E290" s="448"/>
      <c r="F290" s="448"/>
      <c r="G290" s="448"/>
      <c r="H290" s="448"/>
      <c r="I290" s="448"/>
      <c r="J290" s="448"/>
      <c r="K290" s="448"/>
      <c r="L290" s="448"/>
      <c r="M290" s="448"/>
      <c r="N290" s="463"/>
      <c r="O290" s="7"/>
      <c r="P290" s="8"/>
      <c r="R290" s="8"/>
    </row>
    <row r="291" spans="2:30" ht="12.75" customHeight="1" x14ac:dyDescent="0.2">
      <c r="B291" s="3"/>
      <c r="C291" s="459"/>
      <c r="D291" s="465" t="s">
        <v>4</v>
      </c>
      <c r="E291" s="1739" t="str">
        <f>Translations!$B$853</f>
        <v>Wsad paliwa z gazów odlotowych</v>
      </c>
      <c r="F291" s="1740"/>
      <c r="G291" s="1740"/>
      <c r="H291" s="453" t="str">
        <f>EUconst_TJpa</f>
        <v>TJ / rok</v>
      </c>
      <c r="I291" s="313"/>
      <c r="J291" s="313"/>
      <c r="K291" s="313"/>
      <c r="L291" s="313"/>
      <c r="M291" s="313"/>
      <c r="N291" s="463"/>
      <c r="O291" s="7"/>
      <c r="P291" s="438" t="str">
        <f>EUconst_CNTR_WGConsumed &amp; I234</f>
        <v>WasteGasCons_Podinstalacja sieci ciepłowniczej</v>
      </c>
      <c r="R291" s="8"/>
    </row>
    <row r="292" spans="2:30" ht="25.5" customHeight="1" x14ac:dyDescent="0.2">
      <c r="B292" s="3"/>
      <c r="C292" s="459"/>
      <c r="D292" s="465" t="s">
        <v>6</v>
      </c>
      <c r="E292" s="1739" t="str">
        <f>Translations!$B$854</f>
        <v>Właściwy współczynnik emisji (gazy odlotowe)</v>
      </c>
      <c r="F292" s="1740"/>
      <c r="G292" s="1740"/>
      <c r="H292" s="569" t="str">
        <f>EUconst_tCO2pTJ</f>
        <v>t CO2 / TJ</v>
      </c>
      <c r="I292" s="323"/>
      <c r="J292" s="323"/>
      <c r="K292" s="323"/>
      <c r="L292" s="323"/>
      <c r="M292" s="323"/>
      <c r="N292" s="463"/>
      <c r="O292" s="7"/>
      <c r="P292" s="351" t="str">
        <f>EUconst_CNTR_WGConsumedEF &amp; I234</f>
        <v>WasteGasConsEF_Podinstalacja sieci ciepłowniczej</v>
      </c>
      <c r="R292" s="8"/>
    </row>
    <row r="293" spans="2:30" ht="5.0999999999999996" customHeight="1" x14ac:dyDescent="0.2">
      <c r="B293" s="20"/>
      <c r="C293" s="460"/>
      <c r="D293" s="449"/>
      <c r="E293" s="449"/>
      <c r="F293" s="449"/>
      <c r="G293" s="449"/>
      <c r="H293" s="449"/>
      <c r="I293" s="449"/>
      <c r="J293" s="449"/>
      <c r="K293" s="449"/>
      <c r="L293" s="449"/>
      <c r="M293" s="449"/>
      <c r="N293" s="461"/>
      <c r="O293" s="7"/>
      <c r="R293" s="8"/>
      <c r="S293" s="8"/>
    </row>
    <row r="294" spans="2:30" ht="12.75" customHeight="1" x14ac:dyDescent="0.2">
      <c r="B294" s="3"/>
      <c r="C294" s="459"/>
      <c r="D294" s="462" t="s">
        <v>12</v>
      </c>
      <c r="E294" s="1731" t="str">
        <f>Translations!$B$532</f>
        <v>Wytworzone mierzalne ciepło</v>
      </c>
      <c r="F294" s="1734"/>
      <c r="G294" s="1734"/>
      <c r="H294" s="1734"/>
      <c r="I294" s="1734"/>
      <c r="J294" s="1734"/>
      <c r="K294" s="1734"/>
      <c r="L294" s="1734"/>
      <c r="M294" s="1734"/>
      <c r="N294" s="1735"/>
      <c r="O294" s="7"/>
      <c r="P294" s="8"/>
      <c r="R294" s="8"/>
      <c r="S294" s="8"/>
    </row>
    <row r="295" spans="2:30" ht="12.75" customHeight="1" x14ac:dyDescent="0.2">
      <c r="B295" s="3"/>
      <c r="C295" s="459"/>
      <c r="D295" s="448"/>
      <c r="E295" s="1733" t="str">
        <f>Translations!$B$878</f>
        <v>Szczegółowe instrukcje dotyczące wprowadzania danych w tym polu znajdują się w pkt 1 lit. e) powyżej.</v>
      </c>
      <c r="F295" s="1733"/>
      <c r="G295" s="1733"/>
      <c r="H295" s="1733"/>
      <c r="I295" s="1733"/>
      <c r="J295" s="1733"/>
      <c r="K295" s="1733"/>
      <c r="L295" s="1733"/>
      <c r="M295" s="1733"/>
      <c r="N295" s="1768"/>
      <c r="O295" s="7"/>
      <c r="P295" s="8"/>
      <c r="R295" s="8"/>
    </row>
    <row r="296" spans="2:30" ht="12.75" customHeight="1" x14ac:dyDescent="0.2">
      <c r="B296" s="3"/>
      <c r="C296" s="459"/>
      <c r="D296" s="462"/>
      <c r="E296" s="1757" t="str">
        <f>Translations!$B$532</f>
        <v>Wytworzone mierzalne ciepło</v>
      </c>
      <c r="F296" s="1758"/>
      <c r="G296" s="1758"/>
      <c r="H296" s="450" t="str">
        <f>EUconst_Unit</f>
        <v>Jednostka</v>
      </c>
      <c r="I296" s="451">
        <f>I$559</f>
        <v>2014</v>
      </c>
      <c r="J296" s="451">
        <f>J$559</f>
        <v>2015</v>
      </c>
      <c r="K296" s="451">
        <f>K$559</f>
        <v>2016</v>
      </c>
      <c r="L296" s="451">
        <f>L$559</f>
        <v>2017</v>
      </c>
      <c r="M296" s="451">
        <f>M$559</f>
        <v>2018</v>
      </c>
      <c r="N296" s="463"/>
      <c r="O296" s="7"/>
      <c r="P296" s="8"/>
      <c r="R296" s="8"/>
      <c r="S296" s="8"/>
      <c r="T296" s="8"/>
      <c r="U296" s="8"/>
      <c r="V296" s="8"/>
      <c r="W296" s="8"/>
    </row>
    <row r="297" spans="2:30" ht="12.75" customHeight="1" x14ac:dyDescent="0.2">
      <c r="B297" s="3"/>
      <c r="C297" s="459"/>
      <c r="D297" s="448"/>
      <c r="E297" s="1762" t="str">
        <f>E283</f>
        <v>Podinstalacja sieci ciepłowniczej</v>
      </c>
      <c r="F297" s="1762"/>
      <c r="G297" s="1762"/>
      <c r="H297" s="453" t="str">
        <f>EUconst_TJpa</f>
        <v>TJ / rok</v>
      </c>
      <c r="I297" s="322">
        <v>663.64899213055912</v>
      </c>
      <c r="J297" s="322">
        <v>628.21289030383014</v>
      </c>
      <c r="K297" s="322">
        <v>725.29721616301322</v>
      </c>
      <c r="L297" s="322">
        <v>610.90317106465557</v>
      </c>
      <c r="M297" s="322">
        <v>702.49352596233302</v>
      </c>
      <c r="N297" s="463"/>
      <c r="O297" s="7"/>
      <c r="P297" s="351" t="str">
        <f>EUconst_CNTR_HeatProduced &amp; I234</f>
        <v>HeatProd_Podinstalacja sieci ciepłowniczej</v>
      </c>
      <c r="R297" s="8"/>
      <c r="S297" s="8"/>
      <c r="T297" s="8"/>
      <c r="U297" s="8"/>
      <c r="V297" s="8"/>
      <c r="W297" s="8"/>
    </row>
    <row r="298" spans="2:30" ht="5.0999999999999996" customHeight="1" x14ac:dyDescent="0.2">
      <c r="B298" s="3"/>
      <c r="C298" s="459"/>
      <c r="D298" s="448"/>
      <c r="E298" s="448"/>
      <c r="F298" s="448"/>
      <c r="G298" s="448"/>
      <c r="H298" s="448"/>
      <c r="I298" s="448"/>
      <c r="J298" s="448"/>
      <c r="K298" s="448"/>
      <c r="L298" s="448"/>
      <c r="M298" s="464"/>
      <c r="N298" s="463"/>
      <c r="O298" s="7"/>
      <c r="P298" s="8"/>
      <c r="R298" s="8"/>
    </row>
    <row r="299" spans="2:30" ht="12.75" customHeight="1" x14ac:dyDescent="0.2">
      <c r="B299" s="3"/>
      <c r="C299" s="459"/>
      <c r="D299" s="462" t="s">
        <v>13</v>
      </c>
      <c r="E299" s="1731" t="str">
        <f>Translations!$B$857</f>
        <v>Mierzalne ciepło wprowadzone</v>
      </c>
      <c r="F299" s="1734"/>
      <c r="G299" s="1734"/>
      <c r="H299" s="1734"/>
      <c r="I299" s="1734"/>
      <c r="J299" s="1734"/>
      <c r="K299" s="1734"/>
      <c r="L299" s="1734"/>
      <c r="M299" s="1734"/>
      <c r="N299" s="1735"/>
      <c r="O299" s="7"/>
      <c r="P299" s="8"/>
      <c r="R299" s="8"/>
    </row>
    <row r="300" spans="2:30" ht="12.75" customHeight="1" x14ac:dyDescent="0.2">
      <c r="B300" s="3"/>
      <c r="C300" s="459"/>
      <c r="D300" s="448"/>
      <c r="E300" s="1733" t="str">
        <f>Translations!$B$879</f>
        <v>Szczegółowe instrukcje dotyczące wprowadzania danych w tym polu znajdują się w pkt 1 lit. f) powyżej.</v>
      </c>
      <c r="F300" s="1733"/>
      <c r="G300" s="1733"/>
      <c r="H300" s="1733"/>
      <c r="I300" s="1733"/>
      <c r="J300" s="1733"/>
      <c r="K300" s="1733"/>
      <c r="L300" s="1733"/>
      <c r="M300" s="1733"/>
      <c r="N300" s="1768"/>
      <c r="O300" s="7"/>
      <c r="P300" s="8"/>
      <c r="R300" s="8"/>
    </row>
    <row r="301" spans="2:30" ht="25.5" customHeight="1" x14ac:dyDescent="0.2">
      <c r="B301" s="3"/>
      <c r="C301" s="459"/>
      <c r="D301" s="448"/>
      <c r="E301" s="1757" t="str">
        <f>Translations!$B$866</f>
        <v>Ciepło wprowadzone netto (z innych źródeł):</v>
      </c>
      <c r="F301" s="1758"/>
      <c r="G301" s="1758"/>
      <c r="H301" s="450" t="str">
        <f>EUconst_Unit</f>
        <v>Jednostka</v>
      </c>
      <c r="I301" s="451">
        <f>I$559</f>
        <v>2014</v>
      </c>
      <c r="J301" s="451">
        <f>J$559</f>
        <v>2015</v>
      </c>
      <c r="K301" s="451">
        <f>K$559</f>
        <v>2016</v>
      </c>
      <c r="L301" s="451">
        <f>L$559</f>
        <v>2017</v>
      </c>
      <c r="M301" s="451">
        <f>M$559</f>
        <v>2018</v>
      </c>
      <c r="N301" s="1257"/>
      <c r="O301" s="7"/>
      <c r="P301" s="8"/>
      <c r="R301" s="8"/>
      <c r="S301" s="45">
        <f>I301</f>
        <v>2014</v>
      </c>
      <c r="T301" s="45">
        <f>J301</f>
        <v>2015</v>
      </c>
      <c r="U301" s="45">
        <f>K301</f>
        <v>2016</v>
      </c>
      <c r="V301" s="45">
        <f>L301</f>
        <v>2017</v>
      </c>
      <c r="W301" s="45">
        <f>M301</f>
        <v>2018</v>
      </c>
    </row>
    <row r="302" spans="2:30" ht="12.75" customHeight="1" x14ac:dyDescent="0.2">
      <c r="B302" s="3"/>
      <c r="C302" s="459"/>
      <c r="D302" s="465" t="s">
        <v>2</v>
      </c>
      <c r="E302" s="1739" t="str">
        <f>Translations!$B$764</f>
        <v>Ciepło wprowadzone netto</v>
      </c>
      <c r="F302" s="1740"/>
      <c r="G302" s="1740"/>
      <c r="H302" s="453" t="str">
        <f>EUconst_TJpa</f>
        <v>TJ / rok</v>
      </c>
      <c r="I302" s="471">
        <v>662.06804061044795</v>
      </c>
      <c r="J302" s="471">
        <v>626.64672879565023</v>
      </c>
      <c r="K302" s="471">
        <v>723.68499865240449</v>
      </c>
      <c r="L302" s="471">
        <v>609.35093899960611</v>
      </c>
      <c r="M302" s="471">
        <v>700.89915206116541</v>
      </c>
      <c r="N302" s="518"/>
      <c r="O302" s="7"/>
      <c r="P302" s="351" t="str">
        <f>EUconst_CNTR_HeatImport &amp; I234</f>
        <v>HeatIm_Podinstalacja sieci ciepłowniczej</v>
      </c>
      <c r="R302" s="853" t="str">
        <f>EUconst_ERR_AttrEmBMapplied &amp; $I234</f>
        <v>ERR_AttrEmBM_ Podinstalacja sieci ciepłowniczej</v>
      </c>
      <c r="S302" s="116">
        <f>IF(AND(I302&lt;&gt;0,I303="",EUconst_StatusOfDataCollection=FALSE),1,0)</f>
        <v>0</v>
      </c>
      <c r="T302" s="116">
        <f>IF(AND(J302&lt;&gt;0,J303="",EUconst_StatusOfDataCollection=FALSE),1,0)</f>
        <v>0</v>
      </c>
      <c r="U302" s="116">
        <f>IF(AND(K302&lt;&gt;0,K303="",EUconst_StatusOfDataCollection=FALSE),1,0)</f>
        <v>0</v>
      </c>
      <c r="V302" s="116">
        <f>IF(AND(L302&lt;&gt;0,L303="",EUconst_StatusOfDataCollection=FALSE),1,0)</f>
        <v>0</v>
      </c>
      <c r="W302" s="116">
        <f>IF(AND(M302&lt;&gt;0,M303="",EUconst_StatusOfDataCollection=FALSE),1,0)</f>
        <v>0</v>
      </c>
    </row>
    <row r="303" spans="2:30" ht="25.5" customHeight="1" x14ac:dyDescent="0.2">
      <c r="B303" s="3"/>
      <c r="C303" s="459"/>
      <c r="D303" s="465" t="s">
        <v>3</v>
      </c>
      <c r="E303" s="1739" t="str">
        <f>Translations!$B$765</f>
        <v>Właściwy współczynnik emisji (ciepło wprowadzone)</v>
      </c>
      <c r="F303" s="1740"/>
      <c r="G303" s="1740"/>
      <c r="H303" s="453" t="str">
        <f>EUconst_tCO2pTJ</f>
        <v>t CO2 / TJ</v>
      </c>
      <c r="I303" s="764">
        <v>63.92069610741153</v>
      </c>
      <c r="J303" s="764">
        <v>62.832816784810731</v>
      </c>
      <c r="K303" s="764">
        <v>61.220901364612999</v>
      </c>
      <c r="L303" s="764">
        <v>61.403224397952918</v>
      </c>
      <c r="M303" s="764">
        <v>61.409990495302431</v>
      </c>
      <c r="N303" s="463"/>
      <c r="O303" s="340" t="s">
        <v>3690</v>
      </c>
      <c r="P303" s="351" t="str">
        <f>EUconst_CNTR_HeatImportEF &amp; I234</f>
        <v>HeatImEF_Podinstalacja sieci ciepłowniczej</v>
      </c>
      <c r="R303" s="883" t="str">
        <f>EUconst_CNTR_AttributedEmissions &amp; $I234</f>
        <v>AttrEmissions_Podinstalacja sieci ciepłowniczej</v>
      </c>
      <c r="S303" s="116">
        <f>IF(S234,SUM(I302)*IF(ISNUMBER(I303),I303,EUconst_HeatBMvalue),"")</f>
        <v>42319.850026289838</v>
      </c>
      <c r="T303" s="116">
        <f>IF(T234,SUM(J302)*IF(ISNUMBER(J303),J303,EUconst_HeatBMvalue),"")</f>
        <v>39373.979099218071</v>
      </c>
      <c r="U303" s="116">
        <f>IF(U234,SUM(K302)*IF(ISNUMBER(K303),K303,EUconst_HeatBMvalue),"")</f>
        <v>44304.647921548945</v>
      </c>
      <c r="V303" s="116">
        <f>IF(V234,SUM(L302)*IF(ISNUMBER(L303),L303,EUconst_HeatBMvalue),"")</f>
        <v>37416.112444496132</v>
      </c>
      <c r="W303" s="116">
        <f>IF(W234,SUM(M302)*IF(ISNUMBER(M303),M303,EUconst_HeatBMvalue),"")</f>
        <v>43042.210266241702</v>
      </c>
      <c r="AD303" s="1327" t="s">
        <v>3698</v>
      </c>
    </row>
    <row r="304" spans="2:30" ht="5.0999999999999996" customHeight="1" x14ac:dyDescent="0.2">
      <c r="B304" s="3"/>
      <c r="C304" s="459"/>
      <c r="D304" s="448"/>
      <c r="E304" s="448"/>
      <c r="F304" s="448"/>
      <c r="G304" s="448"/>
      <c r="H304" s="448"/>
      <c r="I304" s="448"/>
      <c r="J304" s="448"/>
      <c r="K304" s="448"/>
      <c r="L304" s="448"/>
      <c r="M304" s="464"/>
      <c r="N304" s="463"/>
      <c r="O304" s="7"/>
      <c r="P304" s="8"/>
      <c r="R304" s="8"/>
      <c r="S304" s="8"/>
    </row>
    <row r="305" spans="2:23" ht="25.5" customHeight="1" x14ac:dyDescent="0.2">
      <c r="B305" s="3"/>
      <c r="C305" s="459"/>
      <c r="D305" s="448"/>
      <c r="E305" s="1757" t="str">
        <f>Translations!$B$867</f>
        <v>Ciepło z podinstalacji objętych wskaźnikiem emisyjności dla produktów</v>
      </c>
      <c r="F305" s="1758"/>
      <c r="G305" s="1758"/>
      <c r="H305" s="450" t="str">
        <f>EUconst_Unit</f>
        <v>Jednostka</v>
      </c>
      <c r="I305" s="451">
        <f>I$559</f>
        <v>2014</v>
      </c>
      <c r="J305" s="451">
        <f>J$559</f>
        <v>2015</v>
      </c>
      <c r="K305" s="451">
        <f>K$559</f>
        <v>2016</v>
      </c>
      <c r="L305" s="451">
        <f>L$559</f>
        <v>2017</v>
      </c>
      <c r="M305" s="451">
        <f>M$559</f>
        <v>2018</v>
      </c>
      <c r="N305" s="1257"/>
      <c r="O305" s="7"/>
      <c r="P305" s="8"/>
      <c r="R305" s="8"/>
      <c r="S305" s="45">
        <f>I305</f>
        <v>2014</v>
      </c>
      <c r="T305" s="45">
        <f>J305</f>
        <v>2015</v>
      </c>
      <c r="U305" s="45">
        <f>K305</f>
        <v>2016</v>
      </c>
      <c r="V305" s="45">
        <f>L305</f>
        <v>2017</v>
      </c>
      <c r="W305" s="45">
        <f>M305</f>
        <v>2018</v>
      </c>
    </row>
    <row r="306" spans="2:23" ht="12.75" customHeight="1" x14ac:dyDescent="0.2">
      <c r="B306" s="3"/>
      <c r="C306" s="459"/>
      <c r="D306" s="465" t="s">
        <v>6</v>
      </c>
      <c r="E306" s="1739" t="str">
        <f>Translations!$B$764</f>
        <v>Ciepło wprowadzone netto</v>
      </c>
      <c r="F306" s="1740"/>
      <c r="G306" s="1740"/>
      <c r="H306" s="453" t="str">
        <f>EUconst_TJpa</f>
        <v>TJ / rok</v>
      </c>
      <c r="I306" s="471"/>
      <c r="J306" s="471"/>
      <c r="K306" s="471"/>
      <c r="L306" s="471"/>
      <c r="M306" s="471"/>
      <c r="N306" s="518"/>
      <c r="O306" s="7"/>
      <c r="P306" s="351" t="str">
        <f>EUconst_CNTR_HeatImportProduct &amp; I234</f>
        <v>HeatImProd_Podinstalacja sieci ciepłowniczej</v>
      </c>
      <c r="R306" s="853" t="str">
        <f>EUconst_ERR_AttrEmBMapplied &amp; $I234</f>
        <v>ERR_AttrEmBM_ Podinstalacja sieci ciepłowniczej</v>
      </c>
      <c r="S306" s="116">
        <f>IF(AND(I306&lt;&gt;0,I307="",EUconst_StatusOfDataCollection=FALSE),1,0)</f>
        <v>0</v>
      </c>
      <c r="T306" s="116">
        <f>IF(AND(J306&lt;&gt;0,J307="",EUconst_StatusOfDataCollection=FALSE),1,0)</f>
        <v>0</v>
      </c>
      <c r="U306" s="116">
        <f>IF(AND(K306&lt;&gt;0,K307="",EUconst_StatusOfDataCollection=FALSE),1,0)</f>
        <v>0</v>
      </c>
      <c r="V306" s="116">
        <f>IF(AND(L306&lt;&gt;0,L307="",EUconst_StatusOfDataCollection=FALSE),1,0)</f>
        <v>0</v>
      </c>
      <c r="W306" s="116">
        <f>IF(AND(M306&lt;&gt;0,M307="",EUconst_StatusOfDataCollection=FALSE),1,0)</f>
        <v>0</v>
      </c>
    </row>
    <row r="307" spans="2:23" ht="25.5" customHeight="1" x14ac:dyDescent="0.2">
      <c r="B307" s="3"/>
      <c r="C307" s="459"/>
      <c r="D307" s="465" t="s">
        <v>316</v>
      </c>
      <c r="E307" s="1739" t="str">
        <f>Translations!$B$868</f>
        <v>Właściwy współczynnik emisji (z podinstalacji objętych wskaźnikiem emisyjności dla produktów)</v>
      </c>
      <c r="F307" s="1740"/>
      <c r="G307" s="1740"/>
      <c r="H307" s="453" t="str">
        <f>EUconst_tCO2pTJ</f>
        <v>t CO2 / TJ</v>
      </c>
      <c r="I307" s="764"/>
      <c r="J307" s="764"/>
      <c r="K307" s="764"/>
      <c r="L307" s="764"/>
      <c r="M307" s="764"/>
      <c r="N307" s="463"/>
      <c r="O307" s="7"/>
      <c r="P307" s="351" t="str">
        <f>EUconst_CNTR_HeatImportProductEF &amp; I234</f>
        <v>HeatImProdEF_Podinstalacja sieci ciepłowniczej</v>
      </c>
      <c r="R307" s="883" t="str">
        <f>EUconst_CNTR_AttributedEmissions &amp; $I234</f>
        <v>AttrEmissions_Podinstalacja sieci ciepłowniczej</v>
      </c>
      <c r="S307" s="116">
        <f>IF(S234,SUM(I306)*IF(ISNUMBER(I307),I307,EUconst_HeatBMvalue),"")</f>
        <v>0</v>
      </c>
      <c r="T307" s="116">
        <f>IF(T234,SUM(J306)*IF(ISNUMBER(J307),J307,EUconst_HeatBMvalue),"")</f>
        <v>0</v>
      </c>
      <c r="U307" s="116">
        <f>IF(U234,SUM(K306)*IF(ISNUMBER(K307),K307,EUconst_HeatBMvalue),"")</f>
        <v>0</v>
      </c>
      <c r="V307" s="116">
        <f>IF(V234,SUM(L306)*IF(ISNUMBER(L307),L307,EUconst_HeatBMvalue),"")</f>
        <v>0</v>
      </c>
      <c r="W307" s="116">
        <f>IF(W234,SUM(M306)*IF(ISNUMBER(M307),M307,EUconst_HeatBMvalue),"")</f>
        <v>0</v>
      </c>
    </row>
    <row r="308" spans="2:23" ht="5.0999999999999996" customHeight="1" x14ac:dyDescent="0.2">
      <c r="B308" s="3"/>
      <c r="C308" s="459"/>
      <c r="D308" s="448"/>
      <c r="E308" s="448"/>
      <c r="F308" s="448"/>
      <c r="G308" s="448"/>
      <c r="H308" s="448"/>
      <c r="I308" s="448"/>
      <c r="J308" s="448"/>
      <c r="K308" s="448"/>
      <c r="L308" s="448"/>
      <c r="M308" s="464"/>
      <c r="N308" s="463"/>
      <c r="O308" s="7"/>
      <c r="P308" s="8"/>
      <c r="R308" s="8"/>
      <c r="S308" s="8"/>
    </row>
    <row r="309" spans="2:23" ht="12.75" customHeight="1" x14ac:dyDescent="0.2">
      <c r="B309" s="3"/>
      <c r="C309" s="459"/>
      <c r="D309" s="448"/>
      <c r="E309" s="1757" t="str">
        <f>Translations!$B$869</f>
        <v>Ciepło z masy celulozowej</v>
      </c>
      <c r="F309" s="1758"/>
      <c r="G309" s="1758"/>
      <c r="H309" s="450" t="str">
        <f>EUconst_Unit</f>
        <v>Jednostka</v>
      </c>
      <c r="I309" s="451">
        <f>I$559</f>
        <v>2014</v>
      </c>
      <c r="J309" s="451">
        <f>J$559</f>
        <v>2015</v>
      </c>
      <c r="K309" s="451">
        <f>K$559</f>
        <v>2016</v>
      </c>
      <c r="L309" s="451">
        <f>L$559</f>
        <v>2017</v>
      </c>
      <c r="M309" s="451">
        <f>M$559</f>
        <v>2018</v>
      </c>
      <c r="N309" s="1257"/>
      <c r="O309" s="7"/>
      <c r="P309" s="8"/>
      <c r="R309" s="8"/>
      <c r="S309" s="45">
        <f>I309</f>
        <v>2014</v>
      </c>
      <c r="T309" s="45">
        <f>J309</f>
        <v>2015</v>
      </c>
      <c r="U309" s="45">
        <f>K309</f>
        <v>2016</v>
      </c>
      <c r="V309" s="45">
        <f>L309</f>
        <v>2017</v>
      </c>
      <c r="W309" s="45">
        <f>M309</f>
        <v>2018</v>
      </c>
    </row>
    <row r="310" spans="2:23" ht="12.75" customHeight="1" x14ac:dyDescent="0.2">
      <c r="B310" s="3"/>
      <c r="C310" s="459"/>
      <c r="D310" s="465" t="s">
        <v>318</v>
      </c>
      <c r="E310" s="1739" t="str">
        <f>Translations!$B$764</f>
        <v>Ciepło wprowadzone netto</v>
      </c>
      <c r="F310" s="1740"/>
      <c r="G310" s="1740"/>
      <c r="H310" s="453" t="str">
        <f>EUconst_TJpa</f>
        <v>TJ / rok</v>
      </c>
      <c r="I310" s="471"/>
      <c r="J310" s="471"/>
      <c r="K310" s="471"/>
      <c r="L310" s="471"/>
      <c r="M310" s="471"/>
      <c r="N310" s="518"/>
      <c r="O310" s="7"/>
      <c r="P310" s="351" t="str">
        <f>EUconst_CNTR_HeatImportPulp &amp; I234</f>
        <v>HeatImPulp_Podinstalacja sieci ciepłowniczej</v>
      </c>
      <c r="R310" s="853" t="str">
        <f>EUconst_ERR_AttrEmBMapplied &amp; $I234</f>
        <v>ERR_AttrEmBM_ Podinstalacja sieci ciepłowniczej</v>
      </c>
      <c r="S310" s="116">
        <f>IF(AND(I310&lt;&gt;0,I311="",EUconst_StatusOfDataCollection=FALSE),1,0)</f>
        <v>0</v>
      </c>
      <c r="T310" s="116">
        <f>IF(AND(J310&lt;&gt;0,J311="",EUconst_StatusOfDataCollection=FALSE),1,0)</f>
        <v>0</v>
      </c>
      <c r="U310" s="116">
        <f>IF(AND(K310&lt;&gt;0,K311="",EUconst_StatusOfDataCollection=FALSE),1,0)</f>
        <v>0</v>
      </c>
      <c r="V310" s="116">
        <f>IF(AND(L310&lt;&gt;0,L311="",EUconst_StatusOfDataCollection=FALSE),1,0)</f>
        <v>0</v>
      </c>
      <c r="W310" s="116">
        <f>IF(AND(M310&lt;&gt;0,M311="",EUconst_StatusOfDataCollection=FALSE),1,0)</f>
        <v>0</v>
      </c>
    </row>
    <row r="311" spans="2:23" ht="25.5" customHeight="1" x14ac:dyDescent="0.2">
      <c r="B311" s="3"/>
      <c r="C311" s="459"/>
      <c r="D311" s="465" t="s">
        <v>319</v>
      </c>
      <c r="E311" s="1739" t="str">
        <f>Translations!$B$870</f>
        <v>Właściwy współczynnik emisji (z masy celulozowej)</v>
      </c>
      <c r="F311" s="1740"/>
      <c r="G311" s="1740"/>
      <c r="H311" s="453" t="str">
        <f>EUconst_tCO2pTJ</f>
        <v>t CO2 / TJ</v>
      </c>
      <c r="I311" s="764"/>
      <c r="J311" s="764"/>
      <c r="K311" s="764"/>
      <c r="L311" s="764"/>
      <c r="M311" s="764"/>
      <c r="N311" s="463"/>
      <c r="O311" s="7"/>
      <c r="P311" s="351" t="str">
        <f>EUconst_CNTR_HeatImportPulpEF &amp; I234</f>
        <v>HeatImPulpEF_Podinstalacja sieci ciepłowniczej</v>
      </c>
      <c r="R311" s="883" t="str">
        <f>EUconst_CNTR_AttributedEmissions &amp; $I234</f>
        <v>AttrEmissions_Podinstalacja sieci ciepłowniczej</v>
      </c>
      <c r="S311" s="116">
        <f>IF(S234,SUM(I310)*IF(ISNUMBER(I311),I311,EUconst_HeatBMvalue),"")</f>
        <v>0</v>
      </c>
      <c r="T311" s="116">
        <f>IF(T234,SUM(J310)*IF(ISNUMBER(J311),J311,EUconst_HeatBMvalue),"")</f>
        <v>0</v>
      </c>
      <c r="U311" s="116">
        <f>IF(U234,SUM(K310)*IF(ISNUMBER(K311),K311,EUconst_HeatBMvalue),"")</f>
        <v>0</v>
      </c>
      <c r="V311" s="116">
        <f>IF(V234,SUM(L310)*IF(ISNUMBER(L311),L311,EUconst_HeatBMvalue),"")</f>
        <v>0</v>
      </c>
      <c r="W311" s="116">
        <f>IF(W234,SUM(M310)*IF(ISNUMBER(M311),M311,EUconst_HeatBMvalue),"")</f>
        <v>0</v>
      </c>
    </row>
    <row r="312" spans="2:23" ht="5.0999999999999996" customHeight="1" x14ac:dyDescent="0.2">
      <c r="B312" s="3"/>
      <c r="C312" s="459"/>
      <c r="D312" s="448"/>
      <c r="E312" s="448"/>
      <c r="F312" s="448"/>
      <c r="G312" s="448"/>
      <c r="H312" s="448"/>
      <c r="I312" s="448"/>
      <c r="J312" s="448"/>
      <c r="K312" s="448"/>
      <c r="L312" s="448"/>
      <c r="M312" s="464"/>
      <c r="N312" s="463"/>
      <c r="O312" s="7"/>
      <c r="P312" s="8"/>
      <c r="R312" s="8"/>
      <c r="S312" s="8"/>
    </row>
    <row r="313" spans="2:23" ht="38.25" customHeight="1" x14ac:dyDescent="0.2">
      <c r="B313" s="3"/>
      <c r="C313" s="459"/>
      <c r="D313" s="448"/>
      <c r="E313" s="1757" t="str">
        <f>Translations!$B$871</f>
        <v>Ciepło z podinstalacji objętych wskaźnikiem emisyjności opartym na paliwie</v>
      </c>
      <c r="F313" s="1758"/>
      <c r="G313" s="1758"/>
      <c r="H313" s="450" t="str">
        <f>EUconst_Unit</f>
        <v>Jednostka</v>
      </c>
      <c r="I313" s="451">
        <f>I$559</f>
        <v>2014</v>
      </c>
      <c r="J313" s="451">
        <f>J$559</f>
        <v>2015</v>
      </c>
      <c r="K313" s="451">
        <f>K$559</f>
        <v>2016</v>
      </c>
      <c r="L313" s="451">
        <f>L$559</f>
        <v>2017</v>
      </c>
      <c r="M313" s="451">
        <f>M$559</f>
        <v>2018</v>
      </c>
      <c r="N313" s="1257"/>
      <c r="O313" s="7"/>
      <c r="P313" s="8"/>
      <c r="R313" s="8"/>
      <c r="S313" s="45">
        <f>I313</f>
        <v>2014</v>
      </c>
      <c r="T313" s="45">
        <f>J313</f>
        <v>2015</v>
      </c>
      <c r="U313" s="45">
        <f>K313</f>
        <v>2016</v>
      </c>
      <c r="V313" s="45">
        <f>L313</f>
        <v>2017</v>
      </c>
      <c r="W313" s="45">
        <f>M313</f>
        <v>2018</v>
      </c>
    </row>
    <row r="314" spans="2:23" ht="12.75" customHeight="1" x14ac:dyDescent="0.2">
      <c r="B314" s="3"/>
      <c r="C314" s="459"/>
      <c r="D314" s="465" t="s">
        <v>16</v>
      </c>
      <c r="E314" s="1739" t="str">
        <f>Translations!$B$764</f>
        <v>Ciepło wprowadzone netto</v>
      </c>
      <c r="F314" s="1740"/>
      <c r="G314" s="1740"/>
      <c r="H314" s="453" t="str">
        <f>EUconst_TJpa</f>
        <v>TJ / rok</v>
      </c>
      <c r="I314" s="471"/>
      <c r="J314" s="471"/>
      <c r="K314" s="471"/>
      <c r="L314" s="471"/>
      <c r="M314" s="471"/>
      <c r="N314" s="518"/>
      <c r="O314" s="7"/>
      <c r="P314" s="351" t="str">
        <f>EUconst_CNTR_HeatImportFuel &amp; I234</f>
        <v>HeatImFuel_Podinstalacja sieci ciepłowniczej</v>
      </c>
      <c r="R314" s="853" t="str">
        <f>EUconst_ERR_AttrEmBMapplied &amp; $I234</f>
        <v>ERR_AttrEmBM_ Podinstalacja sieci ciepłowniczej</v>
      </c>
      <c r="S314" s="116">
        <f>IF(AND(I314&lt;&gt;0,I315="",EUconst_StatusOfDataCollection=FALSE),1,0)</f>
        <v>0</v>
      </c>
      <c r="T314" s="116">
        <f>IF(AND(J314&lt;&gt;0,J315="",EUconst_StatusOfDataCollection=FALSE),1,0)</f>
        <v>0</v>
      </c>
      <c r="U314" s="116">
        <f>IF(AND(K314&lt;&gt;0,K315="",EUconst_StatusOfDataCollection=FALSE),1,0)</f>
        <v>0</v>
      </c>
      <c r="V314" s="116">
        <f>IF(AND(L314&lt;&gt;0,L315="",EUconst_StatusOfDataCollection=FALSE),1,0)</f>
        <v>0</v>
      </c>
      <c r="W314" s="116">
        <f>IF(AND(M314&lt;&gt;0,M315="",EUconst_StatusOfDataCollection=FALSE),1,0)</f>
        <v>0</v>
      </c>
    </row>
    <row r="315" spans="2:23" ht="38.25" customHeight="1" x14ac:dyDescent="0.2">
      <c r="B315" s="3"/>
      <c r="C315" s="459"/>
      <c r="D315" s="465" t="s">
        <v>17</v>
      </c>
      <c r="E315" s="1739" t="str">
        <f>Translations!$B$872</f>
        <v>Właściwy współczynnik emisji (z podinstalacji objętych wskaźnikiem emisyjności opartym na paliwie)</v>
      </c>
      <c r="F315" s="1740"/>
      <c r="G315" s="1740"/>
      <c r="H315" s="453" t="str">
        <f>EUconst_tCO2pTJ</f>
        <v>t CO2 / TJ</v>
      </c>
      <c r="I315" s="764"/>
      <c r="J315" s="764"/>
      <c r="K315" s="764"/>
      <c r="L315" s="764"/>
      <c r="M315" s="764"/>
      <c r="N315" s="463"/>
      <c r="O315" s="7"/>
      <c r="P315" s="351" t="str">
        <f>EUconst_CNTR_HeatImportPulpEF &amp; I234</f>
        <v>HeatImPulpEF_Podinstalacja sieci ciepłowniczej</v>
      </c>
      <c r="R315" s="883" t="str">
        <f>EUconst_CNTR_AttributedEmissions &amp; $I234</f>
        <v>AttrEmissions_Podinstalacja sieci ciepłowniczej</v>
      </c>
      <c r="S315" s="116">
        <f>IF(S234,SUM(I314)*IF(ISNUMBER(I315),I315,EUconst_HeatBMvalue),"")</f>
        <v>0</v>
      </c>
      <c r="T315" s="116">
        <f>IF(T234,SUM(J314)*IF(ISNUMBER(J315),J315,EUconst_HeatBMvalue),"")</f>
        <v>0</v>
      </c>
      <c r="U315" s="116">
        <f>IF(U234,SUM(K314)*IF(ISNUMBER(K315),K315,EUconst_HeatBMvalue),"")</f>
        <v>0</v>
      </c>
      <c r="V315" s="116">
        <f>IF(V234,SUM(L314)*IF(ISNUMBER(L315),L315,EUconst_HeatBMvalue),"")</f>
        <v>0</v>
      </c>
      <c r="W315" s="116">
        <f>IF(W234,SUM(M314)*IF(ISNUMBER(M315),M315,EUconst_HeatBMvalue),"")</f>
        <v>0</v>
      </c>
    </row>
    <row r="316" spans="2:23" ht="5.0999999999999996" customHeight="1" x14ac:dyDescent="0.2">
      <c r="B316" s="3"/>
      <c r="C316" s="459"/>
      <c r="D316" s="448"/>
      <c r="E316" s="448"/>
      <c r="F316" s="448"/>
      <c r="G316" s="448"/>
      <c r="H316" s="448"/>
      <c r="I316" s="448"/>
      <c r="J316" s="448"/>
      <c r="K316" s="448"/>
      <c r="L316" s="448"/>
      <c r="M316" s="464"/>
      <c r="N316" s="463"/>
      <c r="O316" s="7"/>
      <c r="P316" s="8"/>
      <c r="R316" s="8"/>
      <c r="S316" s="8"/>
    </row>
    <row r="317" spans="2:23" ht="12.75" customHeight="1" x14ac:dyDescent="0.2">
      <c r="B317" s="3"/>
      <c r="C317" s="459"/>
      <c r="D317" s="448"/>
      <c r="E317" s="1757" t="str">
        <f>Translations!$B$873</f>
        <v>Ciepło z gazów odlotowych</v>
      </c>
      <c r="F317" s="1758"/>
      <c r="G317" s="1758"/>
      <c r="H317" s="450" t="str">
        <f>EUconst_Unit</f>
        <v>Jednostka</v>
      </c>
      <c r="I317" s="451">
        <f>I$559</f>
        <v>2014</v>
      </c>
      <c r="J317" s="451">
        <f>J$559</f>
        <v>2015</v>
      </c>
      <c r="K317" s="451">
        <f>K$559</f>
        <v>2016</v>
      </c>
      <c r="L317" s="451">
        <f>L$559</f>
        <v>2017</v>
      </c>
      <c r="M317" s="451">
        <f>M$559</f>
        <v>2018</v>
      </c>
      <c r="N317" s="1257"/>
      <c r="O317" s="7"/>
      <c r="P317" s="8"/>
      <c r="R317" s="8"/>
      <c r="S317" s="45">
        <f>I317</f>
        <v>2014</v>
      </c>
      <c r="T317" s="45">
        <f>J317</f>
        <v>2015</v>
      </c>
      <c r="U317" s="45">
        <f>K317</f>
        <v>2016</v>
      </c>
      <c r="V317" s="45">
        <f>L317</f>
        <v>2017</v>
      </c>
      <c r="W317" s="45">
        <f>M317</f>
        <v>2018</v>
      </c>
    </row>
    <row r="318" spans="2:23" ht="12.75" customHeight="1" x14ac:dyDescent="0.2">
      <c r="B318" s="3"/>
      <c r="C318" s="459"/>
      <c r="D318" s="465" t="s">
        <v>454</v>
      </c>
      <c r="E318" s="1739" t="str">
        <f>Translations!$B$764</f>
        <v>Ciepło wprowadzone netto</v>
      </c>
      <c r="F318" s="1740"/>
      <c r="G318" s="1740"/>
      <c r="H318" s="453" t="str">
        <f>EUconst_TJpa</f>
        <v>TJ / rok</v>
      </c>
      <c r="I318" s="471"/>
      <c r="J318" s="471"/>
      <c r="K318" s="471"/>
      <c r="L318" s="471"/>
      <c r="M318" s="471"/>
      <c r="N318" s="518"/>
      <c r="O318" s="7"/>
      <c r="P318" s="351" t="str">
        <f>EUconst_CNTR_WGImport &amp; I234</f>
        <v>WasteGasIm_Podinstalacja sieci ciepłowniczej</v>
      </c>
      <c r="R318" s="853" t="str">
        <f>EUconst_ERR_AttrEmBMapplied &amp; $I234</f>
        <v>ERR_AttrEmBM_ Podinstalacja sieci ciepłowniczej</v>
      </c>
      <c r="S318" s="116">
        <f>IF(AND(I318&lt;&gt;0,EUconst_StatusOfDataCollection=FALSE),1,0)</f>
        <v>0</v>
      </c>
      <c r="T318" s="116">
        <f>IF(AND(J318&lt;&gt;0,EUconst_StatusOfDataCollection=FALSE),1,0)</f>
        <v>0</v>
      </c>
      <c r="U318" s="116">
        <f>IF(AND(K318&lt;&gt;0,EUconst_StatusOfDataCollection=FALSE),1,0)</f>
        <v>0</v>
      </c>
      <c r="V318" s="116">
        <f>IF(AND(L318&lt;&gt;0,EUconst_StatusOfDataCollection=FALSE),1,0)</f>
        <v>0</v>
      </c>
      <c r="W318" s="116">
        <f>IF(AND(M318&lt;&gt;0,EUconst_StatusOfDataCollection=FALSE),1,0)</f>
        <v>0</v>
      </c>
    </row>
    <row r="319" spans="2:23" ht="25.5" customHeight="1" x14ac:dyDescent="0.2">
      <c r="B319" s="3"/>
      <c r="C319" s="459"/>
      <c r="D319" s="465" t="s">
        <v>455</v>
      </c>
      <c r="E319" s="1739" t="str">
        <f>Translations!$B$874</f>
        <v>Właściwy współczynnik emisji (z gazów odlotowych)</v>
      </c>
      <c r="F319" s="1740"/>
      <c r="G319" s="1740"/>
      <c r="H319" s="453" t="str">
        <f>EUconst_tCO2pTJ</f>
        <v>t CO2 / TJ</v>
      </c>
      <c r="I319" s="764"/>
      <c r="J319" s="764"/>
      <c r="K319" s="764"/>
      <c r="L319" s="764"/>
      <c r="M319" s="764"/>
      <c r="N319" s="463"/>
      <c r="O319" s="7"/>
      <c r="P319" s="351" t="str">
        <f>EUconst_CNTR_WGImportEF &amp; I234</f>
        <v>WasteGasImEF_Podinstalacja sieci ciepłowniczej</v>
      </c>
      <c r="R319" s="883" t="str">
        <f>EUconst_CNTR_AttributedEmissions &amp; $I234</f>
        <v>AttrEmissions_Podinstalacja sieci ciepłowniczej</v>
      </c>
      <c r="S319" s="116">
        <f>IF(S234,SUM(I318)*IF(ISNUMBER(I319),I319,EUconst_HeatBMvalue),"")</f>
        <v>0</v>
      </c>
      <c r="T319" s="116">
        <f>IF(T234,SUM(J318)*IF(ISNUMBER(J319),J319,EUconst_HeatBMvalue),"")</f>
        <v>0</v>
      </c>
      <c r="U319" s="116">
        <f>IF(U234,SUM(K318)*IF(ISNUMBER(K319),K319,EUconst_HeatBMvalue),"")</f>
        <v>0</v>
      </c>
      <c r="V319" s="116">
        <f>IF(V234,SUM(L318)*IF(ISNUMBER(L319),L319,EUconst_HeatBMvalue),"")</f>
        <v>0</v>
      </c>
      <c r="W319" s="116">
        <f>IF(W234,SUM(M318)*IF(ISNUMBER(M319),M319,EUconst_HeatBMvalue),"")</f>
        <v>0</v>
      </c>
    </row>
    <row r="320" spans="2:23" ht="5.0999999999999996" customHeight="1" x14ac:dyDescent="0.2">
      <c r="B320" s="3"/>
      <c r="C320" s="459"/>
      <c r="D320" s="448"/>
      <c r="E320" s="448"/>
      <c r="F320" s="448"/>
      <c r="G320" s="448"/>
      <c r="H320" s="448"/>
      <c r="I320" s="448"/>
      <c r="J320" s="448"/>
      <c r="K320" s="448"/>
      <c r="L320" s="448"/>
      <c r="M320" s="464"/>
      <c r="N320" s="463"/>
      <c r="O320" s="7"/>
      <c r="P320" s="8"/>
      <c r="R320" s="8"/>
      <c r="S320" s="8"/>
    </row>
    <row r="321" spans="1:29" ht="12.75" customHeight="1" x14ac:dyDescent="0.2">
      <c r="B321" s="3"/>
      <c r="C321" s="459"/>
      <c r="D321" s="465" t="s">
        <v>457</v>
      </c>
      <c r="E321" s="1739" t="str">
        <f>Translations!$B$875</f>
        <v>Całkowite ciepło wprowadzone netto</v>
      </c>
      <c r="F321" s="1740"/>
      <c r="G321" s="1740"/>
      <c r="H321" s="453" t="str">
        <f>EUconst_TJpa</f>
        <v>TJ / rok</v>
      </c>
      <c r="I321" s="433">
        <f>IF(COUNT(I302,I306,I310,I314,I318)&gt;0,SUM(I302,I306,I310,I314,I318),"")</f>
        <v>662.06804061044795</v>
      </c>
      <c r="J321" s="433">
        <f>IF(COUNT(J302,J306,J310,J314,J318)&gt;0,SUM(J302,J306,J310,J314,J318),"")</f>
        <v>626.64672879565023</v>
      </c>
      <c r="K321" s="433">
        <f>IF(COUNT(K302,K306,K310,K314,K318)&gt;0,SUM(K302,K306,K310,K314,K318),"")</f>
        <v>723.68499865240449</v>
      </c>
      <c r="L321" s="433">
        <f>IF(COUNT(L302,L306,L310,L314,L318)&gt;0,SUM(L302,L306,L310,L314,L318),"")</f>
        <v>609.35093899960611</v>
      </c>
      <c r="M321" s="433">
        <f>IF(COUNT(M302,M306,M310,M314,M318)&gt;0,SUM(M302,M306,M310,M314,M318),"")</f>
        <v>700.89915206116541</v>
      </c>
      <c r="N321" s="486"/>
      <c r="O321" s="7"/>
      <c r="R321" s="8"/>
      <c r="S321" s="8"/>
    </row>
    <row r="322" spans="1:29" ht="12.75" customHeight="1" thickBot="1" x14ac:dyDescent="0.25">
      <c r="B322" s="3"/>
      <c r="C322" s="466"/>
      <c r="D322" s="467"/>
      <c r="E322" s="467"/>
      <c r="F322" s="467"/>
      <c r="G322" s="467"/>
      <c r="H322" s="467"/>
      <c r="I322" s="467"/>
      <c r="J322" s="467"/>
      <c r="K322" s="467"/>
      <c r="L322" s="467"/>
      <c r="M322" s="468"/>
      <c r="N322" s="469"/>
      <c r="O322" s="7"/>
      <c r="P322" s="8"/>
      <c r="R322" s="8"/>
    </row>
    <row r="323" spans="1:29" ht="25.5" customHeight="1" thickBot="1" x14ac:dyDescent="0.25">
      <c r="B323" s="20"/>
      <c r="C323" s="20"/>
      <c r="D323" s="20"/>
      <c r="E323" s="20"/>
      <c r="F323" s="20"/>
      <c r="G323" s="20"/>
      <c r="H323" s="20"/>
      <c r="I323" s="20"/>
      <c r="J323" s="20"/>
      <c r="K323" s="20"/>
      <c r="L323" s="20"/>
      <c r="M323" s="20"/>
      <c r="N323" s="20"/>
      <c r="O323" s="7"/>
    </row>
    <row r="324" spans="1:29" ht="12.75" customHeight="1" thickBot="1" x14ac:dyDescent="0.25">
      <c r="B324" s="3"/>
      <c r="C324" s="281"/>
      <c r="D324" s="281"/>
      <c r="E324" s="281"/>
      <c r="F324" s="281"/>
      <c r="G324" s="281"/>
      <c r="H324" s="281"/>
      <c r="I324" s="281"/>
      <c r="J324" s="281"/>
      <c r="K324" s="281"/>
      <c r="L324" s="281"/>
      <c r="M324" s="281"/>
      <c r="N324" s="281"/>
      <c r="O324" s="7"/>
    </row>
    <row r="325" spans="1:29" ht="31.5" customHeight="1" thickBot="1" x14ac:dyDescent="0.3">
      <c r="B325" s="3"/>
      <c r="C325" s="18">
        <v>4</v>
      </c>
      <c r="D325" s="1439" t="str">
        <f>EUconst_FBSubinst &amp; ":"</f>
        <v>Podinstalacja, dla której wprowadzono rozwiązania rezerwowe (fall-back):</v>
      </c>
      <c r="E325" s="1370"/>
      <c r="F325" s="1370"/>
      <c r="G325" s="1370"/>
      <c r="H325" s="1432"/>
      <c r="I325" s="1781" t="str">
        <f>INDEX(EUconst_FallBackListNames,$C325)</f>
        <v>Podinstalacja objęta wskaźnikiem emisyjności opartym na paliwie, „CL”</v>
      </c>
      <c r="J325" s="1666"/>
      <c r="K325" s="1666"/>
      <c r="L325" s="1782"/>
      <c r="M325" s="1860" t="str">
        <f>IF(ISBLANK(INDEX(CNTR_FallBackSubInstRelevant,C325)),"",IF(INDEX(CNTR_FallBackSubInstRelevant,C325),EUconst_Relevant,EUconst_NotRelevant))</f>
        <v>nie dotyczy</v>
      </c>
      <c r="N325" s="1861"/>
      <c r="O325" s="7"/>
      <c r="P325" s="574">
        <f>C325</f>
        <v>4</v>
      </c>
      <c r="Q325" s="371" t="s">
        <v>234</v>
      </c>
      <c r="R325" s="856" t="str">
        <f>IF(M325&lt;&gt;EUconst_Relevant,"",INDEX(CNTR_SubInstStartDate,MATCH($I325,CNTR_SubInstListNames,0)))</f>
        <v/>
      </c>
      <c r="S325" s="853" t="b">
        <f>IF($M325&lt;&gt;EUconst_Relevant,FALSE,AND(I$562, IF($R325&lt;DATE($L$559,1,1),YEAR($R325)&lt;=I$559,YEAR($R325-1)&lt;I$559) ) )</f>
        <v>0</v>
      </c>
      <c r="T325" s="853" t="b">
        <f>IF($M325&lt;&gt;EUconst_Relevant,FALSE,AND(J$562, IF($R325&lt;DATE($L$559,1,1),YEAR($R325)&lt;=J$559,YEAR($R325-1)&lt;J$559) ) )</f>
        <v>0</v>
      </c>
      <c r="U325" s="853" t="b">
        <f>IF($M325&lt;&gt;EUconst_Relevant,FALSE,AND(K$562, IF($R325&lt;DATE($L$559,1,1),YEAR($R325)&lt;=K$559,YEAR($R325-1)&lt;K$559) ) )</f>
        <v>0</v>
      </c>
      <c r="V325" s="853" t="b">
        <f>IF($M325&lt;&gt;EUconst_Relevant,FALSE,AND(L$562, IF($R325&lt;DATE($L$559,1,1),YEAR($R325)&lt;=L$559,YEAR($R325-1)&lt;L$559) ) )</f>
        <v>0</v>
      </c>
      <c r="W325" s="853" t="b">
        <f>IF($M325&lt;&gt;EUconst_Relevant,FALSE,AND(M$562, IF($R325&lt;DATE($L$559,1,1),YEAR($R325)&lt;=M$559,YEAR($R325-1)&lt;M$559) ) )</f>
        <v>0</v>
      </c>
      <c r="X325" s="8"/>
      <c r="AB325" s="736" t="s">
        <v>550</v>
      </c>
      <c r="AC325" s="738" t="b">
        <f>AND(CNTR_ExistSubInstEntries,M325=EUconst_NotRelevant)</f>
        <v>1</v>
      </c>
    </row>
    <row r="326" spans="1:29" ht="12.75" customHeight="1" x14ac:dyDescent="0.2">
      <c r="B326" s="20"/>
      <c r="C326" s="20"/>
      <c r="D326" s="20"/>
      <c r="E326" s="20"/>
      <c r="F326" s="20"/>
      <c r="G326" s="20"/>
      <c r="H326" s="50"/>
      <c r="I326" s="1869" t="str">
        <f>IF(M325="","",IF(M325=EUconst_Relevant,HYPERLINK("",EUconst_MsgEnterThisSection),HYPERLINK(Q326,EUconst_MsgGoToNextSubInst)))</f>
        <v>Proszę przejść do kolejnej podinstalacji!</v>
      </c>
      <c r="J326" s="1870"/>
      <c r="K326" s="1870"/>
      <c r="L326" s="1870"/>
      <c r="M326" s="1871"/>
      <c r="N326" s="1872"/>
      <c r="O326" s="7"/>
      <c r="P326" s="2" t="s">
        <v>199</v>
      </c>
      <c r="Q326" s="589" t="str">
        <f>"#JUMP_G"&amp;P325+1</f>
        <v>#JUMP_G5</v>
      </c>
    </row>
    <row r="327" spans="1:29" s="701" customFormat="1" ht="5.0999999999999996" customHeight="1" x14ac:dyDescent="0.2">
      <c r="A327" s="422"/>
      <c r="B327" s="3"/>
      <c r="C327" s="3"/>
      <c r="D327" s="3"/>
      <c r="E327" s="3"/>
      <c r="F327" s="3"/>
      <c r="G327" s="3"/>
      <c r="H327" s="3"/>
      <c r="I327" s="3"/>
      <c r="J327" s="3"/>
      <c r="K327" s="3"/>
      <c r="L327" s="3"/>
      <c r="M327" s="7"/>
      <c r="N327" s="7"/>
      <c r="O327" s="7"/>
      <c r="P327" s="8"/>
      <c r="Q327" s="422"/>
      <c r="R327" s="422"/>
      <c r="S327" s="422"/>
      <c r="T327" s="422"/>
      <c r="U327" s="422"/>
      <c r="V327" s="422"/>
      <c r="W327" s="422"/>
      <c r="X327" s="422"/>
      <c r="Y327" s="422"/>
      <c r="Z327" s="422"/>
      <c r="AA327" s="422"/>
      <c r="AB327" s="422"/>
      <c r="AC327" s="422"/>
    </row>
    <row r="328" spans="1:29" s="701" customFormat="1" ht="12.75" customHeight="1" x14ac:dyDescent="0.2">
      <c r="A328" s="422"/>
      <c r="B328" s="398"/>
      <c r="C328" s="398"/>
      <c r="D328" s="398"/>
      <c r="E328" s="1622" t="str">
        <f>CONCATENATE(EUconst_MsgSeeFirst," (G.I.1)")</f>
        <v>Szczegółowe instrukcje dotyczące wprowadzania danych w tym narzędziu znajdują się w pierwszej kopii tego narzędzia.  (G.I.1)</v>
      </c>
      <c r="F328" s="1622"/>
      <c r="G328" s="1622"/>
      <c r="H328" s="1622"/>
      <c r="I328" s="1622"/>
      <c r="J328" s="1622"/>
      <c r="K328" s="1622"/>
      <c r="L328" s="1622"/>
      <c r="M328" s="1622"/>
      <c r="N328" s="1622"/>
      <c r="O328" s="7"/>
      <c r="P328" s="422"/>
      <c r="Q328" s="422"/>
      <c r="R328" s="422"/>
      <c r="S328" s="422"/>
      <c r="T328" s="422"/>
      <c r="U328" s="422"/>
      <c r="V328" s="422"/>
      <c r="W328" s="422"/>
      <c r="X328" s="422"/>
      <c r="Y328" s="422"/>
      <c r="Z328" s="422"/>
      <c r="AA328" s="422"/>
      <c r="AB328" s="422"/>
      <c r="AC328" s="422"/>
    </row>
    <row r="329" spans="1:29" s="701" customFormat="1" ht="5.0999999999999996" customHeight="1" x14ac:dyDescent="0.2">
      <c r="A329" s="422"/>
      <c r="B329" s="3"/>
      <c r="C329" s="3"/>
      <c r="D329" s="3"/>
      <c r="E329" s="3"/>
      <c r="F329" s="3"/>
      <c r="G329" s="3"/>
      <c r="H329" s="3"/>
      <c r="I329" s="3"/>
      <c r="J329" s="3"/>
      <c r="K329" s="3"/>
      <c r="L329" s="3"/>
      <c r="M329" s="7"/>
      <c r="N329" s="7"/>
      <c r="O329" s="7"/>
      <c r="P329" s="8"/>
      <c r="Q329" s="422"/>
      <c r="R329" s="422"/>
      <c r="S329" s="422"/>
      <c r="T329" s="422"/>
      <c r="U329" s="422"/>
      <c r="V329" s="422"/>
      <c r="W329" s="422"/>
      <c r="X329" s="422"/>
      <c r="Y329" s="422"/>
      <c r="Z329" s="422"/>
      <c r="AA329" s="422"/>
      <c r="AB329" s="422"/>
      <c r="AC329" s="422"/>
    </row>
    <row r="330" spans="1:29" ht="12.75" customHeight="1" thickBot="1" x14ac:dyDescent="0.25">
      <c r="B330" s="3"/>
      <c r="C330" s="355"/>
      <c r="D330" s="14" t="s">
        <v>173</v>
      </c>
      <c r="E330" s="1375" t="str">
        <f>Translations!$B$670</f>
        <v>Historyczne poziomy działalności</v>
      </c>
      <c r="F330" s="1370"/>
      <c r="G330" s="1370"/>
      <c r="H330" s="1370"/>
      <c r="I330" s="1370"/>
      <c r="J330" s="1370"/>
      <c r="K330" s="1370"/>
      <c r="L330" s="1370"/>
      <c r="M330" s="1370"/>
      <c r="N330" s="1370"/>
      <c r="O330" s="7"/>
      <c r="P330" s="8"/>
      <c r="Q330" s="8"/>
      <c r="R330" s="8"/>
      <c r="S330" s="8"/>
      <c r="T330" s="8"/>
      <c r="U330" s="8"/>
      <c r="V330" s="8"/>
      <c r="W330" s="8"/>
      <c r="X330" s="8"/>
    </row>
    <row r="331" spans="1:29" ht="12.75" customHeight="1" thickBot="1" x14ac:dyDescent="0.25">
      <c r="B331" s="3"/>
      <c r="C331" s="369"/>
      <c r="D331" s="16"/>
      <c r="E331" s="1891" t="str">
        <f>Translations!$B$884</f>
        <v>Następujące dane są pobierane automatycznie z arkusza „E_EnergyFlows”, część E.I lit. c).W związku z tym wprowadzenie danych jest tam obowiązkowe.</v>
      </c>
      <c r="F331" s="1891"/>
      <c r="G331" s="1891"/>
      <c r="H331" s="1891"/>
      <c r="I331" s="1891"/>
      <c r="J331" s="1891"/>
      <c r="K331" s="1891"/>
      <c r="L331" s="1891"/>
      <c r="M331" s="1891"/>
      <c r="N331" s="1891"/>
      <c r="O331" s="7"/>
      <c r="P331" s="8"/>
      <c r="Q331" s="424" t="s">
        <v>432</v>
      </c>
      <c r="R331" s="169" t="s">
        <v>238</v>
      </c>
      <c r="S331" s="170"/>
      <c r="T331" s="170"/>
      <c r="U331" s="170"/>
      <c r="V331" s="170"/>
      <c r="W331" s="170"/>
      <c r="X331" s="171"/>
    </row>
    <row r="332" spans="1:29" ht="12.75" customHeight="1" x14ac:dyDescent="0.2">
      <c r="B332" s="20"/>
      <c r="C332" s="355"/>
      <c r="D332" s="14"/>
      <c r="E332" s="1430" t="str">
        <f>Translations!$B$829</f>
        <v>Główny poziom działalności:</v>
      </c>
      <c r="F332" s="1377"/>
      <c r="G332" s="1377"/>
      <c r="H332" s="34" t="str">
        <f>EUconst_Unit</f>
        <v>Jednostka</v>
      </c>
      <c r="I332" s="396">
        <f>I$559</f>
        <v>2014</v>
      </c>
      <c r="J332" s="396">
        <f>J$559</f>
        <v>2015</v>
      </c>
      <c r="K332" s="396">
        <f>K$559</f>
        <v>2016</v>
      </c>
      <c r="L332" s="396">
        <f>L$559</f>
        <v>2017</v>
      </c>
      <c r="M332" s="396">
        <f>M$559</f>
        <v>2018</v>
      </c>
      <c r="N332" s="888" t="str">
        <f>IF(M325&lt;&gt;EUconst_Relevant,"",IF(Z333,YEAR(R325)+1,""))</f>
        <v/>
      </c>
      <c r="O332" s="7"/>
      <c r="P332" s="164" t="s">
        <v>237</v>
      </c>
      <c r="Q332" s="1239" t="s">
        <v>2190</v>
      </c>
      <c r="R332" s="173" t="s">
        <v>437</v>
      </c>
      <c r="S332" s="165">
        <f>I332</f>
        <v>2014</v>
      </c>
      <c r="T332" s="116">
        <f>J332</f>
        <v>2015</v>
      </c>
      <c r="U332" s="116">
        <f>K332</f>
        <v>2016</v>
      </c>
      <c r="V332" s="116">
        <f>L332</f>
        <v>2017</v>
      </c>
      <c r="W332" s="116">
        <f>M332</f>
        <v>2018</v>
      </c>
      <c r="X332" s="117"/>
      <c r="AA332" s="962" t="b">
        <f>IF(CNTR_ExistSubInstEntries,IF(M325=EUconst_Relevant,NOT(Z333),TRUE),FALSE)</f>
        <v>1</v>
      </c>
    </row>
    <row r="333" spans="1:29" ht="25.5" customHeight="1" thickBot="1" x14ac:dyDescent="0.25">
      <c r="B333" s="20"/>
      <c r="C333" s="20"/>
      <c r="D333" s="20"/>
      <c r="E333" s="1801" t="str">
        <f>I325</f>
        <v>Podinstalacja objęta wskaźnikiem emisyjności opartym na paliwie, „CL”</v>
      </c>
      <c r="F333" s="1801"/>
      <c r="G333" s="1801"/>
      <c r="H333" s="98" t="str">
        <f>INDEX(EUconst_FallBackListUnits,MATCH(E333,EUconst_FallBackListNames,0))</f>
        <v>TJ</v>
      </c>
      <c r="I333" s="311" t="str">
        <f>IF($M325=EUconst_Relevant,IF(ISNUMBER(INDEX(E_EnergyFlows!I$387:I$393,MATCH($E333,E_EnergyFlows!$E$387:$E$393,0))),INDEX(E_EnergyFlows!I$387:I$393,MATCH($E333,E_EnergyFlows!$E$387:$E$393,0)),INDEX(EUconst_FallbackListMissing,$P325)),"")</f>
        <v/>
      </c>
      <c r="J333" s="311" t="str">
        <f>IF($M325=EUconst_Relevant,IF(ISNUMBER(INDEX(E_EnergyFlows!J$387:J$393,MATCH($E333,E_EnergyFlows!$E$387:$E$393,0))),INDEX(E_EnergyFlows!J$387:J$393,MATCH($E333,E_EnergyFlows!$E$387:$E$393,0)),INDEX(EUconst_FallbackListMissing,$P325)),"")</f>
        <v/>
      </c>
      <c r="K333" s="311" t="str">
        <f>IF($M325=EUconst_Relevant,IF(ISNUMBER(INDEX(E_EnergyFlows!K$387:K$393,MATCH($E333,E_EnergyFlows!$E$387:$E$393,0))),INDEX(E_EnergyFlows!K$387:K$393,MATCH($E333,E_EnergyFlows!$E$387:$E$393,0)),INDEX(EUconst_FallbackListMissing,$P325)),"")</f>
        <v/>
      </c>
      <c r="L333" s="311" t="str">
        <f>IF($M325=EUconst_Relevant,IF(ISNUMBER(INDEX(E_EnergyFlows!L$387:L$393,MATCH($E333,E_EnergyFlows!$E$387:$E$393,0))),INDEX(E_EnergyFlows!L$387:L$393,MATCH($E333,E_EnergyFlows!$E$387:$E$393,0)),INDEX(EUconst_FallbackListMissing,$P325)),"")</f>
        <v/>
      </c>
      <c r="M333" s="311" t="str">
        <f>IF($M325=EUconst_Relevant,IF(ISNUMBER(INDEX(E_EnergyFlows!M$387:M$393,MATCH($E333,E_EnergyFlows!$E$387:$E$393,0))),INDEX(E_EnergyFlows!M$387:M$393,MATCH($E333,E_EnergyFlows!$E$387:$E$393,0)),INDEX(EUconst_FallbackListMissing,$P325)),"")</f>
        <v/>
      </c>
      <c r="N333" s="954"/>
      <c r="O333" s="7"/>
      <c r="P333" s="167" t="str">
        <f>EUconst_CNTR_HAL&amp;E333</f>
        <v>HAL_Podinstalacja objęta wskaźnikiem emisyjności opartym na paliwie, „CL”</v>
      </c>
      <c r="Q333" s="168" t="str">
        <f>IF(COUNT($K333:$L333)&gt;0,AVERAGE($K333:$L333),"")</f>
        <v/>
      </c>
      <c r="R333" s="166" t="str">
        <f>IF(COUNT(S333:W333)&gt;0,AVERAGE(S333:W333),"")</f>
        <v/>
      </c>
      <c r="S333" s="172" t="str">
        <f>IF(S325,IF(ISNUMBER(I333),I333,0),"")</f>
        <v/>
      </c>
      <c r="T333" s="119" t="str">
        <f>IF(T325,IF(ISNUMBER(J333),J333,0),"")</f>
        <v/>
      </c>
      <c r="U333" s="119" t="str">
        <f>IF(U325,IF(ISNUMBER(K333),K333,0),"")</f>
        <v/>
      </c>
      <c r="V333" s="119" t="str">
        <f>IF(V325,IF(ISNUMBER(L333),L333,0),"")</f>
        <v/>
      </c>
      <c r="W333" s="119" t="str">
        <f>IF(W325,IF(ISNUMBER(M333),M333,0),"")</f>
        <v/>
      </c>
      <c r="X333" s="120"/>
      <c r="Y333" s="371" t="s">
        <v>598</v>
      </c>
      <c r="Z333" s="164" t="b">
        <f>IF(M325&lt;&gt;EUconst_Relevant,FALSE,INDEX(CNTR_SubInstLess1Year,MATCH(I325,CNTR_SubInstListNames,0)))</f>
        <v>0</v>
      </c>
      <c r="AA333" s="956" t="b">
        <f>AA332</f>
        <v>1</v>
      </c>
    </row>
    <row r="334" spans="1:29" ht="12.75" customHeight="1" x14ac:dyDescent="0.2">
      <c r="B334" s="20"/>
      <c r="C334" s="20"/>
      <c r="D334" s="20"/>
      <c r="E334" s="20"/>
      <c r="F334" s="20"/>
      <c r="G334" s="20"/>
      <c r="H334" s="20"/>
      <c r="I334" s="107"/>
      <c r="J334" s="20"/>
      <c r="K334" s="20"/>
      <c r="L334" s="20"/>
      <c r="M334" s="20"/>
      <c r="N334" s="20"/>
      <c r="O334" s="7"/>
      <c r="P334" s="139"/>
      <c r="R334" s="8"/>
      <c r="S334" s="8"/>
    </row>
    <row r="335" spans="1:29" ht="15" x14ac:dyDescent="0.25">
      <c r="B335" s="20"/>
      <c r="C335" s="368"/>
      <c r="D335" s="1439" t="str">
        <f>Translations!$B$700</f>
        <v>Szczegółowe dane dotyczące produkcji</v>
      </c>
      <c r="E335" s="1370"/>
      <c r="F335" s="1370"/>
      <c r="G335" s="1370"/>
      <c r="H335" s="1370"/>
      <c r="I335" s="1370"/>
      <c r="J335" s="1370"/>
      <c r="K335" s="1370"/>
      <c r="L335" s="1370"/>
      <c r="M335" s="1370"/>
      <c r="N335" s="1370"/>
      <c r="O335" s="7"/>
      <c r="Y335" s="8"/>
      <c r="Z335" s="8"/>
      <c r="AA335" s="8"/>
      <c r="AB335" s="8"/>
    </row>
    <row r="336" spans="1:29" ht="5.0999999999999996" customHeight="1" x14ac:dyDescent="0.2">
      <c r="B336" s="3"/>
      <c r="C336" s="5"/>
      <c r="D336" s="3"/>
      <c r="E336" s="3"/>
      <c r="F336" s="3"/>
      <c r="G336" s="3"/>
      <c r="H336" s="3"/>
      <c r="I336" s="3"/>
      <c r="J336" s="3"/>
      <c r="K336" s="3"/>
      <c r="L336" s="3"/>
      <c r="M336" s="3"/>
      <c r="N336" s="3"/>
      <c r="O336" s="7"/>
      <c r="P336" s="8"/>
      <c r="Q336" s="8"/>
    </row>
    <row r="337" spans="1:29" ht="12.75" customHeight="1" x14ac:dyDescent="0.2">
      <c r="B337" s="3"/>
      <c r="C337" s="355"/>
      <c r="D337" s="14" t="s">
        <v>353</v>
      </c>
      <c r="E337" s="1375" t="str">
        <f>Translations!$B$830</f>
        <v>Identyfikacja odpowiednich produktów i usług związanych z tą podinstalacją</v>
      </c>
      <c r="F337" s="1370"/>
      <c r="G337" s="1370"/>
      <c r="H337" s="1370"/>
      <c r="I337" s="1370"/>
      <c r="J337" s="1370"/>
      <c r="K337" s="1370"/>
      <c r="L337" s="1370"/>
      <c r="M337" s="1370"/>
      <c r="N337" s="1370"/>
      <c r="O337" s="7"/>
      <c r="P337" s="8"/>
    </row>
    <row r="338" spans="1:29" s="766" customFormat="1" ht="12.75" customHeight="1" x14ac:dyDescent="0.2">
      <c r="A338" s="2"/>
      <c r="B338" s="3"/>
      <c r="C338" s="369"/>
      <c r="D338" s="16"/>
      <c r="E338" s="1408" t="str">
        <f>Translations!$B$831</f>
        <v>W tym miejscu proszę podać, do jakich procesów produkcji lub usług odnosi się ta podinstalacja. Procesy te mogą być następujące:</v>
      </c>
      <c r="F338" s="1370"/>
      <c r="G338" s="1370"/>
      <c r="H338" s="1370"/>
      <c r="I338" s="1370"/>
      <c r="J338" s="1370"/>
      <c r="K338" s="1370"/>
      <c r="L338" s="1370"/>
      <c r="M338" s="1370"/>
      <c r="N338" s="1370"/>
      <c r="O338" s="7"/>
      <c r="P338" s="8"/>
      <c r="Q338" s="8"/>
      <c r="R338" s="8"/>
      <c r="S338" s="8"/>
      <c r="T338" s="8"/>
      <c r="U338" s="8"/>
      <c r="V338" s="8"/>
      <c r="W338" s="8"/>
      <c r="X338" s="8"/>
      <c r="Y338" s="8"/>
      <c r="Z338" s="8"/>
      <c r="AA338" s="8"/>
      <c r="AB338" s="8"/>
      <c r="AC338" s="724"/>
    </row>
    <row r="339" spans="1:29" s="766" customFormat="1" ht="12.75" customHeight="1" x14ac:dyDescent="0.2">
      <c r="A339" s="2"/>
      <c r="B339" s="3"/>
      <c r="C339" s="3"/>
      <c r="D339" s="16"/>
      <c r="E339" s="100" t="s">
        <v>378</v>
      </c>
      <c r="F339" s="1408" t="str">
        <f>Translations!$B$832</f>
        <v>Wytwarzanie produktów nieobjętych wskaźnikami emisyjności dla produktów w instalacji (proszę podać typy produktów);</v>
      </c>
      <c r="G339" s="1370"/>
      <c r="H339" s="1370"/>
      <c r="I339" s="1370"/>
      <c r="J339" s="1370"/>
      <c r="K339" s="1370"/>
      <c r="L339" s="1370"/>
      <c r="M339" s="1370"/>
      <c r="N339" s="1370"/>
      <c r="O339" s="7"/>
      <c r="P339" s="8"/>
      <c r="Q339" s="8"/>
      <c r="R339" s="8"/>
      <c r="S339" s="8"/>
      <c r="T339" s="8"/>
      <c r="U339" s="8"/>
      <c r="V339" s="8"/>
      <c r="W339" s="8"/>
      <c r="X339" s="8"/>
      <c r="Y339" s="724"/>
      <c r="Z339" s="724"/>
      <c r="AA339" s="724"/>
      <c r="AB339" s="724"/>
      <c r="AC339" s="724"/>
    </row>
    <row r="340" spans="1:29" s="766" customFormat="1" ht="12.75" customHeight="1" x14ac:dyDescent="0.2">
      <c r="A340" s="2"/>
      <c r="B340" s="3"/>
      <c r="C340" s="3"/>
      <c r="D340" s="16"/>
      <c r="E340" s="100" t="s">
        <v>378</v>
      </c>
      <c r="F340" s="1408" t="str">
        <f>Translations!$B$885</f>
        <v>wytwarzanie energii mechanicznej, ogrzewanie lub chłodzenie (wszystkie zastosowania poza wytwarzaniem energii elektrycznej);</v>
      </c>
      <c r="G340" s="1370"/>
      <c r="H340" s="1370"/>
      <c r="I340" s="1370"/>
      <c r="J340" s="1370"/>
      <c r="K340" s="1370"/>
      <c r="L340" s="1370"/>
      <c r="M340" s="1370"/>
      <c r="N340" s="1370"/>
      <c r="O340" s="7"/>
      <c r="P340" s="8"/>
      <c r="Q340" s="8"/>
      <c r="R340" s="8"/>
      <c r="S340" s="8"/>
      <c r="T340" s="8"/>
      <c r="U340" s="8"/>
      <c r="V340" s="8"/>
      <c r="W340" s="8"/>
      <c r="X340" s="8"/>
      <c r="Y340" s="724"/>
      <c r="Z340" s="724"/>
      <c r="AA340" s="724"/>
      <c r="AB340" s="724"/>
      <c r="AC340" s="724"/>
    </row>
    <row r="341" spans="1:29" s="766" customFormat="1" ht="5.0999999999999996" customHeight="1" x14ac:dyDescent="0.2">
      <c r="A341" s="2"/>
      <c r="B341" s="3"/>
      <c r="C341" s="5"/>
      <c r="D341" s="3"/>
      <c r="E341" s="3"/>
      <c r="F341" s="3"/>
      <c r="G341" s="3"/>
      <c r="H341" s="3"/>
      <c r="I341" s="3"/>
      <c r="J341" s="3"/>
      <c r="K341" s="3"/>
      <c r="L341" s="3"/>
      <c r="M341" s="3"/>
      <c r="N341" s="3"/>
      <c r="O341" s="7"/>
      <c r="P341" s="8"/>
      <c r="Q341" s="8"/>
      <c r="R341" s="724"/>
      <c r="S341" s="724"/>
      <c r="T341" s="724"/>
      <c r="U341" s="724"/>
      <c r="V341" s="724"/>
      <c r="W341" s="724"/>
      <c r="X341" s="724"/>
      <c r="Y341" s="724"/>
      <c r="Z341" s="724"/>
      <c r="AA341" s="724"/>
      <c r="AB341" s="724"/>
      <c r="AC341" s="724"/>
    </row>
    <row r="342" spans="1:29" s="766" customFormat="1" ht="25.5" customHeight="1" x14ac:dyDescent="0.2">
      <c r="A342" s="2"/>
      <c r="B342" s="725"/>
      <c r="C342" s="16"/>
      <c r="D342" s="344"/>
      <c r="E342" s="1885" t="str">
        <f>Translations!$B$837</f>
        <v>Rodzaj wykorzystania</v>
      </c>
      <c r="F342" s="1431"/>
      <c r="G342" s="1866" t="str">
        <f>Translations!$B$886</f>
        <v>Nazwa produktu lub rodzaj usługi</v>
      </c>
      <c r="H342" s="1867"/>
      <c r="I342" s="1867"/>
      <c r="J342" s="1867"/>
      <c r="K342" s="1867"/>
      <c r="L342" s="1603"/>
      <c r="M342" s="399" t="s">
        <v>386</v>
      </c>
      <c r="N342" s="725"/>
      <c r="O342" s="7"/>
      <c r="P342" s="724"/>
      <c r="Q342" s="724"/>
      <c r="R342" s="724"/>
      <c r="S342" s="724"/>
      <c r="T342" s="724"/>
      <c r="U342" s="724"/>
      <c r="V342" s="724"/>
      <c r="W342" s="724"/>
      <c r="X342" s="724"/>
      <c r="Y342" s="724"/>
      <c r="Z342" s="724"/>
      <c r="AA342" s="724"/>
      <c r="AB342" s="724"/>
      <c r="AC342" s="724"/>
    </row>
    <row r="343" spans="1:29" s="766" customFormat="1" ht="12.75" customHeight="1" x14ac:dyDescent="0.2">
      <c r="A343" s="2"/>
      <c r="B343" s="725"/>
      <c r="C343" s="16"/>
      <c r="D343" s="726">
        <v>1</v>
      </c>
      <c r="E343" s="1906"/>
      <c r="F343" s="1907"/>
      <c r="G343" s="1474"/>
      <c r="H343" s="1877"/>
      <c r="I343" s="1877"/>
      <c r="J343" s="1877"/>
      <c r="K343" s="1877"/>
      <c r="L343" s="1878"/>
      <c r="M343" s="729"/>
      <c r="N343" s="725"/>
      <c r="O343" s="7"/>
      <c r="P343" s="724"/>
      <c r="Q343" s="724"/>
      <c r="R343" s="724"/>
      <c r="S343" s="724"/>
      <c r="T343" s="724"/>
      <c r="U343" s="724"/>
      <c r="V343" s="724"/>
      <c r="W343" s="724"/>
      <c r="X343" s="724"/>
      <c r="Y343" s="724"/>
      <c r="Z343" s="724"/>
      <c r="AA343" s="724"/>
      <c r="AB343" s="724"/>
      <c r="AC343" s="724"/>
    </row>
    <row r="344" spans="1:29" s="766" customFormat="1" ht="12.75" customHeight="1" x14ac:dyDescent="0.2">
      <c r="A344" s="2"/>
      <c r="B344" s="725"/>
      <c r="C344" s="16"/>
      <c r="D344" s="727">
        <f>D343+1</f>
        <v>2</v>
      </c>
      <c r="E344" s="1829"/>
      <c r="F344" s="1830"/>
      <c r="G344" s="1831"/>
      <c r="H344" s="1832"/>
      <c r="I344" s="1832"/>
      <c r="J344" s="1832"/>
      <c r="K344" s="1832"/>
      <c r="L344" s="1833"/>
      <c r="M344" s="730"/>
      <c r="N344" s="725"/>
      <c r="O344" s="7"/>
      <c r="P344" s="724"/>
      <c r="Q344" s="724"/>
      <c r="R344" s="724"/>
      <c r="S344" s="724"/>
      <c r="T344" s="724"/>
      <c r="U344" s="724"/>
      <c r="V344" s="724"/>
      <c r="W344" s="724"/>
      <c r="X344" s="724"/>
      <c r="Y344" s="724"/>
      <c r="Z344" s="724"/>
      <c r="AA344" s="724"/>
      <c r="AB344" s="724"/>
      <c r="AC344" s="724"/>
    </row>
    <row r="345" spans="1:29" s="766" customFormat="1" ht="12.75" customHeight="1" x14ac:dyDescent="0.2">
      <c r="A345" s="2"/>
      <c r="B345" s="725"/>
      <c r="C345" s="16"/>
      <c r="D345" s="727">
        <f t="shared" ref="D345:D352" si="10">D344+1</f>
        <v>3</v>
      </c>
      <c r="E345" s="1829"/>
      <c r="F345" s="1830"/>
      <c r="G345" s="1831"/>
      <c r="H345" s="1832"/>
      <c r="I345" s="1832"/>
      <c r="J345" s="1832"/>
      <c r="K345" s="1832"/>
      <c r="L345" s="1833"/>
      <c r="M345" s="730"/>
      <c r="N345" s="725"/>
      <c r="O345" s="7"/>
      <c r="P345" s="724"/>
      <c r="Q345" s="724"/>
      <c r="R345" s="724"/>
      <c r="S345" s="724"/>
      <c r="T345" s="724"/>
      <c r="U345" s="724"/>
      <c r="V345" s="724"/>
      <c r="W345" s="724"/>
      <c r="X345" s="724"/>
      <c r="Y345" s="724"/>
      <c r="Z345" s="724"/>
      <c r="AA345" s="724"/>
      <c r="AB345" s="724"/>
      <c r="AC345" s="724"/>
    </row>
    <row r="346" spans="1:29" s="766" customFormat="1" ht="12.75" customHeight="1" x14ac:dyDescent="0.2">
      <c r="A346" s="2"/>
      <c r="B346" s="725"/>
      <c r="C346" s="16"/>
      <c r="D346" s="727">
        <f t="shared" si="10"/>
        <v>4</v>
      </c>
      <c r="E346" s="1829"/>
      <c r="F346" s="1830"/>
      <c r="G346" s="1831"/>
      <c r="H346" s="1832"/>
      <c r="I346" s="1832"/>
      <c r="J346" s="1832"/>
      <c r="K346" s="1832"/>
      <c r="L346" s="1833"/>
      <c r="M346" s="730"/>
      <c r="N346" s="725"/>
      <c r="O346" s="7"/>
      <c r="P346" s="724"/>
      <c r="Q346" s="724"/>
      <c r="R346" s="724"/>
      <c r="S346" s="724"/>
      <c r="T346" s="724"/>
      <c r="U346" s="724"/>
      <c r="V346" s="724"/>
      <c r="W346" s="724"/>
      <c r="X346" s="724"/>
      <c r="Y346" s="724"/>
      <c r="Z346" s="724"/>
      <c r="AA346" s="724"/>
      <c r="AB346" s="724"/>
      <c r="AC346" s="724"/>
    </row>
    <row r="347" spans="1:29" s="766" customFormat="1" ht="12.75" customHeight="1" x14ac:dyDescent="0.2">
      <c r="A347" s="2"/>
      <c r="B347" s="725"/>
      <c r="C347" s="16"/>
      <c r="D347" s="727">
        <f t="shared" si="10"/>
        <v>5</v>
      </c>
      <c r="E347" s="1829"/>
      <c r="F347" s="1830"/>
      <c r="G347" s="1831"/>
      <c r="H347" s="1832"/>
      <c r="I347" s="1832"/>
      <c r="J347" s="1832"/>
      <c r="K347" s="1832"/>
      <c r="L347" s="1833"/>
      <c r="M347" s="730"/>
      <c r="N347" s="725"/>
      <c r="O347" s="7"/>
      <c r="P347" s="724"/>
      <c r="Q347" s="724"/>
      <c r="R347" s="724"/>
      <c r="S347" s="724"/>
      <c r="T347" s="724"/>
      <c r="U347" s="724"/>
      <c r="V347" s="724"/>
      <c r="W347" s="724"/>
      <c r="X347" s="724"/>
      <c r="Y347" s="724"/>
      <c r="Z347" s="724"/>
      <c r="AA347" s="724"/>
      <c r="AB347" s="724"/>
      <c r="AC347" s="724"/>
    </row>
    <row r="348" spans="1:29" s="766" customFormat="1" ht="12.75" customHeight="1" x14ac:dyDescent="0.2">
      <c r="A348" s="2"/>
      <c r="B348" s="725"/>
      <c r="C348" s="16"/>
      <c r="D348" s="727">
        <f t="shared" si="10"/>
        <v>6</v>
      </c>
      <c r="E348" s="1829"/>
      <c r="F348" s="1830"/>
      <c r="G348" s="1831"/>
      <c r="H348" s="1832"/>
      <c r="I348" s="1832"/>
      <c r="J348" s="1832"/>
      <c r="K348" s="1832"/>
      <c r="L348" s="1833"/>
      <c r="M348" s="730"/>
      <c r="N348" s="725"/>
      <c r="O348" s="7"/>
      <c r="P348" s="724"/>
      <c r="Q348" s="724"/>
      <c r="R348" s="724"/>
      <c r="S348" s="724"/>
      <c r="T348" s="724"/>
      <c r="U348" s="724"/>
      <c r="V348" s="724"/>
      <c r="W348" s="724"/>
      <c r="X348" s="724"/>
      <c r="Y348" s="724"/>
      <c r="Z348" s="724"/>
      <c r="AA348" s="724"/>
      <c r="AB348" s="724"/>
      <c r="AC348" s="724"/>
    </row>
    <row r="349" spans="1:29" s="766" customFormat="1" ht="12.75" customHeight="1" x14ac:dyDescent="0.2">
      <c r="A349" s="2"/>
      <c r="B349" s="725"/>
      <c r="C349" s="16"/>
      <c r="D349" s="727">
        <f t="shared" si="10"/>
        <v>7</v>
      </c>
      <c r="E349" s="1829"/>
      <c r="F349" s="1830"/>
      <c r="G349" s="1834"/>
      <c r="H349" s="1832"/>
      <c r="I349" s="1832"/>
      <c r="J349" s="1832"/>
      <c r="K349" s="1832"/>
      <c r="L349" s="1833"/>
      <c r="M349" s="730"/>
      <c r="N349" s="725"/>
      <c r="O349" s="7"/>
      <c r="P349" s="724"/>
      <c r="Q349" s="724"/>
      <c r="R349" s="724"/>
      <c r="S349" s="724"/>
      <c r="T349" s="724"/>
      <c r="U349" s="724"/>
      <c r="V349" s="724"/>
      <c r="W349" s="724"/>
      <c r="X349" s="724"/>
      <c r="Y349" s="724"/>
      <c r="Z349" s="724"/>
      <c r="AA349" s="724"/>
      <c r="AB349" s="724"/>
      <c r="AC349" s="724"/>
    </row>
    <row r="350" spans="1:29" s="766" customFormat="1" ht="12.75" customHeight="1" x14ac:dyDescent="0.2">
      <c r="A350" s="2"/>
      <c r="B350" s="725"/>
      <c r="C350" s="16"/>
      <c r="D350" s="727">
        <f t="shared" si="10"/>
        <v>8</v>
      </c>
      <c r="E350" s="1829"/>
      <c r="F350" s="1830"/>
      <c r="G350" s="1831"/>
      <c r="H350" s="1832"/>
      <c r="I350" s="1832"/>
      <c r="J350" s="1832"/>
      <c r="K350" s="1832"/>
      <c r="L350" s="1833"/>
      <c r="M350" s="730"/>
      <c r="N350" s="725"/>
      <c r="O350" s="7"/>
      <c r="P350" s="724"/>
      <c r="Q350" s="724"/>
      <c r="R350" s="724"/>
      <c r="S350" s="724"/>
      <c r="T350" s="724"/>
      <c r="U350" s="724"/>
      <c r="V350" s="724"/>
      <c r="W350" s="724"/>
      <c r="X350" s="724"/>
      <c r="Y350" s="724"/>
      <c r="Z350" s="724"/>
      <c r="AA350" s="724"/>
      <c r="AB350" s="724"/>
      <c r="AC350" s="724"/>
    </row>
    <row r="351" spans="1:29" s="766" customFormat="1" ht="12.75" customHeight="1" x14ac:dyDescent="0.2">
      <c r="A351" s="2"/>
      <c r="B351" s="725"/>
      <c r="C351" s="16"/>
      <c r="D351" s="727">
        <f t="shared" si="10"/>
        <v>9</v>
      </c>
      <c r="E351" s="1829"/>
      <c r="F351" s="1830"/>
      <c r="G351" s="1831"/>
      <c r="H351" s="1832"/>
      <c r="I351" s="1832"/>
      <c r="J351" s="1832"/>
      <c r="K351" s="1832"/>
      <c r="L351" s="1833"/>
      <c r="M351" s="730"/>
      <c r="N351" s="725"/>
      <c r="O351" s="7"/>
      <c r="P351" s="724"/>
      <c r="Q351" s="724"/>
      <c r="R351" s="724"/>
      <c r="S351" s="724"/>
      <c r="T351" s="724"/>
      <c r="U351" s="724"/>
      <c r="V351" s="724"/>
      <c r="W351" s="724"/>
      <c r="X351" s="724"/>
      <c r="Y351" s="724"/>
      <c r="Z351" s="724"/>
      <c r="AA351" s="724"/>
      <c r="AB351" s="724"/>
      <c r="AC351" s="724"/>
    </row>
    <row r="352" spans="1:29" s="766" customFormat="1" ht="12.75" customHeight="1" x14ac:dyDescent="0.2">
      <c r="A352" s="2"/>
      <c r="B352" s="725"/>
      <c r="C352" s="16"/>
      <c r="D352" s="728">
        <f t="shared" si="10"/>
        <v>10</v>
      </c>
      <c r="E352" s="1908"/>
      <c r="F352" s="1909"/>
      <c r="G352" s="1910"/>
      <c r="H352" s="1911"/>
      <c r="I352" s="1911"/>
      <c r="J352" s="1911"/>
      <c r="K352" s="1911"/>
      <c r="L352" s="1912"/>
      <c r="M352" s="731"/>
      <c r="N352" s="725"/>
      <c r="O352" s="7"/>
      <c r="P352" s="724"/>
      <c r="Q352" s="724"/>
      <c r="R352" s="724"/>
      <c r="S352" s="724"/>
      <c r="T352" s="724"/>
      <c r="U352" s="724"/>
      <c r="V352" s="724"/>
      <c r="W352" s="724"/>
      <c r="X352" s="724"/>
      <c r="Y352" s="724"/>
      <c r="Z352" s="724"/>
      <c r="AA352" s="724"/>
      <c r="AB352" s="724"/>
      <c r="AC352" s="724"/>
    </row>
    <row r="353" spans="1:29" s="766" customFormat="1" ht="5.0999999999999996" customHeight="1" x14ac:dyDescent="0.2">
      <c r="A353" s="2"/>
      <c r="B353" s="725"/>
      <c r="C353" s="369"/>
      <c r="D353" s="369"/>
      <c r="E353" s="369"/>
      <c r="F353" s="369"/>
      <c r="G353" s="725"/>
      <c r="H353" s="725"/>
      <c r="I353" s="725"/>
      <c r="J353" s="725"/>
      <c r="K353" s="725"/>
      <c r="L353" s="725"/>
      <c r="M353" s="725"/>
      <c r="N353" s="725"/>
      <c r="O353" s="7"/>
      <c r="P353" s="724"/>
      <c r="Q353" s="724"/>
      <c r="R353" s="724"/>
      <c r="S353" s="724"/>
      <c r="T353" s="724"/>
      <c r="U353" s="724"/>
      <c r="V353" s="724"/>
      <c r="W353" s="724"/>
      <c r="X353" s="724"/>
      <c r="Y353" s="724"/>
      <c r="Z353" s="724"/>
      <c r="AA353" s="724"/>
      <c r="AB353" s="724"/>
      <c r="AC353" s="724"/>
    </row>
    <row r="354" spans="1:29" ht="12.75" customHeight="1" x14ac:dyDescent="0.2">
      <c r="B354" s="3"/>
      <c r="C354" s="355"/>
      <c r="D354" s="14"/>
      <c r="E354" s="1375" t="str">
        <f>Translations!$B$840</f>
        <v>Poziomy produkcji:</v>
      </c>
      <c r="F354" s="1370"/>
      <c r="G354" s="1370"/>
      <c r="H354" s="1370"/>
      <c r="I354" s="1370"/>
      <c r="J354" s="1370"/>
      <c r="K354" s="1370"/>
      <c r="L354" s="1370"/>
      <c r="M354" s="1370"/>
      <c r="N354" s="1370"/>
      <c r="O354" s="7"/>
      <c r="P354" s="8"/>
    </row>
    <row r="355" spans="1:29" ht="5.0999999999999996" customHeight="1" x14ac:dyDescent="0.2">
      <c r="B355" s="3"/>
      <c r="C355" s="369"/>
      <c r="D355" s="16"/>
      <c r="E355" s="17"/>
      <c r="F355" s="17"/>
      <c r="G355" s="17"/>
      <c r="H355" s="17"/>
      <c r="I355" s="17"/>
      <c r="J355" s="21"/>
      <c r="K355" s="21"/>
      <c r="L355" s="21"/>
      <c r="M355" s="7"/>
      <c r="N355" s="7"/>
      <c r="O355" s="7"/>
      <c r="P355" s="8"/>
    </row>
    <row r="356" spans="1:29" ht="12.75" customHeight="1" x14ac:dyDescent="0.2">
      <c r="B356" s="20"/>
      <c r="C356" s="355"/>
      <c r="D356" s="344"/>
      <c r="E356" s="1852" t="str">
        <f>Translations!$B$886</f>
        <v>Nazwa produktu lub rodzaj usługi</v>
      </c>
      <c r="F356" s="1377"/>
      <c r="G356" s="1431"/>
      <c r="H356" s="34" t="str">
        <f>EUconst_Unit</f>
        <v>Jednostka</v>
      </c>
      <c r="I356" s="396">
        <f>I$559</f>
        <v>2014</v>
      </c>
      <c r="J356" s="396">
        <f>J$559</f>
        <v>2015</v>
      </c>
      <c r="K356" s="396">
        <f>K$559</f>
        <v>2016</v>
      </c>
      <c r="L356" s="396">
        <f>L$559</f>
        <v>2017</v>
      </c>
      <c r="M356" s="421">
        <f>M$559</f>
        <v>2018</v>
      </c>
      <c r="N356" s="7"/>
      <c r="O356" s="7"/>
    </row>
    <row r="357" spans="1:29" ht="12.75" customHeight="1" x14ac:dyDescent="0.2">
      <c r="B357" s="20"/>
      <c r="C357" s="50"/>
      <c r="D357" s="37">
        <v>1</v>
      </c>
      <c r="E357" s="1873" t="str">
        <f t="shared" ref="E357:E366" si="11">IF(ISBLANK(G343),"",G343)</f>
        <v/>
      </c>
      <c r="F357" s="1874"/>
      <c r="G357" s="1875"/>
      <c r="H357" s="234"/>
      <c r="I357" s="472"/>
      <c r="J357" s="472"/>
      <c r="K357" s="472"/>
      <c r="L357" s="472"/>
      <c r="M357" s="605"/>
      <c r="N357" s="7"/>
      <c r="O357" s="7"/>
    </row>
    <row r="358" spans="1:29" ht="12.75" customHeight="1" x14ac:dyDescent="0.2">
      <c r="B358" s="20"/>
      <c r="C358" s="50"/>
      <c r="D358" s="38">
        <f>D357+1</f>
        <v>2</v>
      </c>
      <c r="E358" s="1839" t="str">
        <f t="shared" si="11"/>
        <v/>
      </c>
      <c r="F358" s="1441"/>
      <c r="G358" s="1840"/>
      <c r="H358" s="235"/>
      <c r="I358" s="548"/>
      <c r="J358" s="548"/>
      <c r="K358" s="548"/>
      <c r="L358" s="548"/>
      <c r="M358" s="606"/>
      <c r="N358" s="7"/>
      <c r="O358" s="7"/>
    </row>
    <row r="359" spans="1:29" ht="12.75" customHeight="1" x14ac:dyDescent="0.2">
      <c r="B359" s="20"/>
      <c r="C359" s="50"/>
      <c r="D359" s="38">
        <f t="shared" ref="D359:D366" si="12">D358+1</f>
        <v>3</v>
      </c>
      <c r="E359" s="1839" t="str">
        <f t="shared" si="11"/>
        <v/>
      </c>
      <c r="F359" s="1441"/>
      <c r="G359" s="1840"/>
      <c r="H359" s="235"/>
      <c r="I359" s="548"/>
      <c r="J359" s="548"/>
      <c r="K359" s="548"/>
      <c r="L359" s="548"/>
      <c r="M359" s="606"/>
      <c r="N359" s="7"/>
      <c r="O359" s="7"/>
    </row>
    <row r="360" spans="1:29" ht="12.75" customHeight="1" x14ac:dyDescent="0.2">
      <c r="B360" s="20"/>
      <c r="C360" s="50"/>
      <c r="D360" s="38">
        <f t="shared" si="12"/>
        <v>4</v>
      </c>
      <c r="E360" s="1839" t="str">
        <f t="shared" si="11"/>
        <v/>
      </c>
      <c r="F360" s="1441"/>
      <c r="G360" s="1840"/>
      <c r="H360" s="235"/>
      <c r="I360" s="548"/>
      <c r="J360" s="548"/>
      <c r="K360" s="548"/>
      <c r="L360" s="548"/>
      <c r="M360" s="606"/>
      <c r="N360" s="7"/>
      <c r="O360" s="7"/>
    </row>
    <row r="361" spans="1:29" ht="12.75" customHeight="1" x14ac:dyDescent="0.2">
      <c r="B361" s="20"/>
      <c r="C361" s="50"/>
      <c r="D361" s="38">
        <f t="shared" si="12"/>
        <v>5</v>
      </c>
      <c r="E361" s="1839" t="str">
        <f t="shared" si="11"/>
        <v/>
      </c>
      <c r="F361" s="1441"/>
      <c r="G361" s="1840"/>
      <c r="H361" s="235"/>
      <c r="I361" s="548"/>
      <c r="J361" s="548"/>
      <c r="K361" s="548"/>
      <c r="L361" s="548"/>
      <c r="M361" s="606"/>
      <c r="N361" s="7"/>
      <c r="O361" s="7"/>
    </row>
    <row r="362" spans="1:29" ht="12.75" customHeight="1" x14ac:dyDescent="0.2">
      <c r="B362" s="20"/>
      <c r="C362" s="50"/>
      <c r="D362" s="38">
        <f t="shared" si="12"/>
        <v>6</v>
      </c>
      <c r="E362" s="1839" t="str">
        <f t="shared" si="11"/>
        <v/>
      </c>
      <c r="F362" s="1441"/>
      <c r="G362" s="1840"/>
      <c r="H362" s="235"/>
      <c r="I362" s="548"/>
      <c r="J362" s="548"/>
      <c r="K362" s="548"/>
      <c r="L362" s="548"/>
      <c r="M362" s="606"/>
      <c r="N362" s="7"/>
      <c r="O362" s="7"/>
    </row>
    <row r="363" spans="1:29" ht="12.75" customHeight="1" x14ac:dyDescent="0.2">
      <c r="B363" s="20"/>
      <c r="C363" s="50"/>
      <c r="D363" s="38">
        <f t="shared" si="12"/>
        <v>7</v>
      </c>
      <c r="E363" s="1839" t="str">
        <f t="shared" si="11"/>
        <v/>
      </c>
      <c r="F363" s="1441"/>
      <c r="G363" s="1840"/>
      <c r="H363" s="235"/>
      <c r="I363" s="548"/>
      <c r="J363" s="548"/>
      <c r="K363" s="548"/>
      <c r="L363" s="548"/>
      <c r="M363" s="606"/>
      <c r="N363" s="7"/>
      <c r="O363" s="7"/>
    </row>
    <row r="364" spans="1:29" ht="12.75" customHeight="1" x14ac:dyDescent="0.2">
      <c r="B364" s="20"/>
      <c r="C364" s="50"/>
      <c r="D364" s="38">
        <f t="shared" si="12"/>
        <v>8</v>
      </c>
      <c r="E364" s="1839" t="str">
        <f t="shared" si="11"/>
        <v/>
      </c>
      <c r="F364" s="1441"/>
      <c r="G364" s="1840"/>
      <c r="H364" s="235"/>
      <c r="I364" s="548"/>
      <c r="J364" s="548"/>
      <c r="K364" s="548"/>
      <c r="L364" s="548"/>
      <c r="M364" s="606"/>
      <c r="N364" s="7"/>
      <c r="O364" s="7"/>
    </row>
    <row r="365" spans="1:29" ht="12.75" customHeight="1" x14ac:dyDescent="0.2">
      <c r="B365" s="20"/>
      <c r="C365" s="50"/>
      <c r="D365" s="38">
        <f t="shared" si="12"/>
        <v>9</v>
      </c>
      <c r="E365" s="1839" t="str">
        <f t="shared" si="11"/>
        <v/>
      </c>
      <c r="F365" s="1441"/>
      <c r="G365" s="1840"/>
      <c r="H365" s="235"/>
      <c r="I365" s="548"/>
      <c r="J365" s="548"/>
      <c r="K365" s="548"/>
      <c r="L365" s="548"/>
      <c r="M365" s="606"/>
      <c r="N365" s="7"/>
      <c r="O365" s="7"/>
    </row>
    <row r="366" spans="1:29" ht="12.75" customHeight="1" x14ac:dyDescent="0.2">
      <c r="B366" s="20"/>
      <c r="C366" s="50"/>
      <c r="D366" s="41">
        <f t="shared" si="12"/>
        <v>10</v>
      </c>
      <c r="E366" s="1841" t="str">
        <f t="shared" si="11"/>
        <v/>
      </c>
      <c r="F366" s="1450"/>
      <c r="G366" s="1842"/>
      <c r="H366" s="236"/>
      <c r="I366" s="446"/>
      <c r="J366" s="446"/>
      <c r="K366" s="446"/>
      <c r="L366" s="446"/>
      <c r="M366" s="607"/>
      <c r="N366" s="7"/>
      <c r="O366" s="7"/>
    </row>
    <row r="367" spans="1:29" ht="12.75" customHeight="1" x14ac:dyDescent="0.2">
      <c r="B367" s="20"/>
      <c r="C367" s="20"/>
      <c r="D367" s="97"/>
      <c r="E367" s="1849" t="str">
        <f>Translations!$B$708</f>
        <v>Suma poziomów produkcji</v>
      </c>
      <c r="F367" s="1666"/>
      <c r="G367" s="1383"/>
      <c r="H367" s="236"/>
      <c r="I367" s="327" t="str">
        <f>IF(COUNT(I357:I366)&gt;0,SUM(I357:I366),"")</f>
        <v/>
      </c>
      <c r="J367" s="327" t="str">
        <f>IF(COUNT(J357:J366)&gt;0,SUM(J357:J366),"")</f>
        <v/>
      </c>
      <c r="K367" s="327" t="str">
        <f>IF(COUNT(K357:K366)&gt;0,SUM(K357:K366),"")</f>
        <v/>
      </c>
      <c r="L367" s="327" t="str">
        <f>IF(COUNT(L357:L366)&gt;0,SUM(L357:L366),"")</f>
        <v/>
      </c>
      <c r="M367" s="332" t="str">
        <f>IF(COUNT(M357:M366)&gt;0,SUM(M357:M366),"")</f>
        <v/>
      </c>
      <c r="N367" s="7"/>
      <c r="O367" s="7"/>
    </row>
    <row r="368" spans="1:29" ht="12.75" customHeight="1" thickBot="1" x14ac:dyDescent="0.25">
      <c r="B368" s="20"/>
      <c r="C368" s="20"/>
      <c r="D368" s="20"/>
      <c r="E368" s="20"/>
      <c r="F368" s="20"/>
      <c r="G368" s="20"/>
      <c r="H368" s="20"/>
      <c r="I368" s="20"/>
      <c r="J368" s="20"/>
      <c r="K368" s="20"/>
      <c r="L368" s="20"/>
      <c r="M368" s="20"/>
      <c r="N368" s="20"/>
      <c r="O368" s="7"/>
    </row>
    <row r="369" spans="2:23" ht="5.0999999999999996" customHeight="1" x14ac:dyDescent="0.2">
      <c r="B369" s="3"/>
      <c r="C369" s="455"/>
      <c r="D369" s="456"/>
      <c r="E369" s="456"/>
      <c r="F369" s="456"/>
      <c r="G369" s="456"/>
      <c r="H369" s="456"/>
      <c r="I369" s="456"/>
      <c r="J369" s="456"/>
      <c r="K369" s="456"/>
      <c r="L369" s="456"/>
      <c r="M369" s="457"/>
      <c r="N369" s="458"/>
      <c r="O369" s="7"/>
      <c r="P369" s="8"/>
      <c r="R369" s="8"/>
      <c r="S369" s="8"/>
    </row>
    <row r="370" spans="2:23" ht="15" customHeight="1" x14ac:dyDescent="0.2">
      <c r="B370" s="20"/>
      <c r="C370" s="459"/>
      <c r="D370" s="1776" t="str">
        <f>Translations!$B$709</f>
        <v>Dane wymagane do określenia współczynnika poprawy wskaźników zgodnie z art. 10a ust. 2 dyrektywy w sprawie EU ETS</v>
      </c>
      <c r="E370" s="1734"/>
      <c r="F370" s="1734"/>
      <c r="G370" s="1734"/>
      <c r="H370" s="1734"/>
      <c r="I370" s="1734"/>
      <c r="J370" s="1734"/>
      <c r="K370" s="1734"/>
      <c r="L370" s="1734"/>
      <c r="M370" s="1734"/>
      <c r="N370" s="1735"/>
      <c r="O370" s="7"/>
      <c r="R370" s="8"/>
      <c r="S370" s="8"/>
    </row>
    <row r="371" spans="2:23" ht="5.0999999999999996" customHeight="1" x14ac:dyDescent="0.2">
      <c r="B371" s="20"/>
      <c r="C371" s="460"/>
      <c r="D371" s="449"/>
      <c r="E371" s="449"/>
      <c r="F371" s="449"/>
      <c r="G371" s="449"/>
      <c r="H371" s="449"/>
      <c r="I371" s="449"/>
      <c r="J371" s="449"/>
      <c r="K371" s="449"/>
      <c r="L371" s="449"/>
      <c r="M371" s="449"/>
      <c r="N371" s="461"/>
      <c r="O371" s="7"/>
      <c r="R371" s="8"/>
      <c r="S371" s="8"/>
    </row>
    <row r="372" spans="2:23" ht="25.5" customHeight="1" x14ac:dyDescent="0.2">
      <c r="B372" s="20"/>
      <c r="C372" s="460"/>
      <c r="D372" s="1778" t="str">
        <f>EUconst_FBSubinst &amp; ":"</f>
        <v>Podinstalacja, dla której wprowadzono rozwiązania rezerwowe (fall-back):</v>
      </c>
      <c r="E372" s="1779"/>
      <c r="F372" s="1779"/>
      <c r="G372" s="1779"/>
      <c r="H372" s="1780"/>
      <c r="I372" s="1781" t="str">
        <f>I325</f>
        <v>Podinstalacja objęta wskaźnikiem emisyjności opartym na paliwie, „CL”</v>
      </c>
      <c r="J372" s="1666"/>
      <c r="K372" s="1666"/>
      <c r="L372" s="1666"/>
      <c r="M372" s="1666"/>
      <c r="N372" s="1782"/>
      <c r="O372" s="7"/>
      <c r="R372" s="8"/>
      <c r="S372" s="8"/>
    </row>
    <row r="373" spans="2:23" ht="5.0999999999999996" customHeight="1" x14ac:dyDescent="0.2">
      <c r="B373" s="20"/>
      <c r="C373" s="460"/>
      <c r="D373" s="449"/>
      <c r="E373" s="449"/>
      <c r="F373" s="449"/>
      <c r="G373" s="449"/>
      <c r="H373" s="449"/>
      <c r="I373" s="449"/>
      <c r="J373" s="449"/>
      <c r="K373" s="449"/>
      <c r="L373" s="449"/>
      <c r="M373" s="449"/>
      <c r="N373" s="461"/>
      <c r="O373" s="7"/>
      <c r="R373" s="8"/>
      <c r="S373" s="8"/>
    </row>
    <row r="374" spans="2:23" ht="12.75" customHeight="1" x14ac:dyDescent="0.2">
      <c r="B374" s="3"/>
      <c r="C374" s="459"/>
      <c r="D374" s="462" t="s">
        <v>11</v>
      </c>
      <c r="E374" s="1731" t="str">
        <f>Translations!$B$841</f>
        <v>Emisje, które można bezpośrednio przypisać (DirEm*) do tej podinstalacji</v>
      </c>
      <c r="F374" s="1734"/>
      <c r="G374" s="1734"/>
      <c r="H374" s="1734"/>
      <c r="I374" s="1734"/>
      <c r="J374" s="1734"/>
      <c r="K374" s="1734"/>
      <c r="L374" s="1734"/>
      <c r="M374" s="1734"/>
      <c r="N374" s="1735"/>
      <c r="O374" s="7"/>
      <c r="P374" s="8"/>
      <c r="R374" s="8"/>
      <c r="S374" s="8"/>
    </row>
    <row r="375" spans="2:23" ht="12.75" customHeight="1" x14ac:dyDescent="0.2">
      <c r="B375" s="3"/>
      <c r="C375" s="459"/>
      <c r="D375" s="462"/>
      <c r="E375" s="1835" t="str">
        <f>Translations!$B$716</f>
        <v>Podane tu dane wpłyną na emisje, które można przypisać, zgodnie z pkt 10.1.1 załącznika VII do FAR.</v>
      </c>
      <c r="F375" s="1835"/>
      <c r="G375" s="1835"/>
      <c r="H375" s="1835"/>
      <c r="I375" s="1835"/>
      <c r="J375" s="1835"/>
      <c r="K375" s="1835"/>
      <c r="L375" s="1835"/>
      <c r="M375" s="1835"/>
      <c r="N375" s="1836"/>
      <c r="O375" s="7"/>
      <c r="P375" s="8"/>
      <c r="R375" s="8"/>
      <c r="S375" s="8"/>
    </row>
    <row r="376" spans="2:23" ht="38.25" customHeight="1" x14ac:dyDescent="0.2">
      <c r="B376" s="3"/>
      <c r="C376" s="459"/>
      <c r="D376" s="448"/>
      <c r="E376" s="1745" t="str">
        <f>Translations!$B$887</f>
        <v>Proszę tu podać emisje bezpośrednie monitorowane zgodnie z planem monitorowania zatwierdzonym na podstawie MRR, tj. z uwzględnieniem emisji z metodyki opartej na obliczeniach (z wykorzystaniem strumieni materiałów wsadowych), metodyki opartej na pomiarach (CEMS), a także metod nieuwzględniających poziomów dokładności („fall-back”);</v>
      </c>
      <c r="F376" s="1745"/>
      <c r="G376" s="1745"/>
      <c r="H376" s="1745"/>
      <c r="I376" s="1745"/>
      <c r="J376" s="1745"/>
      <c r="K376" s="1745"/>
      <c r="L376" s="1745"/>
      <c r="M376" s="1745"/>
      <c r="N376" s="1746"/>
      <c r="O376" s="7"/>
      <c r="P376" s="8"/>
      <c r="R376" s="8"/>
    </row>
    <row r="377" spans="2:23" ht="25.5" customHeight="1" thickBot="1" x14ac:dyDescent="0.25">
      <c r="B377" s="3"/>
      <c r="C377" s="459"/>
      <c r="D377" s="448"/>
      <c r="E377" s="1745" t="str">
        <f>Translations!$B$888</f>
        <v>Emisji ze spalania gazów odlotowych nie należy jednak uwzględniać w tym miejscu, tylko w lit. d) ppkt (iii) poniżej.</v>
      </c>
      <c r="F377" s="1745"/>
      <c r="G377" s="1745"/>
      <c r="H377" s="1745"/>
      <c r="I377" s="1745"/>
      <c r="J377" s="1745"/>
      <c r="K377" s="1745"/>
      <c r="L377" s="1745"/>
      <c r="M377" s="1745"/>
      <c r="N377" s="1746"/>
      <c r="O377" s="7"/>
      <c r="P377" s="8"/>
      <c r="R377" s="8"/>
    </row>
    <row r="378" spans="2:23" ht="12.75" customHeight="1" x14ac:dyDescent="0.2">
      <c r="B378" s="3"/>
      <c r="C378" s="459"/>
      <c r="D378" s="462"/>
      <c r="E378" s="1757" t="str">
        <f>Translations!$B$690</f>
        <v>Całkowite emisje bezpośrednie</v>
      </c>
      <c r="F378" s="1758"/>
      <c r="G378" s="1758"/>
      <c r="H378" s="450" t="str">
        <f>EUconst_Unit</f>
        <v>Jednostka</v>
      </c>
      <c r="I378" s="451">
        <f>I$559</f>
        <v>2014</v>
      </c>
      <c r="J378" s="451">
        <f>J$559</f>
        <v>2015</v>
      </c>
      <c r="K378" s="451">
        <f>K$559</f>
        <v>2016</v>
      </c>
      <c r="L378" s="451">
        <f>L$559</f>
        <v>2017</v>
      </c>
      <c r="M378" s="451">
        <f>M$559</f>
        <v>2018</v>
      </c>
      <c r="N378" s="463"/>
      <c r="O378" s="7"/>
      <c r="P378" s="8"/>
      <c r="R378" s="813"/>
      <c r="S378" s="814">
        <f>I378</f>
        <v>2014</v>
      </c>
      <c r="T378" s="814">
        <f>J378</f>
        <v>2015</v>
      </c>
      <c r="U378" s="814">
        <f>K378</f>
        <v>2016</v>
      </c>
      <c r="V378" s="814">
        <f>L378</f>
        <v>2017</v>
      </c>
      <c r="W378" s="815">
        <f>M378</f>
        <v>2018</v>
      </c>
    </row>
    <row r="379" spans="2:23" ht="12.75" customHeight="1" thickBot="1" x14ac:dyDescent="0.25">
      <c r="B379" s="3"/>
      <c r="C379" s="459"/>
      <c r="D379" s="448"/>
      <c r="E379" s="1762" t="str">
        <f>I325</f>
        <v>Podinstalacja objęta wskaźnikiem emisyjności opartym na paliwie, „CL”</v>
      </c>
      <c r="F379" s="1762"/>
      <c r="G379" s="1762"/>
      <c r="H379" s="452" t="str">
        <f>EUconst_tCO2epa</f>
        <v>t CO2e/rok</v>
      </c>
      <c r="I379" s="322"/>
      <c r="J379" s="322"/>
      <c r="K379" s="322"/>
      <c r="L379" s="322"/>
      <c r="M379" s="322"/>
      <c r="N379" s="463"/>
      <c r="O379" s="7"/>
      <c r="P379" s="351" t="str">
        <f>EUconst_CNTR_Emissions &amp; I325</f>
        <v>DirEmissions_Podinstalacja objęta wskaźnikiem emisyjności opartym na paliwie, „CL”</v>
      </c>
      <c r="R379" s="816" t="str">
        <f>EUconst_CNTR_AttributedEmissions &amp; I325</f>
        <v>AttrEmissions_Podinstalacja objęta wskaźnikiem emisyjności opartym na paliwie, „CL”</v>
      </c>
      <c r="S379" s="119" t="str">
        <f>IF(S325,SUM(I379),"")</f>
        <v/>
      </c>
      <c r="T379" s="119" t="str">
        <f>IF(T325,SUM(J379),"")</f>
        <v/>
      </c>
      <c r="U379" s="119" t="str">
        <f>IF(U325,SUM(K379),"")</f>
        <v/>
      </c>
      <c r="V379" s="119" t="str">
        <f>IF(V325,SUM(L379),"")</f>
        <v/>
      </c>
      <c r="W379" s="120" t="str">
        <f>IF(W325,SUM(M379),"")</f>
        <v/>
      </c>
    </row>
    <row r="380" spans="2:23" ht="5.0999999999999996" customHeight="1" x14ac:dyDescent="0.2">
      <c r="B380" s="3"/>
      <c r="C380" s="459"/>
      <c r="D380" s="448"/>
      <c r="E380" s="448"/>
      <c r="F380" s="448"/>
      <c r="G380" s="448"/>
      <c r="H380" s="448"/>
      <c r="I380" s="448"/>
      <c r="J380" s="448"/>
      <c r="K380" s="448"/>
      <c r="L380" s="448"/>
      <c r="M380" s="464"/>
      <c r="N380" s="463"/>
      <c r="O380" s="7"/>
      <c r="P380" s="8"/>
      <c r="R380" s="8"/>
    </row>
    <row r="381" spans="2:23" ht="12.75" customHeight="1" x14ac:dyDescent="0.2">
      <c r="B381" s="3"/>
      <c r="C381" s="459"/>
      <c r="D381" s="462" t="s">
        <v>356</v>
      </c>
      <c r="E381" s="1760" t="str">
        <f>Translations!$B$726</f>
        <v>Wsad paliwa do tej podinstalacji oraz odpowiedni współczynnik emisji</v>
      </c>
      <c r="F381" s="1760"/>
      <c r="G381" s="1760"/>
      <c r="H381" s="1760"/>
      <c r="I381" s="1760"/>
      <c r="J381" s="1760"/>
      <c r="K381" s="1760"/>
      <c r="L381" s="1760"/>
      <c r="M381" s="1760"/>
      <c r="N381" s="1761"/>
      <c r="O381" s="7"/>
      <c r="R381" s="8"/>
    </row>
    <row r="382" spans="2:23" ht="12.75" customHeight="1" x14ac:dyDescent="0.2">
      <c r="B382" s="3"/>
      <c r="C382" s="459"/>
      <c r="D382" s="448"/>
      <c r="E382" s="1733" t="str">
        <f>Translations!$B$889</f>
        <v>Wartości określone w ppkt (i) i (ii) są generowane automatycznie w oparciu o wpisy w lit. a) i c) powyżej.</v>
      </c>
      <c r="F382" s="1734"/>
      <c r="G382" s="1734"/>
      <c r="H382" s="1734"/>
      <c r="I382" s="1734"/>
      <c r="J382" s="1734"/>
      <c r="K382" s="1734"/>
      <c r="L382" s="1734"/>
      <c r="M382" s="1734"/>
      <c r="N382" s="1735"/>
      <c r="O382" s="7"/>
      <c r="P382" s="8"/>
      <c r="R382" s="8"/>
    </row>
    <row r="383" spans="2:23" ht="12.75" customHeight="1" x14ac:dyDescent="0.2">
      <c r="B383" s="3"/>
      <c r="C383" s="459"/>
      <c r="D383" s="448"/>
      <c r="E383" s="1733" t="str">
        <f>Translations!$B$890</f>
        <v>W ppkt (iii) oraz (iv) należy podać odpowiednio wsad paliwa z gazów odlotowych i odpowiadający mu współczynnik emisji.</v>
      </c>
      <c r="F383" s="1734"/>
      <c r="G383" s="1734"/>
      <c r="H383" s="1734"/>
      <c r="I383" s="1734"/>
      <c r="J383" s="1734"/>
      <c r="K383" s="1734"/>
      <c r="L383" s="1734"/>
      <c r="M383" s="1734"/>
      <c r="N383" s="1735"/>
      <c r="O383" s="7"/>
      <c r="P383" s="8"/>
      <c r="R383" s="8"/>
    </row>
    <row r="384" spans="2:23" ht="12.75" customHeight="1" x14ac:dyDescent="0.2">
      <c r="B384" s="3"/>
      <c r="C384" s="459"/>
      <c r="D384" s="462"/>
      <c r="E384" s="1757"/>
      <c r="F384" s="1758"/>
      <c r="G384" s="1758"/>
      <c r="H384" s="450" t="str">
        <f>EUconst_Unit</f>
        <v>Jednostka</v>
      </c>
      <c r="I384" s="451">
        <f>I$559</f>
        <v>2014</v>
      </c>
      <c r="J384" s="451">
        <f>J$559</f>
        <v>2015</v>
      </c>
      <c r="K384" s="451">
        <f>K$559</f>
        <v>2016</v>
      </c>
      <c r="L384" s="451">
        <f>L$559</f>
        <v>2017</v>
      </c>
      <c r="M384" s="451">
        <f>M$559</f>
        <v>2018</v>
      </c>
      <c r="N384" s="463"/>
      <c r="O384" s="7"/>
      <c r="P384" s="8"/>
      <c r="R384" s="8"/>
    </row>
    <row r="385" spans="1:29" ht="12.75" customHeight="1" x14ac:dyDescent="0.2">
      <c r="B385" s="3"/>
      <c r="C385" s="459"/>
      <c r="D385" s="465" t="s">
        <v>2</v>
      </c>
      <c r="E385" s="1739" t="str">
        <f>Translations!$B$891</f>
        <v>Wsad paliwa podany w lit. a)</v>
      </c>
      <c r="F385" s="1740"/>
      <c r="G385" s="1740"/>
      <c r="H385" s="453" t="str">
        <f>EUconst_TJpa</f>
        <v>TJ / rok</v>
      </c>
      <c r="I385" s="470" t="str">
        <f>I333</f>
        <v/>
      </c>
      <c r="J385" s="470" t="str">
        <f>J333</f>
        <v/>
      </c>
      <c r="K385" s="470" t="str">
        <f>K333</f>
        <v/>
      </c>
      <c r="L385" s="470" t="str">
        <f>L333</f>
        <v/>
      </c>
      <c r="M385" s="470" t="str">
        <f>M333</f>
        <v/>
      </c>
      <c r="N385" s="518"/>
      <c r="O385" s="7"/>
      <c r="P385" s="351" t="str">
        <f>EUconst_CNTR_FuelInput &amp; I325</f>
        <v>FuelInput_Podinstalacja objęta wskaźnikiem emisyjności opartym na paliwie, „CL”</v>
      </c>
      <c r="R385" s="8"/>
      <c r="S385" s="45">
        <f>I384</f>
        <v>2014</v>
      </c>
      <c r="T385" s="45">
        <f>J384</f>
        <v>2015</v>
      </c>
      <c r="U385" s="45">
        <f>K384</f>
        <v>2016</v>
      </c>
      <c r="V385" s="45">
        <f>L384</f>
        <v>2017</v>
      </c>
      <c r="W385" s="45">
        <f>M384</f>
        <v>2018</v>
      </c>
    </row>
    <row r="386" spans="1:29" ht="12.75" customHeight="1" x14ac:dyDescent="0.2">
      <c r="B386" s="3"/>
      <c r="C386" s="459"/>
      <c r="D386" s="465" t="s">
        <v>3</v>
      </c>
      <c r="E386" s="1772" t="str">
        <f>Translations!$B$892</f>
        <v>Ważony współczynnik emisji (=c./d.)</v>
      </c>
      <c r="F386" s="1773"/>
      <c r="G386" s="1773"/>
      <c r="H386" s="569" t="str">
        <f>EUconst_tCO2pTJ</f>
        <v>t CO2 / TJ</v>
      </c>
      <c r="I386" s="470" t="str">
        <f>IF(COUNT(I379,I385)=2,I379/I385,"")</f>
        <v/>
      </c>
      <c r="J386" s="470" t="str">
        <f>IF(COUNT(J379,J385)=2,J379/J385,"")</f>
        <v/>
      </c>
      <c r="K386" s="470" t="str">
        <f>IF(COUNT(K379,K385)=2,K379/K385,"")</f>
        <v/>
      </c>
      <c r="L386" s="470" t="str">
        <f>IF(COUNT(L379,L385)=2,L379/L385,"")</f>
        <v/>
      </c>
      <c r="M386" s="470" t="str">
        <f>IF(COUNT(M379,M385)=2,M379/M385,"")</f>
        <v/>
      </c>
      <c r="N386" s="463"/>
      <c r="O386" s="7"/>
      <c r="P386" s="351" t="str">
        <f>EUconst_CNTR_FuelEF &amp;I325</f>
        <v>FuelEF_Podinstalacja objęta wskaźnikiem emisyjności opartym na paliwie, „CL”</v>
      </c>
      <c r="R386" s="882" t="str">
        <f>EUconst_ERR_AttrEmBMapplied &amp; I325</f>
        <v>ERR_AttrEmBM_ Podinstalacja objęta wskaźnikiem emisyjności opartym na paliwie, „CL”</v>
      </c>
      <c r="S386" s="116">
        <f>IF(AND(OR(I388&lt;&gt;0,AND(I391&lt;&gt;0,I392="")),EUconst_StatusOfDataCollection=FALSE),1,0)</f>
        <v>0</v>
      </c>
      <c r="T386" s="116">
        <f>IF(AND(OR(J388&lt;&gt;0,AND(J391&lt;&gt;0,J392="")),EUconst_StatusOfDataCollection=FALSE),1,0)</f>
        <v>0</v>
      </c>
      <c r="U386" s="116">
        <f>IF(AND(OR(K388&lt;&gt;0,AND(K391&lt;&gt;0,K392="")),EUconst_StatusOfDataCollection=FALSE),1,0)</f>
        <v>0</v>
      </c>
      <c r="V386" s="116">
        <f>IF(AND(OR(L388&lt;&gt;0,AND(L391&lt;&gt;0,L392="")),EUconst_StatusOfDataCollection=FALSE),1,0)</f>
        <v>0</v>
      </c>
      <c r="W386" s="116">
        <f>IF(AND(OR(M388&lt;&gt;0,AND(M391&lt;&gt;0,M392="")),EUconst_StatusOfDataCollection=FALSE),1,0)</f>
        <v>0</v>
      </c>
    </row>
    <row r="387" spans="1:29" ht="5.0999999999999996" customHeight="1" x14ac:dyDescent="0.2">
      <c r="B387" s="3"/>
      <c r="C387" s="459"/>
      <c r="D387" s="448"/>
      <c r="E387" s="448"/>
      <c r="F387" s="448"/>
      <c r="G387" s="448"/>
      <c r="H387" s="448"/>
      <c r="I387" s="448"/>
      <c r="J387" s="448"/>
      <c r="K387" s="448"/>
      <c r="L387" s="448"/>
      <c r="M387" s="448"/>
      <c r="N387" s="463"/>
      <c r="O387" s="7"/>
      <c r="P387" s="8"/>
    </row>
    <row r="388" spans="1:29" ht="12.75" customHeight="1" x14ac:dyDescent="0.2">
      <c r="B388" s="3"/>
      <c r="C388" s="459"/>
      <c r="D388" s="465" t="s">
        <v>4</v>
      </c>
      <c r="E388" s="1739" t="str">
        <f>Translations!$B$853</f>
        <v>Wsad paliwa z gazów odlotowych</v>
      </c>
      <c r="F388" s="1740"/>
      <c r="G388" s="1740"/>
      <c r="H388" s="453" t="str">
        <f>EUconst_TJpa</f>
        <v>TJ / rok</v>
      </c>
      <c r="I388" s="313"/>
      <c r="J388" s="313"/>
      <c r="K388" s="313"/>
      <c r="L388" s="313"/>
      <c r="M388" s="313"/>
      <c r="N388" s="463"/>
      <c r="O388" s="7"/>
      <c r="P388" s="438" t="str">
        <f>EUconst_CNTR_WGConsumed &amp; I325</f>
        <v>WasteGasCons_Podinstalacja objęta wskaźnikiem emisyjności opartym na paliwie, „CL”</v>
      </c>
    </row>
    <row r="389" spans="1:29" ht="25.5" customHeight="1" x14ac:dyDescent="0.2">
      <c r="B389" s="3"/>
      <c r="C389" s="459"/>
      <c r="D389" s="465" t="s">
        <v>6</v>
      </c>
      <c r="E389" s="1739" t="str">
        <f>Translations!$B$854</f>
        <v>Właściwy współczynnik emisji (gazy odlotowe)</v>
      </c>
      <c r="F389" s="1740"/>
      <c r="G389" s="1740"/>
      <c r="H389" s="569" t="str">
        <f>EUconst_tCO2pTJ</f>
        <v>t CO2 / TJ</v>
      </c>
      <c r="I389" s="323"/>
      <c r="J389" s="323"/>
      <c r="K389" s="323"/>
      <c r="L389" s="323"/>
      <c r="M389" s="323"/>
      <c r="N389" s="463"/>
      <c r="O389" s="7"/>
      <c r="P389" s="351" t="str">
        <f>EUconst_CNTR_WGConsumedEF &amp; I325</f>
        <v>WasteGasConsEF_Podinstalacja objęta wskaźnikiem emisyjności opartym na paliwie, „CL”</v>
      </c>
      <c r="R389" s="883" t="str">
        <f>EUconst_CNTR_AttributedEmissions &amp; I325</f>
        <v>AttrEmissions_Podinstalacja objęta wskaźnikiem emisyjności opartym na paliwie, „CL”</v>
      </c>
      <c r="S389" s="116" t="str">
        <f>IF(S325,SUM(I388)*EUconst_FuelBMvalue,"")</f>
        <v/>
      </c>
      <c r="T389" s="116" t="str">
        <f>IF(T325,SUM(J388)*EUconst_FuelBMvalue,"")</f>
        <v/>
      </c>
      <c r="U389" s="116" t="str">
        <f>IF(U325,SUM(K388)*EUconst_FuelBMvalue,"")</f>
        <v/>
      </c>
      <c r="V389" s="116" t="str">
        <f>IF(V325,SUM(L388)*EUconst_FuelBMvalue,"")</f>
        <v/>
      </c>
      <c r="W389" s="116" t="str">
        <f>IF(W325,SUM(M388)*EUconst_FuelBMvalue,"")</f>
        <v/>
      </c>
    </row>
    <row r="390" spans="1:29" ht="5.0999999999999996" customHeight="1" x14ac:dyDescent="0.2">
      <c r="B390" s="3"/>
      <c r="C390" s="459"/>
      <c r="D390" s="448"/>
      <c r="E390" s="448"/>
      <c r="F390" s="448"/>
      <c r="G390" s="448"/>
      <c r="H390" s="448"/>
      <c r="I390" s="448"/>
      <c r="J390" s="448"/>
      <c r="K390" s="448"/>
      <c r="L390" s="448"/>
      <c r="M390" s="464"/>
      <c r="N390" s="463"/>
      <c r="O390" s="7"/>
      <c r="P390" s="8"/>
    </row>
    <row r="391" spans="1:29" ht="12.75" customHeight="1" x14ac:dyDescent="0.2">
      <c r="B391" s="3"/>
      <c r="C391" s="459"/>
      <c r="D391" s="462" t="s">
        <v>12</v>
      </c>
      <c r="E391" s="1876" t="str">
        <f>Translations!$B$770</f>
        <v>Ciepło wyprowadzone netto</v>
      </c>
      <c r="F391" s="1876"/>
      <c r="G391" s="1876"/>
      <c r="H391" s="453" t="str">
        <f>EUconst_TJpa</f>
        <v>TJ / rok</v>
      </c>
      <c r="I391" s="471"/>
      <c r="J391" s="471"/>
      <c r="K391" s="471"/>
      <c r="L391" s="471"/>
      <c r="M391" s="471"/>
      <c r="N391" s="518"/>
      <c r="O391" s="7"/>
      <c r="P391" s="1240" t="str">
        <f>EUconst_CNTR_HeatExport &amp; I325</f>
        <v>HeatEx_Podinstalacja objęta wskaźnikiem emisyjności opartym na paliwie, „CL”</v>
      </c>
      <c r="R391" s="883" t="str">
        <f>EUconst_CNTR_AttributedEmissions &amp; I325</f>
        <v>AttrEmissions_Podinstalacja objęta wskaźnikiem emisyjności opartym na paliwie, „CL”</v>
      </c>
      <c r="S391" s="116" t="str">
        <f>IF(S325,-SUM(I391)*IF(ISNUMBER(I392),I392,EUconst_HeatBMvalue),"")</f>
        <v/>
      </c>
      <c r="T391" s="116" t="str">
        <f>IF(T325,-SUM(J391)*IF(ISNUMBER(J392),J392,EUconst_HeatBMvalue),"")</f>
        <v/>
      </c>
      <c r="U391" s="116" t="str">
        <f>IF(U325,-SUM(K391)*IF(ISNUMBER(K392),K392,EUconst_HeatBMvalue),"")</f>
        <v/>
      </c>
      <c r="V391" s="116" t="str">
        <f>IF(V325,-SUM(L391)*IF(ISNUMBER(L392),L392,EUconst_HeatBMvalue),"")</f>
        <v/>
      </c>
      <c r="W391" s="116" t="str">
        <f>IF(W325,-SUM(M391)*IF(ISNUMBER(M392),M392,EUconst_HeatBMvalue),"")</f>
        <v/>
      </c>
    </row>
    <row r="392" spans="1:29" ht="12.75" customHeight="1" x14ac:dyDescent="0.2">
      <c r="B392" s="3"/>
      <c r="C392" s="459"/>
      <c r="D392" s="462"/>
      <c r="E392" s="1739" t="str">
        <f>Translations!$B$893</f>
        <v>Właściwy współczynnik emisji (wyprowadzanie ciepła)</v>
      </c>
      <c r="F392" s="1740"/>
      <c r="G392" s="1740"/>
      <c r="H392" s="569" t="str">
        <f>EUconst_tCO2pTJ</f>
        <v>t CO2 / TJ</v>
      </c>
      <c r="I392" s="1016"/>
      <c r="J392" s="1016"/>
      <c r="K392" s="1016"/>
      <c r="L392" s="1016"/>
      <c r="M392" s="1016"/>
      <c r="N392" s="518"/>
      <c r="O392" s="7"/>
      <c r="P392" s="1240" t="str">
        <f>EUconst_CNTR_HeatExportEF &amp; I325</f>
        <v>HeatExEF_Podinstalacja objęta wskaźnikiem emisyjności opartym na paliwie, „CL”</v>
      </c>
      <c r="R392" s="1015"/>
    </row>
    <row r="393" spans="1:29" ht="12.75" customHeight="1" x14ac:dyDescent="0.2">
      <c r="B393" s="3"/>
      <c r="C393" s="459"/>
      <c r="D393" s="462"/>
      <c r="E393" s="1730" t="str">
        <f>Translations!$B$758</f>
        <v>Podane tu dane wpłyną na emisje, które można przypisać, zgodnie z pkt 10.1.2 i 10.1.3 załącznika VII do FAR.</v>
      </c>
      <c r="F393" s="1731"/>
      <c r="G393" s="1731"/>
      <c r="H393" s="1731"/>
      <c r="I393" s="1731"/>
      <c r="J393" s="1731"/>
      <c r="K393" s="1731"/>
      <c r="L393" s="1731"/>
      <c r="M393" s="1731"/>
      <c r="N393" s="1732"/>
      <c r="O393" s="7"/>
      <c r="P393" s="182"/>
      <c r="R393" s="1015"/>
    </row>
    <row r="394" spans="1:29" ht="25.5" customHeight="1" x14ac:dyDescent="0.2">
      <c r="B394" s="3"/>
      <c r="C394" s="459"/>
      <c r="D394" s="448"/>
      <c r="E394" s="1733" t="str">
        <f>Translations!$B$894</f>
        <v>Dotyczy to wszelkiego odzyskanego ciepła odpadowego, które kwalifikuje się do wykorzystania w podinstalacji objętej wskaźnikiem emisyjności opartym na cieple lub w podinstalacji sieci ciepłowniczej.</v>
      </c>
      <c r="F394" s="1734"/>
      <c r="G394" s="1734"/>
      <c r="H394" s="1734"/>
      <c r="I394" s="1734"/>
      <c r="J394" s="1734"/>
      <c r="K394" s="1734"/>
      <c r="L394" s="1734"/>
      <c r="M394" s="1734"/>
      <c r="N394" s="1735"/>
      <c r="O394" s="7"/>
      <c r="P394" s="8"/>
      <c r="R394" s="8"/>
    </row>
    <row r="395" spans="1:29" ht="12.75" customHeight="1" thickBot="1" x14ac:dyDescent="0.25">
      <c r="B395" s="3"/>
      <c r="C395" s="466"/>
      <c r="D395" s="467"/>
      <c r="E395" s="467"/>
      <c r="F395" s="467"/>
      <c r="G395" s="467"/>
      <c r="H395" s="467"/>
      <c r="I395" s="467"/>
      <c r="J395" s="467"/>
      <c r="K395" s="467"/>
      <c r="L395" s="467"/>
      <c r="M395" s="468"/>
      <c r="N395" s="469"/>
      <c r="O395" s="7"/>
      <c r="P395" s="8"/>
      <c r="R395" s="8"/>
    </row>
    <row r="396" spans="1:29" ht="25.5" customHeight="1" thickBot="1" x14ac:dyDescent="0.25">
      <c r="B396" s="20"/>
      <c r="C396" s="20"/>
      <c r="D396" s="20"/>
      <c r="E396" s="20"/>
      <c r="F396" s="20"/>
      <c r="G396" s="20"/>
      <c r="H396" s="20"/>
      <c r="I396" s="20"/>
      <c r="J396" s="20"/>
      <c r="K396" s="20"/>
      <c r="L396" s="20"/>
      <c r="M396" s="20"/>
      <c r="N396" s="20"/>
      <c r="O396" s="7"/>
    </row>
    <row r="397" spans="1:29" ht="12.75" customHeight="1" thickBot="1" x14ac:dyDescent="0.25">
      <c r="B397" s="3"/>
      <c r="C397" s="281"/>
      <c r="D397" s="281"/>
      <c r="E397" s="281"/>
      <c r="F397" s="281"/>
      <c r="G397" s="281"/>
      <c r="H397" s="281"/>
      <c r="I397" s="281"/>
      <c r="J397" s="281"/>
      <c r="K397" s="281"/>
      <c r="L397" s="281"/>
      <c r="M397" s="281"/>
      <c r="N397" s="281"/>
      <c r="O397" s="7"/>
    </row>
    <row r="398" spans="1:29" ht="30.75" customHeight="1" thickBot="1" x14ac:dyDescent="0.3">
      <c r="B398" s="3"/>
      <c r="C398" s="18">
        <v>5</v>
      </c>
      <c r="D398" s="1439" t="str">
        <f>EUconst_FBSubinst &amp; ":"</f>
        <v>Podinstalacja, dla której wprowadzono rozwiązania rezerwowe (fall-back):</v>
      </c>
      <c r="E398" s="1370"/>
      <c r="F398" s="1370"/>
      <c r="G398" s="1370"/>
      <c r="H398" s="1432"/>
      <c r="I398" s="1781" t="str">
        <f>INDEX(EUconst_FallBackListNames,$C398)</f>
        <v>Podinstalacja objęta wskaźnikiem emisyjności opartym na paliwie, „nie-CL”</v>
      </c>
      <c r="J398" s="1666"/>
      <c r="K398" s="1666"/>
      <c r="L398" s="1782"/>
      <c r="M398" s="1860" t="str">
        <f>IF(ISBLANK(INDEX(CNTR_FallBackSubInstRelevant,C398)),"",IF(INDEX(CNTR_FallBackSubInstRelevant,C398),EUconst_Relevant,EUconst_NotRelevant))</f>
        <v>nie dotyczy</v>
      </c>
      <c r="N398" s="1861"/>
      <c r="O398" s="7"/>
      <c r="P398" s="574">
        <f>C398</f>
        <v>5</v>
      </c>
      <c r="Q398" s="371" t="s">
        <v>234</v>
      </c>
      <c r="R398" s="856" t="str">
        <f>IF(M398&lt;&gt;EUconst_Relevant,"",INDEX(CNTR_SubInstStartDate,MATCH($I398,CNTR_SubInstListNames,0)))</f>
        <v/>
      </c>
      <c r="S398" s="853" t="b">
        <f>IF($M398&lt;&gt;EUconst_Relevant,FALSE,AND(I$562, IF($R398&lt;DATE($L$559,1,1),YEAR($R398)&lt;=I$559,YEAR($R398-1)&lt;I$559) ) )</f>
        <v>0</v>
      </c>
      <c r="T398" s="853" t="b">
        <f>IF($M398&lt;&gt;EUconst_Relevant,FALSE,AND(J$562, IF($R398&lt;DATE($L$559,1,1),YEAR($R398)&lt;=J$559,YEAR($R398-1)&lt;J$559) ) )</f>
        <v>0</v>
      </c>
      <c r="U398" s="853" t="b">
        <f>IF($M398&lt;&gt;EUconst_Relevant,FALSE,AND(K$562, IF($R398&lt;DATE($L$559,1,1),YEAR($R398)&lt;=K$559,YEAR($R398-1)&lt;K$559) ) )</f>
        <v>0</v>
      </c>
      <c r="V398" s="853" t="b">
        <f>IF($M398&lt;&gt;EUconst_Relevant,FALSE,AND(L$562, IF($R398&lt;DATE($L$559,1,1),YEAR($R398)&lt;=L$559,YEAR($R398-1)&lt;L$559) ) )</f>
        <v>0</v>
      </c>
      <c r="W398" s="853" t="b">
        <f>IF($M398&lt;&gt;EUconst_Relevant,FALSE,AND(M$562, IF($R398&lt;DATE($L$559,1,1),YEAR($R398)&lt;=M$559,YEAR($R398-1)&lt;M$559) ) )</f>
        <v>0</v>
      </c>
      <c r="X398" s="8"/>
      <c r="AB398" s="736" t="s">
        <v>550</v>
      </c>
      <c r="AC398" s="738" t="b">
        <f>AND(CNTR_ExistSubInstEntries,M398=EUconst_NotRelevant)</f>
        <v>1</v>
      </c>
    </row>
    <row r="399" spans="1:29" ht="12.75" customHeight="1" x14ac:dyDescent="0.2">
      <c r="B399" s="20"/>
      <c r="C399" s="20"/>
      <c r="D399" s="20"/>
      <c r="E399" s="20"/>
      <c r="F399" s="20"/>
      <c r="G399" s="20"/>
      <c r="H399" s="50"/>
      <c r="I399" s="1869" t="str">
        <f>IF(M398="","",IF(M398=EUconst_Relevant,HYPERLINK("",EUconst_MsgEnterThisSection),HYPERLINK(Q399,EUconst_MsgGoToNextSubInst)))</f>
        <v>Proszę przejść do kolejnej podinstalacji!</v>
      </c>
      <c r="J399" s="1870"/>
      <c r="K399" s="1870"/>
      <c r="L399" s="1870"/>
      <c r="M399" s="1871"/>
      <c r="N399" s="1872"/>
      <c r="O399" s="7"/>
      <c r="P399" s="2" t="s">
        <v>199</v>
      </c>
      <c r="Q399" s="589" t="str">
        <f>"#JUMP_G"&amp;P398+1</f>
        <v>#JUMP_G6</v>
      </c>
    </row>
    <row r="400" spans="1:29" s="701" customFormat="1" ht="5.0999999999999996" customHeight="1" x14ac:dyDescent="0.2">
      <c r="A400" s="422"/>
      <c r="B400" s="3"/>
      <c r="C400" s="3"/>
      <c r="D400" s="3"/>
      <c r="E400" s="3"/>
      <c r="F400" s="3"/>
      <c r="G400" s="3"/>
      <c r="H400" s="3"/>
      <c r="I400" s="3"/>
      <c r="J400" s="3"/>
      <c r="K400" s="3"/>
      <c r="L400" s="3"/>
      <c r="M400" s="7"/>
      <c r="N400" s="7"/>
      <c r="O400" s="7"/>
      <c r="P400" s="8"/>
      <c r="Q400" s="422"/>
      <c r="R400" s="422"/>
      <c r="S400" s="422"/>
      <c r="T400" s="422"/>
      <c r="U400" s="422"/>
      <c r="V400" s="422"/>
      <c r="W400" s="422"/>
      <c r="X400" s="422"/>
      <c r="Y400" s="422"/>
      <c r="Z400" s="422"/>
      <c r="AA400" s="422"/>
      <c r="AB400" s="422"/>
      <c r="AC400" s="422"/>
    </row>
    <row r="401" spans="1:29" s="701" customFormat="1" ht="12.75" customHeight="1" x14ac:dyDescent="0.2">
      <c r="A401" s="422"/>
      <c r="B401" s="398"/>
      <c r="C401" s="398"/>
      <c r="D401" s="398"/>
      <c r="E401" s="1622" t="str">
        <f>CONCATENATE(EUconst_MsgSeeFirst," (G.I.1)")</f>
        <v>Szczegółowe instrukcje dotyczące wprowadzania danych w tym narzędziu znajdują się w pierwszej kopii tego narzędzia.  (G.I.1)</v>
      </c>
      <c r="F401" s="1622"/>
      <c r="G401" s="1622"/>
      <c r="H401" s="1622"/>
      <c r="I401" s="1622"/>
      <c r="J401" s="1622"/>
      <c r="K401" s="1622"/>
      <c r="L401" s="1622"/>
      <c r="M401" s="1622"/>
      <c r="N401" s="1622"/>
      <c r="O401" s="7"/>
      <c r="P401" s="422"/>
      <c r="Q401" s="422"/>
      <c r="R401" s="422"/>
      <c r="S401" s="422"/>
      <c r="T401" s="422"/>
      <c r="U401" s="422"/>
      <c r="V401" s="422"/>
      <c r="W401" s="422"/>
      <c r="X401" s="422"/>
      <c r="Y401" s="422"/>
      <c r="Z401" s="422"/>
      <c r="AA401" s="422"/>
      <c r="AB401" s="422"/>
      <c r="AC401" s="422"/>
    </row>
    <row r="402" spans="1:29" s="701" customFormat="1" ht="5.0999999999999996" customHeight="1" x14ac:dyDescent="0.2">
      <c r="A402" s="422"/>
      <c r="B402" s="3"/>
      <c r="C402" s="3"/>
      <c r="D402" s="3"/>
      <c r="E402" s="3"/>
      <c r="F402" s="3"/>
      <c r="G402" s="3"/>
      <c r="H402" s="3"/>
      <c r="I402" s="3"/>
      <c r="J402" s="3"/>
      <c r="K402" s="3"/>
      <c r="L402" s="3"/>
      <c r="M402" s="7"/>
      <c r="N402" s="7"/>
      <c r="O402" s="7"/>
      <c r="P402" s="8"/>
      <c r="Q402" s="422"/>
      <c r="R402" s="422"/>
      <c r="S402" s="422"/>
      <c r="T402" s="422"/>
      <c r="U402" s="422"/>
      <c r="V402" s="422"/>
      <c r="W402" s="422"/>
      <c r="X402" s="422"/>
      <c r="Y402" s="422"/>
      <c r="Z402" s="422"/>
      <c r="AA402" s="422"/>
      <c r="AB402" s="422"/>
      <c r="AC402" s="422"/>
    </row>
    <row r="403" spans="1:29" ht="12.75" customHeight="1" thickBot="1" x14ac:dyDescent="0.25">
      <c r="B403" s="3"/>
      <c r="C403" s="355"/>
      <c r="D403" s="14" t="s">
        <v>173</v>
      </c>
      <c r="E403" s="1375" t="str">
        <f>Translations!$B$670</f>
        <v>Historyczne poziomy działalności</v>
      </c>
      <c r="F403" s="1370"/>
      <c r="G403" s="1370"/>
      <c r="H403" s="1370"/>
      <c r="I403" s="1370"/>
      <c r="J403" s="1370"/>
      <c r="K403" s="1370"/>
      <c r="L403" s="1370"/>
      <c r="M403" s="1370"/>
      <c r="N403" s="1370"/>
      <c r="O403" s="7"/>
      <c r="P403" s="8"/>
      <c r="Q403" s="8"/>
      <c r="R403" s="8"/>
      <c r="S403" s="8"/>
      <c r="T403" s="8"/>
      <c r="U403" s="8"/>
      <c r="V403" s="8"/>
      <c r="W403" s="8"/>
      <c r="X403" s="8"/>
    </row>
    <row r="404" spans="1:29" ht="12.75" customHeight="1" thickBot="1" x14ac:dyDescent="0.25">
      <c r="B404" s="3"/>
      <c r="C404" s="369"/>
      <c r="D404" s="16"/>
      <c r="E404" s="1891" t="str">
        <f>Translations!$B$884</f>
        <v>Następujące dane są pobierane automatycznie z arkusza „E_EnergyFlows”, część E.I lit. c).W związku z tym wprowadzenie danych jest tam obowiązkowe.</v>
      </c>
      <c r="F404" s="1891"/>
      <c r="G404" s="1891"/>
      <c r="H404" s="1891"/>
      <c r="I404" s="1891"/>
      <c r="J404" s="1891"/>
      <c r="K404" s="1891"/>
      <c r="L404" s="1891"/>
      <c r="M404" s="1891"/>
      <c r="N404" s="1891"/>
      <c r="O404" s="7"/>
      <c r="P404" s="8"/>
      <c r="Q404" s="424" t="s">
        <v>432</v>
      </c>
      <c r="R404" s="169" t="s">
        <v>238</v>
      </c>
      <c r="S404" s="170"/>
      <c r="T404" s="170"/>
      <c r="U404" s="170"/>
      <c r="V404" s="170"/>
      <c r="W404" s="170"/>
      <c r="X404" s="171"/>
    </row>
    <row r="405" spans="1:29" ht="12.75" customHeight="1" x14ac:dyDescent="0.2">
      <c r="B405" s="20"/>
      <c r="C405" s="355"/>
      <c r="D405" s="14"/>
      <c r="E405" s="1430" t="str">
        <f>Translations!$B$829</f>
        <v>Główny poziom działalności:</v>
      </c>
      <c r="F405" s="1377"/>
      <c r="G405" s="1377"/>
      <c r="H405" s="34" t="str">
        <f>EUconst_Unit</f>
        <v>Jednostka</v>
      </c>
      <c r="I405" s="396">
        <f>I$559</f>
        <v>2014</v>
      </c>
      <c r="J405" s="396">
        <f>J$559</f>
        <v>2015</v>
      </c>
      <c r="K405" s="396">
        <f>K$559</f>
        <v>2016</v>
      </c>
      <c r="L405" s="396">
        <f>L$559</f>
        <v>2017</v>
      </c>
      <c r="M405" s="396">
        <f>M$559</f>
        <v>2018</v>
      </c>
      <c r="N405" s="888" t="str">
        <f>IF(M398&lt;&gt;EUconst_Relevant,"",IF(Z406,YEAR(R398)+1,""))</f>
        <v/>
      </c>
      <c r="O405" s="7"/>
      <c r="P405" s="164" t="s">
        <v>237</v>
      </c>
      <c r="Q405" s="1239" t="s">
        <v>2190</v>
      </c>
      <c r="R405" s="173" t="s">
        <v>437</v>
      </c>
      <c r="S405" s="165">
        <f>I405</f>
        <v>2014</v>
      </c>
      <c r="T405" s="116">
        <f>J405</f>
        <v>2015</v>
      </c>
      <c r="U405" s="116">
        <f>K405</f>
        <v>2016</v>
      </c>
      <c r="V405" s="116">
        <f>L405</f>
        <v>2017</v>
      </c>
      <c r="W405" s="116">
        <f>M405</f>
        <v>2018</v>
      </c>
      <c r="X405" s="117"/>
      <c r="AA405" s="955" t="b">
        <f>IF(CNTR_ExistSubInstEntries,IF(M398=EUconst_Relevant,NOT(Z406),TRUE),FALSE)</f>
        <v>1</v>
      </c>
    </row>
    <row r="406" spans="1:29" ht="25.5" customHeight="1" thickBot="1" x14ac:dyDescent="0.25">
      <c r="B406" s="20"/>
      <c r="C406" s="20"/>
      <c r="D406" s="20"/>
      <c r="E406" s="1801" t="str">
        <f>I398</f>
        <v>Podinstalacja objęta wskaźnikiem emisyjności opartym na paliwie, „nie-CL”</v>
      </c>
      <c r="F406" s="1801"/>
      <c r="G406" s="1801"/>
      <c r="H406" s="98" t="str">
        <f>INDEX(EUconst_FallBackListUnits,MATCH(E406,EUconst_FallBackListNames,0))</f>
        <v>TJ</v>
      </c>
      <c r="I406" s="311" t="str">
        <f>IF($M398=EUconst_Relevant,IF(ISNUMBER(INDEX(E_EnergyFlows!I$387:I$393,MATCH($E406,E_EnergyFlows!$E$387:$E$393,0))),INDEX(E_EnergyFlows!I$387:I$393,MATCH($E406,E_EnergyFlows!$E$387:$E$393,0)),INDEX(EUconst_FallbackListMissing,$P398)),"")</f>
        <v/>
      </c>
      <c r="J406" s="311" t="str">
        <f>IF($M398=EUconst_Relevant,IF(ISNUMBER(INDEX(E_EnergyFlows!J$387:J$393,MATCH($E406,E_EnergyFlows!$E$387:$E$393,0))),INDEX(E_EnergyFlows!J$387:J$393,MATCH($E406,E_EnergyFlows!$E$387:$E$393,0)),INDEX(EUconst_FallbackListMissing,$P398)),"")</f>
        <v/>
      </c>
      <c r="K406" s="311" t="str">
        <f>IF($M398=EUconst_Relevant,IF(ISNUMBER(INDEX(E_EnergyFlows!K$387:K$393,MATCH($E406,E_EnergyFlows!$E$387:$E$393,0))),INDEX(E_EnergyFlows!K$387:K$393,MATCH($E406,E_EnergyFlows!$E$387:$E$393,0)),INDEX(EUconst_FallbackListMissing,$P398)),"")</f>
        <v/>
      </c>
      <c r="L406" s="311" t="str">
        <f>IF($M398=EUconst_Relevant,IF(ISNUMBER(INDEX(E_EnergyFlows!L$387:L$393,MATCH($E406,E_EnergyFlows!$E$387:$E$393,0))),INDEX(E_EnergyFlows!L$387:L$393,MATCH($E406,E_EnergyFlows!$E$387:$E$393,0)),INDEX(EUconst_FallbackListMissing,$P398)),"")</f>
        <v/>
      </c>
      <c r="M406" s="311" t="str">
        <f>IF($M398=EUconst_Relevant,IF(ISNUMBER(INDEX(E_EnergyFlows!M$387:M$393,MATCH($E406,E_EnergyFlows!$E$387:$E$393,0))),INDEX(E_EnergyFlows!M$387:M$393,MATCH($E406,E_EnergyFlows!$E$387:$E$393,0)),INDEX(EUconst_FallbackListMissing,$P398)),"")</f>
        <v/>
      </c>
      <c r="N406" s="954"/>
      <c r="O406" s="7"/>
      <c r="P406" s="167" t="str">
        <f>EUconst_CNTR_HAL&amp;E406</f>
        <v>HAL_Podinstalacja objęta wskaźnikiem emisyjności opartym na paliwie, „nie-CL”</v>
      </c>
      <c r="Q406" s="168" t="str">
        <f>IF(COUNT($K406:$L406)&gt;0,AVERAGE($K406:$L406),"")</f>
        <v/>
      </c>
      <c r="R406" s="166" t="str">
        <f>IF(COUNT(S406:W406)&gt;0,AVERAGE(S406:W406),"")</f>
        <v/>
      </c>
      <c r="S406" s="172" t="str">
        <f>IF(S398,IF(ISNUMBER(I406),I406,0),"")</f>
        <v/>
      </c>
      <c r="T406" s="119" t="str">
        <f>IF(T398,IF(ISNUMBER(J406),J406,0),"")</f>
        <v/>
      </c>
      <c r="U406" s="119" t="str">
        <f>IF(U398,IF(ISNUMBER(K406),K406,0),"")</f>
        <v/>
      </c>
      <c r="V406" s="119" t="str">
        <f>IF(V398,IF(ISNUMBER(L406),L406,0),"")</f>
        <v/>
      </c>
      <c r="W406" s="119" t="str">
        <f>IF(W398,IF(ISNUMBER(M406),M406,0),"")</f>
        <v/>
      </c>
      <c r="X406" s="120"/>
      <c r="Y406" s="371" t="s">
        <v>598</v>
      </c>
      <c r="Z406" s="164" t="b">
        <f>IF(M398&lt;&gt;EUconst_Relevant,FALSE,INDEX(CNTR_SubInstLess1Year,MATCH(I398,CNTR_SubInstListNames,0)))</f>
        <v>0</v>
      </c>
      <c r="AA406" s="956" t="b">
        <f>AA405</f>
        <v>1</v>
      </c>
    </row>
    <row r="407" spans="1:29" ht="12.75" customHeight="1" x14ac:dyDescent="0.2">
      <c r="B407" s="20"/>
      <c r="C407" s="5"/>
      <c r="D407" s="5"/>
      <c r="E407" s="5"/>
      <c r="F407" s="5"/>
      <c r="G407" s="5"/>
      <c r="H407" s="5"/>
      <c r="I407" s="5"/>
      <c r="J407" s="5"/>
      <c r="K407" s="5"/>
      <c r="L407" s="5"/>
      <c r="M407" s="5"/>
      <c r="N407" s="5"/>
      <c r="O407" s="7"/>
    </row>
    <row r="408" spans="1:29" ht="15" x14ac:dyDescent="0.25">
      <c r="B408" s="20"/>
      <c r="C408" s="368"/>
      <c r="D408" s="1439" t="str">
        <f>Translations!$B$700</f>
        <v>Szczegółowe dane dotyczące produkcji</v>
      </c>
      <c r="E408" s="1370"/>
      <c r="F408" s="1370"/>
      <c r="G408" s="1370"/>
      <c r="H408" s="1370"/>
      <c r="I408" s="1370"/>
      <c r="J408" s="1370"/>
      <c r="K408" s="1370"/>
      <c r="L408" s="1370"/>
      <c r="M408" s="1370"/>
      <c r="N408" s="1370"/>
      <c r="O408" s="7"/>
      <c r="Y408" s="8"/>
      <c r="Z408" s="8"/>
      <c r="AA408" s="8"/>
      <c r="AB408" s="8"/>
    </row>
    <row r="409" spans="1:29" ht="5.0999999999999996" customHeight="1" x14ac:dyDescent="0.2">
      <c r="B409" s="3"/>
      <c r="C409" s="5"/>
      <c r="D409" s="3"/>
      <c r="E409" s="3"/>
      <c r="F409" s="3"/>
      <c r="G409" s="3"/>
      <c r="H409" s="3"/>
      <c r="I409" s="3"/>
      <c r="J409" s="3"/>
      <c r="K409" s="3"/>
      <c r="L409" s="3"/>
      <c r="M409" s="3"/>
      <c r="N409" s="3"/>
      <c r="O409" s="7"/>
      <c r="P409" s="8"/>
      <c r="Q409" s="8"/>
    </row>
    <row r="410" spans="1:29" ht="12.75" customHeight="1" x14ac:dyDescent="0.2">
      <c r="B410" s="3"/>
      <c r="C410" s="355"/>
      <c r="D410" s="14" t="s">
        <v>353</v>
      </c>
      <c r="E410" s="1375" t="str">
        <f>Translations!$B$830</f>
        <v>Identyfikacja odpowiednich produktów i usług związanych z tą podinstalacją</v>
      </c>
      <c r="F410" s="1370"/>
      <c r="G410" s="1370"/>
      <c r="H410" s="1370"/>
      <c r="I410" s="1370"/>
      <c r="J410" s="1370"/>
      <c r="K410" s="1370"/>
      <c r="L410" s="1370"/>
      <c r="M410" s="1370"/>
      <c r="N410" s="1370"/>
      <c r="O410" s="7"/>
      <c r="P410" s="8"/>
    </row>
    <row r="411" spans="1:29" s="766" customFormat="1" ht="12.75" customHeight="1" x14ac:dyDescent="0.2">
      <c r="A411" s="2"/>
      <c r="B411" s="3"/>
      <c r="C411" s="369"/>
      <c r="D411" s="16"/>
      <c r="E411" s="1408" t="str">
        <f>Translations!$B$831</f>
        <v>W tym miejscu proszę podać, do jakich procesów produkcji lub usług odnosi się ta podinstalacja. Procesy te mogą być następujące:</v>
      </c>
      <c r="F411" s="1370"/>
      <c r="G411" s="1370"/>
      <c r="H411" s="1370"/>
      <c r="I411" s="1370"/>
      <c r="J411" s="1370"/>
      <c r="K411" s="1370"/>
      <c r="L411" s="1370"/>
      <c r="M411" s="1370"/>
      <c r="N411" s="1370"/>
      <c r="O411" s="7"/>
      <c r="P411" s="8"/>
      <c r="Q411" s="8"/>
      <c r="R411" s="8"/>
      <c r="S411" s="8"/>
      <c r="T411" s="8"/>
      <c r="U411" s="8"/>
      <c r="V411" s="8"/>
      <c r="W411" s="8"/>
      <c r="X411" s="8"/>
      <c r="Y411" s="8"/>
      <c r="Z411" s="8"/>
      <c r="AA411" s="8"/>
      <c r="AB411" s="8"/>
      <c r="AC411" s="724"/>
    </row>
    <row r="412" spans="1:29" s="766" customFormat="1" ht="12.75" customHeight="1" x14ac:dyDescent="0.2">
      <c r="A412" s="2"/>
      <c r="B412" s="3"/>
      <c r="C412" s="3"/>
      <c r="D412" s="16"/>
      <c r="E412" s="100" t="s">
        <v>378</v>
      </c>
      <c r="F412" s="1408" t="str">
        <f>Translations!$B$832</f>
        <v>Wytwarzanie produktów nieobjętych wskaźnikami emisyjności dla produktów w instalacji (proszę podać typy produktów);</v>
      </c>
      <c r="G412" s="1370"/>
      <c r="H412" s="1370"/>
      <c r="I412" s="1370"/>
      <c r="J412" s="1370"/>
      <c r="K412" s="1370"/>
      <c r="L412" s="1370"/>
      <c r="M412" s="1370"/>
      <c r="N412" s="1370"/>
      <c r="O412" s="7"/>
      <c r="P412" s="8"/>
      <c r="Q412" s="8"/>
      <c r="R412" s="8"/>
      <c r="S412" s="8"/>
      <c r="T412" s="8"/>
      <c r="U412" s="8"/>
      <c r="V412" s="8"/>
      <c r="W412" s="8"/>
      <c r="X412" s="8"/>
      <c r="Y412" s="724"/>
      <c r="Z412" s="724"/>
      <c r="AA412" s="724"/>
      <c r="AB412" s="724"/>
      <c r="AC412" s="724"/>
    </row>
    <row r="413" spans="1:29" s="766" customFormat="1" ht="12.75" customHeight="1" x14ac:dyDescent="0.2">
      <c r="A413" s="2"/>
      <c r="B413" s="3"/>
      <c r="C413" s="3"/>
      <c r="D413" s="16"/>
      <c r="E413" s="100" t="s">
        <v>378</v>
      </c>
      <c r="F413" s="1408" t="str">
        <f>Translations!$B$885</f>
        <v>wytwarzanie energii mechanicznej, ogrzewanie lub chłodzenie (wszystkie zastosowania poza wytwarzaniem energii elektrycznej);</v>
      </c>
      <c r="G413" s="1370"/>
      <c r="H413" s="1370"/>
      <c r="I413" s="1370"/>
      <c r="J413" s="1370"/>
      <c r="K413" s="1370"/>
      <c r="L413" s="1370"/>
      <c r="M413" s="1370"/>
      <c r="N413" s="1370"/>
      <c r="O413" s="7"/>
      <c r="P413" s="8"/>
      <c r="Q413" s="8"/>
      <c r="R413" s="8"/>
      <c r="S413" s="8"/>
      <c r="T413" s="8"/>
      <c r="U413" s="8"/>
      <c r="V413" s="8"/>
      <c r="W413" s="8"/>
      <c r="X413" s="8"/>
      <c r="Y413" s="724"/>
      <c r="Z413" s="724"/>
      <c r="AA413" s="724"/>
      <c r="AB413" s="724"/>
      <c r="AC413" s="724"/>
    </row>
    <row r="414" spans="1:29" s="766" customFormat="1" ht="5.0999999999999996" customHeight="1" x14ac:dyDescent="0.2">
      <c r="A414" s="2"/>
      <c r="B414" s="3"/>
      <c r="C414" s="5"/>
      <c r="D414" s="3"/>
      <c r="E414" s="3"/>
      <c r="F414" s="3"/>
      <c r="G414" s="3"/>
      <c r="H414" s="3"/>
      <c r="I414" s="3"/>
      <c r="J414" s="3"/>
      <c r="K414" s="3"/>
      <c r="L414" s="3"/>
      <c r="M414" s="3"/>
      <c r="N414" s="3"/>
      <c r="O414" s="7"/>
      <c r="P414" s="8"/>
      <c r="Q414" s="8"/>
      <c r="R414" s="724"/>
      <c r="S414" s="724"/>
      <c r="T414" s="724"/>
      <c r="U414" s="724"/>
      <c r="V414" s="724"/>
      <c r="W414" s="724"/>
      <c r="X414" s="724"/>
      <c r="Y414" s="724"/>
      <c r="Z414" s="724"/>
      <c r="AA414" s="724"/>
      <c r="AB414" s="724"/>
      <c r="AC414" s="724"/>
    </row>
    <row r="415" spans="1:29" s="766" customFormat="1" ht="25.5" customHeight="1" x14ac:dyDescent="0.2">
      <c r="A415" s="2"/>
      <c r="B415" s="725"/>
      <c r="C415" s="16"/>
      <c r="D415" s="344"/>
      <c r="E415" s="1885" t="str">
        <f>Translations!$B$837</f>
        <v>Rodzaj wykorzystania</v>
      </c>
      <c r="F415" s="1431"/>
      <c r="G415" s="1866" t="str">
        <f>Translations!$B$886</f>
        <v>Nazwa produktu lub rodzaj usługi</v>
      </c>
      <c r="H415" s="1867"/>
      <c r="I415" s="1867"/>
      <c r="J415" s="1867"/>
      <c r="K415" s="1867"/>
      <c r="L415" s="1603"/>
      <c r="M415" s="399" t="s">
        <v>386</v>
      </c>
      <c r="N415" s="725"/>
      <c r="O415" s="7"/>
      <c r="P415" s="724"/>
      <c r="Q415" s="724"/>
      <c r="R415" s="724"/>
      <c r="S415" s="724"/>
      <c r="T415" s="724"/>
      <c r="U415" s="724"/>
      <c r="V415" s="724"/>
      <c r="W415" s="724"/>
      <c r="X415" s="724"/>
      <c r="Y415" s="724"/>
      <c r="Z415" s="724"/>
      <c r="AA415" s="724"/>
      <c r="AB415" s="724"/>
      <c r="AC415" s="724"/>
    </row>
    <row r="416" spans="1:29" s="766" customFormat="1" ht="12.75" customHeight="1" x14ac:dyDescent="0.2">
      <c r="A416" s="2"/>
      <c r="B416" s="725"/>
      <c r="C416" s="16"/>
      <c r="D416" s="726">
        <v>1</v>
      </c>
      <c r="E416" s="1906"/>
      <c r="F416" s="1907"/>
      <c r="G416" s="1474"/>
      <c r="H416" s="1877"/>
      <c r="I416" s="1877"/>
      <c r="J416" s="1877"/>
      <c r="K416" s="1877"/>
      <c r="L416" s="1878"/>
      <c r="M416" s="729"/>
      <c r="N416" s="725"/>
      <c r="O416" s="7"/>
      <c r="P416" s="724"/>
      <c r="Q416" s="724"/>
      <c r="R416" s="724"/>
      <c r="S416" s="724"/>
      <c r="T416" s="724"/>
      <c r="U416" s="724"/>
      <c r="V416" s="724"/>
      <c r="W416" s="724"/>
      <c r="X416" s="724"/>
      <c r="Y416" s="724"/>
      <c r="Z416" s="724"/>
      <c r="AA416" s="724"/>
      <c r="AB416" s="724"/>
      <c r="AC416" s="724"/>
    </row>
    <row r="417" spans="1:29" s="766" customFormat="1" ht="12.75" customHeight="1" x14ac:dyDescent="0.2">
      <c r="A417" s="2"/>
      <c r="B417" s="725"/>
      <c r="C417" s="16"/>
      <c r="D417" s="727">
        <f>D416+1</f>
        <v>2</v>
      </c>
      <c r="E417" s="1829"/>
      <c r="F417" s="1830"/>
      <c r="G417" s="1831"/>
      <c r="H417" s="1832"/>
      <c r="I417" s="1832"/>
      <c r="J417" s="1832"/>
      <c r="K417" s="1832"/>
      <c r="L417" s="1833"/>
      <c r="M417" s="730"/>
      <c r="N417" s="725"/>
      <c r="O417" s="7"/>
      <c r="P417" s="724"/>
      <c r="Q417" s="724"/>
      <c r="R417" s="724"/>
      <c r="S417" s="724"/>
      <c r="T417" s="724"/>
      <c r="U417" s="724"/>
      <c r="V417" s="724"/>
      <c r="W417" s="724"/>
      <c r="X417" s="724"/>
      <c r="Y417" s="724"/>
      <c r="Z417" s="724"/>
      <c r="AA417" s="724"/>
      <c r="AB417" s="724"/>
      <c r="AC417" s="724"/>
    </row>
    <row r="418" spans="1:29" s="766" customFormat="1" ht="12.75" customHeight="1" x14ac:dyDescent="0.2">
      <c r="A418" s="2"/>
      <c r="B418" s="725"/>
      <c r="C418" s="16"/>
      <c r="D418" s="727">
        <f t="shared" ref="D418:D425" si="13">D417+1</f>
        <v>3</v>
      </c>
      <c r="E418" s="1829"/>
      <c r="F418" s="1830"/>
      <c r="G418" s="1831"/>
      <c r="H418" s="1832"/>
      <c r="I418" s="1832"/>
      <c r="J418" s="1832"/>
      <c r="K418" s="1832"/>
      <c r="L418" s="1833"/>
      <c r="M418" s="730"/>
      <c r="N418" s="725"/>
      <c r="O418" s="7"/>
      <c r="P418" s="724"/>
      <c r="Q418" s="724"/>
      <c r="R418" s="724"/>
      <c r="S418" s="724"/>
      <c r="T418" s="724"/>
      <c r="U418" s="724"/>
      <c r="V418" s="724"/>
      <c r="W418" s="724"/>
      <c r="X418" s="724"/>
      <c r="Y418" s="724"/>
      <c r="Z418" s="724"/>
      <c r="AA418" s="724"/>
      <c r="AB418" s="724"/>
      <c r="AC418" s="724"/>
    </row>
    <row r="419" spans="1:29" s="766" customFormat="1" ht="12.75" customHeight="1" x14ac:dyDescent="0.2">
      <c r="A419" s="2"/>
      <c r="B419" s="725"/>
      <c r="C419" s="16"/>
      <c r="D419" s="727">
        <f t="shared" si="13"/>
        <v>4</v>
      </c>
      <c r="E419" s="1829"/>
      <c r="F419" s="1830"/>
      <c r="G419" s="1831"/>
      <c r="H419" s="1832"/>
      <c r="I419" s="1832"/>
      <c r="J419" s="1832"/>
      <c r="K419" s="1832"/>
      <c r="L419" s="1833"/>
      <c r="M419" s="730"/>
      <c r="N419" s="725"/>
      <c r="O419" s="7"/>
      <c r="P419" s="724"/>
      <c r="Q419" s="724"/>
      <c r="R419" s="724"/>
      <c r="S419" s="724"/>
      <c r="T419" s="724"/>
      <c r="U419" s="724"/>
      <c r="V419" s="724"/>
      <c r="W419" s="724"/>
      <c r="X419" s="724"/>
      <c r="Y419" s="724"/>
      <c r="Z419" s="724"/>
      <c r="AA419" s="724"/>
      <c r="AB419" s="724"/>
      <c r="AC419" s="724"/>
    </row>
    <row r="420" spans="1:29" s="766" customFormat="1" ht="12.75" customHeight="1" x14ac:dyDescent="0.2">
      <c r="A420" s="2"/>
      <c r="B420" s="725"/>
      <c r="C420" s="16"/>
      <c r="D420" s="727">
        <f t="shared" si="13"/>
        <v>5</v>
      </c>
      <c r="E420" s="1829"/>
      <c r="F420" s="1830"/>
      <c r="G420" s="1831"/>
      <c r="H420" s="1832"/>
      <c r="I420" s="1832"/>
      <c r="J420" s="1832"/>
      <c r="K420" s="1832"/>
      <c r="L420" s="1833"/>
      <c r="M420" s="730"/>
      <c r="N420" s="725"/>
      <c r="O420" s="7"/>
      <c r="P420" s="724"/>
      <c r="Q420" s="724"/>
      <c r="R420" s="724"/>
      <c r="S420" s="724"/>
      <c r="T420" s="724"/>
      <c r="U420" s="724"/>
      <c r="V420" s="724"/>
      <c r="W420" s="724"/>
      <c r="X420" s="724"/>
      <c r="Y420" s="724"/>
      <c r="Z420" s="724"/>
      <c r="AA420" s="724"/>
      <c r="AB420" s="724"/>
      <c r="AC420" s="724"/>
    </row>
    <row r="421" spans="1:29" s="766" customFormat="1" ht="12.75" customHeight="1" x14ac:dyDescent="0.2">
      <c r="A421" s="2"/>
      <c r="B421" s="725"/>
      <c r="C421" s="16"/>
      <c r="D421" s="727">
        <f t="shared" si="13"/>
        <v>6</v>
      </c>
      <c r="E421" s="1829"/>
      <c r="F421" s="1830"/>
      <c r="G421" s="1831"/>
      <c r="H421" s="1832"/>
      <c r="I421" s="1832"/>
      <c r="J421" s="1832"/>
      <c r="K421" s="1832"/>
      <c r="L421" s="1833"/>
      <c r="M421" s="730"/>
      <c r="N421" s="725"/>
      <c r="O421" s="7"/>
      <c r="P421" s="724"/>
      <c r="Q421" s="724"/>
      <c r="R421" s="724"/>
      <c r="S421" s="724"/>
      <c r="T421" s="724"/>
      <c r="U421" s="724"/>
      <c r="V421" s="724"/>
      <c r="W421" s="724"/>
      <c r="X421" s="724"/>
      <c r="Y421" s="724"/>
      <c r="Z421" s="724"/>
      <c r="AA421" s="724"/>
      <c r="AB421" s="724"/>
      <c r="AC421" s="724"/>
    </row>
    <row r="422" spans="1:29" s="766" customFormat="1" ht="12.75" customHeight="1" x14ac:dyDescent="0.2">
      <c r="A422" s="2"/>
      <c r="B422" s="725"/>
      <c r="C422" s="16"/>
      <c r="D422" s="727">
        <f t="shared" si="13"/>
        <v>7</v>
      </c>
      <c r="E422" s="1829"/>
      <c r="F422" s="1830"/>
      <c r="G422" s="1831"/>
      <c r="H422" s="1832"/>
      <c r="I422" s="1832"/>
      <c r="J422" s="1832"/>
      <c r="K422" s="1832"/>
      <c r="L422" s="1833"/>
      <c r="M422" s="730"/>
      <c r="N422" s="725"/>
      <c r="O422" s="7"/>
      <c r="P422" s="724"/>
      <c r="Q422" s="724"/>
      <c r="R422" s="724"/>
      <c r="S422" s="724"/>
      <c r="T422" s="724"/>
      <c r="U422" s="724"/>
      <c r="V422" s="724"/>
      <c r="W422" s="724"/>
      <c r="X422" s="724"/>
      <c r="Y422" s="724"/>
      <c r="Z422" s="724"/>
      <c r="AA422" s="724"/>
      <c r="AB422" s="724"/>
      <c r="AC422" s="724"/>
    </row>
    <row r="423" spans="1:29" s="766" customFormat="1" ht="12.75" customHeight="1" x14ac:dyDescent="0.2">
      <c r="A423" s="2"/>
      <c r="B423" s="725"/>
      <c r="C423" s="16"/>
      <c r="D423" s="727">
        <f t="shared" si="13"/>
        <v>8</v>
      </c>
      <c r="E423" s="1829"/>
      <c r="F423" s="1830"/>
      <c r="G423" s="1831"/>
      <c r="H423" s="1832"/>
      <c r="I423" s="1832"/>
      <c r="J423" s="1832"/>
      <c r="K423" s="1832"/>
      <c r="L423" s="1833"/>
      <c r="M423" s="730"/>
      <c r="N423" s="725"/>
      <c r="O423" s="7"/>
      <c r="P423" s="724"/>
      <c r="Q423" s="724"/>
      <c r="R423" s="724"/>
      <c r="S423" s="724"/>
      <c r="T423" s="724"/>
      <c r="U423" s="724"/>
      <c r="V423" s="724"/>
      <c r="W423" s="724"/>
      <c r="X423" s="724"/>
      <c r="Y423" s="724"/>
      <c r="Z423" s="724"/>
      <c r="AA423" s="724"/>
      <c r="AB423" s="724"/>
      <c r="AC423" s="724"/>
    </row>
    <row r="424" spans="1:29" s="766" customFormat="1" ht="12.75" customHeight="1" x14ac:dyDescent="0.2">
      <c r="A424" s="2"/>
      <c r="B424" s="725"/>
      <c r="C424" s="16"/>
      <c r="D424" s="727">
        <f t="shared" si="13"/>
        <v>9</v>
      </c>
      <c r="E424" s="1829"/>
      <c r="F424" s="1830"/>
      <c r="G424" s="1831"/>
      <c r="H424" s="1832"/>
      <c r="I424" s="1832"/>
      <c r="J424" s="1832"/>
      <c r="K424" s="1832"/>
      <c r="L424" s="1833"/>
      <c r="M424" s="730"/>
      <c r="N424" s="725"/>
      <c r="O424" s="7"/>
      <c r="P424" s="724"/>
      <c r="Q424" s="724"/>
      <c r="R424" s="724"/>
      <c r="S424" s="724"/>
      <c r="T424" s="724"/>
      <c r="U424" s="724"/>
      <c r="V424" s="724"/>
      <c r="W424" s="724"/>
      <c r="X424" s="724"/>
      <c r="Y424" s="724"/>
      <c r="Z424" s="724"/>
      <c r="AA424" s="724"/>
      <c r="AB424" s="724"/>
      <c r="AC424" s="724"/>
    </row>
    <row r="425" spans="1:29" s="766" customFormat="1" ht="12.75" customHeight="1" x14ac:dyDescent="0.2">
      <c r="A425" s="2"/>
      <c r="B425" s="725"/>
      <c r="C425" s="16"/>
      <c r="D425" s="728">
        <f t="shared" si="13"/>
        <v>10</v>
      </c>
      <c r="E425" s="1908"/>
      <c r="F425" s="1909"/>
      <c r="G425" s="1910"/>
      <c r="H425" s="1911"/>
      <c r="I425" s="1911"/>
      <c r="J425" s="1911"/>
      <c r="K425" s="1911"/>
      <c r="L425" s="1912"/>
      <c r="M425" s="731"/>
      <c r="N425" s="725"/>
      <c r="O425" s="7"/>
      <c r="P425" s="724"/>
      <c r="Q425" s="724"/>
      <c r="R425" s="724"/>
      <c r="S425" s="724"/>
      <c r="T425" s="724"/>
      <c r="U425" s="724"/>
      <c r="V425" s="724"/>
      <c r="W425" s="724"/>
      <c r="X425" s="724"/>
      <c r="Y425" s="724"/>
      <c r="Z425" s="724"/>
      <c r="AA425" s="724"/>
      <c r="AB425" s="724"/>
      <c r="AC425" s="724"/>
    </row>
    <row r="426" spans="1:29" s="766" customFormat="1" ht="5.0999999999999996" customHeight="1" x14ac:dyDescent="0.2">
      <c r="A426" s="2"/>
      <c r="B426" s="725"/>
      <c r="C426" s="369"/>
      <c r="D426" s="369"/>
      <c r="E426" s="369"/>
      <c r="F426" s="369"/>
      <c r="G426" s="725"/>
      <c r="H426" s="725"/>
      <c r="I426" s="725"/>
      <c r="J426" s="725"/>
      <c r="K426" s="725"/>
      <c r="L426" s="725"/>
      <c r="M426" s="725"/>
      <c r="N426" s="725"/>
      <c r="O426" s="7"/>
      <c r="P426" s="724"/>
      <c r="Q426" s="724"/>
      <c r="R426" s="724"/>
      <c r="S426" s="724"/>
      <c r="T426" s="724"/>
      <c r="U426" s="724"/>
      <c r="V426" s="724"/>
      <c r="W426" s="724"/>
      <c r="X426" s="724"/>
      <c r="Y426" s="724"/>
      <c r="Z426" s="724"/>
      <c r="AA426" s="724"/>
      <c r="AB426" s="724"/>
      <c r="AC426" s="724"/>
    </row>
    <row r="427" spans="1:29" ht="12.75" customHeight="1" x14ac:dyDescent="0.2">
      <c r="B427" s="3"/>
      <c r="C427" s="355"/>
      <c r="D427" s="14"/>
      <c r="E427" s="1375" t="str">
        <f>Translations!$B$840</f>
        <v>Poziomy produkcji:</v>
      </c>
      <c r="F427" s="1370"/>
      <c r="G427" s="1370"/>
      <c r="H427" s="1370"/>
      <c r="I427" s="1370"/>
      <c r="J427" s="1370"/>
      <c r="K427" s="1370"/>
      <c r="L427" s="1370"/>
      <c r="M427" s="1370"/>
      <c r="N427" s="1370"/>
      <c r="O427" s="7"/>
      <c r="P427" s="8"/>
    </row>
    <row r="428" spans="1:29" ht="5.0999999999999996" customHeight="1" x14ac:dyDescent="0.2">
      <c r="B428" s="3"/>
      <c r="C428" s="369"/>
      <c r="D428" s="16"/>
      <c r="E428" s="17"/>
      <c r="F428" s="17"/>
      <c r="G428" s="17"/>
      <c r="H428" s="17"/>
      <c r="I428" s="17"/>
      <c r="J428" s="21"/>
      <c r="K428" s="21"/>
      <c r="L428" s="21"/>
      <c r="M428" s="7"/>
      <c r="N428" s="7"/>
      <c r="O428" s="7"/>
      <c r="P428" s="8"/>
    </row>
    <row r="429" spans="1:29" ht="12.75" customHeight="1" x14ac:dyDescent="0.2">
      <c r="B429" s="20"/>
      <c r="C429" s="355"/>
      <c r="D429" s="344"/>
      <c r="E429" s="1852" t="str">
        <f>Translations!$B$886</f>
        <v>Nazwa produktu lub rodzaj usługi</v>
      </c>
      <c r="F429" s="1377"/>
      <c r="G429" s="1431"/>
      <c r="H429" s="34" t="str">
        <f>EUconst_Unit</f>
        <v>Jednostka</v>
      </c>
      <c r="I429" s="396">
        <f>I$559</f>
        <v>2014</v>
      </c>
      <c r="J429" s="396">
        <f>J$559</f>
        <v>2015</v>
      </c>
      <c r="K429" s="396">
        <f>K$559</f>
        <v>2016</v>
      </c>
      <c r="L429" s="396">
        <f>L$559</f>
        <v>2017</v>
      </c>
      <c r="M429" s="421">
        <f>M$559</f>
        <v>2018</v>
      </c>
      <c r="N429" s="7"/>
      <c r="O429" s="7"/>
    </row>
    <row r="430" spans="1:29" ht="12.75" customHeight="1" x14ac:dyDescent="0.2">
      <c r="B430" s="20"/>
      <c r="C430" s="50"/>
      <c r="D430" s="37">
        <v>1</v>
      </c>
      <c r="E430" s="1873" t="str">
        <f t="shared" ref="E430:E439" si="14">IF(ISBLANK(G416),"",G416)</f>
        <v/>
      </c>
      <c r="F430" s="1874"/>
      <c r="G430" s="1875"/>
      <c r="H430" s="234"/>
      <c r="I430" s="472"/>
      <c r="J430" s="472"/>
      <c r="K430" s="472"/>
      <c r="L430" s="472"/>
      <c r="M430" s="605"/>
      <c r="N430" s="7"/>
      <c r="O430" s="7"/>
    </row>
    <row r="431" spans="1:29" ht="12.75" customHeight="1" x14ac:dyDescent="0.2">
      <c r="B431" s="20"/>
      <c r="C431" s="50"/>
      <c r="D431" s="38">
        <f>D430+1</f>
        <v>2</v>
      </c>
      <c r="E431" s="1839" t="str">
        <f t="shared" si="14"/>
        <v/>
      </c>
      <c r="F431" s="1441"/>
      <c r="G431" s="1840"/>
      <c r="H431" s="235"/>
      <c r="I431" s="548"/>
      <c r="J431" s="548"/>
      <c r="K431" s="548"/>
      <c r="L431" s="548"/>
      <c r="M431" s="606"/>
      <c r="N431" s="7"/>
      <c r="O431" s="7"/>
    </row>
    <row r="432" spans="1:29" ht="12.75" customHeight="1" x14ac:dyDescent="0.2">
      <c r="B432" s="20"/>
      <c r="C432" s="50"/>
      <c r="D432" s="38">
        <f t="shared" ref="D432:D439" si="15">D431+1</f>
        <v>3</v>
      </c>
      <c r="E432" s="1839" t="str">
        <f t="shared" si="14"/>
        <v/>
      </c>
      <c r="F432" s="1441"/>
      <c r="G432" s="1840"/>
      <c r="H432" s="235"/>
      <c r="I432" s="548"/>
      <c r="J432" s="548"/>
      <c r="K432" s="548"/>
      <c r="L432" s="548"/>
      <c r="M432" s="606"/>
      <c r="N432" s="7"/>
      <c r="O432" s="7"/>
    </row>
    <row r="433" spans="2:19" ht="12.75" customHeight="1" x14ac:dyDescent="0.2">
      <c r="B433" s="20"/>
      <c r="C433" s="50"/>
      <c r="D433" s="38">
        <f t="shared" si="15"/>
        <v>4</v>
      </c>
      <c r="E433" s="1839" t="str">
        <f t="shared" si="14"/>
        <v/>
      </c>
      <c r="F433" s="1441"/>
      <c r="G433" s="1840"/>
      <c r="H433" s="235"/>
      <c r="I433" s="548"/>
      <c r="J433" s="548"/>
      <c r="K433" s="548"/>
      <c r="L433" s="548"/>
      <c r="M433" s="606"/>
      <c r="N433" s="7"/>
      <c r="O433" s="7"/>
    </row>
    <row r="434" spans="2:19" ht="12.75" customHeight="1" x14ac:dyDescent="0.2">
      <c r="B434" s="20"/>
      <c r="C434" s="50"/>
      <c r="D434" s="38">
        <f t="shared" si="15"/>
        <v>5</v>
      </c>
      <c r="E434" s="1839" t="str">
        <f t="shared" si="14"/>
        <v/>
      </c>
      <c r="F434" s="1441"/>
      <c r="G434" s="1840"/>
      <c r="H434" s="235"/>
      <c r="I434" s="548"/>
      <c r="J434" s="548"/>
      <c r="K434" s="548"/>
      <c r="L434" s="548"/>
      <c r="M434" s="606"/>
      <c r="N434" s="7"/>
      <c r="O434" s="7"/>
    </row>
    <row r="435" spans="2:19" ht="12.75" customHeight="1" x14ac:dyDescent="0.2">
      <c r="B435" s="20"/>
      <c r="C435" s="50"/>
      <c r="D435" s="38">
        <f t="shared" si="15"/>
        <v>6</v>
      </c>
      <c r="E435" s="1839" t="str">
        <f t="shared" si="14"/>
        <v/>
      </c>
      <c r="F435" s="1441"/>
      <c r="G435" s="1840"/>
      <c r="H435" s="235"/>
      <c r="I435" s="548"/>
      <c r="J435" s="548"/>
      <c r="K435" s="548"/>
      <c r="L435" s="548"/>
      <c r="M435" s="606"/>
      <c r="N435" s="7"/>
      <c r="O435" s="7"/>
    </row>
    <row r="436" spans="2:19" ht="12.75" customHeight="1" x14ac:dyDescent="0.2">
      <c r="B436" s="20"/>
      <c r="C436" s="50"/>
      <c r="D436" s="38">
        <f t="shared" si="15"/>
        <v>7</v>
      </c>
      <c r="E436" s="1839" t="str">
        <f t="shared" si="14"/>
        <v/>
      </c>
      <c r="F436" s="1441"/>
      <c r="G436" s="1840"/>
      <c r="H436" s="235"/>
      <c r="I436" s="548"/>
      <c r="J436" s="548"/>
      <c r="K436" s="548"/>
      <c r="L436" s="548"/>
      <c r="M436" s="606"/>
      <c r="N436" s="7"/>
      <c r="O436" s="7"/>
    </row>
    <row r="437" spans="2:19" ht="12.75" customHeight="1" x14ac:dyDescent="0.2">
      <c r="B437" s="20"/>
      <c r="C437" s="50"/>
      <c r="D437" s="38">
        <f t="shared" si="15"/>
        <v>8</v>
      </c>
      <c r="E437" s="1839" t="str">
        <f t="shared" si="14"/>
        <v/>
      </c>
      <c r="F437" s="1441"/>
      <c r="G437" s="1840"/>
      <c r="H437" s="235"/>
      <c r="I437" s="548"/>
      <c r="J437" s="548"/>
      <c r="K437" s="548"/>
      <c r="L437" s="548"/>
      <c r="M437" s="606"/>
      <c r="N437" s="7"/>
      <c r="O437" s="7"/>
    </row>
    <row r="438" spans="2:19" ht="12.75" customHeight="1" x14ac:dyDescent="0.2">
      <c r="B438" s="20"/>
      <c r="C438" s="50"/>
      <c r="D438" s="38">
        <f t="shared" si="15"/>
        <v>9</v>
      </c>
      <c r="E438" s="1839" t="str">
        <f t="shared" si="14"/>
        <v/>
      </c>
      <c r="F438" s="1441"/>
      <c r="G438" s="1840"/>
      <c r="H438" s="235"/>
      <c r="I438" s="548"/>
      <c r="J438" s="548"/>
      <c r="K438" s="548"/>
      <c r="L438" s="548"/>
      <c r="M438" s="606"/>
      <c r="N438" s="7"/>
      <c r="O438" s="7"/>
    </row>
    <row r="439" spans="2:19" ht="12.75" customHeight="1" x14ac:dyDescent="0.2">
      <c r="B439" s="20"/>
      <c r="C439" s="50"/>
      <c r="D439" s="41">
        <f t="shared" si="15"/>
        <v>10</v>
      </c>
      <c r="E439" s="1841" t="str">
        <f t="shared" si="14"/>
        <v/>
      </c>
      <c r="F439" s="1450"/>
      <c r="G439" s="1842"/>
      <c r="H439" s="236"/>
      <c r="I439" s="446"/>
      <c r="J439" s="446"/>
      <c r="K439" s="446"/>
      <c r="L439" s="446"/>
      <c r="M439" s="607"/>
      <c r="N439" s="7"/>
      <c r="O439" s="7"/>
    </row>
    <row r="440" spans="2:19" ht="12.75" customHeight="1" x14ac:dyDescent="0.2">
      <c r="B440" s="20"/>
      <c r="C440" s="20"/>
      <c r="D440" s="97"/>
      <c r="E440" s="1849" t="str">
        <f>Translations!$B$708</f>
        <v>Suma poziomów produkcji</v>
      </c>
      <c r="F440" s="1666"/>
      <c r="G440" s="1383"/>
      <c r="H440" s="236"/>
      <c r="I440" s="327" t="str">
        <f>IF(COUNT(I430:I439)&gt;0,SUM(I430:I439),"")</f>
        <v/>
      </c>
      <c r="J440" s="327" t="str">
        <f>IF(COUNT(J430:J439)&gt;0,SUM(J430:J439),"")</f>
        <v/>
      </c>
      <c r="K440" s="327" t="str">
        <f>IF(COUNT(K430:K439)&gt;0,SUM(K430:K439),"")</f>
        <v/>
      </c>
      <c r="L440" s="327" t="str">
        <f>IF(COUNT(L430:L439)&gt;0,SUM(L430:L439),"")</f>
        <v/>
      </c>
      <c r="M440" s="332" t="str">
        <f>IF(COUNT(M430:M439)&gt;0,SUM(M430:M439),"")</f>
        <v/>
      </c>
      <c r="N440" s="7"/>
      <c r="O440" s="7"/>
    </row>
    <row r="441" spans="2:19" ht="12.75" customHeight="1" thickBot="1" x14ac:dyDescent="0.25">
      <c r="B441" s="20"/>
      <c r="C441" s="20"/>
      <c r="D441" s="20"/>
      <c r="E441" s="20"/>
      <c r="F441" s="20"/>
      <c r="G441" s="20"/>
      <c r="H441" s="20"/>
      <c r="I441" s="20"/>
      <c r="J441" s="20"/>
      <c r="K441" s="20"/>
      <c r="L441" s="20"/>
      <c r="M441" s="20"/>
      <c r="N441" s="20"/>
      <c r="O441" s="7"/>
      <c r="P441" s="430"/>
    </row>
    <row r="442" spans="2:19" ht="5.0999999999999996" customHeight="1" x14ac:dyDescent="0.2">
      <c r="B442" s="3"/>
      <c r="C442" s="455"/>
      <c r="D442" s="456"/>
      <c r="E442" s="456"/>
      <c r="F442" s="456"/>
      <c r="G442" s="456"/>
      <c r="H442" s="456"/>
      <c r="I442" s="456"/>
      <c r="J442" s="456"/>
      <c r="K442" s="456"/>
      <c r="L442" s="456"/>
      <c r="M442" s="457"/>
      <c r="N442" s="458"/>
      <c r="O442" s="7"/>
      <c r="P442" s="8"/>
      <c r="R442" s="8"/>
      <c r="S442" s="8"/>
    </row>
    <row r="443" spans="2:19" ht="15" customHeight="1" x14ac:dyDescent="0.2">
      <c r="B443" s="20"/>
      <c r="C443" s="459"/>
      <c r="D443" s="1776" t="str">
        <f>Translations!$B$709</f>
        <v>Dane wymagane do określenia współczynnika poprawy wskaźników zgodnie z art. 10a ust. 2 dyrektywy w sprawie EU ETS</v>
      </c>
      <c r="E443" s="1734"/>
      <c r="F443" s="1734"/>
      <c r="G443" s="1734"/>
      <c r="H443" s="1734"/>
      <c r="I443" s="1734"/>
      <c r="J443" s="1734"/>
      <c r="K443" s="1734"/>
      <c r="L443" s="1734"/>
      <c r="M443" s="1734"/>
      <c r="N443" s="1735"/>
      <c r="O443" s="7"/>
      <c r="R443" s="8"/>
      <c r="S443" s="8"/>
    </row>
    <row r="444" spans="2:19" ht="5.0999999999999996" customHeight="1" x14ac:dyDescent="0.2">
      <c r="B444" s="20"/>
      <c r="C444" s="460"/>
      <c r="D444" s="449"/>
      <c r="E444" s="449"/>
      <c r="F444" s="449"/>
      <c r="G444" s="449"/>
      <c r="H444" s="449"/>
      <c r="I444" s="449"/>
      <c r="J444" s="449"/>
      <c r="K444" s="449"/>
      <c r="L444" s="449"/>
      <c r="M444" s="449"/>
      <c r="N444" s="461"/>
      <c r="O444" s="7"/>
      <c r="R444" s="8"/>
      <c r="S444" s="8"/>
    </row>
    <row r="445" spans="2:19" ht="25.5" customHeight="1" x14ac:dyDescent="0.2">
      <c r="B445" s="20"/>
      <c r="C445" s="460"/>
      <c r="D445" s="1778" t="str">
        <f>EUconst_FBSubinst &amp; ":"</f>
        <v>Podinstalacja, dla której wprowadzono rozwiązania rezerwowe (fall-back):</v>
      </c>
      <c r="E445" s="1779"/>
      <c r="F445" s="1779"/>
      <c r="G445" s="1779"/>
      <c r="H445" s="1780"/>
      <c r="I445" s="1781" t="str">
        <f>I398</f>
        <v>Podinstalacja objęta wskaźnikiem emisyjności opartym na paliwie, „nie-CL”</v>
      </c>
      <c r="J445" s="1666"/>
      <c r="K445" s="1666"/>
      <c r="L445" s="1666"/>
      <c r="M445" s="1666"/>
      <c r="N445" s="1782"/>
      <c r="O445" s="7"/>
      <c r="R445" s="8"/>
      <c r="S445" s="8"/>
    </row>
    <row r="446" spans="2:19" ht="5.0999999999999996" customHeight="1" x14ac:dyDescent="0.2">
      <c r="B446" s="20"/>
      <c r="C446" s="460"/>
      <c r="D446" s="449"/>
      <c r="E446" s="449"/>
      <c r="F446" s="449"/>
      <c r="G446" s="449"/>
      <c r="H446" s="449"/>
      <c r="I446" s="449"/>
      <c r="J446" s="449"/>
      <c r="K446" s="449"/>
      <c r="L446" s="449"/>
      <c r="M446" s="449"/>
      <c r="N446" s="461"/>
      <c r="O446" s="7"/>
      <c r="R446" s="8"/>
      <c r="S446" s="8"/>
    </row>
    <row r="447" spans="2:19" ht="12.75" customHeight="1" x14ac:dyDescent="0.2">
      <c r="B447" s="3"/>
      <c r="C447" s="459"/>
      <c r="D447" s="462" t="s">
        <v>11</v>
      </c>
      <c r="E447" s="1731" t="str">
        <f>Translations!$B$841</f>
        <v>Emisje, które można bezpośrednio przypisać (DirEm*) do tej podinstalacji</v>
      </c>
      <c r="F447" s="1734"/>
      <c r="G447" s="1734"/>
      <c r="H447" s="1734"/>
      <c r="I447" s="1734"/>
      <c r="J447" s="1734"/>
      <c r="K447" s="1734"/>
      <c r="L447" s="1734"/>
      <c r="M447" s="1734"/>
      <c r="N447" s="1735"/>
      <c r="O447" s="7"/>
      <c r="P447" s="8"/>
      <c r="R447" s="8"/>
      <c r="S447" s="8"/>
    </row>
    <row r="448" spans="2:19" ht="12.75" customHeight="1" thickBot="1" x14ac:dyDescent="0.25">
      <c r="B448" s="3"/>
      <c r="C448" s="459"/>
      <c r="D448" s="448"/>
      <c r="E448" s="1733" t="str">
        <f>Translations!$B$895</f>
        <v>Szczegółowe instrukcje dotyczące wprowadzania danych w tym polu znajdują się w pkt 4 lit. c) powyżej.</v>
      </c>
      <c r="F448" s="1733"/>
      <c r="G448" s="1733"/>
      <c r="H448" s="1733"/>
      <c r="I448" s="1733"/>
      <c r="J448" s="1733"/>
      <c r="K448" s="1733"/>
      <c r="L448" s="1733"/>
      <c r="M448" s="1733"/>
      <c r="N448" s="1768"/>
      <c r="O448" s="7"/>
      <c r="P448" s="8"/>
      <c r="R448" s="8"/>
    </row>
    <row r="449" spans="2:23" ht="12.75" customHeight="1" x14ac:dyDescent="0.2">
      <c r="B449" s="3"/>
      <c r="C449" s="459"/>
      <c r="D449" s="462"/>
      <c r="E449" s="1757" t="str">
        <f>Translations!$B$690</f>
        <v>Całkowite emisje bezpośrednie</v>
      </c>
      <c r="F449" s="1758"/>
      <c r="G449" s="1758"/>
      <c r="H449" s="450" t="str">
        <f>EUconst_Unit</f>
        <v>Jednostka</v>
      </c>
      <c r="I449" s="451">
        <f>I$559</f>
        <v>2014</v>
      </c>
      <c r="J449" s="451">
        <f>J$559</f>
        <v>2015</v>
      </c>
      <c r="K449" s="451">
        <f>K$559</f>
        <v>2016</v>
      </c>
      <c r="L449" s="451">
        <f>L$559</f>
        <v>2017</v>
      </c>
      <c r="M449" s="451">
        <f>M$559</f>
        <v>2018</v>
      </c>
      <c r="N449" s="463"/>
      <c r="O449" s="7"/>
      <c r="P449" s="8"/>
      <c r="R449" s="813"/>
      <c r="S449" s="814">
        <f>I449</f>
        <v>2014</v>
      </c>
      <c r="T449" s="814">
        <f>J449</f>
        <v>2015</v>
      </c>
      <c r="U449" s="814">
        <f>K449</f>
        <v>2016</v>
      </c>
      <c r="V449" s="814">
        <f>L449</f>
        <v>2017</v>
      </c>
      <c r="W449" s="815">
        <f>M449</f>
        <v>2018</v>
      </c>
    </row>
    <row r="450" spans="2:23" ht="25.5" customHeight="1" thickBot="1" x14ac:dyDescent="0.25">
      <c r="B450" s="3"/>
      <c r="C450" s="459"/>
      <c r="D450" s="448"/>
      <c r="E450" s="1762" t="str">
        <f>I398</f>
        <v>Podinstalacja objęta wskaźnikiem emisyjności opartym na paliwie, „nie-CL”</v>
      </c>
      <c r="F450" s="1762"/>
      <c r="G450" s="1762"/>
      <c r="H450" s="452" t="str">
        <f>EUconst_tCO2epa</f>
        <v>t CO2e/rok</v>
      </c>
      <c r="I450" s="322"/>
      <c r="J450" s="322"/>
      <c r="K450" s="322"/>
      <c r="L450" s="322"/>
      <c r="M450" s="322"/>
      <c r="N450" s="463"/>
      <c r="O450" s="7"/>
      <c r="P450" s="351" t="str">
        <f>EUconst_CNTR_Emissions &amp; I398</f>
        <v>DirEmissions_Podinstalacja objęta wskaźnikiem emisyjności opartym na paliwie, „nie-CL”</v>
      </c>
      <c r="R450" s="816" t="str">
        <f>EUconst_CNTR_AttributedEmissions &amp; I398</f>
        <v>AttrEmissions_Podinstalacja objęta wskaźnikiem emisyjności opartym na paliwie, „nie-CL”</v>
      </c>
      <c r="S450" s="119" t="str">
        <f>IF(S398,SUM(I450),"")</f>
        <v/>
      </c>
      <c r="T450" s="119" t="str">
        <f>IF(T398,SUM(J450),"")</f>
        <v/>
      </c>
      <c r="U450" s="119" t="str">
        <f>IF(U398,SUM(K450),"")</f>
        <v/>
      </c>
      <c r="V450" s="119" t="str">
        <f>IF(V398,SUM(L450),"")</f>
        <v/>
      </c>
      <c r="W450" s="120" t="str">
        <f>IF(W398,SUM(M450),"")</f>
        <v/>
      </c>
    </row>
    <row r="451" spans="2:23" ht="5.0999999999999996" customHeight="1" x14ac:dyDescent="0.2">
      <c r="B451" s="3"/>
      <c r="C451" s="459"/>
      <c r="D451" s="448"/>
      <c r="E451" s="448"/>
      <c r="F451" s="448"/>
      <c r="G451" s="448"/>
      <c r="H451" s="448"/>
      <c r="I451" s="448"/>
      <c r="J451" s="448"/>
      <c r="K451" s="448"/>
      <c r="L451" s="448"/>
      <c r="M451" s="464"/>
      <c r="N451" s="463"/>
      <c r="O451" s="7"/>
      <c r="P451" s="8"/>
      <c r="R451" s="8"/>
    </row>
    <row r="452" spans="2:23" ht="12.75" customHeight="1" x14ac:dyDescent="0.2">
      <c r="B452" s="3"/>
      <c r="C452" s="459"/>
      <c r="D452" s="462" t="s">
        <v>356</v>
      </c>
      <c r="E452" s="1760" t="str">
        <f>Translations!$B$726</f>
        <v>Wsad paliwa do tej podinstalacji oraz odpowiedni współczynnik emisji</v>
      </c>
      <c r="F452" s="1760"/>
      <c r="G452" s="1760"/>
      <c r="H452" s="1760"/>
      <c r="I452" s="1760"/>
      <c r="J452" s="1760"/>
      <c r="K452" s="1760"/>
      <c r="L452" s="1760"/>
      <c r="M452" s="1760"/>
      <c r="N452" s="1761"/>
      <c r="O452" s="7"/>
      <c r="R452" s="8"/>
    </row>
    <row r="453" spans="2:23" ht="12.75" customHeight="1" x14ac:dyDescent="0.2">
      <c r="B453" s="3"/>
      <c r="C453" s="459"/>
      <c r="D453" s="448"/>
      <c r="E453" s="1733" t="str">
        <f>Translations!$B$896</f>
        <v>Szczegółowe instrukcje dotyczące wprowadzania danych w tym polu znajdują się w pkt 4 lit. d) powyżej.</v>
      </c>
      <c r="F453" s="1733"/>
      <c r="G453" s="1733"/>
      <c r="H453" s="1733"/>
      <c r="I453" s="1733"/>
      <c r="J453" s="1733"/>
      <c r="K453" s="1733"/>
      <c r="L453" s="1733"/>
      <c r="M453" s="1733"/>
      <c r="N453" s="1768"/>
      <c r="O453" s="7"/>
      <c r="P453" s="8"/>
      <c r="R453" s="8"/>
    </row>
    <row r="454" spans="2:23" ht="12.75" customHeight="1" x14ac:dyDescent="0.2">
      <c r="B454" s="3"/>
      <c r="C454" s="459"/>
      <c r="D454" s="462"/>
      <c r="E454" s="1757"/>
      <c r="F454" s="1758"/>
      <c r="G454" s="1758"/>
      <c r="H454" s="450" t="str">
        <f>EUconst_Unit</f>
        <v>Jednostka</v>
      </c>
      <c r="I454" s="451">
        <f>I$559</f>
        <v>2014</v>
      </c>
      <c r="J454" s="451">
        <f>J$559</f>
        <v>2015</v>
      </c>
      <c r="K454" s="451">
        <f>K$559</f>
        <v>2016</v>
      </c>
      <c r="L454" s="451">
        <f>L$559</f>
        <v>2017</v>
      </c>
      <c r="M454" s="451">
        <f>M$559</f>
        <v>2018</v>
      </c>
      <c r="N454" s="463"/>
      <c r="O454" s="7"/>
      <c r="P454" s="8"/>
      <c r="R454" s="8"/>
    </row>
    <row r="455" spans="2:23" ht="12.75" customHeight="1" x14ac:dyDescent="0.2">
      <c r="B455" s="3"/>
      <c r="C455" s="459"/>
      <c r="D455" s="465" t="s">
        <v>2</v>
      </c>
      <c r="E455" s="1739" t="str">
        <f>Translations!$B$891</f>
        <v>Wsad paliwa podany w lit. a)</v>
      </c>
      <c r="F455" s="1740"/>
      <c r="G455" s="1740"/>
      <c r="H455" s="453" t="str">
        <f>EUconst_TJpa</f>
        <v>TJ / rok</v>
      </c>
      <c r="I455" s="470" t="str">
        <f>I406</f>
        <v/>
      </c>
      <c r="J455" s="470" t="str">
        <f>J406</f>
        <v/>
      </c>
      <c r="K455" s="470" t="str">
        <f>K406</f>
        <v/>
      </c>
      <c r="L455" s="470" t="str">
        <f>L406</f>
        <v/>
      </c>
      <c r="M455" s="470" t="str">
        <f>M406</f>
        <v/>
      </c>
      <c r="N455" s="518"/>
      <c r="O455" s="7"/>
      <c r="P455" s="351" t="str">
        <f>EUconst_CNTR_FuelInput &amp; I398</f>
        <v>FuelInput_Podinstalacja objęta wskaźnikiem emisyjności opartym na paliwie, „nie-CL”</v>
      </c>
      <c r="R455" s="8"/>
      <c r="S455" s="45">
        <f>I454</f>
        <v>2014</v>
      </c>
      <c r="T455" s="45">
        <f>J454</f>
        <v>2015</v>
      </c>
      <c r="U455" s="45">
        <f>K454</f>
        <v>2016</v>
      </c>
      <c r="V455" s="45">
        <f>L454</f>
        <v>2017</v>
      </c>
      <c r="W455" s="45">
        <f>M454</f>
        <v>2018</v>
      </c>
    </row>
    <row r="456" spans="2:23" ht="12.75" customHeight="1" x14ac:dyDescent="0.2">
      <c r="B456" s="3"/>
      <c r="C456" s="459"/>
      <c r="D456" s="465" t="s">
        <v>3</v>
      </c>
      <c r="E456" s="1772" t="str">
        <f>Translations!$B$892</f>
        <v>Ważony współczynnik emisji (=c./d.)</v>
      </c>
      <c r="F456" s="1773"/>
      <c r="G456" s="1773"/>
      <c r="H456" s="569" t="str">
        <f>EUconst_tCO2pTJ</f>
        <v>t CO2 / TJ</v>
      </c>
      <c r="I456" s="470" t="str">
        <f>IF(COUNT(I450,I455)=2,I450/I455,"")</f>
        <v/>
      </c>
      <c r="J456" s="470" t="str">
        <f>IF(COUNT(J450,J455)=2,J450/J455,"")</f>
        <v/>
      </c>
      <c r="K456" s="470" t="str">
        <f>IF(COUNT(K450,K455)=2,K450/K455,"")</f>
        <v/>
      </c>
      <c r="L456" s="470" t="str">
        <f>IF(COUNT(L450,L455)=2,L450/L455,"")</f>
        <v/>
      </c>
      <c r="M456" s="470" t="str">
        <f>IF(COUNT(M450,M455)=2,M450/M455,"")</f>
        <v/>
      </c>
      <c r="N456" s="463"/>
      <c r="O456" s="7"/>
      <c r="P456" s="351" t="str">
        <f>EUconst_CNTR_FuelEF &amp;I398</f>
        <v>FuelEF_Podinstalacja objęta wskaźnikiem emisyjności opartym na paliwie, „nie-CL”</v>
      </c>
      <c r="R456" s="882" t="str">
        <f>EUconst_ERR_AttrEmBMapplied &amp; I398</f>
        <v>ERR_AttrEmBM_ Podinstalacja objęta wskaźnikiem emisyjności opartym na paliwie, „nie-CL”</v>
      </c>
      <c r="S456" s="116">
        <f>IF(AND(OR(I458&lt;&gt;"",AND(I461&lt;&gt;"",I462="")),EUconst_StatusOfDataCollection=FALSE),1,0)</f>
        <v>0</v>
      </c>
      <c r="T456" s="116">
        <f>IF(AND(OR(J458&lt;&gt;"",AND(J461&lt;&gt;"",J462="")),EUconst_StatusOfDataCollection=FALSE),1,0)</f>
        <v>0</v>
      </c>
      <c r="U456" s="116">
        <f>IF(AND(OR(K458&lt;&gt;"",AND(K461&lt;&gt;"",K462="")),EUconst_StatusOfDataCollection=FALSE),1,0)</f>
        <v>0</v>
      </c>
      <c r="V456" s="116">
        <f>IF(AND(OR(L458&lt;&gt;"",AND(L461&lt;&gt;"",L462="")),EUconst_StatusOfDataCollection=FALSE),1,0)</f>
        <v>0</v>
      </c>
      <c r="W456" s="116">
        <f>IF(AND(OR(M458&lt;&gt;"",AND(M461&lt;&gt;"",M462="")),EUconst_StatusOfDataCollection=FALSE),1,0)</f>
        <v>0</v>
      </c>
    </row>
    <row r="457" spans="2:23" ht="5.0999999999999996" customHeight="1" x14ac:dyDescent="0.2">
      <c r="B457" s="3"/>
      <c r="C457" s="459"/>
      <c r="D457" s="448"/>
      <c r="E457" s="448"/>
      <c r="F457" s="448"/>
      <c r="G457" s="448"/>
      <c r="H457" s="448"/>
      <c r="I457" s="448"/>
      <c r="J457" s="448"/>
      <c r="K457" s="448"/>
      <c r="L457" s="448"/>
      <c r="M457" s="448"/>
      <c r="N457" s="463"/>
      <c r="O457" s="7"/>
      <c r="P457" s="8"/>
    </row>
    <row r="458" spans="2:23" ht="12.75" customHeight="1" x14ac:dyDescent="0.2">
      <c r="B458" s="3"/>
      <c r="C458" s="459"/>
      <c r="D458" s="465" t="s">
        <v>4</v>
      </c>
      <c r="E458" s="1739" t="str">
        <f>Translations!$B$853</f>
        <v>Wsad paliwa z gazów odlotowych</v>
      </c>
      <c r="F458" s="1740"/>
      <c r="G458" s="1740"/>
      <c r="H458" s="453" t="str">
        <f>EUconst_TJpa</f>
        <v>TJ / rok</v>
      </c>
      <c r="I458" s="313"/>
      <c r="J458" s="313"/>
      <c r="K458" s="313"/>
      <c r="L458" s="313"/>
      <c r="M458" s="313"/>
      <c r="N458" s="463"/>
      <c r="O458" s="7"/>
      <c r="P458" s="438" t="str">
        <f>EUconst_CNTR_WGConsumed &amp; I398</f>
        <v>WasteGasCons_Podinstalacja objęta wskaźnikiem emisyjności opartym na paliwie, „nie-CL”</v>
      </c>
    </row>
    <row r="459" spans="2:23" ht="25.5" customHeight="1" x14ac:dyDescent="0.2">
      <c r="B459" s="3"/>
      <c r="C459" s="459"/>
      <c r="D459" s="465" t="s">
        <v>6</v>
      </c>
      <c r="E459" s="1739" t="str">
        <f>Translations!$B$854</f>
        <v>Właściwy współczynnik emisji (gazy odlotowe)</v>
      </c>
      <c r="F459" s="1740"/>
      <c r="G459" s="1740"/>
      <c r="H459" s="569" t="str">
        <f>EUconst_tCO2pTJ</f>
        <v>t CO2 / TJ</v>
      </c>
      <c r="I459" s="323"/>
      <c r="J459" s="323"/>
      <c r="K459" s="323"/>
      <c r="L459" s="323"/>
      <c r="M459" s="323"/>
      <c r="N459" s="463"/>
      <c r="O459" s="7"/>
      <c r="P459" s="351" t="str">
        <f>EUconst_CNTR_WGConsumedEF &amp; I398</f>
        <v>WasteGasConsEF_Podinstalacja objęta wskaźnikiem emisyjności opartym na paliwie, „nie-CL”</v>
      </c>
      <c r="R459" s="883" t="str">
        <f>EUconst_CNTR_AttributedEmissions &amp; I398</f>
        <v>AttrEmissions_Podinstalacja objęta wskaźnikiem emisyjności opartym na paliwie, „nie-CL”</v>
      </c>
      <c r="S459" s="116" t="str">
        <f>IF(S398,SUM(I458)*EUconst_FuelBMvalue,"")</f>
        <v/>
      </c>
      <c r="T459" s="116" t="str">
        <f>IF(T398,SUM(J458)*EUconst_FuelBMvalue,"")</f>
        <v/>
      </c>
      <c r="U459" s="116" t="str">
        <f>IF(U398,SUM(K458)*EUconst_FuelBMvalue,"")</f>
        <v/>
      </c>
      <c r="V459" s="116" t="str">
        <f>IF(V398,SUM(L458)*EUconst_FuelBMvalue,"")</f>
        <v/>
      </c>
      <c r="W459" s="116" t="str">
        <f>IF(W398,SUM(M458)*EUconst_FuelBMvalue,"")</f>
        <v/>
      </c>
    </row>
    <row r="460" spans="2:23" ht="5.0999999999999996" customHeight="1" x14ac:dyDescent="0.2">
      <c r="B460" s="3"/>
      <c r="C460" s="459"/>
      <c r="D460" s="448"/>
      <c r="E460" s="448"/>
      <c r="F460" s="448"/>
      <c r="G460" s="448"/>
      <c r="H460" s="448"/>
      <c r="I460" s="448"/>
      <c r="J460" s="448"/>
      <c r="K460" s="448"/>
      <c r="L460" s="448"/>
      <c r="M460" s="464"/>
      <c r="N460" s="463"/>
      <c r="O460" s="7"/>
      <c r="P460" s="8"/>
    </row>
    <row r="461" spans="2:23" ht="12.75" customHeight="1" x14ac:dyDescent="0.2">
      <c r="B461" s="3"/>
      <c r="C461" s="459"/>
      <c r="D461" s="462" t="s">
        <v>12</v>
      </c>
      <c r="E461" s="1876" t="str">
        <f>Translations!$B$770</f>
        <v>Ciepło wyprowadzone netto</v>
      </c>
      <c r="F461" s="1876"/>
      <c r="G461" s="1876"/>
      <c r="H461" s="453" t="str">
        <f>EUconst_TJpa</f>
        <v>TJ / rok</v>
      </c>
      <c r="I461" s="471"/>
      <c r="J461" s="471"/>
      <c r="K461" s="471"/>
      <c r="L461" s="471"/>
      <c r="M461" s="471"/>
      <c r="N461" s="518"/>
      <c r="O461" s="7"/>
      <c r="P461" s="1240" t="str">
        <f>EUconst_CNTR_HeatExport &amp; I398</f>
        <v>HeatEx_Podinstalacja objęta wskaźnikiem emisyjności opartym na paliwie, „nie-CL”</v>
      </c>
      <c r="R461" s="883" t="str">
        <f>EUconst_CNTR_AttributedEmissions &amp; I398</f>
        <v>AttrEmissions_Podinstalacja objęta wskaźnikiem emisyjności opartym na paliwie, „nie-CL”</v>
      </c>
      <c r="S461" s="116" t="str">
        <f>IF(S398,-SUM(I461)*IF(ISNUMBER(I462),I462,EUconst_HeatBMvalue),"")</f>
        <v/>
      </c>
      <c r="T461" s="116" t="str">
        <f>IF(T398,-SUM(J461)*IF(ISNUMBER(J462),J462,EUconst_HeatBMvalue),"")</f>
        <v/>
      </c>
      <c r="U461" s="116" t="str">
        <f>IF(U398,-SUM(K461)*IF(ISNUMBER(K462),K462,EUconst_HeatBMvalue),"")</f>
        <v/>
      </c>
      <c r="V461" s="116" t="str">
        <f>IF(V398,-SUM(L461)*IF(ISNUMBER(L462),L462,EUconst_HeatBMvalue),"")</f>
        <v/>
      </c>
      <c r="W461" s="116" t="str">
        <f>IF(W398,-SUM(M461)*IF(ISNUMBER(M462),M462,EUconst_HeatBMvalue),"")</f>
        <v/>
      </c>
    </row>
    <row r="462" spans="2:23" ht="12.75" customHeight="1" x14ac:dyDescent="0.2">
      <c r="B462" s="3"/>
      <c r="C462" s="459"/>
      <c r="D462" s="462"/>
      <c r="E462" s="1739" t="str">
        <f>Translations!$B$893</f>
        <v>Właściwy współczynnik emisji (wyprowadzanie ciepła)</v>
      </c>
      <c r="F462" s="1740"/>
      <c r="G462" s="1740"/>
      <c r="H462" s="569" t="str">
        <f>EUconst_tCO2pTJ</f>
        <v>t CO2 / TJ</v>
      </c>
      <c r="I462" s="1016"/>
      <c r="J462" s="1016"/>
      <c r="K462" s="1016"/>
      <c r="L462" s="1016"/>
      <c r="M462" s="1016"/>
      <c r="N462" s="518"/>
      <c r="O462" s="7"/>
      <c r="P462" s="1240" t="str">
        <f>EUconst_CNTR_HeatExportEF &amp; I398</f>
        <v>HeatExEF_Podinstalacja objęta wskaźnikiem emisyjności opartym na paliwie, „nie-CL”</v>
      </c>
      <c r="R462" s="1015"/>
    </row>
    <row r="463" spans="2:23" ht="12.75" customHeight="1" thickBot="1" x14ac:dyDescent="0.25">
      <c r="B463" s="3"/>
      <c r="C463" s="466"/>
      <c r="D463" s="467"/>
      <c r="E463" s="467"/>
      <c r="F463" s="467"/>
      <c r="G463" s="467"/>
      <c r="H463" s="467"/>
      <c r="I463" s="467"/>
      <c r="J463" s="467"/>
      <c r="K463" s="467"/>
      <c r="L463" s="467"/>
      <c r="M463" s="468"/>
      <c r="N463" s="469"/>
      <c r="O463" s="7"/>
      <c r="P463" s="8"/>
      <c r="R463" s="8"/>
    </row>
    <row r="464" spans="2:23" ht="25.5" customHeight="1" thickBot="1" x14ac:dyDescent="0.25">
      <c r="B464" s="20"/>
      <c r="C464" s="20"/>
      <c r="D464" s="20"/>
      <c r="E464" s="20"/>
      <c r="F464" s="20"/>
      <c r="G464" s="20"/>
      <c r="H464" s="20"/>
      <c r="I464" s="20"/>
      <c r="J464" s="20"/>
      <c r="K464" s="20"/>
      <c r="L464" s="20"/>
      <c r="M464" s="20"/>
      <c r="N464" s="20"/>
      <c r="O464" s="7"/>
    </row>
    <row r="465" spans="1:29" ht="12.75" customHeight="1" thickBot="1" x14ac:dyDescent="0.25">
      <c r="B465" s="3"/>
      <c r="C465" s="281"/>
      <c r="D465" s="281"/>
      <c r="E465" s="281"/>
      <c r="F465" s="281"/>
      <c r="G465" s="281"/>
      <c r="H465" s="281"/>
      <c r="I465" s="281"/>
      <c r="J465" s="281"/>
      <c r="K465" s="281"/>
      <c r="L465" s="281"/>
      <c r="M465" s="281"/>
      <c r="N465" s="281"/>
      <c r="O465" s="7"/>
    </row>
    <row r="466" spans="1:29" ht="32.25" customHeight="1" thickBot="1" x14ac:dyDescent="0.3">
      <c r="B466" s="3"/>
      <c r="C466" s="18">
        <v>6</v>
      </c>
      <c r="D466" s="1439" t="str">
        <f>EUconst_FBSubinst &amp; ":"</f>
        <v>Podinstalacja, dla której wprowadzono rozwiązania rezerwowe (fall-back):</v>
      </c>
      <c r="E466" s="1370"/>
      <c r="F466" s="1370"/>
      <c r="G466" s="1370"/>
      <c r="H466" s="1432"/>
      <c r="I466" s="1781" t="str">
        <f>INDEX(EUconst_FallBackListNames,$C466)</f>
        <v>Podinstalacja wytwarzająca emisje procesowe, „CL”</v>
      </c>
      <c r="J466" s="1666"/>
      <c r="K466" s="1666"/>
      <c r="L466" s="1782"/>
      <c r="M466" s="1860" t="str">
        <f>IF(ISBLANK(INDEX(CNTR_FallBackSubInstRelevant,C466)),"",IF(INDEX(CNTR_FallBackSubInstRelevant,C466),EUconst_Relevant,EUconst_NotRelevant))</f>
        <v>nie dotyczy</v>
      </c>
      <c r="N466" s="1861"/>
      <c r="O466" s="7"/>
      <c r="P466" s="574">
        <f>C466</f>
        <v>6</v>
      </c>
      <c r="Q466" s="371" t="s">
        <v>234</v>
      </c>
      <c r="R466" s="856" t="str">
        <f>IF(M466&lt;&gt;EUconst_Relevant,"",INDEX(CNTR_SubInstStartDate,MATCH($I466,CNTR_SubInstListNames,0)))</f>
        <v/>
      </c>
      <c r="S466" s="853" t="b">
        <f>IF($M466&lt;&gt;EUconst_Relevant,FALSE,AND(I$562, IF($R466&lt;DATE($L$559,1,1),YEAR($R466)&lt;=I$559,YEAR($R466-1)&lt;I$559) ) )</f>
        <v>0</v>
      </c>
      <c r="T466" s="853" t="b">
        <f>IF($M466&lt;&gt;EUconst_Relevant,FALSE,AND(J$562, IF($R466&lt;DATE($L$559,1,1),YEAR($R466)&lt;=J$559,YEAR($R466-1)&lt;J$559) ) )</f>
        <v>0</v>
      </c>
      <c r="U466" s="853" t="b">
        <f>IF($M466&lt;&gt;EUconst_Relevant,FALSE,AND(K$562, IF($R466&lt;DATE($L$559,1,1),YEAR($R466)&lt;=K$559,YEAR($R466-1)&lt;K$559) ) )</f>
        <v>0</v>
      </c>
      <c r="V466" s="853" t="b">
        <f>IF($M466&lt;&gt;EUconst_Relevant,FALSE,AND(L$562, IF($R466&lt;DATE($L$559,1,1),YEAR($R466)&lt;=L$559,YEAR($R466-1)&lt;L$559) ) )</f>
        <v>0</v>
      </c>
      <c r="W466" s="853" t="b">
        <f>IF($M466&lt;&gt;EUconst_Relevant,FALSE,AND(M$562, IF($R466&lt;DATE($L$559,1,1),YEAR($R466)&lt;=M$559,YEAR($R466-1)&lt;M$559) ) )</f>
        <v>0</v>
      </c>
      <c r="X466" s="8"/>
      <c r="AB466" s="736" t="s">
        <v>550</v>
      </c>
      <c r="AC466" s="738" t="b">
        <f>AND(CNTR_ExistSubInstEntries,M466=EUconst_NotRelevant)</f>
        <v>1</v>
      </c>
    </row>
    <row r="467" spans="1:29" ht="12.75" customHeight="1" x14ac:dyDescent="0.2">
      <c r="B467" s="20"/>
      <c r="C467" s="20"/>
      <c r="D467" s="20"/>
      <c r="E467" s="20"/>
      <c r="F467" s="20"/>
      <c r="G467" s="20"/>
      <c r="H467" s="50"/>
      <c r="I467" s="1869" t="str">
        <f>IF(M466="","",IF(M466=EUconst_Relevant,HYPERLINK("",EUconst_MsgEnterThisSection),HYPERLINK(Q467,EUconst_MsgGoToNextSubInst)))</f>
        <v>Proszę przejść do kolejnej podinstalacji!</v>
      </c>
      <c r="J467" s="1870"/>
      <c r="K467" s="1870"/>
      <c r="L467" s="1870"/>
      <c r="M467" s="1871"/>
      <c r="N467" s="1872"/>
      <c r="O467" s="7"/>
      <c r="P467" s="2" t="s">
        <v>199</v>
      </c>
      <c r="Q467" s="589" t="str">
        <f>"#JUMP_G"&amp;P466+1</f>
        <v>#JUMP_G7</v>
      </c>
    </row>
    <row r="468" spans="1:29" s="701" customFormat="1" ht="5.0999999999999996" customHeight="1" x14ac:dyDescent="0.2">
      <c r="A468" s="422"/>
      <c r="B468" s="3"/>
      <c r="C468" s="3"/>
      <c r="D468" s="3"/>
      <c r="E468" s="3"/>
      <c r="F468" s="3"/>
      <c r="G468" s="3"/>
      <c r="H468" s="3"/>
      <c r="I468" s="3"/>
      <c r="J468" s="3"/>
      <c r="K468" s="3"/>
      <c r="L468" s="3"/>
      <c r="M468" s="7"/>
      <c r="N468" s="7"/>
      <c r="O468" s="7"/>
      <c r="P468" s="8"/>
      <c r="Q468" s="422"/>
      <c r="R468" s="422"/>
      <c r="S468" s="422"/>
      <c r="T468" s="422"/>
      <c r="U468" s="422"/>
      <c r="V468" s="422"/>
      <c r="W468" s="422"/>
      <c r="X468" s="422"/>
      <c r="Y468" s="422"/>
      <c r="Z468" s="422"/>
      <c r="AA468" s="422"/>
      <c r="AB468" s="422"/>
      <c r="AC468" s="422"/>
    </row>
    <row r="469" spans="1:29" s="701" customFormat="1" ht="12.75" customHeight="1" x14ac:dyDescent="0.2">
      <c r="A469" s="422"/>
      <c r="B469" s="398"/>
      <c r="C469" s="398"/>
      <c r="D469" s="398"/>
      <c r="E469" s="1622" t="str">
        <f>CONCATENATE(EUconst_MsgSeeFirst," (G.I.1)")</f>
        <v>Szczegółowe instrukcje dotyczące wprowadzania danych w tym narzędziu znajdują się w pierwszej kopii tego narzędzia.  (G.I.1)</v>
      </c>
      <c r="F469" s="1622"/>
      <c r="G469" s="1622"/>
      <c r="H469" s="1622"/>
      <c r="I469" s="1622"/>
      <c r="J469" s="1622"/>
      <c r="K469" s="1622"/>
      <c r="L469" s="1622"/>
      <c r="M469" s="1622"/>
      <c r="N469" s="1622"/>
      <c r="O469" s="7"/>
      <c r="P469" s="422"/>
      <c r="Q469" s="422"/>
      <c r="R469" s="422"/>
      <c r="S469" s="422"/>
      <c r="T469" s="422"/>
      <c r="U469" s="422"/>
      <c r="V469" s="422"/>
      <c r="W469" s="422"/>
      <c r="X469" s="422"/>
      <c r="Y469" s="422"/>
      <c r="Z469" s="422"/>
      <c r="AA469" s="422"/>
      <c r="AB469" s="422"/>
      <c r="AC469" s="422"/>
    </row>
    <row r="470" spans="1:29" s="701" customFormat="1" ht="5.0999999999999996" customHeight="1" x14ac:dyDescent="0.2">
      <c r="A470" s="422"/>
      <c r="B470" s="3"/>
      <c r="C470" s="3"/>
      <c r="D470" s="3"/>
      <c r="E470" s="3"/>
      <c r="F470" s="3"/>
      <c r="G470" s="3"/>
      <c r="H470" s="3"/>
      <c r="I470" s="3"/>
      <c r="J470" s="3"/>
      <c r="K470" s="3"/>
      <c r="L470" s="3"/>
      <c r="M470" s="7"/>
      <c r="N470" s="7"/>
      <c r="O470" s="7"/>
      <c r="P470" s="8"/>
      <c r="Q470" s="422"/>
      <c r="R470" s="422"/>
      <c r="S470" s="422"/>
      <c r="T470" s="422"/>
      <c r="U470" s="422"/>
      <c r="V470" s="422"/>
      <c r="W470" s="422"/>
      <c r="X470" s="422"/>
      <c r="Y470" s="422"/>
      <c r="Z470" s="422"/>
      <c r="AA470" s="422"/>
      <c r="AB470" s="422"/>
      <c r="AC470" s="422"/>
    </row>
    <row r="471" spans="1:29" ht="12.75" customHeight="1" thickBot="1" x14ac:dyDescent="0.25">
      <c r="B471" s="3"/>
      <c r="C471" s="355"/>
      <c r="D471" s="14" t="s">
        <v>173</v>
      </c>
      <c r="E471" s="1375" t="str">
        <f>Translations!$B$670</f>
        <v>Historyczne poziomy działalności</v>
      </c>
      <c r="F471" s="1370"/>
      <c r="G471" s="1370"/>
      <c r="H471" s="1370"/>
      <c r="I471" s="1370"/>
      <c r="J471" s="1370"/>
      <c r="K471" s="1370"/>
      <c r="L471" s="1370"/>
      <c r="M471" s="1370"/>
      <c r="N471" s="1370"/>
      <c r="O471" s="7"/>
      <c r="P471" s="8"/>
      <c r="Q471" s="8"/>
      <c r="R471" s="8"/>
      <c r="S471" s="8"/>
      <c r="T471" s="8"/>
      <c r="U471" s="8"/>
      <c r="V471" s="8"/>
      <c r="W471" s="8"/>
      <c r="X471" s="8"/>
    </row>
    <row r="472" spans="1:29" ht="12.75" customHeight="1" thickBot="1" x14ac:dyDescent="0.25">
      <c r="B472" s="3"/>
      <c r="C472" s="369"/>
      <c r="D472" s="16"/>
      <c r="E472" s="1868" t="str">
        <f>Translations!$B$897</f>
        <v>Wpisane tu wartości powinny uwzględniać kwalifikujące się emisje z jakichkolwiek gazów odlotowych, jak określono w części D.IV.</v>
      </c>
      <c r="F472" s="1868"/>
      <c r="G472" s="1868"/>
      <c r="H472" s="1868"/>
      <c r="I472" s="1868"/>
      <c r="J472" s="1868"/>
      <c r="K472" s="1868"/>
      <c r="L472" s="1868"/>
      <c r="M472" s="1868"/>
      <c r="N472" s="1868"/>
      <c r="O472" s="7"/>
      <c r="P472" s="8"/>
      <c r="Q472" s="424" t="s">
        <v>432</v>
      </c>
      <c r="R472" s="169" t="s">
        <v>238</v>
      </c>
      <c r="S472" s="170"/>
      <c r="T472" s="170"/>
      <c r="U472" s="170"/>
      <c r="V472" s="170"/>
      <c r="W472" s="170"/>
      <c r="X472" s="171"/>
    </row>
    <row r="473" spans="1:29" ht="12.75" customHeight="1" thickBot="1" x14ac:dyDescent="0.25">
      <c r="B473" s="20"/>
      <c r="C473" s="355"/>
      <c r="D473" s="14"/>
      <c r="E473" s="1430" t="str">
        <f>Translations!$B$829</f>
        <v>Główny poziom działalności:</v>
      </c>
      <c r="F473" s="1377"/>
      <c r="G473" s="1377"/>
      <c r="H473" s="34" t="str">
        <f>EUconst_Unit</f>
        <v>Jednostka</v>
      </c>
      <c r="I473" s="396">
        <f>I$559</f>
        <v>2014</v>
      </c>
      <c r="J473" s="396">
        <f>J$559</f>
        <v>2015</v>
      </c>
      <c r="K473" s="396">
        <f>K$559</f>
        <v>2016</v>
      </c>
      <c r="L473" s="396">
        <f>L$559</f>
        <v>2017</v>
      </c>
      <c r="M473" s="396">
        <f>M$559</f>
        <v>2018</v>
      </c>
      <c r="N473" s="888" t="str">
        <f>IF(M466&lt;&gt;EUconst_Relevant,"",IF(Z474,YEAR(R466)+1,""))</f>
        <v/>
      </c>
      <c r="O473" s="7"/>
      <c r="P473" s="164" t="s">
        <v>237</v>
      </c>
      <c r="Q473" s="1239"/>
      <c r="R473" s="173" t="s">
        <v>437</v>
      </c>
      <c r="S473" s="165">
        <f>I473</f>
        <v>2014</v>
      </c>
      <c r="T473" s="116">
        <f>J473</f>
        <v>2015</v>
      </c>
      <c r="U473" s="116">
        <f>K473</f>
        <v>2016</v>
      </c>
      <c r="V473" s="116">
        <f>L473</f>
        <v>2017</v>
      </c>
      <c r="W473" s="116">
        <f>M473</f>
        <v>2018</v>
      </c>
      <c r="X473" s="117"/>
      <c r="AA473" s="955" t="b">
        <f>IF(CNTR_ExistSubInstEntries,IF(M466=EUconst_Relevant,NOT(Z474),TRUE),FALSE)</f>
        <v>1</v>
      </c>
      <c r="AC473" s="422" t="s">
        <v>466</v>
      </c>
    </row>
    <row r="474" spans="1:29" ht="25.5" customHeight="1" thickBot="1" x14ac:dyDescent="0.25">
      <c r="B474" s="20"/>
      <c r="C474" s="20"/>
      <c r="D474" s="20"/>
      <c r="E474" s="1801" t="str">
        <f>I466</f>
        <v>Podinstalacja wytwarzająca emisje procesowe, „CL”</v>
      </c>
      <c r="F474" s="1801"/>
      <c r="G474" s="1801"/>
      <c r="H474" s="98" t="str">
        <f>INDEX(EUconst_FallBackListUnits,MATCH(E474,EUconst_FallBackListNames,0))</f>
        <v>t CO2e</v>
      </c>
      <c r="I474" s="322"/>
      <c r="J474" s="322"/>
      <c r="K474" s="322"/>
      <c r="L474" s="322"/>
      <c r="M474" s="322"/>
      <c r="N474" s="954"/>
      <c r="O474" s="7"/>
      <c r="P474" s="167" t="str">
        <f>EUconst_CNTR_HAL&amp;E474</f>
        <v>HAL_Podinstalacja wytwarzająca emisje procesowe, „CL”</v>
      </c>
      <c r="Q474" s="168"/>
      <c r="R474" s="166" t="str">
        <f>IF(COUNT(S474:W474)&gt;0,AVERAGE(S474:W474),"")</f>
        <v/>
      </c>
      <c r="S474" s="172" t="str">
        <f>IF(S466,IF(ISNUMBER(I474),I474,0),"")</f>
        <v/>
      </c>
      <c r="T474" s="119" t="str">
        <f>IF(T466,IF(ISNUMBER(J474),J474,0),"")</f>
        <v/>
      </c>
      <c r="U474" s="119" t="str">
        <f>IF(U466,IF(ISNUMBER(K474),K474,0),"")</f>
        <v/>
      </c>
      <c r="V474" s="119" t="str">
        <f>IF(V466,IF(ISNUMBER(L474),L474,0),"")</f>
        <v/>
      </c>
      <c r="W474" s="119" t="str">
        <f>IF(W466,IF(ISNUMBER(M474),M474,0),"")</f>
        <v/>
      </c>
      <c r="X474" s="120"/>
      <c r="Y474" s="371" t="s">
        <v>598</v>
      </c>
      <c r="Z474" s="164" t="b">
        <f>IF(M466&lt;&gt;EUconst_Relevant,FALSE,INDEX(CNTR_SubInstLess1Year,MATCH(I466,CNTR_SubInstListNames,0)))</f>
        <v>0</v>
      </c>
      <c r="AA474" s="956" t="b">
        <f>AA473</f>
        <v>1</v>
      </c>
      <c r="AC474" s="738" t="b">
        <f>IF(CNTR_ExistSubInstEntries,IF(M466=EUconst_Relevant,INDEX(CNTR_SubInstLess1Year,MATCH(I466,CNTR_SubInstListNames,0)),TRUE),FALSE)</f>
        <v>1</v>
      </c>
    </row>
    <row r="475" spans="1:29" ht="12.75" customHeight="1" x14ac:dyDescent="0.2">
      <c r="B475" s="20"/>
      <c r="C475" s="5"/>
      <c r="D475" s="5"/>
      <c r="E475" s="5"/>
      <c r="F475" s="5"/>
      <c r="G475" s="5"/>
      <c r="H475" s="5"/>
      <c r="I475" s="5"/>
      <c r="J475" s="5"/>
      <c r="K475" s="5"/>
      <c r="L475" s="5"/>
      <c r="M475" s="5"/>
      <c r="N475" s="5"/>
      <c r="O475" s="7"/>
    </row>
    <row r="476" spans="1:29" ht="15" x14ac:dyDescent="0.25">
      <c r="B476" s="20"/>
      <c r="C476" s="368"/>
      <c r="D476" s="1439" t="str">
        <f>Translations!$B$700</f>
        <v>Szczegółowe dane dotyczące produkcji</v>
      </c>
      <c r="E476" s="1370"/>
      <c r="F476" s="1370"/>
      <c r="G476" s="1370"/>
      <c r="H476" s="1370"/>
      <c r="I476" s="1370"/>
      <c r="J476" s="1370"/>
      <c r="K476" s="1370"/>
      <c r="L476" s="1370"/>
      <c r="M476" s="1370"/>
      <c r="N476" s="1370"/>
      <c r="O476" s="7"/>
      <c r="Y476" s="8"/>
      <c r="Z476" s="8"/>
      <c r="AA476" s="8"/>
      <c r="AB476" s="8"/>
    </row>
    <row r="477" spans="1:29" ht="5.0999999999999996" customHeight="1" x14ac:dyDescent="0.2">
      <c r="B477" s="3"/>
      <c r="C477" s="5"/>
      <c r="D477" s="3"/>
      <c r="E477" s="3"/>
      <c r="F477" s="3"/>
      <c r="G477" s="3"/>
      <c r="H477" s="3"/>
      <c r="I477" s="3"/>
      <c r="J477" s="3"/>
      <c r="K477" s="3"/>
      <c r="L477" s="3"/>
      <c r="M477" s="3"/>
      <c r="N477" s="3"/>
      <c r="O477" s="7"/>
      <c r="P477" s="8"/>
      <c r="Q477" s="8"/>
    </row>
    <row r="478" spans="1:29" s="701" customFormat="1" x14ac:dyDescent="0.2">
      <c r="A478" s="422"/>
      <c r="B478" s="3"/>
      <c r="C478" s="355"/>
      <c r="D478" s="14" t="s">
        <v>353</v>
      </c>
      <c r="E478" s="1375" t="str">
        <f>Translations!$B$830</f>
        <v>Identyfikacja odpowiednich produktów i usług związanych z tą podinstalacją</v>
      </c>
      <c r="F478" s="1370"/>
      <c r="G478" s="1370"/>
      <c r="H478" s="1370"/>
      <c r="I478" s="1370"/>
      <c r="J478" s="1370"/>
      <c r="K478" s="1370"/>
      <c r="L478" s="1370"/>
      <c r="M478" s="1370"/>
      <c r="N478" s="1370"/>
      <c r="O478" s="7"/>
      <c r="P478" s="8"/>
      <c r="Q478" s="422"/>
      <c r="R478" s="422"/>
      <c r="S478" s="422"/>
      <c r="T478" s="422"/>
      <c r="U478" s="422"/>
      <c r="V478" s="422"/>
      <c r="W478" s="422"/>
      <c r="X478" s="422"/>
      <c r="Y478" s="422"/>
      <c r="Z478" s="422"/>
      <c r="AA478" s="422"/>
      <c r="AB478" s="422"/>
      <c r="AC478" s="422"/>
    </row>
    <row r="479" spans="1:29" s="701" customFormat="1" x14ac:dyDescent="0.2">
      <c r="A479" s="422"/>
      <c r="B479" s="3"/>
      <c r="C479" s="3"/>
      <c r="D479" s="16"/>
      <c r="E479" s="1408" t="str">
        <f>Translations!$B$898</f>
        <v>Ten rodzaj podinstalacji zawsze odnosi się do wytwarzania produktów nieobjętych wskaźnikami emisyjności dla produktów w ramach instalacji.</v>
      </c>
      <c r="F479" s="1370"/>
      <c r="G479" s="1370"/>
      <c r="H479" s="1370"/>
      <c r="I479" s="1370"/>
      <c r="J479" s="1370"/>
      <c r="K479" s="1370"/>
      <c r="L479" s="1370"/>
      <c r="M479" s="1370"/>
      <c r="N479" s="1370"/>
      <c r="O479" s="7"/>
      <c r="P479" s="8"/>
      <c r="Q479" s="8"/>
      <c r="R479" s="8"/>
      <c r="S479" s="8"/>
      <c r="T479" s="8"/>
      <c r="U479" s="8"/>
      <c r="V479" s="8"/>
      <c r="W479" s="8"/>
      <c r="X479" s="8"/>
      <c r="Y479" s="422"/>
      <c r="Z479" s="422"/>
      <c r="AA479" s="422"/>
      <c r="AB479" s="422"/>
      <c r="AC479" s="422"/>
    </row>
    <row r="480" spans="1:29" s="701" customFormat="1" ht="5.0999999999999996" customHeight="1" x14ac:dyDescent="0.2">
      <c r="A480" s="422"/>
      <c r="B480" s="3"/>
      <c r="C480" s="5"/>
      <c r="D480" s="3"/>
      <c r="E480" s="3"/>
      <c r="F480" s="3"/>
      <c r="G480" s="3"/>
      <c r="H480" s="3"/>
      <c r="I480" s="3"/>
      <c r="J480" s="3"/>
      <c r="K480" s="3"/>
      <c r="L480" s="3"/>
      <c r="M480" s="3"/>
      <c r="N480" s="3"/>
      <c r="O480" s="7"/>
      <c r="P480" s="8"/>
      <c r="Q480" s="8"/>
      <c r="R480" s="422"/>
      <c r="S480" s="422"/>
      <c r="T480" s="422"/>
      <c r="U480" s="422"/>
      <c r="V480" s="422"/>
      <c r="W480" s="422"/>
      <c r="X480" s="422"/>
      <c r="Y480" s="422"/>
      <c r="Z480" s="422"/>
      <c r="AA480" s="422"/>
      <c r="AB480" s="422"/>
      <c r="AC480" s="422"/>
    </row>
    <row r="481" spans="1:29" s="701" customFormat="1" ht="25.5" customHeight="1" thickBot="1" x14ac:dyDescent="0.25">
      <c r="A481" s="422"/>
      <c r="B481" s="398"/>
      <c r="C481" s="16"/>
      <c r="D481" s="344"/>
      <c r="E481" s="237" t="str">
        <f>Translations!$B$899</f>
        <v>Rodzaj emisji procesowej</v>
      </c>
      <c r="F481" s="25"/>
      <c r="G481" s="238"/>
      <c r="H481" s="1866" t="str">
        <f>Translations!$B$886</f>
        <v>Nazwa produktu lub rodzaj usługi</v>
      </c>
      <c r="I481" s="1867"/>
      <c r="J481" s="1867"/>
      <c r="K481" s="1867"/>
      <c r="L481" s="1603"/>
      <c r="M481" s="399" t="s">
        <v>386</v>
      </c>
      <c r="N481" s="398"/>
      <c r="O481" s="7"/>
      <c r="P481" s="422"/>
      <c r="Q481" s="422"/>
      <c r="R481" s="8"/>
      <c r="S481" s="969">
        <f>I473</f>
        <v>2014</v>
      </c>
      <c r="T481" s="969">
        <f>J473</f>
        <v>2015</v>
      </c>
      <c r="U481" s="969">
        <f>K473</f>
        <v>2016</v>
      </c>
      <c r="V481" s="969">
        <f>L473</f>
        <v>2017</v>
      </c>
      <c r="W481" s="969">
        <f>M473</f>
        <v>2018</v>
      </c>
      <c r="X481" s="422"/>
      <c r="Y481" s="422"/>
      <c r="Z481" s="422"/>
      <c r="AA481" s="422"/>
      <c r="AB481" s="422"/>
      <c r="AC481" s="422"/>
    </row>
    <row r="482" spans="1:29" s="701" customFormat="1" ht="13.5" thickBot="1" x14ac:dyDescent="0.25">
      <c r="A482" s="422"/>
      <c r="B482" s="398"/>
      <c r="C482" s="16"/>
      <c r="D482" s="581">
        <v>1</v>
      </c>
      <c r="E482" s="1806"/>
      <c r="F482" s="1862"/>
      <c r="G482" s="1863"/>
      <c r="H482" s="1474"/>
      <c r="I482" s="1864"/>
      <c r="J482" s="1864"/>
      <c r="K482" s="1864"/>
      <c r="L482" s="1865"/>
      <c r="M482" s="549"/>
      <c r="N482" s="398"/>
      <c r="O482" s="7"/>
      <c r="P482" s="422"/>
      <c r="Q482" s="422"/>
      <c r="R482" s="883" t="str">
        <f>EUconst_CNTR_AttributedEmissions &amp;I466</f>
        <v>AttrEmissions_Podinstalacja wytwarzająca emisje procesowe, „CL”</v>
      </c>
      <c r="S482" s="116" t="str">
        <f>IF(S466,SUM(I474),"")</f>
        <v/>
      </c>
      <c r="T482" s="116" t="str">
        <f>IF(T466,SUM(J474),"")</f>
        <v/>
      </c>
      <c r="U482" s="116" t="str">
        <f>IF(U466,SUM(K474),"")</f>
        <v/>
      </c>
      <c r="V482" s="116" t="str">
        <f>IF(V466,SUM(L474),"")</f>
        <v/>
      </c>
      <c r="W482" s="116" t="str">
        <f>IF(W466,SUM(M474),"")</f>
        <v/>
      </c>
      <c r="X482" s="422"/>
      <c r="Y482" s="422"/>
      <c r="Z482" s="422"/>
      <c r="AA482" s="422"/>
      <c r="AB482" s="422"/>
      <c r="AC482" s="967" t="b">
        <f>IF(CNTR_ExistSubInstEntries,M466=EUconst_NotRelevant)</f>
        <v>1</v>
      </c>
    </row>
    <row r="483" spans="1:29" s="701" customFormat="1" x14ac:dyDescent="0.2">
      <c r="A483" s="422"/>
      <c r="B483" s="398"/>
      <c r="C483" s="16"/>
      <c r="D483" s="584">
        <f>D482+1</f>
        <v>2</v>
      </c>
      <c r="E483" s="1793"/>
      <c r="F483" s="1853"/>
      <c r="G483" s="1854"/>
      <c r="H483" s="1469"/>
      <c r="I483" s="1850"/>
      <c r="J483" s="1850"/>
      <c r="K483" s="1850"/>
      <c r="L483" s="1851"/>
      <c r="M483" s="550"/>
      <c r="N483" s="398"/>
      <c r="O483" s="7"/>
      <c r="P483" s="422"/>
      <c r="Q483" s="422"/>
      <c r="R483" s="422"/>
      <c r="S483" s="422"/>
      <c r="T483" s="422"/>
      <c r="U483" s="422"/>
      <c r="V483" s="422"/>
      <c r="W483" s="422"/>
      <c r="X483" s="422"/>
      <c r="Y483" s="422"/>
      <c r="Z483" s="422"/>
      <c r="AA483" s="422"/>
      <c r="AB483" s="422"/>
      <c r="AC483" s="422"/>
    </row>
    <row r="484" spans="1:29" s="701" customFormat="1" x14ac:dyDescent="0.2">
      <c r="A484" s="422"/>
      <c r="B484" s="398"/>
      <c r="C484" s="16"/>
      <c r="D484" s="584">
        <f t="shared" ref="D484:D491" si="16">D483+1</f>
        <v>3</v>
      </c>
      <c r="E484" s="1793"/>
      <c r="F484" s="1853"/>
      <c r="G484" s="1854"/>
      <c r="H484" s="1469"/>
      <c r="I484" s="1850"/>
      <c r="J484" s="1850"/>
      <c r="K484" s="1850"/>
      <c r="L484" s="1851"/>
      <c r="M484" s="550"/>
      <c r="N484" s="398"/>
      <c r="O484" s="7"/>
      <c r="P484" s="422"/>
      <c r="Q484" s="422"/>
      <c r="R484" s="422"/>
      <c r="S484" s="422"/>
      <c r="T484" s="422"/>
      <c r="U484" s="422"/>
      <c r="V484" s="422"/>
      <c r="W484" s="422"/>
      <c r="X484" s="422"/>
      <c r="Y484" s="422"/>
      <c r="Z484" s="422"/>
      <c r="AA484" s="422"/>
      <c r="AB484" s="422"/>
      <c r="AC484" s="422"/>
    </row>
    <row r="485" spans="1:29" s="701" customFormat="1" x14ac:dyDescent="0.2">
      <c r="A485" s="422"/>
      <c r="B485" s="398"/>
      <c r="C485" s="16"/>
      <c r="D485" s="584">
        <f t="shared" si="16"/>
        <v>4</v>
      </c>
      <c r="E485" s="1793"/>
      <c r="F485" s="1853"/>
      <c r="G485" s="1854"/>
      <c r="H485" s="1469"/>
      <c r="I485" s="1850"/>
      <c r="J485" s="1850"/>
      <c r="K485" s="1850"/>
      <c r="L485" s="1851"/>
      <c r="M485" s="550"/>
      <c r="N485" s="398"/>
      <c r="O485" s="7"/>
      <c r="P485" s="422"/>
      <c r="Q485" s="422"/>
      <c r="R485" s="422"/>
      <c r="S485" s="422"/>
      <c r="T485" s="422"/>
      <c r="U485" s="422"/>
      <c r="V485" s="422"/>
      <c r="W485" s="422"/>
      <c r="X485" s="422"/>
      <c r="Y485" s="422"/>
      <c r="Z485" s="422"/>
      <c r="AA485" s="422"/>
      <c r="AB485" s="422"/>
      <c r="AC485" s="422"/>
    </row>
    <row r="486" spans="1:29" s="701" customFormat="1" x14ac:dyDescent="0.2">
      <c r="A486" s="422"/>
      <c r="B486" s="398"/>
      <c r="C486" s="16"/>
      <c r="D486" s="584">
        <f t="shared" si="16"/>
        <v>5</v>
      </c>
      <c r="E486" s="1793"/>
      <c r="F486" s="1853"/>
      <c r="G486" s="1854"/>
      <c r="H486" s="1469"/>
      <c r="I486" s="1850"/>
      <c r="J486" s="1850"/>
      <c r="K486" s="1850"/>
      <c r="L486" s="1851"/>
      <c r="M486" s="550"/>
      <c r="N486" s="398"/>
      <c r="O486" s="7"/>
      <c r="P486" s="422"/>
      <c r="Q486" s="422"/>
      <c r="R486" s="422"/>
      <c r="S486" s="422"/>
      <c r="T486" s="422"/>
      <c r="U486" s="422"/>
      <c r="V486" s="422"/>
      <c r="W486" s="422"/>
      <c r="X486" s="422"/>
      <c r="Y486" s="422"/>
      <c r="Z486" s="422"/>
      <c r="AA486" s="422"/>
      <c r="AB486" s="422"/>
      <c r="AC486" s="422"/>
    </row>
    <row r="487" spans="1:29" s="701" customFormat="1" x14ac:dyDescent="0.2">
      <c r="A487" s="422"/>
      <c r="B487" s="398"/>
      <c r="C487" s="16"/>
      <c r="D487" s="584">
        <f t="shared" si="16"/>
        <v>6</v>
      </c>
      <c r="E487" s="1793"/>
      <c r="F487" s="1853"/>
      <c r="G487" s="1854"/>
      <c r="H487" s="1469"/>
      <c r="I487" s="1850"/>
      <c r="J487" s="1850"/>
      <c r="K487" s="1850"/>
      <c r="L487" s="1851"/>
      <c r="M487" s="550"/>
      <c r="N487" s="398"/>
      <c r="O487" s="7"/>
      <c r="P487" s="422"/>
      <c r="Q487" s="422"/>
      <c r="R487" s="422"/>
      <c r="S487" s="422"/>
      <c r="T487" s="422"/>
      <c r="U487" s="422"/>
      <c r="V487" s="422"/>
      <c r="W487" s="422"/>
      <c r="X487" s="422"/>
      <c r="Y487" s="422"/>
      <c r="Z487" s="422"/>
      <c r="AA487" s="422"/>
      <c r="AB487" s="422"/>
      <c r="AC487" s="422"/>
    </row>
    <row r="488" spans="1:29" s="701" customFormat="1" x14ac:dyDescent="0.2">
      <c r="A488" s="422"/>
      <c r="B488" s="398"/>
      <c r="C488" s="16"/>
      <c r="D488" s="584">
        <f t="shared" si="16"/>
        <v>7</v>
      </c>
      <c r="E488" s="1793"/>
      <c r="F488" s="1853"/>
      <c r="G488" s="1854"/>
      <c r="H488" s="1469"/>
      <c r="I488" s="1850"/>
      <c r="J488" s="1850"/>
      <c r="K488" s="1850"/>
      <c r="L488" s="1851"/>
      <c r="M488" s="550"/>
      <c r="N488" s="398"/>
      <c r="O488" s="7"/>
      <c r="P488" s="422"/>
      <c r="Q488" s="422"/>
      <c r="R488" s="422"/>
      <c r="S488" s="422"/>
      <c r="T488" s="422"/>
      <c r="U488" s="422"/>
      <c r="V488" s="422"/>
      <c r="W488" s="422"/>
      <c r="X488" s="422"/>
      <c r="Y488" s="422"/>
      <c r="Z488" s="422"/>
      <c r="AA488" s="422"/>
      <c r="AB488" s="422"/>
      <c r="AC488" s="422"/>
    </row>
    <row r="489" spans="1:29" s="701" customFormat="1" x14ac:dyDescent="0.2">
      <c r="A489" s="422"/>
      <c r="B489" s="398"/>
      <c r="C489" s="16"/>
      <c r="D489" s="584">
        <f t="shared" si="16"/>
        <v>8</v>
      </c>
      <c r="E489" s="1793"/>
      <c r="F489" s="1853"/>
      <c r="G489" s="1854"/>
      <c r="H489" s="1469"/>
      <c r="I489" s="1850"/>
      <c r="J489" s="1850"/>
      <c r="K489" s="1850"/>
      <c r="L489" s="1851"/>
      <c r="M489" s="550"/>
      <c r="N489" s="398"/>
      <c r="O489" s="7"/>
      <c r="P489" s="422"/>
      <c r="Q489" s="422"/>
      <c r="R489" s="422"/>
      <c r="S489" s="422"/>
      <c r="T489" s="422"/>
      <c r="U489" s="422"/>
      <c r="V489" s="422"/>
      <c r="W489" s="422"/>
      <c r="X489" s="422"/>
      <c r="Y489" s="422"/>
      <c r="Z489" s="422"/>
      <c r="AA489" s="422"/>
      <c r="AB489" s="422"/>
      <c r="AC489" s="422"/>
    </row>
    <row r="490" spans="1:29" s="701" customFormat="1" x14ac:dyDescent="0.2">
      <c r="A490" s="422"/>
      <c r="B490" s="398"/>
      <c r="C490" s="16"/>
      <c r="D490" s="584">
        <f t="shared" si="16"/>
        <v>9</v>
      </c>
      <c r="E490" s="1793"/>
      <c r="F490" s="1853"/>
      <c r="G490" s="1854"/>
      <c r="H490" s="1469"/>
      <c r="I490" s="1850"/>
      <c r="J490" s="1850"/>
      <c r="K490" s="1850"/>
      <c r="L490" s="1851"/>
      <c r="M490" s="550"/>
      <c r="N490" s="398"/>
      <c r="O490" s="7"/>
      <c r="P490" s="422"/>
      <c r="Q490" s="422"/>
      <c r="R490" s="422"/>
      <c r="S490" s="422"/>
      <c r="T490" s="422"/>
      <c r="U490" s="422"/>
      <c r="V490" s="422"/>
      <c r="W490" s="422"/>
      <c r="X490" s="422"/>
      <c r="Y490" s="422"/>
      <c r="Z490" s="422"/>
      <c r="AA490" s="422"/>
      <c r="AB490" s="422"/>
      <c r="AC490" s="422"/>
    </row>
    <row r="491" spans="1:29" s="701" customFormat="1" x14ac:dyDescent="0.2">
      <c r="A491" s="422"/>
      <c r="B491" s="398"/>
      <c r="C491" s="16"/>
      <c r="D491" s="586">
        <f t="shared" si="16"/>
        <v>10</v>
      </c>
      <c r="E491" s="1855"/>
      <c r="F491" s="1856"/>
      <c r="G491" s="1857"/>
      <c r="H491" s="1567"/>
      <c r="I491" s="1858"/>
      <c r="J491" s="1858"/>
      <c r="K491" s="1858"/>
      <c r="L491" s="1859"/>
      <c r="M491" s="551"/>
      <c r="N491" s="398"/>
      <c r="O491" s="7"/>
      <c r="P491" s="422"/>
      <c r="Q491" s="422"/>
      <c r="R491" s="422"/>
      <c r="S491" s="422"/>
      <c r="T491" s="422"/>
      <c r="U491" s="422"/>
      <c r="V491" s="422"/>
      <c r="W491" s="422"/>
      <c r="X491" s="422"/>
      <c r="Y491" s="422"/>
      <c r="Z491" s="422"/>
      <c r="AA491" s="422"/>
      <c r="AB491" s="422"/>
      <c r="AC491" s="422"/>
    </row>
    <row r="492" spans="1:29" s="701" customFormat="1" ht="5.0999999999999996" customHeight="1" x14ac:dyDescent="0.2">
      <c r="A492" s="422"/>
      <c r="B492" s="3"/>
      <c r="C492" s="369"/>
      <c r="D492" s="16"/>
      <c r="E492" s="17"/>
      <c r="F492" s="17"/>
      <c r="G492" s="17"/>
      <c r="H492" s="17"/>
      <c r="I492" s="17"/>
      <c r="J492" s="21"/>
      <c r="K492" s="21"/>
      <c r="L492" s="21"/>
      <c r="M492" s="7"/>
      <c r="N492" s="7"/>
      <c r="O492" s="7"/>
      <c r="P492" s="8"/>
      <c r="Q492" s="422"/>
      <c r="R492" s="422"/>
      <c r="S492" s="422"/>
      <c r="T492" s="422"/>
      <c r="U492" s="422"/>
      <c r="V492" s="422"/>
      <c r="W492" s="422"/>
      <c r="X492" s="422"/>
      <c r="Y492" s="422"/>
      <c r="Z492" s="422"/>
      <c r="AA492" s="422"/>
      <c r="AB492" s="422"/>
      <c r="AC492" s="422"/>
    </row>
    <row r="493" spans="1:29" s="701" customFormat="1" ht="12.75" customHeight="1" x14ac:dyDescent="0.2">
      <c r="A493" s="422"/>
      <c r="B493" s="3"/>
      <c r="C493" s="355"/>
      <c r="D493" s="14" t="s">
        <v>11</v>
      </c>
      <c r="E493" s="1375" t="str">
        <f>Translations!$B$840</f>
        <v>Poziomy produkcji:</v>
      </c>
      <c r="F493" s="1370"/>
      <c r="G493" s="1370"/>
      <c r="H493" s="1370"/>
      <c r="I493" s="1370"/>
      <c r="J493" s="1370"/>
      <c r="K493" s="1370"/>
      <c r="L493" s="1370"/>
      <c r="M493" s="1370"/>
      <c r="N493" s="1370"/>
      <c r="O493" s="7"/>
      <c r="P493" s="8"/>
      <c r="Q493" s="422"/>
      <c r="R493" s="422"/>
      <c r="S493" s="422"/>
      <c r="T493" s="422"/>
      <c r="U493" s="422"/>
      <c r="V493" s="422"/>
      <c r="W493" s="422"/>
      <c r="X493" s="422"/>
      <c r="Y493" s="422"/>
      <c r="Z493" s="422"/>
      <c r="AA493" s="422"/>
      <c r="AB493" s="422"/>
      <c r="AC493" s="422"/>
    </row>
    <row r="494" spans="1:29" s="701" customFormat="1" ht="5.0999999999999996" customHeight="1" x14ac:dyDescent="0.2">
      <c r="A494" s="422"/>
      <c r="B494" s="3"/>
      <c r="C494" s="5"/>
      <c r="D494" s="3"/>
      <c r="E494" s="3"/>
      <c r="F494" s="3"/>
      <c r="G494" s="3"/>
      <c r="H494" s="3"/>
      <c r="I494" s="3"/>
      <c r="J494" s="3"/>
      <c r="K494" s="3"/>
      <c r="L494" s="3"/>
      <c r="M494" s="3"/>
      <c r="N494" s="7"/>
      <c r="O494" s="7"/>
      <c r="P494" s="8"/>
      <c r="Q494" s="8"/>
      <c r="R494" s="422"/>
      <c r="S494" s="422"/>
      <c r="T494" s="422"/>
      <c r="U494" s="422"/>
      <c r="V494" s="422"/>
      <c r="W494" s="422"/>
      <c r="X494" s="422"/>
      <c r="Y494" s="422"/>
      <c r="Z494" s="422"/>
      <c r="AA494" s="422"/>
      <c r="AB494" s="422"/>
      <c r="AC494" s="422"/>
    </row>
    <row r="495" spans="1:29" s="701" customFormat="1" x14ac:dyDescent="0.2">
      <c r="A495" s="422"/>
      <c r="B495" s="398"/>
      <c r="C495" s="355"/>
      <c r="D495" s="344"/>
      <c r="E495" s="1852" t="str">
        <f>Translations!$B$886</f>
        <v>Nazwa produktu lub rodzaj usługi</v>
      </c>
      <c r="F495" s="1377"/>
      <c r="G495" s="1431"/>
      <c r="H495" s="34" t="str">
        <f>EUconst_Unit</f>
        <v>Jednostka</v>
      </c>
      <c r="I495" s="396">
        <f>I$559</f>
        <v>2014</v>
      </c>
      <c r="J495" s="396">
        <f>J$559</f>
        <v>2015</v>
      </c>
      <c r="K495" s="396">
        <f>K$559</f>
        <v>2016</v>
      </c>
      <c r="L495" s="396">
        <f>L$559</f>
        <v>2017</v>
      </c>
      <c r="M495" s="421">
        <f>M$559</f>
        <v>2018</v>
      </c>
      <c r="N495" s="7"/>
      <c r="O495" s="7"/>
      <c r="P495" s="422"/>
      <c r="Q495" s="422"/>
      <c r="R495" s="422"/>
      <c r="S495" s="422"/>
      <c r="T495" s="422"/>
      <c r="U495" s="422"/>
      <c r="V495" s="422"/>
      <c r="W495" s="422"/>
      <c r="X495" s="422"/>
      <c r="Y495" s="422"/>
      <c r="Z495" s="422"/>
      <c r="AA495" s="422"/>
      <c r="AB495" s="422"/>
      <c r="AC495" s="422"/>
    </row>
    <row r="496" spans="1:29" ht="12.75" customHeight="1" x14ac:dyDescent="0.2">
      <c r="B496" s="20"/>
      <c r="C496" s="50"/>
      <c r="D496" s="37">
        <v>1</v>
      </c>
      <c r="E496" s="1873" t="str">
        <f t="shared" ref="E496:E505" si="17">IF(ISBLANK(H482),"",H482)</f>
        <v/>
      </c>
      <c r="F496" s="1874"/>
      <c r="G496" s="1875"/>
      <c r="H496" s="767"/>
      <c r="I496" s="472"/>
      <c r="J496" s="472"/>
      <c r="K496" s="472"/>
      <c r="L496" s="472"/>
      <c r="M496" s="605"/>
      <c r="N496" s="7"/>
      <c r="O496" s="7"/>
    </row>
    <row r="497" spans="1:29" ht="12.75" customHeight="1" x14ac:dyDescent="0.2">
      <c r="B497" s="20"/>
      <c r="C497" s="50"/>
      <c r="D497" s="38">
        <f>D496+1</f>
        <v>2</v>
      </c>
      <c r="E497" s="1839" t="str">
        <f t="shared" si="17"/>
        <v/>
      </c>
      <c r="F497" s="1441"/>
      <c r="G497" s="1840"/>
      <c r="H497" s="768"/>
      <c r="I497" s="548"/>
      <c r="J497" s="548"/>
      <c r="K497" s="548"/>
      <c r="L497" s="548"/>
      <c r="M497" s="606"/>
      <c r="N497" s="7"/>
      <c r="O497" s="7"/>
    </row>
    <row r="498" spans="1:29" ht="12.75" customHeight="1" x14ac:dyDescent="0.2">
      <c r="B498" s="20"/>
      <c r="C498" s="50"/>
      <c r="D498" s="38">
        <f t="shared" ref="D498:D505" si="18">D497+1</f>
        <v>3</v>
      </c>
      <c r="E498" s="1839" t="str">
        <f t="shared" si="17"/>
        <v/>
      </c>
      <c r="F498" s="1441"/>
      <c r="G498" s="1840"/>
      <c r="H498" s="768"/>
      <c r="I498" s="548"/>
      <c r="J498" s="548"/>
      <c r="K498" s="548"/>
      <c r="L498" s="548"/>
      <c r="M498" s="606"/>
      <c r="N498" s="7"/>
      <c r="O498" s="7"/>
    </row>
    <row r="499" spans="1:29" ht="12.75" customHeight="1" x14ac:dyDescent="0.2">
      <c r="B499" s="20"/>
      <c r="C499" s="50"/>
      <c r="D499" s="38">
        <f t="shared" si="18"/>
        <v>4</v>
      </c>
      <c r="E499" s="1839" t="str">
        <f t="shared" si="17"/>
        <v/>
      </c>
      <c r="F499" s="1441"/>
      <c r="G499" s="1840"/>
      <c r="H499" s="768"/>
      <c r="I499" s="548"/>
      <c r="J499" s="548"/>
      <c r="K499" s="548"/>
      <c r="L499" s="548"/>
      <c r="M499" s="606"/>
      <c r="N499" s="7"/>
      <c r="O499" s="7"/>
    </row>
    <row r="500" spans="1:29" ht="12.75" customHeight="1" x14ac:dyDescent="0.2">
      <c r="B500" s="20"/>
      <c r="C500" s="50"/>
      <c r="D500" s="38">
        <f t="shared" si="18"/>
        <v>5</v>
      </c>
      <c r="E500" s="1839" t="str">
        <f t="shared" si="17"/>
        <v/>
      </c>
      <c r="F500" s="1441"/>
      <c r="G500" s="1840"/>
      <c r="H500" s="768"/>
      <c r="I500" s="548"/>
      <c r="J500" s="548"/>
      <c r="K500" s="548"/>
      <c r="L500" s="548"/>
      <c r="M500" s="606"/>
      <c r="N500" s="7"/>
      <c r="O500" s="7"/>
    </row>
    <row r="501" spans="1:29" ht="12.75" customHeight="1" x14ac:dyDescent="0.2">
      <c r="B501" s="20"/>
      <c r="C501" s="50"/>
      <c r="D501" s="38">
        <f t="shared" si="18"/>
        <v>6</v>
      </c>
      <c r="E501" s="1839" t="str">
        <f t="shared" si="17"/>
        <v/>
      </c>
      <c r="F501" s="1441"/>
      <c r="G501" s="1840"/>
      <c r="H501" s="768"/>
      <c r="I501" s="548"/>
      <c r="J501" s="548"/>
      <c r="K501" s="548"/>
      <c r="L501" s="548"/>
      <c r="M501" s="606"/>
      <c r="N501" s="7"/>
      <c r="O501" s="7"/>
    </row>
    <row r="502" spans="1:29" ht="12.75" customHeight="1" x14ac:dyDescent="0.2">
      <c r="B502" s="20"/>
      <c r="C502" s="50"/>
      <c r="D502" s="38">
        <f t="shared" si="18"/>
        <v>7</v>
      </c>
      <c r="E502" s="1839" t="str">
        <f t="shared" si="17"/>
        <v/>
      </c>
      <c r="F502" s="1441"/>
      <c r="G502" s="1840"/>
      <c r="H502" s="768"/>
      <c r="I502" s="548"/>
      <c r="J502" s="548"/>
      <c r="K502" s="548"/>
      <c r="L502" s="548"/>
      <c r="M502" s="606"/>
      <c r="N502" s="7"/>
      <c r="O502" s="7"/>
    </row>
    <row r="503" spans="1:29" ht="12.75" customHeight="1" x14ac:dyDescent="0.2">
      <c r="B503" s="20"/>
      <c r="C503" s="50"/>
      <c r="D503" s="38">
        <f t="shared" si="18"/>
        <v>8</v>
      </c>
      <c r="E503" s="1839" t="str">
        <f t="shared" si="17"/>
        <v/>
      </c>
      <c r="F503" s="1441"/>
      <c r="G503" s="1840"/>
      <c r="H503" s="768"/>
      <c r="I503" s="548"/>
      <c r="J503" s="548"/>
      <c r="K503" s="548"/>
      <c r="L503" s="548"/>
      <c r="M503" s="606"/>
      <c r="N503" s="7"/>
      <c r="O503" s="7"/>
    </row>
    <row r="504" spans="1:29" ht="12.75" customHeight="1" x14ac:dyDescent="0.2">
      <c r="B504" s="20"/>
      <c r="C504" s="50"/>
      <c r="D504" s="38">
        <f t="shared" si="18"/>
        <v>9</v>
      </c>
      <c r="E504" s="1839" t="str">
        <f t="shared" si="17"/>
        <v/>
      </c>
      <c r="F504" s="1441"/>
      <c r="G504" s="1840"/>
      <c r="H504" s="768"/>
      <c r="I504" s="548"/>
      <c r="J504" s="548"/>
      <c r="K504" s="548"/>
      <c r="L504" s="548"/>
      <c r="M504" s="606"/>
      <c r="N504" s="7"/>
      <c r="O504" s="7"/>
    </row>
    <row r="505" spans="1:29" ht="12.75" customHeight="1" x14ac:dyDescent="0.2">
      <c r="B505" s="20"/>
      <c r="C505" s="50"/>
      <c r="D505" s="41">
        <f t="shared" si="18"/>
        <v>10</v>
      </c>
      <c r="E505" s="1841" t="str">
        <f t="shared" si="17"/>
        <v/>
      </c>
      <c r="F505" s="1450"/>
      <c r="G505" s="1842"/>
      <c r="H505" s="769"/>
      <c r="I505" s="446"/>
      <c r="J505" s="446"/>
      <c r="K505" s="446"/>
      <c r="L505" s="446"/>
      <c r="M505" s="607"/>
      <c r="N505" s="7"/>
      <c r="O505" s="7"/>
    </row>
    <row r="506" spans="1:29" ht="12.75" customHeight="1" x14ac:dyDescent="0.2">
      <c r="B506" s="20"/>
      <c r="C506" s="20"/>
      <c r="D506" s="97"/>
      <c r="E506" s="1849" t="str">
        <f>Translations!$B$708</f>
        <v>Suma poziomów produkcji</v>
      </c>
      <c r="F506" s="1666"/>
      <c r="G506" s="1383"/>
      <c r="H506" s="236"/>
      <c r="I506" s="327" t="str">
        <f>IF(COUNT(I496:I505)&gt;0,SUM(I496:I505),"")</f>
        <v/>
      </c>
      <c r="J506" s="327" t="str">
        <f>IF(COUNT(J496:J505)&gt;0,SUM(J496:J505),"")</f>
        <v/>
      </c>
      <c r="K506" s="327" t="str">
        <f>IF(COUNT(K496:K505)&gt;0,SUM(K496:K505),"")</f>
        <v/>
      </c>
      <c r="L506" s="327" t="str">
        <f>IF(COUNT(L496:L505)&gt;0,SUM(L496:L505),"")</f>
        <v/>
      </c>
      <c r="M506" s="332" t="str">
        <f>IF(COUNT(M496:M505)&gt;0,SUM(M496:M505),"")</f>
        <v/>
      </c>
      <c r="N506" s="7"/>
      <c r="O506" s="7"/>
    </row>
    <row r="507" spans="1:29" ht="25.5" customHeight="1" thickBot="1" x14ac:dyDescent="0.25">
      <c r="B507" s="20"/>
      <c r="C507" s="20"/>
      <c r="D507" s="20"/>
      <c r="E507" s="20"/>
      <c r="F507" s="20"/>
      <c r="G507" s="20"/>
      <c r="H507" s="20"/>
      <c r="I507" s="20"/>
      <c r="J507" s="20"/>
      <c r="K507" s="20"/>
      <c r="L507" s="20"/>
      <c r="M507" s="20"/>
      <c r="N507" s="20"/>
      <c r="O507" s="7"/>
    </row>
    <row r="508" spans="1:29" ht="12.75" customHeight="1" thickBot="1" x14ac:dyDescent="0.25">
      <c r="B508" s="3"/>
      <c r="C508" s="281"/>
      <c r="D508" s="281"/>
      <c r="E508" s="281"/>
      <c r="F508" s="281"/>
      <c r="G508" s="281"/>
      <c r="H508" s="281"/>
      <c r="I508" s="281"/>
      <c r="J508" s="281"/>
      <c r="K508" s="281"/>
      <c r="L508" s="281"/>
      <c r="M508" s="281"/>
      <c r="N508" s="281"/>
      <c r="O508" s="7"/>
    </row>
    <row r="509" spans="1:29" ht="31.5" customHeight="1" thickBot="1" x14ac:dyDescent="0.3">
      <c r="B509" s="3"/>
      <c r="C509" s="18">
        <v>7</v>
      </c>
      <c r="D509" s="1439" t="str">
        <f>EUconst_FBSubinst &amp; ":"</f>
        <v>Podinstalacja, dla której wprowadzono rozwiązania rezerwowe (fall-back):</v>
      </c>
      <c r="E509" s="1370"/>
      <c r="F509" s="1370"/>
      <c r="G509" s="1370"/>
      <c r="H509" s="1432"/>
      <c r="I509" s="1781" t="str">
        <f>INDEX(EUconst_FallBackListNames,$C509)</f>
        <v>Podinstalacja wytwarzająca emisje procesowe, „nie-CL”</v>
      </c>
      <c r="J509" s="1666"/>
      <c r="K509" s="1666"/>
      <c r="L509" s="1782"/>
      <c r="M509" s="1860" t="str">
        <f>IF(ISBLANK(INDEX(CNTR_FallBackSubInstRelevant,C509)),"",IF(INDEX(CNTR_FallBackSubInstRelevant,C509),EUconst_Relevant,EUconst_NotRelevant))</f>
        <v>nie dotyczy</v>
      </c>
      <c r="N509" s="1861"/>
      <c r="O509" s="7"/>
      <c r="P509" s="574">
        <f>C509</f>
        <v>7</v>
      </c>
      <c r="Q509" s="371" t="s">
        <v>234</v>
      </c>
      <c r="R509" s="856" t="str">
        <f>IF(M509&lt;&gt;EUconst_Relevant,"",INDEX(CNTR_SubInstStartDate,MATCH($I509,CNTR_SubInstListNames,0)))</f>
        <v/>
      </c>
      <c r="S509" s="853" t="b">
        <f>IF($M509&lt;&gt;EUconst_Relevant,FALSE,AND(I$562, IF($R509&lt;DATE($L$559,1,1),YEAR($R509)&lt;=I$559,YEAR($R509-1)&lt;I$559) ) )</f>
        <v>0</v>
      </c>
      <c r="T509" s="853" t="b">
        <f>IF($M509&lt;&gt;EUconst_Relevant,FALSE,AND(J$562, IF($R509&lt;DATE($L$559,1,1),YEAR($R509)&lt;=J$559,YEAR($R509-1)&lt;J$559) ) )</f>
        <v>0</v>
      </c>
      <c r="U509" s="853" t="b">
        <f>IF($M509&lt;&gt;EUconst_Relevant,FALSE,AND(K$562, IF($R509&lt;DATE($L$559,1,1),YEAR($R509)&lt;=K$559,YEAR($R509-1)&lt;K$559) ) )</f>
        <v>0</v>
      </c>
      <c r="V509" s="853" t="b">
        <f>IF($M509&lt;&gt;EUconst_Relevant,FALSE,AND(L$562, IF($R509&lt;DATE($L$559,1,1),YEAR($R509)&lt;=L$559,YEAR($R509-1)&lt;L$559) ) )</f>
        <v>0</v>
      </c>
      <c r="W509" s="853" t="b">
        <f>IF($M509&lt;&gt;EUconst_Relevant,FALSE,AND(M$562, IF($R509&lt;DATE($L$559,1,1),YEAR($R509)&lt;=M$559,YEAR($R509-1)&lt;M$559) ) )</f>
        <v>0</v>
      </c>
      <c r="X509" s="8"/>
      <c r="AB509" s="736" t="s">
        <v>550</v>
      </c>
      <c r="AC509" s="738" t="b">
        <f>AND(CNTR_ExistSubInstEntries,M509=EUconst_NotRelevant)</f>
        <v>1</v>
      </c>
    </row>
    <row r="510" spans="1:29" ht="12.75" customHeight="1" x14ac:dyDescent="0.2">
      <c r="B510" s="20"/>
      <c r="C510" s="20"/>
      <c r="D510" s="20"/>
      <c r="E510" s="20"/>
      <c r="F510" s="20"/>
      <c r="G510" s="20"/>
      <c r="H510" s="50"/>
      <c r="I510" s="1869" t="str">
        <f>IF(M509="","",IF(M509=EUconst_Relevant,HYPERLINK("",EUconst_MsgEnterThisSection),HYPERLINK(Q510,EUconst_MsgGoToNextSubInst)))</f>
        <v>Proszę przejść do kolejnej podinstalacji!</v>
      </c>
      <c r="J510" s="1870"/>
      <c r="K510" s="1870"/>
      <c r="L510" s="1870"/>
      <c r="M510" s="1871"/>
      <c r="N510" s="1872"/>
      <c r="O510" s="7"/>
      <c r="P510" s="2" t="s">
        <v>199</v>
      </c>
      <c r="Q510" s="589" t="str">
        <f>"#"&amp;ADDRESS(ROW(JUMP_G_Bottom),COLUMN(JUMP_G_Bottom))</f>
        <v>#$D$551</v>
      </c>
    </row>
    <row r="511" spans="1:29" s="701" customFormat="1" ht="5.0999999999999996" customHeight="1" x14ac:dyDescent="0.2">
      <c r="A511" s="422"/>
      <c r="B511" s="3"/>
      <c r="C511" s="3"/>
      <c r="D511" s="3"/>
      <c r="E511" s="3"/>
      <c r="F511" s="3"/>
      <c r="G511" s="3"/>
      <c r="H511" s="3"/>
      <c r="I511" s="3"/>
      <c r="J511" s="3"/>
      <c r="K511" s="3"/>
      <c r="L511" s="3"/>
      <c r="M511" s="7"/>
      <c r="N511" s="7"/>
      <c r="O511" s="7"/>
      <c r="P511" s="8"/>
      <c r="Q511" s="422"/>
      <c r="R511" s="422"/>
      <c r="S511" s="422"/>
      <c r="T511" s="422"/>
      <c r="U511" s="422"/>
      <c r="V511" s="422"/>
      <c r="W511" s="422"/>
      <c r="X511" s="422"/>
      <c r="Y511" s="422"/>
      <c r="Z511" s="422"/>
      <c r="AA511" s="422"/>
      <c r="AB511" s="422"/>
      <c r="AC511" s="422"/>
    </row>
    <row r="512" spans="1:29" s="701" customFormat="1" ht="12.75" customHeight="1" x14ac:dyDescent="0.2">
      <c r="A512" s="422"/>
      <c r="B512" s="398"/>
      <c r="C512" s="398"/>
      <c r="D512" s="398"/>
      <c r="E512" s="1622" t="str">
        <f>CONCATENATE(EUconst_MsgSeeFirst," (G.I.1)")</f>
        <v>Szczegółowe instrukcje dotyczące wprowadzania danych w tym narzędziu znajdują się w pierwszej kopii tego narzędzia.  (G.I.1)</v>
      </c>
      <c r="F512" s="1622"/>
      <c r="G512" s="1622"/>
      <c r="H512" s="1622"/>
      <c r="I512" s="1622"/>
      <c r="J512" s="1622"/>
      <c r="K512" s="1622"/>
      <c r="L512" s="1622"/>
      <c r="M512" s="1622"/>
      <c r="N512" s="1622"/>
      <c r="O512" s="7"/>
      <c r="P512" s="422"/>
      <c r="Q512" s="422"/>
      <c r="R512" s="422"/>
      <c r="S512" s="422"/>
      <c r="T512" s="422"/>
      <c r="U512" s="422"/>
      <c r="V512" s="422"/>
      <c r="W512" s="422"/>
      <c r="X512" s="422"/>
      <c r="Y512" s="422"/>
      <c r="Z512" s="422"/>
      <c r="AA512" s="422"/>
      <c r="AB512" s="422"/>
      <c r="AC512" s="422"/>
    </row>
    <row r="513" spans="1:29" s="701" customFormat="1" ht="5.0999999999999996" customHeight="1" x14ac:dyDescent="0.2">
      <c r="A513" s="422"/>
      <c r="B513" s="3"/>
      <c r="C513" s="3"/>
      <c r="D513" s="3"/>
      <c r="E513" s="3"/>
      <c r="F513" s="3"/>
      <c r="G513" s="3"/>
      <c r="H513" s="3"/>
      <c r="I513" s="3"/>
      <c r="J513" s="3"/>
      <c r="K513" s="3"/>
      <c r="L513" s="3"/>
      <c r="M513" s="7"/>
      <c r="N513" s="7"/>
      <c r="O513" s="7"/>
      <c r="P513" s="8"/>
      <c r="Q513" s="422"/>
      <c r="R513" s="422"/>
      <c r="S513" s="422"/>
      <c r="T513" s="422"/>
      <c r="U513" s="422"/>
      <c r="V513" s="422"/>
      <c r="W513" s="422"/>
      <c r="X513" s="422"/>
      <c r="Y513" s="422"/>
      <c r="Z513" s="422"/>
      <c r="AA513" s="422"/>
      <c r="AB513" s="422"/>
      <c r="AC513" s="422"/>
    </row>
    <row r="514" spans="1:29" ht="12.75" customHeight="1" thickBot="1" x14ac:dyDescent="0.25">
      <c r="B514" s="3"/>
      <c r="C514" s="355"/>
      <c r="D514" s="14" t="s">
        <v>173</v>
      </c>
      <c r="E514" s="1375" t="str">
        <f>Translations!$B$670</f>
        <v>Historyczne poziomy działalności</v>
      </c>
      <c r="F514" s="1370"/>
      <c r="G514" s="1370"/>
      <c r="H514" s="1370"/>
      <c r="I514" s="1370"/>
      <c r="J514" s="1370"/>
      <c r="K514" s="1370"/>
      <c r="L514" s="1370"/>
      <c r="M514" s="1370"/>
      <c r="N514" s="1370"/>
      <c r="O514" s="7"/>
      <c r="P514" s="8"/>
      <c r="Q514" s="8"/>
      <c r="R514" s="8"/>
      <c r="S514" s="8"/>
      <c r="T514" s="8"/>
      <c r="U514" s="8"/>
      <c r="V514" s="8"/>
      <c r="W514" s="8"/>
      <c r="X514" s="8"/>
    </row>
    <row r="515" spans="1:29" ht="12.75" customHeight="1" thickBot="1" x14ac:dyDescent="0.25">
      <c r="B515" s="3"/>
      <c r="C515" s="369"/>
      <c r="D515" s="16"/>
      <c r="E515" s="1868" t="str">
        <f>Translations!$B$897</f>
        <v>Wpisane tu wartości powinny uwzględniać kwalifikujące się emisje z jakichkolwiek gazów odlotowych, jak określono w części D.IV.</v>
      </c>
      <c r="F515" s="1868"/>
      <c r="G515" s="1868"/>
      <c r="H515" s="1868"/>
      <c r="I515" s="1868"/>
      <c r="J515" s="1868"/>
      <c r="K515" s="1868"/>
      <c r="L515" s="1868"/>
      <c r="M515" s="1868"/>
      <c r="N515" s="1868"/>
      <c r="O515" s="7"/>
      <c r="P515" s="8"/>
      <c r="Q515" s="424" t="s">
        <v>432</v>
      </c>
      <c r="R515" s="169" t="s">
        <v>238</v>
      </c>
      <c r="S515" s="170"/>
      <c r="T515" s="170"/>
      <c r="U515" s="170"/>
      <c r="V515" s="170"/>
      <c r="W515" s="170"/>
      <c r="X515" s="171"/>
    </row>
    <row r="516" spans="1:29" ht="12.75" customHeight="1" thickBot="1" x14ac:dyDescent="0.25">
      <c r="B516" s="20"/>
      <c r="C516" s="355"/>
      <c r="D516" s="14"/>
      <c r="E516" s="1430" t="str">
        <f>Translations!$B$829</f>
        <v>Główny poziom działalności:</v>
      </c>
      <c r="F516" s="1377"/>
      <c r="G516" s="1377"/>
      <c r="H516" s="34" t="str">
        <f>EUconst_Unit</f>
        <v>Jednostka</v>
      </c>
      <c r="I516" s="396">
        <f>I$559</f>
        <v>2014</v>
      </c>
      <c r="J516" s="396">
        <f>J$559</f>
        <v>2015</v>
      </c>
      <c r="K516" s="396">
        <f>K$559</f>
        <v>2016</v>
      </c>
      <c r="L516" s="396">
        <f>L$559</f>
        <v>2017</v>
      </c>
      <c r="M516" s="396">
        <f>M$559</f>
        <v>2018</v>
      </c>
      <c r="N516" s="888" t="str">
        <f>IF(M509&lt;&gt;EUconst_Relevant,"",IF(Z517,YEAR(R509)+1,""))</f>
        <v/>
      </c>
      <c r="O516" s="7"/>
      <c r="P516" s="164" t="s">
        <v>237</v>
      </c>
      <c r="Q516" s="1239"/>
      <c r="R516" s="173" t="s">
        <v>437</v>
      </c>
      <c r="S516" s="165">
        <f>I516</f>
        <v>2014</v>
      </c>
      <c r="T516" s="116">
        <f>J516</f>
        <v>2015</v>
      </c>
      <c r="U516" s="116">
        <f>K516</f>
        <v>2016</v>
      </c>
      <c r="V516" s="116">
        <f>L516</f>
        <v>2017</v>
      </c>
      <c r="W516" s="116">
        <f>M516</f>
        <v>2018</v>
      </c>
      <c r="X516" s="117"/>
      <c r="AA516" s="955" t="b">
        <f>IF(CNTR_ExistSubInstEntries,IF(M509=EUconst_Relevant,NOT(Z517),TRUE),FALSE)</f>
        <v>1</v>
      </c>
      <c r="AC516" s="422" t="s">
        <v>466</v>
      </c>
    </row>
    <row r="517" spans="1:29" ht="25.5" customHeight="1" thickBot="1" x14ac:dyDescent="0.25">
      <c r="B517" s="20"/>
      <c r="C517" s="20"/>
      <c r="D517" s="20"/>
      <c r="E517" s="1801" t="str">
        <f>I509</f>
        <v>Podinstalacja wytwarzająca emisje procesowe, „nie-CL”</v>
      </c>
      <c r="F517" s="1801"/>
      <c r="G517" s="1801"/>
      <c r="H517" s="98" t="str">
        <f>INDEX(EUconst_FallBackListUnits,MATCH(E517,EUconst_FallBackListNames,0))</f>
        <v>t CO2e</v>
      </c>
      <c r="I517" s="322"/>
      <c r="J517" s="322"/>
      <c r="K517" s="322"/>
      <c r="L517" s="322"/>
      <c r="M517" s="322"/>
      <c r="N517" s="954"/>
      <c r="O517" s="7"/>
      <c r="P517" s="167" t="str">
        <f>EUconst_CNTR_HAL&amp;E517</f>
        <v>HAL_Podinstalacja wytwarzająca emisje procesowe, „nie-CL”</v>
      </c>
      <c r="Q517" s="168"/>
      <c r="R517" s="166" t="str">
        <f>IF(COUNT(S517:W517)&gt;0,AVERAGE(S517:W517),"")</f>
        <v/>
      </c>
      <c r="S517" s="172" t="str">
        <f>IF(S509,IF(ISNUMBER(I517),I517,0),"")</f>
        <v/>
      </c>
      <c r="T517" s="119" t="str">
        <f>IF(T509,IF(ISNUMBER(J517),J517,0),"")</f>
        <v/>
      </c>
      <c r="U517" s="119" t="str">
        <f>IF(U509,IF(ISNUMBER(K517),K517,0),"")</f>
        <v/>
      </c>
      <c r="V517" s="119" t="str">
        <f>IF(V509,IF(ISNUMBER(L517),L517,0),"")</f>
        <v/>
      </c>
      <c r="W517" s="119" t="str">
        <f>IF(W509,IF(ISNUMBER(M517),M517,0),"")</f>
        <v/>
      </c>
      <c r="X517" s="120"/>
      <c r="Y517" s="371" t="s">
        <v>598</v>
      </c>
      <c r="Z517" s="164" t="b">
        <f>IF(M509&lt;&gt;EUconst_Relevant,FALSE,INDEX(CNTR_SubInstLess1Year,MATCH(I509,CNTR_SubInstListNames,0)))</f>
        <v>0</v>
      </c>
      <c r="AA517" s="956" t="b">
        <f>AA516</f>
        <v>1</v>
      </c>
      <c r="AC517" s="738" t="b">
        <f>IF(CNTR_ExistSubInstEntries,IF(M509=EUconst_Relevant,INDEX(CNTR_SubInstLess1Year,MATCH(I509,CNTR_SubInstListNames,0)),TRUE),FALSE)</f>
        <v>1</v>
      </c>
    </row>
    <row r="518" spans="1:29" ht="12.75" customHeight="1" x14ac:dyDescent="0.2">
      <c r="B518" s="20"/>
      <c r="C518" s="20"/>
      <c r="D518" s="20"/>
      <c r="E518" s="20"/>
      <c r="F518" s="20"/>
      <c r="G518" s="20"/>
      <c r="H518" s="20"/>
      <c r="I518" s="107"/>
      <c r="J518" s="20"/>
      <c r="K518" s="20"/>
      <c r="L518" s="20"/>
      <c r="M518" s="20"/>
      <c r="N518" s="20"/>
      <c r="O518" s="7"/>
      <c r="P518" s="139"/>
      <c r="R518" s="8"/>
      <c r="S518" s="8"/>
    </row>
    <row r="519" spans="1:29" ht="15" x14ac:dyDescent="0.25">
      <c r="B519" s="20"/>
      <c r="C519" s="368"/>
      <c r="D519" s="1439" t="str">
        <f>Translations!$B$700</f>
        <v>Szczegółowe dane dotyczące produkcji</v>
      </c>
      <c r="E519" s="1370"/>
      <c r="F519" s="1370"/>
      <c r="G519" s="1370"/>
      <c r="H519" s="1370"/>
      <c r="I519" s="1370"/>
      <c r="J519" s="1370"/>
      <c r="K519" s="1370"/>
      <c r="L519" s="1370"/>
      <c r="M519" s="1370"/>
      <c r="N519" s="1370"/>
      <c r="O519" s="7"/>
      <c r="Y519" s="8"/>
      <c r="Z519" s="8"/>
      <c r="AA519" s="8"/>
      <c r="AB519" s="8"/>
    </row>
    <row r="520" spans="1:29" ht="5.0999999999999996" customHeight="1" x14ac:dyDescent="0.2">
      <c r="B520" s="3"/>
      <c r="C520" s="5"/>
      <c r="D520" s="3"/>
      <c r="E520" s="3"/>
      <c r="F520" s="3"/>
      <c r="G520" s="3"/>
      <c r="H520" s="3"/>
      <c r="I520" s="3"/>
      <c r="J520" s="3"/>
      <c r="K520" s="3"/>
      <c r="L520" s="3"/>
      <c r="M520" s="3"/>
      <c r="N520" s="3"/>
      <c r="O520" s="7"/>
      <c r="P520" s="8"/>
      <c r="Q520" s="8"/>
    </row>
    <row r="521" spans="1:29" s="701" customFormat="1" x14ac:dyDescent="0.2">
      <c r="A521" s="422"/>
      <c r="B521" s="3"/>
      <c r="C521" s="355"/>
      <c r="D521" s="14" t="s">
        <v>353</v>
      </c>
      <c r="E521" s="1375" t="str">
        <f>Translations!$B$830</f>
        <v>Identyfikacja odpowiednich produktów i usług związanych z tą podinstalacją</v>
      </c>
      <c r="F521" s="1370"/>
      <c r="G521" s="1370"/>
      <c r="H521" s="1370"/>
      <c r="I521" s="1370"/>
      <c r="J521" s="1370"/>
      <c r="K521" s="1370"/>
      <c r="L521" s="1370"/>
      <c r="M521" s="1370"/>
      <c r="N521" s="1370"/>
      <c r="O521" s="7"/>
      <c r="P521" s="8"/>
      <c r="Q521" s="422"/>
      <c r="R521" s="422"/>
      <c r="S521" s="422"/>
      <c r="T521" s="422"/>
      <c r="U521" s="422"/>
      <c r="V521" s="422"/>
      <c r="W521" s="422"/>
      <c r="X521" s="422"/>
      <c r="Y521" s="422"/>
      <c r="Z521" s="422"/>
      <c r="AA521" s="422"/>
      <c r="AB521" s="422"/>
      <c r="AC521" s="422"/>
    </row>
    <row r="522" spans="1:29" s="701" customFormat="1" ht="5.0999999999999996" customHeight="1" x14ac:dyDescent="0.2">
      <c r="A522" s="422"/>
      <c r="B522" s="3"/>
      <c r="C522" s="5"/>
      <c r="D522" s="3"/>
      <c r="E522" s="3"/>
      <c r="F522" s="3"/>
      <c r="G522" s="3"/>
      <c r="H522" s="3"/>
      <c r="I522" s="3"/>
      <c r="J522" s="3"/>
      <c r="K522" s="3"/>
      <c r="L522" s="3"/>
      <c r="M522" s="3"/>
      <c r="N522" s="3"/>
      <c r="O522" s="7"/>
      <c r="P522" s="8"/>
      <c r="Q522" s="8"/>
      <c r="R522" s="422"/>
      <c r="S522" s="422"/>
      <c r="T522" s="422"/>
      <c r="U522" s="422"/>
      <c r="V522" s="422"/>
      <c r="W522" s="422"/>
      <c r="X522" s="422"/>
      <c r="Y522" s="422"/>
      <c r="Z522" s="422"/>
      <c r="AA522" s="422"/>
      <c r="AB522" s="422"/>
      <c r="AC522" s="422"/>
    </row>
    <row r="523" spans="1:29" s="701" customFormat="1" ht="25.5" customHeight="1" thickBot="1" x14ac:dyDescent="0.25">
      <c r="A523" s="422"/>
      <c r="B523" s="398"/>
      <c r="C523" s="16"/>
      <c r="D523" s="344"/>
      <c r="E523" s="237" t="str">
        <f>Translations!$B$899</f>
        <v>Rodzaj emisji procesowej</v>
      </c>
      <c r="F523" s="25"/>
      <c r="G523" s="238"/>
      <c r="H523" s="1866" t="str">
        <f>Translations!$B$886</f>
        <v>Nazwa produktu lub rodzaj usługi</v>
      </c>
      <c r="I523" s="1867"/>
      <c r="J523" s="1867"/>
      <c r="K523" s="1867"/>
      <c r="L523" s="1603"/>
      <c r="M523" s="399" t="s">
        <v>386</v>
      </c>
      <c r="N523" s="398"/>
      <c r="O523" s="7"/>
      <c r="P523" s="422"/>
      <c r="Q523" s="422"/>
      <c r="R523" s="422"/>
      <c r="S523" s="422"/>
      <c r="T523" s="422"/>
      <c r="U523" s="422"/>
      <c r="V523" s="422"/>
      <c r="W523" s="422"/>
      <c r="X523" s="422"/>
      <c r="Y523" s="422"/>
      <c r="Z523" s="422"/>
      <c r="AA523" s="422"/>
      <c r="AB523" s="422"/>
      <c r="AC523" s="422"/>
    </row>
    <row r="524" spans="1:29" s="701" customFormat="1" ht="13.5" thickBot="1" x14ac:dyDescent="0.25">
      <c r="A524" s="422"/>
      <c r="B524" s="398"/>
      <c r="C524" s="16"/>
      <c r="D524" s="581">
        <v>1</v>
      </c>
      <c r="E524" s="1806"/>
      <c r="F524" s="1862"/>
      <c r="G524" s="1863"/>
      <c r="H524" s="1474"/>
      <c r="I524" s="1864"/>
      <c r="J524" s="1864"/>
      <c r="K524" s="1864"/>
      <c r="L524" s="1865"/>
      <c r="M524" s="549"/>
      <c r="N524" s="398"/>
      <c r="O524" s="7"/>
      <c r="P524" s="422"/>
      <c r="Q524" s="422"/>
      <c r="R524" s="422"/>
      <c r="S524" s="422"/>
      <c r="T524" s="422"/>
      <c r="U524" s="422"/>
      <c r="V524" s="422"/>
      <c r="W524" s="422"/>
      <c r="X524" s="422"/>
      <c r="Y524" s="422"/>
      <c r="Z524" s="422"/>
      <c r="AA524" s="422"/>
      <c r="AB524" s="422"/>
      <c r="AC524" s="967" t="b">
        <f>IF(CNTR_ExistSubInstEntries,M509=EUconst_NotRelevant)</f>
        <v>1</v>
      </c>
    </row>
    <row r="525" spans="1:29" s="701" customFormat="1" x14ac:dyDescent="0.2">
      <c r="A525" s="422"/>
      <c r="B525" s="398"/>
      <c r="C525" s="16"/>
      <c r="D525" s="584">
        <f>D524+1</f>
        <v>2</v>
      </c>
      <c r="E525" s="1793"/>
      <c r="F525" s="1853"/>
      <c r="G525" s="1854"/>
      <c r="H525" s="1469"/>
      <c r="I525" s="1850"/>
      <c r="J525" s="1850"/>
      <c r="K525" s="1850"/>
      <c r="L525" s="1851"/>
      <c r="M525" s="550"/>
      <c r="N525" s="398"/>
      <c r="O525" s="7"/>
      <c r="P525" s="422"/>
      <c r="Q525" s="422"/>
      <c r="R525" s="422"/>
      <c r="S525" s="422"/>
      <c r="T525" s="422"/>
      <c r="U525" s="422"/>
      <c r="V525" s="422"/>
      <c r="W525" s="422"/>
      <c r="X525" s="422"/>
      <c r="Y525" s="422"/>
      <c r="Z525" s="422"/>
      <c r="AA525" s="422"/>
      <c r="AB525" s="422"/>
      <c r="AC525" s="422"/>
    </row>
    <row r="526" spans="1:29" s="701" customFormat="1" x14ac:dyDescent="0.2">
      <c r="A526" s="422"/>
      <c r="B526" s="398"/>
      <c r="C526" s="16"/>
      <c r="D526" s="584">
        <f t="shared" ref="D526:D533" si="19">D525+1</f>
        <v>3</v>
      </c>
      <c r="E526" s="1793"/>
      <c r="F526" s="1853"/>
      <c r="G526" s="1854"/>
      <c r="H526" s="1469"/>
      <c r="I526" s="1850"/>
      <c r="J526" s="1850"/>
      <c r="K526" s="1850"/>
      <c r="L526" s="1851"/>
      <c r="M526" s="550"/>
      <c r="N526" s="398"/>
      <c r="O526" s="7"/>
      <c r="P526" s="422"/>
      <c r="Q526" s="422"/>
      <c r="R526" s="422"/>
      <c r="S526" s="422"/>
      <c r="T526" s="422"/>
      <c r="U526" s="422"/>
      <c r="V526" s="422"/>
      <c r="W526" s="422"/>
      <c r="X526" s="422"/>
      <c r="Y526" s="422"/>
      <c r="Z526" s="422"/>
      <c r="AA526" s="422"/>
      <c r="AB526" s="422"/>
      <c r="AC526" s="422"/>
    </row>
    <row r="527" spans="1:29" s="701" customFormat="1" x14ac:dyDescent="0.2">
      <c r="A527" s="422"/>
      <c r="B527" s="398"/>
      <c r="C527" s="16"/>
      <c r="D527" s="584">
        <f t="shared" si="19"/>
        <v>4</v>
      </c>
      <c r="E527" s="1793"/>
      <c r="F527" s="1853"/>
      <c r="G527" s="1854"/>
      <c r="H527" s="1469"/>
      <c r="I527" s="1850"/>
      <c r="J527" s="1850"/>
      <c r="K527" s="1850"/>
      <c r="L527" s="1851"/>
      <c r="M527" s="550"/>
      <c r="N527" s="398"/>
      <c r="O527" s="7"/>
      <c r="P527" s="422"/>
      <c r="Q527" s="422"/>
      <c r="R527" s="422"/>
      <c r="S527" s="422"/>
      <c r="T527" s="422"/>
      <c r="U527" s="422"/>
      <c r="V527" s="422"/>
      <c r="W527" s="422"/>
      <c r="X527" s="422"/>
      <c r="Y527" s="422"/>
      <c r="Z527" s="422"/>
      <c r="AA527" s="422"/>
      <c r="AB527" s="422"/>
      <c r="AC527" s="422"/>
    </row>
    <row r="528" spans="1:29" s="701" customFormat="1" x14ac:dyDescent="0.2">
      <c r="A528" s="422"/>
      <c r="B528" s="398"/>
      <c r="C528" s="16"/>
      <c r="D528" s="584">
        <f t="shared" si="19"/>
        <v>5</v>
      </c>
      <c r="E528" s="1793"/>
      <c r="F528" s="1853"/>
      <c r="G528" s="1854"/>
      <c r="H528" s="1469"/>
      <c r="I528" s="1850"/>
      <c r="J528" s="1850"/>
      <c r="K528" s="1850"/>
      <c r="L528" s="1851"/>
      <c r="M528" s="550"/>
      <c r="N528" s="398"/>
      <c r="O528" s="7"/>
      <c r="P528" s="422"/>
      <c r="Q528" s="422"/>
      <c r="R528" s="422"/>
      <c r="S528" s="422"/>
      <c r="T528" s="422"/>
      <c r="U528" s="422"/>
      <c r="V528" s="422"/>
      <c r="W528" s="422"/>
      <c r="X528" s="422"/>
      <c r="Y528" s="422"/>
      <c r="Z528" s="422"/>
      <c r="AA528" s="422"/>
      <c r="AB528" s="422"/>
      <c r="AC528" s="422"/>
    </row>
    <row r="529" spans="1:29" s="701" customFormat="1" x14ac:dyDescent="0.2">
      <c r="A529" s="422"/>
      <c r="B529" s="398"/>
      <c r="C529" s="16"/>
      <c r="D529" s="584">
        <f t="shared" si="19"/>
        <v>6</v>
      </c>
      <c r="E529" s="1793"/>
      <c r="F529" s="1853"/>
      <c r="G529" s="1854"/>
      <c r="H529" s="1469"/>
      <c r="I529" s="1850"/>
      <c r="J529" s="1850"/>
      <c r="K529" s="1850"/>
      <c r="L529" s="1851"/>
      <c r="M529" s="550"/>
      <c r="N529" s="398"/>
      <c r="O529" s="7"/>
      <c r="P529" s="422"/>
      <c r="Q529" s="422"/>
      <c r="R529" s="422"/>
      <c r="S529" s="422"/>
      <c r="T529" s="422"/>
      <c r="U529" s="422"/>
      <c r="V529" s="422"/>
      <c r="W529" s="422"/>
      <c r="X529" s="422"/>
      <c r="Y529" s="422"/>
      <c r="Z529" s="422"/>
      <c r="AA529" s="422"/>
      <c r="AB529" s="422"/>
      <c r="AC529" s="422"/>
    </row>
    <row r="530" spans="1:29" s="701" customFormat="1" x14ac:dyDescent="0.2">
      <c r="A530" s="422"/>
      <c r="B530" s="398"/>
      <c r="C530" s="16"/>
      <c r="D530" s="584">
        <f t="shared" si="19"/>
        <v>7</v>
      </c>
      <c r="E530" s="1793"/>
      <c r="F530" s="1853"/>
      <c r="G530" s="1854"/>
      <c r="H530" s="1469"/>
      <c r="I530" s="1850"/>
      <c r="J530" s="1850"/>
      <c r="K530" s="1850"/>
      <c r="L530" s="1851"/>
      <c r="M530" s="550"/>
      <c r="N530" s="398"/>
      <c r="O530" s="7"/>
      <c r="P530" s="422"/>
      <c r="Q530" s="422"/>
      <c r="R530" s="422"/>
      <c r="S530" s="422"/>
      <c r="T530" s="422"/>
      <c r="U530" s="422"/>
      <c r="V530" s="422"/>
      <c r="W530" s="422"/>
      <c r="X530" s="422"/>
      <c r="Y530" s="422"/>
      <c r="Z530" s="422"/>
      <c r="AA530" s="422"/>
      <c r="AB530" s="422"/>
      <c r="AC530" s="422"/>
    </row>
    <row r="531" spans="1:29" s="701" customFormat="1" x14ac:dyDescent="0.2">
      <c r="A531" s="422"/>
      <c r="B531" s="398"/>
      <c r="C531" s="16"/>
      <c r="D531" s="584">
        <f t="shared" si="19"/>
        <v>8</v>
      </c>
      <c r="E531" s="1793"/>
      <c r="F531" s="1853"/>
      <c r="G531" s="1854"/>
      <c r="H531" s="1469"/>
      <c r="I531" s="1850"/>
      <c r="J531" s="1850"/>
      <c r="K531" s="1850"/>
      <c r="L531" s="1851"/>
      <c r="M531" s="550"/>
      <c r="N531" s="398"/>
      <c r="O531" s="7"/>
      <c r="P531" s="422"/>
      <c r="Q531" s="422"/>
      <c r="R531" s="422"/>
      <c r="S531" s="422"/>
      <c r="T531" s="422"/>
      <c r="U531" s="422"/>
      <c r="V531" s="422"/>
      <c r="W531" s="422"/>
      <c r="X531" s="422"/>
      <c r="Y531" s="422"/>
      <c r="Z531" s="422"/>
      <c r="AA531" s="422"/>
      <c r="AB531" s="422"/>
      <c r="AC531" s="422"/>
    </row>
    <row r="532" spans="1:29" s="701" customFormat="1" x14ac:dyDescent="0.2">
      <c r="A532" s="422"/>
      <c r="B532" s="398"/>
      <c r="C532" s="16"/>
      <c r="D532" s="584">
        <f t="shared" si="19"/>
        <v>9</v>
      </c>
      <c r="E532" s="1793"/>
      <c r="F532" s="1853"/>
      <c r="G532" s="1854"/>
      <c r="H532" s="1469"/>
      <c r="I532" s="1850"/>
      <c r="J532" s="1850"/>
      <c r="K532" s="1850"/>
      <c r="L532" s="1851"/>
      <c r="M532" s="550"/>
      <c r="N532" s="398"/>
      <c r="O532" s="7"/>
      <c r="P532" s="422"/>
      <c r="Q532" s="422"/>
      <c r="R532" s="422"/>
      <c r="S532" s="422"/>
      <c r="T532" s="422"/>
      <c r="U532" s="422"/>
      <c r="V532" s="422"/>
      <c r="W532" s="422"/>
      <c r="X532" s="422"/>
      <c r="Y532" s="422"/>
      <c r="Z532" s="422"/>
      <c r="AA532" s="422"/>
      <c r="AB532" s="422"/>
      <c r="AC532" s="422"/>
    </row>
    <row r="533" spans="1:29" s="701" customFormat="1" x14ac:dyDescent="0.2">
      <c r="A533" s="422"/>
      <c r="B533" s="398"/>
      <c r="C533" s="16"/>
      <c r="D533" s="586">
        <f t="shared" si="19"/>
        <v>10</v>
      </c>
      <c r="E533" s="1855"/>
      <c r="F533" s="1856"/>
      <c r="G533" s="1857"/>
      <c r="H533" s="1567"/>
      <c r="I533" s="1858"/>
      <c r="J533" s="1858"/>
      <c r="K533" s="1858"/>
      <c r="L533" s="1859"/>
      <c r="M533" s="551"/>
      <c r="N533" s="398"/>
      <c r="O533" s="7"/>
      <c r="P533" s="422"/>
      <c r="Q533" s="422"/>
      <c r="R533" s="422"/>
      <c r="S533" s="422"/>
      <c r="T533" s="422"/>
      <c r="U533" s="422"/>
      <c r="V533" s="422"/>
      <c r="W533" s="422"/>
      <c r="X533" s="422"/>
      <c r="Y533" s="422"/>
      <c r="Z533" s="422"/>
      <c r="AA533" s="422"/>
      <c r="AB533" s="422"/>
      <c r="AC533" s="422"/>
    </row>
    <row r="534" spans="1:29" s="701" customFormat="1" ht="5.0999999999999996" customHeight="1" x14ac:dyDescent="0.2">
      <c r="A534" s="422"/>
      <c r="B534" s="3"/>
      <c r="C534" s="369"/>
      <c r="D534" s="16"/>
      <c r="E534" s="17"/>
      <c r="F534" s="17"/>
      <c r="G534" s="17"/>
      <c r="H534" s="17"/>
      <c r="I534" s="17"/>
      <c r="J534" s="21"/>
      <c r="K534" s="21"/>
      <c r="L534" s="21"/>
      <c r="M534" s="7"/>
      <c r="N534" s="7"/>
      <c r="O534" s="7"/>
      <c r="P534" s="8"/>
      <c r="Q534" s="422"/>
      <c r="R534" s="422"/>
      <c r="S534" s="422"/>
      <c r="T534" s="422"/>
      <c r="U534" s="422"/>
      <c r="V534" s="422"/>
      <c r="W534" s="422"/>
      <c r="X534" s="422"/>
      <c r="Y534" s="422"/>
      <c r="Z534" s="422"/>
      <c r="AA534" s="422"/>
      <c r="AB534" s="422"/>
      <c r="AC534" s="422"/>
    </row>
    <row r="535" spans="1:29" s="701" customFormat="1" ht="12.75" customHeight="1" x14ac:dyDescent="0.2">
      <c r="A535" s="422"/>
      <c r="B535" s="3"/>
      <c r="C535" s="355"/>
      <c r="D535" s="14" t="s">
        <v>11</v>
      </c>
      <c r="E535" s="1375" t="str">
        <f>Translations!$B$900</f>
        <v>Podział poziomów produkcji:</v>
      </c>
      <c r="F535" s="1370"/>
      <c r="G535" s="1370"/>
      <c r="H535" s="1370"/>
      <c r="I535" s="1370"/>
      <c r="J535" s="1370"/>
      <c r="K535" s="1370"/>
      <c r="L535" s="1370"/>
      <c r="M535" s="1370"/>
      <c r="N535" s="1370"/>
      <c r="O535" s="7"/>
      <c r="P535" s="8"/>
      <c r="Q535" s="422"/>
      <c r="R535" s="422"/>
      <c r="S535" s="422"/>
      <c r="T535" s="422"/>
      <c r="U535" s="422"/>
      <c r="V535" s="422"/>
      <c r="W535" s="422"/>
      <c r="X535" s="422"/>
      <c r="Y535" s="422"/>
      <c r="Z535" s="422"/>
      <c r="AA535" s="422"/>
      <c r="AB535" s="422"/>
      <c r="AC535" s="422"/>
    </row>
    <row r="536" spans="1:29" s="701" customFormat="1" ht="5.0999999999999996" customHeight="1" x14ac:dyDescent="0.2">
      <c r="A536" s="422"/>
      <c r="B536" s="3"/>
      <c r="C536" s="5"/>
      <c r="D536" s="3"/>
      <c r="E536" s="3"/>
      <c r="F536" s="3"/>
      <c r="G536" s="3"/>
      <c r="H536" s="3"/>
      <c r="I536" s="3"/>
      <c r="J536" s="3"/>
      <c r="K536" s="3"/>
      <c r="L536" s="3"/>
      <c r="M536" s="3"/>
      <c r="N536" s="7"/>
      <c r="O536" s="7"/>
      <c r="P536" s="8"/>
      <c r="Q536" s="8"/>
      <c r="R536" s="422"/>
      <c r="S536" s="422"/>
      <c r="T536" s="422"/>
      <c r="U536" s="422"/>
      <c r="V536" s="422"/>
      <c r="W536" s="422"/>
      <c r="X536" s="422"/>
      <c r="Y536" s="422"/>
      <c r="Z536" s="422"/>
      <c r="AA536" s="422"/>
      <c r="AB536" s="422"/>
      <c r="AC536" s="422"/>
    </row>
    <row r="537" spans="1:29" s="701" customFormat="1" x14ac:dyDescent="0.2">
      <c r="A537" s="422"/>
      <c r="B537" s="398"/>
      <c r="C537" s="355"/>
      <c r="D537" s="344"/>
      <c r="E537" s="1852" t="str">
        <f>Translations!$B$886</f>
        <v>Nazwa produktu lub rodzaj usługi</v>
      </c>
      <c r="F537" s="1377"/>
      <c r="G537" s="1431"/>
      <c r="H537" s="34" t="str">
        <f>EUconst_Unit</f>
        <v>Jednostka</v>
      </c>
      <c r="I537" s="396">
        <f>I$559</f>
        <v>2014</v>
      </c>
      <c r="J537" s="396">
        <f>J$559</f>
        <v>2015</v>
      </c>
      <c r="K537" s="396">
        <f>K$559</f>
        <v>2016</v>
      </c>
      <c r="L537" s="396">
        <f>L$559</f>
        <v>2017</v>
      </c>
      <c r="M537" s="421">
        <f>M$559</f>
        <v>2018</v>
      </c>
      <c r="N537" s="7"/>
      <c r="O537" s="7"/>
      <c r="P537" s="422"/>
      <c r="Q537" s="422"/>
      <c r="R537" s="422"/>
      <c r="S537" s="422"/>
      <c r="T537" s="422"/>
      <c r="U537" s="422"/>
      <c r="V537" s="422"/>
      <c r="W537" s="422"/>
      <c r="X537" s="422"/>
      <c r="Y537" s="422"/>
      <c r="Z537" s="422"/>
      <c r="AA537" s="422"/>
      <c r="AB537" s="422"/>
      <c r="AC537" s="422"/>
    </row>
    <row r="538" spans="1:29" ht="12.75" customHeight="1" x14ac:dyDescent="0.2">
      <c r="B538" s="20"/>
      <c r="C538" s="50"/>
      <c r="D538" s="37">
        <v>1</v>
      </c>
      <c r="E538" s="1873" t="str">
        <f t="shared" ref="E538:E547" si="20">IF(ISBLANK(H524),"",H524)</f>
        <v/>
      </c>
      <c r="F538" s="1874"/>
      <c r="G538" s="1875"/>
      <c r="H538" s="767"/>
      <c r="I538" s="472"/>
      <c r="J538" s="472"/>
      <c r="K538" s="472"/>
      <c r="L538" s="472"/>
      <c r="M538" s="605"/>
      <c r="N538" s="7"/>
      <c r="O538" s="7"/>
    </row>
    <row r="539" spans="1:29" ht="12.75" customHeight="1" x14ac:dyDescent="0.2">
      <c r="B539" s="20"/>
      <c r="C539" s="50"/>
      <c r="D539" s="38">
        <f>D538+1</f>
        <v>2</v>
      </c>
      <c r="E539" s="1839" t="str">
        <f t="shared" si="20"/>
        <v/>
      </c>
      <c r="F539" s="1441"/>
      <c r="G539" s="1840"/>
      <c r="H539" s="768"/>
      <c r="I539" s="548"/>
      <c r="J539" s="548"/>
      <c r="K539" s="548"/>
      <c r="L539" s="548"/>
      <c r="M539" s="606"/>
      <c r="N539" s="7"/>
      <c r="O539" s="7"/>
    </row>
    <row r="540" spans="1:29" ht="12.75" customHeight="1" x14ac:dyDescent="0.2">
      <c r="B540" s="20"/>
      <c r="C540" s="50"/>
      <c r="D540" s="38">
        <f t="shared" ref="D540:D547" si="21">D539+1</f>
        <v>3</v>
      </c>
      <c r="E540" s="1839" t="str">
        <f t="shared" si="20"/>
        <v/>
      </c>
      <c r="F540" s="1441"/>
      <c r="G540" s="1840"/>
      <c r="H540" s="768"/>
      <c r="I540" s="548"/>
      <c r="J540" s="548"/>
      <c r="K540" s="548"/>
      <c r="L540" s="548"/>
      <c r="M540" s="606"/>
      <c r="N540" s="7"/>
      <c r="O540" s="7"/>
    </row>
    <row r="541" spans="1:29" ht="12.75" customHeight="1" x14ac:dyDescent="0.2">
      <c r="B541" s="20"/>
      <c r="C541" s="50"/>
      <c r="D541" s="38">
        <f t="shared" si="21"/>
        <v>4</v>
      </c>
      <c r="E541" s="1839" t="str">
        <f t="shared" si="20"/>
        <v/>
      </c>
      <c r="F541" s="1441"/>
      <c r="G541" s="1840"/>
      <c r="H541" s="768"/>
      <c r="I541" s="548"/>
      <c r="J541" s="548"/>
      <c r="K541" s="548"/>
      <c r="L541" s="548"/>
      <c r="M541" s="606"/>
      <c r="N541" s="7"/>
      <c r="O541" s="7"/>
    </row>
    <row r="542" spans="1:29" ht="12.75" customHeight="1" x14ac:dyDescent="0.2">
      <c r="B542" s="20"/>
      <c r="C542" s="50"/>
      <c r="D542" s="38">
        <f t="shared" si="21"/>
        <v>5</v>
      </c>
      <c r="E542" s="1839" t="str">
        <f t="shared" si="20"/>
        <v/>
      </c>
      <c r="F542" s="1441"/>
      <c r="G542" s="1840"/>
      <c r="H542" s="768"/>
      <c r="I542" s="548"/>
      <c r="J542" s="548"/>
      <c r="K542" s="548"/>
      <c r="L542" s="548"/>
      <c r="M542" s="606"/>
      <c r="N542" s="7"/>
      <c r="O542" s="7"/>
    </row>
    <row r="543" spans="1:29" ht="12.75" customHeight="1" x14ac:dyDescent="0.2">
      <c r="B543" s="20"/>
      <c r="C543" s="50"/>
      <c r="D543" s="38">
        <f t="shared" si="21"/>
        <v>6</v>
      </c>
      <c r="E543" s="1839" t="str">
        <f t="shared" si="20"/>
        <v/>
      </c>
      <c r="F543" s="1441"/>
      <c r="G543" s="1840"/>
      <c r="H543" s="768"/>
      <c r="I543" s="548"/>
      <c r="J543" s="548"/>
      <c r="K543" s="548"/>
      <c r="L543" s="548"/>
      <c r="M543" s="606"/>
      <c r="N543" s="7"/>
      <c r="O543" s="7"/>
    </row>
    <row r="544" spans="1:29" ht="12.75" customHeight="1" x14ac:dyDescent="0.2">
      <c r="B544" s="20"/>
      <c r="C544" s="50"/>
      <c r="D544" s="38">
        <f t="shared" si="21"/>
        <v>7</v>
      </c>
      <c r="E544" s="1839" t="str">
        <f t="shared" si="20"/>
        <v/>
      </c>
      <c r="F544" s="1441"/>
      <c r="G544" s="1840"/>
      <c r="H544" s="768"/>
      <c r="I544" s="548"/>
      <c r="J544" s="548"/>
      <c r="K544" s="548"/>
      <c r="L544" s="548"/>
      <c r="M544" s="606"/>
      <c r="N544" s="7"/>
      <c r="O544" s="7"/>
    </row>
    <row r="545" spans="1:29" ht="12.75" customHeight="1" x14ac:dyDescent="0.2">
      <c r="B545" s="20"/>
      <c r="C545" s="50"/>
      <c r="D545" s="38">
        <f t="shared" si="21"/>
        <v>8</v>
      </c>
      <c r="E545" s="1839" t="str">
        <f t="shared" si="20"/>
        <v/>
      </c>
      <c r="F545" s="1441"/>
      <c r="G545" s="1840"/>
      <c r="H545" s="768"/>
      <c r="I545" s="548"/>
      <c r="J545" s="548"/>
      <c r="K545" s="548"/>
      <c r="L545" s="548"/>
      <c r="M545" s="606"/>
      <c r="N545" s="7"/>
      <c r="O545" s="7"/>
    </row>
    <row r="546" spans="1:29" ht="12.75" customHeight="1" x14ac:dyDescent="0.2">
      <c r="B546" s="20"/>
      <c r="C546" s="50"/>
      <c r="D546" s="38">
        <f t="shared" si="21"/>
        <v>9</v>
      </c>
      <c r="E546" s="1839" t="str">
        <f t="shared" si="20"/>
        <v/>
      </c>
      <c r="F546" s="1441"/>
      <c r="G546" s="1840"/>
      <c r="H546" s="768"/>
      <c r="I546" s="548"/>
      <c r="J546" s="548"/>
      <c r="K546" s="548"/>
      <c r="L546" s="548"/>
      <c r="M546" s="606"/>
      <c r="N546" s="7"/>
      <c r="O546" s="7"/>
    </row>
    <row r="547" spans="1:29" ht="12.75" customHeight="1" x14ac:dyDescent="0.2">
      <c r="B547" s="20"/>
      <c r="C547" s="50"/>
      <c r="D547" s="41">
        <f t="shared" si="21"/>
        <v>10</v>
      </c>
      <c r="E547" s="1841" t="str">
        <f t="shared" si="20"/>
        <v/>
      </c>
      <c r="F547" s="1450"/>
      <c r="G547" s="1842"/>
      <c r="H547" s="769"/>
      <c r="I547" s="446"/>
      <c r="J547" s="446"/>
      <c r="K547" s="446"/>
      <c r="L547" s="446"/>
      <c r="M547" s="607"/>
      <c r="N547" s="7"/>
      <c r="O547" s="7"/>
    </row>
    <row r="548" spans="1:29" ht="12.75" customHeight="1" x14ac:dyDescent="0.2">
      <c r="B548" s="20"/>
      <c r="C548" s="20"/>
      <c r="D548" s="97"/>
      <c r="E548" s="1849" t="str">
        <f>Translations!$B$708</f>
        <v>Suma poziomów produkcji</v>
      </c>
      <c r="F548" s="1666"/>
      <c r="G548" s="1383"/>
      <c r="H548" s="236"/>
      <c r="I548" s="327" t="str">
        <f>IF(COUNT(I538:I547)&gt;0,SUM(I538:I547),"")</f>
        <v/>
      </c>
      <c r="J548" s="327" t="str">
        <f>IF(COUNT(J538:J547)&gt;0,SUM(J538:J547),"")</f>
        <v/>
      </c>
      <c r="K548" s="327" t="str">
        <f>IF(COUNT(K538:K547)&gt;0,SUM(K538:K547),"")</f>
        <v/>
      </c>
      <c r="L548" s="327" t="str">
        <f>IF(COUNT(L538:L547)&gt;0,SUM(L538:L547),"")</f>
        <v/>
      </c>
      <c r="M548" s="332" t="str">
        <f>IF(COUNT(M538:M547)&gt;0,SUM(M538:M547),"")</f>
        <v/>
      </c>
      <c r="N548" s="7"/>
      <c r="O548" s="7"/>
    </row>
    <row r="549" spans="1:29" ht="12.75" customHeight="1" x14ac:dyDescent="0.2">
      <c r="B549" s="20"/>
      <c r="C549" s="20"/>
      <c r="D549" s="20"/>
      <c r="E549" s="20"/>
      <c r="F549" s="20"/>
      <c r="G549" s="20"/>
      <c r="H549" s="20"/>
      <c r="I549" s="20"/>
      <c r="J549" s="20"/>
      <c r="K549" s="20"/>
      <c r="L549" s="20"/>
      <c r="M549" s="20"/>
      <c r="N549" s="7"/>
      <c r="O549" s="7"/>
      <c r="R549" s="8"/>
      <c r="S549" s="8"/>
    </row>
    <row r="550" spans="1:29" ht="12.75" customHeight="1" x14ac:dyDescent="0.2">
      <c r="B550" s="20"/>
      <c r="C550" s="20"/>
      <c r="D550" s="20"/>
      <c r="E550" s="20"/>
      <c r="F550" s="20"/>
      <c r="G550" s="20"/>
      <c r="H550" s="20"/>
      <c r="I550" s="20"/>
      <c r="J550" s="20"/>
      <c r="K550" s="20"/>
      <c r="L550" s="20"/>
      <c r="M550" s="20"/>
      <c r="N550" s="20"/>
      <c r="O550" s="7"/>
    </row>
    <row r="551" spans="1:29" ht="12.75" customHeight="1" x14ac:dyDescent="0.2">
      <c r="B551" s="20"/>
      <c r="C551" s="20"/>
      <c r="D551" s="1622" t="str">
        <f>Translations!$B$73</f>
        <v xml:space="preserve">&lt;&lt;&lt; Proszę kliknąć tutaj, aby przejść do kolejnego arkusza &gt;&gt;&gt; </v>
      </c>
      <c r="E551" s="1622"/>
      <c r="F551" s="1622"/>
      <c r="G551" s="1622"/>
      <c r="H551" s="1622"/>
      <c r="I551" s="1622"/>
      <c r="J551" s="1622"/>
      <c r="K551" s="1622"/>
      <c r="L551" s="1622"/>
      <c r="M551" s="1622"/>
      <c r="N551" s="1622"/>
      <c r="O551" s="7"/>
    </row>
    <row r="552" spans="1:29" ht="12.75" customHeight="1" x14ac:dyDescent="0.2">
      <c r="B552" s="20"/>
      <c r="C552" s="20"/>
      <c r="D552" s="20"/>
      <c r="E552" s="20"/>
      <c r="F552" s="20"/>
      <c r="G552" s="20"/>
      <c r="H552" s="20"/>
      <c r="I552" s="20"/>
      <c r="J552" s="20"/>
      <c r="K552" s="20"/>
      <c r="L552" s="20"/>
      <c r="M552" s="20"/>
      <c r="N552" s="20"/>
      <c r="O552" s="7"/>
    </row>
    <row r="553" spans="1:29" hidden="1" x14ac:dyDescent="0.2">
      <c r="A553" s="2" t="s">
        <v>101</v>
      </c>
      <c r="B553" s="2" t="s">
        <v>350</v>
      </c>
      <c r="C553" s="2" t="s">
        <v>350</v>
      </c>
      <c r="D553" s="2" t="s">
        <v>350</v>
      </c>
      <c r="E553" s="2" t="s">
        <v>350</v>
      </c>
      <c r="F553" s="2" t="s">
        <v>350</v>
      </c>
      <c r="G553" s="2" t="s">
        <v>350</v>
      </c>
      <c r="H553" s="2" t="s">
        <v>350</v>
      </c>
      <c r="I553" s="2" t="s">
        <v>350</v>
      </c>
      <c r="J553" s="2" t="s">
        <v>350</v>
      </c>
      <c r="K553" s="2" t="s">
        <v>350</v>
      </c>
      <c r="L553" s="2" t="s">
        <v>350</v>
      </c>
      <c r="M553" s="2" t="s">
        <v>350</v>
      </c>
      <c r="N553" s="2" t="s">
        <v>350</v>
      </c>
      <c r="O553" s="2" t="s">
        <v>350</v>
      </c>
      <c r="P553" s="2" t="s">
        <v>350</v>
      </c>
      <c r="Q553" s="2" t="s">
        <v>350</v>
      </c>
      <c r="R553" s="2" t="s">
        <v>350</v>
      </c>
      <c r="S553" s="2" t="s">
        <v>350</v>
      </c>
      <c r="T553" s="2" t="s">
        <v>350</v>
      </c>
      <c r="U553" s="2" t="s">
        <v>350</v>
      </c>
      <c r="V553" s="2" t="s">
        <v>350</v>
      </c>
      <c r="W553" s="2" t="s">
        <v>350</v>
      </c>
      <c r="X553" s="2" t="s">
        <v>350</v>
      </c>
      <c r="Y553" s="2" t="s">
        <v>350</v>
      </c>
      <c r="Z553" s="2" t="s">
        <v>350</v>
      </c>
      <c r="AA553" s="2" t="s">
        <v>350</v>
      </c>
      <c r="AB553" s="2" t="s">
        <v>350</v>
      </c>
      <c r="AC553" s="2" t="s">
        <v>350</v>
      </c>
    </row>
    <row r="554" spans="1:29" hidden="1" x14ac:dyDescent="0.2">
      <c r="A554" s="2" t="s">
        <v>101</v>
      </c>
    </row>
    <row r="555" spans="1:29" ht="13.5" hidden="1" thickBot="1" x14ac:dyDescent="0.25">
      <c r="A555" s="2" t="s">
        <v>101</v>
      </c>
      <c r="B555" s="2"/>
      <c r="C555" s="2"/>
      <c r="D555" s="45" t="s">
        <v>351</v>
      </c>
      <c r="E555" s="2"/>
      <c r="F555" s="2"/>
      <c r="G555" s="2"/>
      <c r="H555" s="2"/>
      <c r="I555" s="2"/>
      <c r="J555" s="2"/>
      <c r="K555" s="2"/>
      <c r="L555" s="2"/>
      <c r="M555" s="2"/>
      <c r="N555" s="2"/>
      <c r="O555" s="2"/>
    </row>
    <row r="556" spans="1:29" hidden="1" x14ac:dyDescent="0.2">
      <c r="A556" s="2" t="s">
        <v>101</v>
      </c>
      <c r="D556" s="46"/>
      <c r="E556" s="162" t="s">
        <v>236</v>
      </c>
      <c r="F556" s="66"/>
      <c r="G556" s="66"/>
      <c r="H556" s="66"/>
      <c r="I556" s="66"/>
      <c r="J556" s="66"/>
      <c r="K556" s="66"/>
      <c r="L556" s="66"/>
      <c r="M556" s="66"/>
      <c r="N556" s="68"/>
    </row>
    <row r="557" spans="1:29" hidden="1" x14ac:dyDescent="0.2">
      <c r="A557" s="2" t="s">
        <v>101</v>
      </c>
      <c r="E557" s="101" t="s">
        <v>354</v>
      </c>
      <c r="F557" s="23"/>
      <c r="G557" s="23"/>
      <c r="H557" s="23"/>
      <c r="I557" s="152">
        <v>1</v>
      </c>
      <c r="J557" s="152">
        <v>2</v>
      </c>
      <c r="K557" s="152">
        <v>3</v>
      </c>
      <c r="L557" s="152">
        <v>4</v>
      </c>
      <c r="M557" s="152">
        <v>5</v>
      </c>
      <c r="N557" s="155"/>
    </row>
    <row r="558" spans="1:29" hidden="1" x14ac:dyDescent="0.2">
      <c r="A558" s="2" t="s">
        <v>101</v>
      </c>
      <c r="E558" s="156" t="s">
        <v>473</v>
      </c>
      <c r="F558" s="23"/>
      <c r="G558" s="23"/>
      <c r="H558" s="23"/>
      <c r="I558" s="152">
        <f>INDEX(EUconst_ReportingYears,I557)</f>
        <v>2014</v>
      </c>
      <c r="J558" s="152">
        <f>INDEX(EUconst_ReportingYears,J557)</f>
        <v>2015</v>
      </c>
      <c r="K558" s="152">
        <f>INDEX(EUconst_ReportingYears,K557)</f>
        <v>2016</v>
      </c>
      <c r="L558" s="152">
        <f>INDEX(EUconst_ReportingYears,L557)</f>
        <v>2017</v>
      </c>
      <c r="M558" s="152">
        <f>INDEX(EUconst_ReportingYears,M557)</f>
        <v>2018</v>
      </c>
      <c r="N558" s="155"/>
    </row>
    <row r="559" spans="1:29" hidden="1" x14ac:dyDescent="0.2">
      <c r="A559" s="2" t="s">
        <v>101</v>
      </c>
      <c r="E559" s="156" t="s">
        <v>472</v>
      </c>
      <c r="F559" s="153"/>
      <c r="G559" s="153"/>
      <c r="H559" s="153"/>
      <c r="I559" s="154">
        <f>IF(CNTR_BaselinePeriod=EUconst_NA,I558,INDEX(EUconst_ReportingYears,I557)+(CNTR_BaselinePeriod-1)*5)</f>
        <v>2014</v>
      </c>
      <c r="J559" s="154">
        <f>IF(CNTR_BaselinePeriod=EUconst_NA,J558,INDEX(EUconst_ReportingYears,J557)+(CNTR_BaselinePeriod-1)*5)</f>
        <v>2015</v>
      </c>
      <c r="K559" s="154">
        <f>IF(CNTR_BaselinePeriod=EUconst_NA,K558,INDEX(EUconst_ReportingYears,K557)+(CNTR_BaselinePeriod-1)*5)</f>
        <v>2016</v>
      </c>
      <c r="L559" s="154">
        <f>IF(CNTR_BaselinePeriod=EUconst_NA,L558,INDEX(EUconst_ReportingYears,L557)+(CNTR_BaselinePeriod-1)*5)</f>
        <v>2017</v>
      </c>
      <c r="M559" s="154">
        <f>IF(CNTR_BaselinePeriod=EUconst_NA,M558,INDEX(EUconst_ReportingYears,M557)+(CNTR_BaselinePeriod-1)*5)</f>
        <v>2018</v>
      </c>
      <c r="N559" s="157"/>
      <c r="O559" s="20"/>
    </row>
    <row r="560" spans="1:29" hidden="1" x14ac:dyDescent="0.2">
      <c r="A560" s="2" t="s">
        <v>101</v>
      </c>
      <c r="E560" s="156" t="s">
        <v>235</v>
      </c>
      <c r="F560" s="153"/>
      <c r="G560" s="153"/>
      <c r="H560" s="153"/>
      <c r="I560" s="154">
        <v>1</v>
      </c>
      <c r="J560" s="154">
        <v>1</v>
      </c>
      <c r="K560" s="154">
        <v>1</v>
      </c>
      <c r="L560" s="154">
        <v>1</v>
      </c>
      <c r="M560" s="154">
        <v>1</v>
      </c>
      <c r="N560" s="157"/>
    </row>
    <row r="561" spans="1:14" hidden="1" x14ac:dyDescent="0.2">
      <c r="A561" s="2" t="s">
        <v>101</v>
      </c>
      <c r="E561" s="156" t="s">
        <v>233</v>
      </c>
      <c r="F561" s="153"/>
      <c r="G561" s="153"/>
      <c r="H561" s="153"/>
      <c r="I561" s="153" t="b">
        <f>(I560=CNTR_BaselinePeriod)</f>
        <v>1</v>
      </c>
      <c r="J561" s="153" t="b">
        <f>(J560=CNTR_BaselinePeriod)</f>
        <v>1</v>
      </c>
      <c r="K561" s="153" t="b">
        <f>(K560=CNTR_BaselinePeriod)</f>
        <v>1</v>
      </c>
      <c r="L561" s="153" t="b">
        <f>(L560=CNTR_BaselinePeriod)</f>
        <v>1</v>
      </c>
      <c r="M561" s="153" t="b">
        <f>(M560=CNTR_BaselinePeriod)</f>
        <v>1</v>
      </c>
      <c r="N561" s="158"/>
    </row>
    <row r="562" spans="1:14" ht="13.5" hidden="1" thickBot="1" x14ac:dyDescent="0.25">
      <c r="A562" s="2" t="s">
        <v>101</v>
      </c>
      <c r="E562" s="159" t="s">
        <v>234</v>
      </c>
      <c r="F562" s="160"/>
      <c r="G562" s="160"/>
      <c r="H562" s="160"/>
      <c r="I562" s="160" t="b">
        <f>INDEX(CNTR_BaslineYearRelevant,I557)</f>
        <v>1</v>
      </c>
      <c r="J562" s="160" t="b">
        <f>INDEX(CNTR_BaslineYearRelevant,J557)</f>
        <v>1</v>
      </c>
      <c r="K562" s="160" t="b">
        <f>INDEX(CNTR_BaslineYearRelevant,K557)</f>
        <v>1</v>
      </c>
      <c r="L562" s="160" t="b">
        <f>INDEX(CNTR_BaslineYearRelevant,L557)</f>
        <v>1</v>
      </c>
      <c r="M562" s="160" t="b">
        <f>INDEX(CNTR_BaslineYearRelevant,M557)</f>
        <v>1</v>
      </c>
      <c r="N562" s="161"/>
    </row>
    <row r="563" spans="1:14" hidden="1" x14ac:dyDescent="0.2">
      <c r="A563" s="2" t="s">
        <v>101</v>
      </c>
    </row>
    <row r="564" spans="1:14" hidden="1" x14ac:dyDescent="0.2">
      <c r="A564" s="2" t="s">
        <v>101</v>
      </c>
    </row>
    <row r="565" spans="1:14" hidden="1" x14ac:dyDescent="0.2">
      <c r="A565" s="2" t="s">
        <v>101</v>
      </c>
      <c r="E565" s="1" t="s">
        <v>325</v>
      </c>
    </row>
    <row r="566" spans="1:14" hidden="1" x14ac:dyDescent="0.2">
      <c r="A566" s="2" t="s">
        <v>101</v>
      </c>
      <c r="F566" s="1" t="s">
        <v>167</v>
      </c>
      <c r="G566" s="49" t="b">
        <f t="shared" ref="G566:G572" si="22">(COUNTIF($Y$11:$Y$553,EUconst_Error&amp;F566)&gt;0)</f>
        <v>0</v>
      </c>
    </row>
    <row r="567" spans="1:14" hidden="1" x14ac:dyDescent="0.2">
      <c r="A567" s="2" t="s">
        <v>101</v>
      </c>
      <c r="F567" s="1" t="s">
        <v>168</v>
      </c>
      <c r="G567" s="49" t="b">
        <f t="shared" si="22"/>
        <v>0</v>
      </c>
    </row>
    <row r="568" spans="1:14" hidden="1" x14ac:dyDescent="0.2">
      <c r="A568" s="2" t="s">
        <v>101</v>
      </c>
      <c r="F568" s="1" t="s">
        <v>169</v>
      </c>
      <c r="G568" s="49" t="b">
        <f t="shared" si="22"/>
        <v>0</v>
      </c>
    </row>
    <row r="569" spans="1:14" hidden="1" x14ac:dyDescent="0.2">
      <c r="A569" s="2" t="s">
        <v>101</v>
      </c>
      <c r="F569" s="1" t="s">
        <v>170</v>
      </c>
      <c r="G569" s="49" t="b">
        <f t="shared" si="22"/>
        <v>0</v>
      </c>
    </row>
    <row r="570" spans="1:14" hidden="1" x14ac:dyDescent="0.2">
      <c r="A570" s="2" t="s">
        <v>101</v>
      </c>
      <c r="F570" s="1" t="s">
        <v>171</v>
      </c>
      <c r="G570" s="49" t="b">
        <f t="shared" si="22"/>
        <v>0</v>
      </c>
    </row>
    <row r="571" spans="1:14" hidden="1" x14ac:dyDescent="0.2">
      <c r="A571" s="2" t="s">
        <v>101</v>
      </c>
      <c r="F571" s="1" t="s">
        <v>172</v>
      </c>
      <c r="G571" s="49" t="b">
        <f t="shared" si="22"/>
        <v>0</v>
      </c>
    </row>
    <row r="572" spans="1:14" ht="13.5" hidden="1" thickBot="1" x14ac:dyDescent="0.25">
      <c r="A572" s="2" t="s">
        <v>101</v>
      </c>
      <c r="F572" s="575" t="s">
        <v>514</v>
      </c>
      <c r="G572" s="49" t="b">
        <f t="shared" si="22"/>
        <v>0</v>
      </c>
    </row>
    <row r="573" spans="1:14" ht="13.5" hidden="1" thickBot="1" x14ac:dyDescent="0.25">
      <c r="A573" s="2" t="s">
        <v>101</v>
      </c>
      <c r="F573" s="46" t="s">
        <v>326</v>
      </c>
      <c r="G573" s="273" t="b">
        <f>OR(G566:G572)</f>
        <v>0</v>
      </c>
    </row>
    <row r="574" spans="1:14" hidden="1" x14ac:dyDescent="0.2">
      <c r="A574" s="2" t="s">
        <v>101</v>
      </c>
    </row>
    <row r="575" spans="1:14" hidden="1" x14ac:dyDescent="0.2">
      <c r="A575" s="2" t="s">
        <v>101</v>
      </c>
      <c r="C575" s="834">
        <v>8</v>
      </c>
      <c r="D575" s="575" t="s">
        <v>622</v>
      </c>
    </row>
  </sheetData>
  <sheetProtection formatCells="0" formatColumns="0" formatRows="0"/>
  <mergeCells count="561">
    <mergeCell ref="E503:G503"/>
    <mergeCell ref="E504:G504"/>
    <mergeCell ref="E505:G505"/>
    <mergeCell ref="E538:G538"/>
    <mergeCell ref="E539:G539"/>
    <mergeCell ref="E540:G540"/>
    <mergeCell ref="E541:G541"/>
    <mergeCell ref="E542:G542"/>
    <mergeCell ref="E543:G543"/>
    <mergeCell ref="E526:G526"/>
    <mergeCell ref="E478:N478"/>
    <mergeCell ref="E474:G474"/>
    <mergeCell ref="E472:N472"/>
    <mergeCell ref="H487:L487"/>
    <mergeCell ref="E482:G482"/>
    <mergeCell ref="E487:G487"/>
    <mergeCell ref="I467:N467"/>
    <mergeCell ref="E500:G500"/>
    <mergeCell ref="E501:G501"/>
    <mergeCell ref="H484:L484"/>
    <mergeCell ref="H485:L485"/>
    <mergeCell ref="H486:L486"/>
    <mergeCell ref="E180:G180"/>
    <mergeCell ref="E181:G181"/>
    <mergeCell ref="E148:N148"/>
    <mergeCell ref="I144:N144"/>
    <mergeCell ref="E110:N110"/>
    <mergeCell ref="E403:N403"/>
    <mergeCell ref="E379:G379"/>
    <mergeCell ref="E422:F422"/>
    <mergeCell ref="G422:L422"/>
    <mergeCell ref="E388:G388"/>
    <mergeCell ref="E389:G389"/>
    <mergeCell ref="E393:N393"/>
    <mergeCell ref="E417:F417"/>
    <mergeCell ref="E404:N404"/>
    <mergeCell ref="I398:L398"/>
    <mergeCell ref="M398:N398"/>
    <mergeCell ref="E401:N401"/>
    <mergeCell ref="E394:N394"/>
    <mergeCell ref="E410:N410"/>
    <mergeCell ref="E411:N411"/>
    <mergeCell ref="I399:N399"/>
    <mergeCell ref="E391:G391"/>
    <mergeCell ref="E384:G384"/>
    <mergeCell ref="E383:N383"/>
    <mergeCell ref="E179:G179"/>
    <mergeCell ref="E172:G172"/>
    <mergeCell ref="E173:G173"/>
    <mergeCell ref="E174:G174"/>
    <mergeCell ref="E175:G175"/>
    <mergeCell ref="E176:G176"/>
    <mergeCell ref="E177:G177"/>
    <mergeCell ref="E159:F159"/>
    <mergeCell ref="G159:H159"/>
    <mergeCell ref="E362:G362"/>
    <mergeCell ref="E363:G363"/>
    <mergeCell ref="E364:G364"/>
    <mergeCell ref="E321:G321"/>
    <mergeCell ref="E365:G365"/>
    <mergeCell ref="E358:G358"/>
    <mergeCell ref="E359:G359"/>
    <mergeCell ref="E360:G360"/>
    <mergeCell ref="E269:G269"/>
    <mergeCell ref="E270:G270"/>
    <mergeCell ref="E271:G271"/>
    <mergeCell ref="E352:F352"/>
    <mergeCell ref="E343:F343"/>
    <mergeCell ref="E351:F351"/>
    <mergeCell ref="E349:F349"/>
    <mergeCell ref="E350:F350"/>
    <mergeCell ref="E346:F346"/>
    <mergeCell ref="G350:L350"/>
    <mergeCell ref="G351:L351"/>
    <mergeCell ref="G347:L347"/>
    <mergeCell ref="E307:G307"/>
    <mergeCell ref="M143:N143"/>
    <mergeCell ref="E94:N94"/>
    <mergeCell ref="E121:G121"/>
    <mergeCell ref="E100:G100"/>
    <mergeCell ref="E108:N108"/>
    <mergeCell ref="E97:G97"/>
    <mergeCell ref="E95:G95"/>
    <mergeCell ref="E128:G128"/>
    <mergeCell ref="E345:F345"/>
    <mergeCell ref="E190:N190"/>
    <mergeCell ref="E149:N149"/>
    <mergeCell ref="E99:G99"/>
    <mergeCell ref="E117:N117"/>
    <mergeCell ref="E200:G200"/>
    <mergeCell ref="E201:G201"/>
    <mergeCell ref="E129:G129"/>
    <mergeCell ref="E124:G124"/>
    <mergeCell ref="E119:G119"/>
    <mergeCell ref="E109:N109"/>
    <mergeCell ref="E150:G150"/>
    <mergeCell ref="E151:G151"/>
    <mergeCell ref="E178:G178"/>
    <mergeCell ref="G249:L249"/>
    <mergeCell ref="G252:L252"/>
    <mergeCell ref="I466:L466"/>
    <mergeCell ref="E406:G406"/>
    <mergeCell ref="H490:L490"/>
    <mergeCell ref="H491:L491"/>
    <mergeCell ref="H481:L481"/>
    <mergeCell ref="E473:G473"/>
    <mergeCell ref="E486:G486"/>
    <mergeCell ref="E490:G490"/>
    <mergeCell ref="E488:G488"/>
    <mergeCell ref="E415:F415"/>
    <mergeCell ref="E436:G436"/>
    <mergeCell ref="E430:G430"/>
    <mergeCell ref="E437:G437"/>
    <mergeCell ref="E438:G438"/>
    <mergeCell ref="E439:G439"/>
    <mergeCell ref="D466:H466"/>
    <mergeCell ref="E458:G458"/>
    <mergeCell ref="E459:G459"/>
    <mergeCell ref="E489:G489"/>
    <mergeCell ref="E484:G484"/>
    <mergeCell ref="E462:G462"/>
    <mergeCell ref="E421:F421"/>
    <mergeCell ref="G421:L421"/>
    <mergeCell ref="F413:N413"/>
    <mergeCell ref="E375:N375"/>
    <mergeCell ref="E313:G313"/>
    <mergeCell ref="E314:G314"/>
    <mergeCell ref="E311:G311"/>
    <mergeCell ref="E315:G315"/>
    <mergeCell ref="F340:N340"/>
    <mergeCell ref="E354:N354"/>
    <mergeCell ref="E356:G356"/>
    <mergeCell ref="E367:G367"/>
    <mergeCell ref="E330:N330"/>
    <mergeCell ref="E337:N337"/>
    <mergeCell ref="I325:L325"/>
    <mergeCell ref="G348:L348"/>
    <mergeCell ref="E366:G366"/>
    <mergeCell ref="E357:G357"/>
    <mergeCell ref="E319:G319"/>
    <mergeCell ref="E338:N338"/>
    <mergeCell ref="M325:N325"/>
    <mergeCell ref="I326:N326"/>
    <mergeCell ref="E344:F344"/>
    <mergeCell ref="E317:G317"/>
    <mergeCell ref="D370:N370"/>
    <mergeCell ref="G352:L352"/>
    <mergeCell ref="E361:G361"/>
    <mergeCell ref="E434:G434"/>
    <mergeCell ref="E435:G435"/>
    <mergeCell ref="G417:L417"/>
    <mergeCell ref="G415:L415"/>
    <mergeCell ref="E416:F416"/>
    <mergeCell ref="E425:F425"/>
    <mergeCell ref="E427:N427"/>
    <mergeCell ref="E429:G429"/>
    <mergeCell ref="E431:G431"/>
    <mergeCell ref="E423:F423"/>
    <mergeCell ref="G416:L416"/>
    <mergeCell ref="G425:L425"/>
    <mergeCell ref="G423:L423"/>
    <mergeCell ref="E424:F424"/>
    <mergeCell ref="G424:L424"/>
    <mergeCell ref="E420:F420"/>
    <mergeCell ref="G420:L420"/>
    <mergeCell ref="E432:G432"/>
    <mergeCell ref="E433:G433"/>
    <mergeCell ref="E71:M71"/>
    <mergeCell ref="E77:N77"/>
    <mergeCell ref="E302:G302"/>
    <mergeCell ref="E303:G303"/>
    <mergeCell ref="E295:N295"/>
    <mergeCell ref="E286:N286"/>
    <mergeCell ref="E342:F342"/>
    <mergeCell ref="E157:F157"/>
    <mergeCell ref="G157:H157"/>
    <mergeCell ref="I157:L157"/>
    <mergeCell ref="G158:H158"/>
    <mergeCell ref="I158:L158"/>
    <mergeCell ref="E328:N328"/>
    <mergeCell ref="D335:N335"/>
    <mergeCell ref="E331:N331"/>
    <mergeCell ref="E252:F252"/>
    <mergeCell ref="G248:L248"/>
    <mergeCell ref="E288:G288"/>
    <mergeCell ref="E239:N239"/>
    <mergeCell ref="E240:N240"/>
    <mergeCell ref="E241:G241"/>
    <mergeCell ref="E242:G242"/>
    <mergeCell ref="G254:L254"/>
    <mergeCell ref="E266:G266"/>
    <mergeCell ref="E378:G378"/>
    <mergeCell ref="F412:N412"/>
    <mergeCell ref="E300:N300"/>
    <mergeCell ref="E72:M72"/>
    <mergeCell ref="E73:M73"/>
    <mergeCell ref="D67:N67"/>
    <mergeCell ref="E53:G53"/>
    <mergeCell ref="R3:S3"/>
    <mergeCell ref="T3:U3"/>
    <mergeCell ref="E56:G56"/>
    <mergeCell ref="E57:G57"/>
    <mergeCell ref="E58:G58"/>
    <mergeCell ref="E59:G59"/>
    <mergeCell ref="E35:N35"/>
    <mergeCell ref="G39:H39"/>
    <mergeCell ref="I41:L41"/>
    <mergeCell ref="E40:F40"/>
    <mergeCell ref="G40:H40"/>
    <mergeCell ref="I39:L39"/>
    <mergeCell ref="E34:N34"/>
    <mergeCell ref="E37:N37"/>
    <mergeCell ref="E36:N36"/>
    <mergeCell ref="F32:N32"/>
    <mergeCell ref="G4:H4"/>
    <mergeCell ref="V3:W3"/>
    <mergeCell ref="P4:Q4"/>
    <mergeCell ref="R4:S4"/>
    <mergeCell ref="T4:U4"/>
    <mergeCell ref="V4:W4"/>
    <mergeCell ref="P3:Q3"/>
    <mergeCell ref="E46:F46"/>
    <mergeCell ref="E54:G54"/>
    <mergeCell ref="E55:G55"/>
    <mergeCell ref="E44:F44"/>
    <mergeCell ref="E42:F42"/>
    <mergeCell ref="I42:L42"/>
    <mergeCell ref="G42:H42"/>
    <mergeCell ref="E43:F43"/>
    <mergeCell ref="G44:H44"/>
    <mergeCell ref="I47:L47"/>
    <mergeCell ref="I45:L45"/>
    <mergeCell ref="I46:L46"/>
    <mergeCell ref="E45:F45"/>
    <mergeCell ref="G46:H46"/>
    <mergeCell ref="G43:H43"/>
    <mergeCell ref="I43:L43"/>
    <mergeCell ref="E41:F41"/>
    <mergeCell ref="G41:H41"/>
    <mergeCell ref="D551:N551"/>
    <mergeCell ref="M2:N2"/>
    <mergeCell ref="E3:F3"/>
    <mergeCell ref="G3:H3"/>
    <mergeCell ref="I3:J3"/>
    <mergeCell ref="K3:L3"/>
    <mergeCell ref="M3:N3"/>
    <mergeCell ref="B2:D4"/>
    <mergeCell ref="I2:J2"/>
    <mergeCell ref="E14:N14"/>
    <mergeCell ref="M4:N4"/>
    <mergeCell ref="D6:N6"/>
    <mergeCell ref="D10:N10"/>
    <mergeCell ref="D12:H12"/>
    <mergeCell ref="I12:L12"/>
    <mergeCell ref="M12:N12"/>
    <mergeCell ref="K4:L4"/>
    <mergeCell ref="E8:M8"/>
    <mergeCell ref="E39:F39"/>
    <mergeCell ref="D153:N153"/>
    <mergeCell ref="I44:L44"/>
    <mergeCell ref="G2:H2"/>
    <mergeCell ref="K2:L2"/>
    <mergeCell ref="E4:F4"/>
    <mergeCell ref="I4:J4"/>
    <mergeCell ref="I13:N13"/>
    <mergeCell ref="E15:N15"/>
    <mergeCell ref="F16:N16"/>
    <mergeCell ref="F17:N17"/>
    <mergeCell ref="E23:G23"/>
    <mergeCell ref="E24:G24"/>
    <mergeCell ref="D26:N26"/>
    <mergeCell ref="E28:N28"/>
    <mergeCell ref="E19:N19"/>
    <mergeCell ref="E20:N20"/>
    <mergeCell ref="E21:N21"/>
    <mergeCell ref="E22:N22"/>
    <mergeCell ref="I40:L40"/>
    <mergeCell ref="E33:N33"/>
    <mergeCell ref="E29:N29"/>
    <mergeCell ref="F30:N30"/>
    <mergeCell ref="F31:N31"/>
    <mergeCell ref="E139:G139"/>
    <mergeCell ref="E136:G136"/>
    <mergeCell ref="E137:G137"/>
    <mergeCell ref="D143:H143"/>
    <mergeCell ref="I143:L143"/>
    <mergeCell ref="E131:G131"/>
    <mergeCell ref="E132:G132"/>
    <mergeCell ref="E133:G133"/>
    <mergeCell ref="E135:G135"/>
    <mergeCell ref="F112:N112"/>
    <mergeCell ref="F113:N113"/>
    <mergeCell ref="F114:N114"/>
    <mergeCell ref="F115:N115"/>
    <mergeCell ref="E127:G127"/>
    <mergeCell ref="E125:G125"/>
    <mergeCell ref="E120:G120"/>
    <mergeCell ref="E123:G123"/>
    <mergeCell ref="E118:M118"/>
    <mergeCell ref="E116:N116"/>
    <mergeCell ref="E376:N376"/>
    <mergeCell ref="E392:G392"/>
    <mergeCell ref="E385:G385"/>
    <mergeCell ref="E382:N382"/>
    <mergeCell ref="E386:G386"/>
    <mergeCell ref="E377:N377"/>
    <mergeCell ref="E381:N381"/>
    <mergeCell ref="E374:N374"/>
    <mergeCell ref="E155:N155"/>
    <mergeCell ref="E256:F256"/>
    <mergeCell ref="E305:G305"/>
    <mergeCell ref="E306:G306"/>
    <mergeCell ref="E299:N299"/>
    <mergeCell ref="E318:G318"/>
    <mergeCell ref="E158:F158"/>
    <mergeCell ref="E301:G301"/>
    <mergeCell ref="E297:G297"/>
    <mergeCell ref="E296:G296"/>
    <mergeCell ref="D234:H234"/>
    <mergeCell ref="I234:L234"/>
    <mergeCell ref="M234:N234"/>
    <mergeCell ref="I235:N235"/>
    <mergeCell ref="E285:N285"/>
    <mergeCell ref="E287:G287"/>
    <mergeCell ref="G253:L253"/>
    <mergeCell ref="E253:F253"/>
    <mergeCell ref="G257:L257"/>
    <mergeCell ref="E246:N246"/>
    <mergeCell ref="G255:L255"/>
    <mergeCell ref="G256:L256"/>
    <mergeCell ref="E291:G291"/>
    <mergeCell ref="G250:L250"/>
    <mergeCell ref="G251:L251"/>
    <mergeCell ref="E254:F254"/>
    <mergeCell ref="E255:F255"/>
    <mergeCell ref="E281:N281"/>
    <mergeCell ref="E272:G272"/>
    <mergeCell ref="E263:G263"/>
    <mergeCell ref="E264:G264"/>
    <mergeCell ref="E265:G265"/>
    <mergeCell ref="E267:G267"/>
    <mergeCell ref="E268:G268"/>
    <mergeCell ref="D244:N244"/>
    <mergeCell ref="E289:G289"/>
    <mergeCell ref="E292:G292"/>
    <mergeCell ref="E309:G309"/>
    <mergeCell ref="E310:G310"/>
    <mergeCell ref="G162:H162"/>
    <mergeCell ref="I162:L162"/>
    <mergeCell ref="E163:F163"/>
    <mergeCell ref="G163:H163"/>
    <mergeCell ref="I163:L163"/>
    <mergeCell ref="E167:F167"/>
    <mergeCell ref="G167:H167"/>
    <mergeCell ref="I167:L167"/>
    <mergeCell ref="E169:N169"/>
    <mergeCell ref="E171:G171"/>
    <mergeCell ref="E196:G196"/>
    <mergeCell ref="E197:G197"/>
    <mergeCell ref="E198:G198"/>
    <mergeCell ref="E208:N208"/>
    <mergeCell ref="E226:G226"/>
    <mergeCell ref="E182:G182"/>
    <mergeCell ref="D185:N185"/>
    <mergeCell ref="E189:N189"/>
    <mergeCell ref="E191:G191"/>
    <mergeCell ref="I159:L159"/>
    <mergeCell ref="I166:L166"/>
    <mergeCell ref="E160:F160"/>
    <mergeCell ref="G160:H160"/>
    <mergeCell ref="I160:L160"/>
    <mergeCell ref="E161:F161"/>
    <mergeCell ref="G161:H161"/>
    <mergeCell ref="I161:L161"/>
    <mergeCell ref="E162:F162"/>
    <mergeCell ref="E164:F164"/>
    <mergeCell ref="G164:H164"/>
    <mergeCell ref="I164:L164"/>
    <mergeCell ref="E165:F165"/>
    <mergeCell ref="G165:H165"/>
    <mergeCell ref="I165:L165"/>
    <mergeCell ref="E166:F166"/>
    <mergeCell ref="G166:H166"/>
    <mergeCell ref="E192:G192"/>
    <mergeCell ref="E194:N194"/>
    <mergeCell ref="E195:N195"/>
    <mergeCell ref="E215:G215"/>
    <mergeCell ref="E203:N203"/>
    <mergeCell ref="E204:N204"/>
    <mergeCell ref="E209:N209"/>
    <mergeCell ref="E228:G228"/>
    <mergeCell ref="G346:L346"/>
    <mergeCell ref="E223:G223"/>
    <mergeCell ref="E205:G205"/>
    <mergeCell ref="E206:G206"/>
    <mergeCell ref="E294:N294"/>
    <mergeCell ref="E216:G216"/>
    <mergeCell ref="E249:F249"/>
    <mergeCell ref="E282:G282"/>
    <mergeCell ref="E248:F248"/>
    <mergeCell ref="E212:G212"/>
    <mergeCell ref="E214:G214"/>
    <mergeCell ref="E218:G218"/>
    <mergeCell ref="E211:G211"/>
    <mergeCell ref="E237:N237"/>
    <mergeCell ref="E250:F250"/>
    <mergeCell ref="E251:F251"/>
    <mergeCell ref="E146:N146"/>
    <mergeCell ref="E405:G405"/>
    <mergeCell ref="E280:N280"/>
    <mergeCell ref="E260:N260"/>
    <mergeCell ref="E262:G262"/>
    <mergeCell ref="E273:G273"/>
    <mergeCell ref="E210:G210"/>
    <mergeCell ref="G345:L345"/>
    <mergeCell ref="E222:G222"/>
    <mergeCell ref="D398:H398"/>
    <mergeCell ref="G343:L343"/>
    <mergeCell ref="G344:L344"/>
    <mergeCell ref="E257:F257"/>
    <mergeCell ref="E283:G283"/>
    <mergeCell ref="E258:F258"/>
    <mergeCell ref="E333:G333"/>
    <mergeCell ref="E332:G332"/>
    <mergeCell ref="F339:N339"/>
    <mergeCell ref="D276:N276"/>
    <mergeCell ref="D325:H325"/>
    <mergeCell ref="E227:G227"/>
    <mergeCell ref="G342:L342"/>
    <mergeCell ref="E219:G219"/>
    <mergeCell ref="E220:G220"/>
    <mergeCell ref="E453:N453"/>
    <mergeCell ref="E454:G454"/>
    <mergeCell ref="E455:G455"/>
    <mergeCell ref="E456:G456"/>
    <mergeCell ref="E461:G461"/>
    <mergeCell ref="E471:N471"/>
    <mergeCell ref="M466:N466"/>
    <mergeCell ref="E495:G495"/>
    <mergeCell ref="E440:G440"/>
    <mergeCell ref="D443:N443"/>
    <mergeCell ref="E447:N447"/>
    <mergeCell ref="E448:N448"/>
    <mergeCell ref="E449:G449"/>
    <mergeCell ref="E450:G450"/>
    <mergeCell ref="E493:N493"/>
    <mergeCell ref="E469:N469"/>
    <mergeCell ref="E491:G491"/>
    <mergeCell ref="E452:N452"/>
    <mergeCell ref="E485:G485"/>
    <mergeCell ref="E483:G483"/>
    <mergeCell ref="E479:N479"/>
    <mergeCell ref="D476:N476"/>
    <mergeCell ref="H482:L482"/>
    <mergeCell ref="H483:L483"/>
    <mergeCell ref="M509:N509"/>
    <mergeCell ref="E524:G524"/>
    <mergeCell ref="H524:L524"/>
    <mergeCell ref="E525:G525"/>
    <mergeCell ref="H525:L525"/>
    <mergeCell ref="H523:L523"/>
    <mergeCell ref="E515:N515"/>
    <mergeCell ref="D519:N519"/>
    <mergeCell ref="H488:L488"/>
    <mergeCell ref="H489:L489"/>
    <mergeCell ref="E521:N521"/>
    <mergeCell ref="E514:N514"/>
    <mergeCell ref="E516:G516"/>
    <mergeCell ref="E517:G517"/>
    <mergeCell ref="I510:N510"/>
    <mergeCell ref="E512:N512"/>
    <mergeCell ref="D509:H509"/>
    <mergeCell ref="I509:L509"/>
    <mergeCell ref="E506:G506"/>
    <mergeCell ref="E496:G496"/>
    <mergeCell ref="E497:G497"/>
    <mergeCell ref="E498:G498"/>
    <mergeCell ref="E499:G499"/>
    <mergeCell ref="E502:G502"/>
    <mergeCell ref="H526:L526"/>
    <mergeCell ref="E535:N535"/>
    <mergeCell ref="E537:G537"/>
    <mergeCell ref="E548:G548"/>
    <mergeCell ref="E530:G530"/>
    <mergeCell ref="H530:L530"/>
    <mergeCell ref="E531:G531"/>
    <mergeCell ref="H531:L531"/>
    <mergeCell ref="E532:G532"/>
    <mergeCell ref="E544:G544"/>
    <mergeCell ref="E545:G545"/>
    <mergeCell ref="E546:G546"/>
    <mergeCell ref="E547:G547"/>
    <mergeCell ref="H532:L532"/>
    <mergeCell ref="E533:G533"/>
    <mergeCell ref="H533:L533"/>
    <mergeCell ref="E527:G527"/>
    <mergeCell ref="H527:L527"/>
    <mergeCell ref="E528:G528"/>
    <mergeCell ref="H528:L528"/>
    <mergeCell ref="E529:G529"/>
    <mergeCell ref="H529:L529"/>
    <mergeCell ref="E51:N51"/>
    <mergeCell ref="E48:F48"/>
    <mergeCell ref="G45:H45"/>
    <mergeCell ref="E62:G62"/>
    <mergeCell ref="E63:G63"/>
    <mergeCell ref="D69:H69"/>
    <mergeCell ref="I69:N69"/>
    <mergeCell ref="E47:F47"/>
    <mergeCell ref="G47:H47"/>
    <mergeCell ref="I49:L49"/>
    <mergeCell ref="I48:L48"/>
    <mergeCell ref="G49:H49"/>
    <mergeCell ref="E49:F49"/>
    <mergeCell ref="G48:H48"/>
    <mergeCell ref="E60:G60"/>
    <mergeCell ref="E61:G61"/>
    <mergeCell ref="E64:G64"/>
    <mergeCell ref="E74:M74"/>
    <mergeCell ref="F81:N81"/>
    <mergeCell ref="E92:N92"/>
    <mergeCell ref="E93:N93"/>
    <mergeCell ref="E91:N91"/>
    <mergeCell ref="E104:N104"/>
    <mergeCell ref="E86:G86"/>
    <mergeCell ref="E75:M75"/>
    <mergeCell ref="E90:N90"/>
    <mergeCell ref="F84:N84"/>
    <mergeCell ref="E96:G96"/>
    <mergeCell ref="E79:N79"/>
    <mergeCell ref="F80:N80"/>
    <mergeCell ref="F82:N82"/>
    <mergeCell ref="E89:N89"/>
    <mergeCell ref="E88:N88"/>
    <mergeCell ref="E85:G85"/>
    <mergeCell ref="E78:N78"/>
    <mergeCell ref="F83:N83"/>
    <mergeCell ref="E106:G106"/>
    <mergeCell ref="E102:N102"/>
    <mergeCell ref="E103:N103"/>
    <mergeCell ref="E105:G105"/>
    <mergeCell ref="E224:G224"/>
    <mergeCell ref="F111:N111"/>
    <mergeCell ref="D445:H445"/>
    <mergeCell ref="I445:N445"/>
    <mergeCell ref="D187:H187"/>
    <mergeCell ref="I187:N187"/>
    <mergeCell ref="D278:H278"/>
    <mergeCell ref="I278:N278"/>
    <mergeCell ref="D372:H372"/>
    <mergeCell ref="I372:N372"/>
    <mergeCell ref="E230:G230"/>
    <mergeCell ref="G258:L258"/>
    <mergeCell ref="E418:F418"/>
    <mergeCell ref="G418:L418"/>
    <mergeCell ref="E419:F419"/>
    <mergeCell ref="G419:L419"/>
    <mergeCell ref="E347:F347"/>
    <mergeCell ref="D408:N408"/>
    <mergeCell ref="E348:F348"/>
    <mergeCell ref="G349:L349"/>
  </mergeCells>
  <phoneticPr fontId="35" type="noConversion"/>
  <conditionalFormatting sqref="B2:D4">
    <cfRule type="expression" dxfId="159" priority="130" stopIfTrue="1">
      <formula>$G$573</formula>
    </cfRule>
  </conditionalFormatting>
  <conditionalFormatting sqref="I517:M517">
    <cfRule type="expression" dxfId="158" priority="41" stopIfTrue="1">
      <formula>$AC517</formula>
    </cfRule>
  </conditionalFormatting>
  <conditionalFormatting sqref="I474:M474">
    <cfRule type="expression" dxfId="157" priority="40" stopIfTrue="1">
      <formula>$AC474</formula>
    </cfRule>
  </conditionalFormatting>
  <conditionalFormatting sqref="N23:N24">
    <cfRule type="expression" dxfId="156" priority="38" stopIfTrue="1">
      <formula>$AA23</formula>
    </cfRule>
  </conditionalFormatting>
  <conditionalFormatting sqref="N150:N151">
    <cfRule type="expression" dxfId="155" priority="37" stopIfTrue="1">
      <formula>$AA150</formula>
    </cfRule>
  </conditionalFormatting>
  <conditionalFormatting sqref="N241:N242">
    <cfRule type="expression" dxfId="154" priority="36" stopIfTrue="1">
      <formula>$AA241</formula>
    </cfRule>
  </conditionalFormatting>
  <conditionalFormatting sqref="N332:N333">
    <cfRule type="expression" dxfId="153" priority="35" stopIfTrue="1">
      <formula>$AA332</formula>
    </cfRule>
  </conditionalFormatting>
  <conditionalFormatting sqref="N405:N406">
    <cfRule type="expression" dxfId="152" priority="34" stopIfTrue="1">
      <formula>$AA405</formula>
    </cfRule>
  </conditionalFormatting>
  <conditionalFormatting sqref="N473:N474">
    <cfRule type="expression" dxfId="151" priority="33" stopIfTrue="1">
      <formula>$AA473</formula>
    </cfRule>
  </conditionalFormatting>
  <conditionalFormatting sqref="N516:N517">
    <cfRule type="expression" dxfId="150" priority="32" stopIfTrue="1">
      <formula>$AA516</formula>
    </cfRule>
  </conditionalFormatting>
  <conditionalFormatting sqref="G3:N4">
    <cfRule type="expression" dxfId="149" priority="351" stopIfTrue="1">
      <formula>INDEX($G$280:$G$286,MATCH("BM"&amp;P3,$F$280:$F$286,0))</formula>
    </cfRule>
  </conditionalFormatting>
  <conditionalFormatting sqref="E40:M40">
    <cfRule type="expression" dxfId="148" priority="353" stopIfTrue="1">
      <formula>$AC13</formula>
    </cfRule>
  </conditionalFormatting>
  <conditionalFormatting sqref="C469:N495 C512:N537 C506:N506 C496:E505 H496:N505 C548:N548 C538:E547 H538:N547 C401:N429 C440:N444 C430:E439 H430:N439 C328:N356 C357:E366 H357:N366 C237:N262 C263:E272 C172:E181 C54:E63 C367:N395 C447:N463 C14:N53 C146:N171 C64:N140 C182:N231 H263:N272 C273:N322 H54:N63 H172:N181">
    <cfRule type="expression" dxfId="147" priority="9" stopIfTrue="1">
      <formula>INDEX($AC:$AC,MATCH(MAX(INDIRECT(ADDRESS(1,3)&amp;":"&amp;ADDRESS(ROW(C14),3))),$C:$C,0))</formula>
    </cfRule>
  </conditionalFormatting>
  <conditionalFormatting sqref="C445:N446">
    <cfRule type="expression" dxfId="146" priority="4" stopIfTrue="1">
      <formula>INDEX($AC:$AC,MATCH(MAX(INDIRECT(ADDRESS(1,3)&amp;":"&amp;ADDRESS(ROW(C445),3))),$C:$C,0))</formula>
    </cfRule>
  </conditionalFormatting>
  <conditionalFormatting sqref="M41">
    <cfRule type="expression" dxfId="145" priority="3" stopIfTrue="1">
      <formula>$AC14</formula>
    </cfRule>
  </conditionalFormatting>
  <conditionalFormatting sqref="I158:L158">
    <cfRule type="expression" dxfId="144" priority="2" stopIfTrue="1">
      <formula>$AC131</formula>
    </cfRule>
  </conditionalFormatting>
  <conditionalFormatting sqref="I159:L159">
    <cfRule type="expression" dxfId="143" priority="1" stopIfTrue="1">
      <formula>$AC132</formula>
    </cfRule>
  </conditionalFormatting>
  <dataValidations disablePrompts="1" count="6">
    <dataValidation type="list" allowBlank="1" showInputMessage="1" showErrorMessage="1" sqref="G40:G49 G158:G167">
      <formula1>CNTR_ConnectionListAndWithinInst</formula1>
    </dataValidation>
    <dataValidation type="list" allowBlank="1" showInputMessage="1" showErrorMessage="1" sqref="E40:F49 E158:F167">
      <formula1>EUconst_HeatUseTypes</formula1>
    </dataValidation>
    <dataValidation type="list" allowBlank="1" showInputMessage="1" showErrorMessage="1" sqref="E343:F352 E416:F425">
      <formula1>EUconst_FuelUseTypes</formula1>
    </dataValidation>
    <dataValidation type="list" allowBlank="1" showInputMessage="1" showErrorMessage="1" sqref="E482:E491 E524:E533">
      <formula1>EUconst_ProcessEmissionTypes</formula1>
    </dataValidation>
    <dataValidation type="list" allowBlank="1" showInputMessage="1" showErrorMessage="1" sqref="G249:L258">
      <formula1>CNTR_ConnectionEntityList</formula1>
    </dataValidation>
    <dataValidation type="decimal" operator="greaterThanOrEqual" allowBlank="1" showInputMessage="1" showErrorMessage="1" errorTitle="Value &lt; 0" error="Values have to be &gt;= 0" sqref="I391:M391 I461:M461">
      <formula1>0</formula1>
    </dataValidation>
  </dataValidations>
  <hyperlinks>
    <hyperlink ref="G2:H2" location="JUMP_TOC_Home" display="Table of contents"/>
    <hyperlink ref="M2:N2" location="JUMP_K_I" display="Summary"/>
    <hyperlink ref="E3:F3" location="JUMP_G_Top" display="Top of sheet"/>
    <hyperlink ref="I2:J2" location="JUMP_F_Top" display="Previous sheet"/>
    <hyperlink ref="E4:F4" location="JUMP_G_Bottom" display="End of sheet"/>
    <hyperlink ref="D551:N551" location="JUMP_H_Top" display="&lt;&lt;&lt; Click here to proceed to next sheet &gt;&gt;&gt; "/>
    <hyperlink ref="K2:L2" location="JUMP_H_Top" display="Next sheet"/>
    <hyperlink ref="E35" r:id="rId1" display="http://ec.europa.eu/eurostat/ramon/nomenclatures/index.cfm?TargetUrl=LST_CLS_DLD&amp;StrNom=PRD_2010&amp;StrLanguageCode=EN&amp;StrLayoutCode=HIERARCHIC"/>
    <hyperlink ref="E328:N328" location="JUMP_G_Top" display="JUMP_G_Top"/>
    <hyperlink ref="E469:N469" location="JUMP_G_Top" display="JUMP_G_Top"/>
    <hyperlink ref="E237:N237" location="JUMP_G_Top" display="JUMP_G_Top"/>
    <hyperlink ref="E146:N146" location="JUMP_G_Top" display="JUMP_G_Top"/>
    <hyperlink ref="E401:N401" location="JUMP_G_Top" display="JUMP_G_Top"/>
    <hyperlink ref="E512:N512" location="JUMP_G_Top" display="JUMP_G_Top"/>
    <hyperlink ref="E515:N515" location="JUMP_D_IV" display="Values entered here should include eligible emissions from any waste gases as determined in section D.IV."/>
    <hyperlink ref="E472:N472" location="JUMP_D_IV" display="Values entered here should include eligible emissions from any waste gases as determined in section D.IV."/>
    <hyperlink ref="E20:N20" location="JUMP_E_HeatFinal" display="Values entered here should include eligible emissions from any waste gases as determined in section D.IV."/>
    <hyperlink ref="E149:N149" location="JUMP_E_HeatFinal" display="Values entered here should include eligible emissions from any waste gases as determined in section D.IV."/>
    <hyperlink ref="E240:N240" location="JUMP_E_HeatFinal" display="Values entered here should include eligible emissions from any waste gases as determined in section D.IV."/>
    <hyperlink ref="E331:N331" location="JUMP_E_I" display="The following data is taken automatically from sheet &quot;E_EnergyFlows&quot;, section E.II.r. Thus, data input is mandatory there."/>
    <hyperlink ref="E404:N404" location="JUMP_E_I" display="The following data is taken automatically from sheet &quot;E_EnergyFlows&quot;, section E.II.r. Thus, data input is mandatory there."/>
    <hyperlink ref="E118:M118" location="JUMP_D_III" display="For attributing emissions from cogeneration (CHP) to production of heat and electricity, the &quot;CHP tool&quot; in section D.III. has to be used."/>
    <hyperlink ref="E75:M75" location="JUMP_K_III2" display="Upon entries made below, the attributable emissions are calculated in section K.III.2 of the summary sheet."/>
    <hyperlink ref="E74:M74" r:id="rId2" location="tab-0-1" display="https://ec.europa.eu/clima/policies/ets/allowances_en - tab-0-1"/>
    <hyperlink ref="AD88" r:id="rId3"/>
    <hyperlink ref="AD194" r:id="rId4"/>
    <hyperlink ref="AD285" r:id="rId5"/>
  </hyperlinks>
  <pageMargins left="0.78740157480314965" right="0.78740157480314965" top="0.78740157480314965" bottom="0.78740157480314965" header="0.51181102362204722" footer="0.51181102362204722"/>
  <pageSetup paperSize="9" scale="61" fitToHeight="25" orientation="portrait" r:id="rId6"/>
  <headerFooter alignWithMargins="0">
    <oddHeader>&amp;L&amp;F; &amp;A&amp;R&amp;D; &amp;T</oddHeader>
    <oddFooter>&amp;C&amp;P / &amp;N</oddFooter>
  </headerFooter>
  <legacyDrawing r:id="rId7"/>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indexed="40"/>
    <pageSetUpPr fitToPage="1"/>
  </sheetPr>
  <dimension ref="A1:X395"/>
  <sheetViews>
    <sheetView zoomScaleNormal="100" workbookViewId="0">
      <pane ySplit="5" topLeftCell="A6" activePane="bottomLeft" state="frozen"/>
      <selection activeCell="B2" sqref="B2"/>
      <selection pane="bottomLeft" activeCell="B2" sqref="B2:D4"/>
    </sheetView>
  </sheetViews>
  <sheetFormatPr defaultColWidth="11.42578125" defaultRowHeight="12.75" x14ac:dyDescent="0.2"/>
  <cols>
    <col min="1" max="1" width="2.7109375" style="2" hidden="1" customWidth="1"/>
    <col min="2" max="2" width="2.7109375" style="1" customWidth="1"/>
    <col min="3" max="4" width="4.7109375" style="1" customWidth="1"/>
    <col min="5" max="14" width="12.7109375" style="1" customWidth="1"/>
    <col min="15" max="15" width="4.7109375" style="1" customWidth="1"/>
    <col min="16" max="16" width="12.7109375" style="2" hidden="1" customWidth="1"/>
    <col min="17" max="24" width="11.42578125" style="2" hidden="1" customWidth="1"/>
    <col min="25" max="16384" width="11.42578125" style="700"/>
  </cols>
  <sheetData>
    <row r="1" spans="1:24" s="2" customFormat="1" ht="13.5" hidden="1" thickBot="1" x14ac:dyDescent="0.25">
      <c r="A1" s="2" t="s">
        <v>101</v>
      </c>
      <c r="P1" s="2" t="s">
        <v>101</v>
      </c>
      <c r="Q1" s="2" t="s">
        <v>101</v>
      </c>
      <c r="R1" s="2" t="s">
        <v>101</v>
      </c>
      <c r="S1" s="2" t="s">
        <v>101</v>
      </c>
      <c r="T1" s="2" t="s">
        <v>101</v>
      </c>
      <c r="U1" s="2" t="s">
        <v>101</v>
      </c>
      <c r="V1" s="2" t="s">
        <v>101</v>
      </c>
      <c r="W1" s="2" t="s">
        <v>101</v>
      </c>
      <c r="X1" s="2" t="s">
        <v>101</v>
      </c>
    </row>
    <row r="2" spans="1:24" ht="13.5" thickBot="1" x14ac:dyDescent="0.25">
      <c r="B2" s="1548" t="str">
        <f>Translations!$B$901</f>
        <v>H. Special BM</v>
      </c>
      <c r="C2" s="1549"/>
      <c r="D2" s="1550"/>
      <c r="E2" s="790" t="str">
        <f>Translations!$B$2</f>
        <v>Obszar nawigacji:</v>
      </c>
      <c r="F2" s="791"/>
      <c r="G2" s="1558" t="str">
        <f>Translations!$B$18</f>
        <v>Spis treści</v>
      </c>
      <c r="H2" s="1339"/>
      <c r="I2" s="1339" t="str">
        <f>Translations!$B$19</f>
        <v>Poprzedni arkusz</v>
      </c>
      <c r="J2" s="1339"/>
      <c r="K2" s="1339" t="str">
        <f>Translations!$B$3</f>
        <v>Następny arkusz</v>
      </c>
      <c r="L2" s="1339"/>
      <c r="M2" s="1339" t="str">
        <f>Translations!$B$4</f>
        <v>Podsumowanie</v>
      </c>
      <c r="N2" s="1339"/>
      <c r="O2" s="7"/>
      <c r="P2" s="8"/>
      <c r="Q2" s="8"/>
      <c r="R2" s="8"/>
      <c r="S2" s="8"/>
      <c r="T2" s="8"/>
      <c r="U2" s="8"/>
      <c r="V2" s="8"/>
      <c r="W2" s="8"/>
      <c r="X2" s="8"/>
    </row>
    <row r="3" spans="1:24" ht="13.5" thickBot="1" x14ac:dyDescent="0.25">
      <c r="B3" s="1551"/>
      <c r="C3" s="1552"/>
      <c r="D3" s="1553"/>
      <c r="E3" s="1339" t="str">
        <f>Translations!$B$5</f>
        <v>Początek arkusza</v>
      </c>
      <c r="F3" s="1542"/>
      <c r="G3" s="1919" t="str">
        <f>JUMP_H_I</f>
        <v>CWT (Produkty rafineryjne)</v>
      </c>
      <c r="H3" s="1721"/>
      <c r="I3" s="1721" t="str">
        <f>JUMP_H_II</f>
        <v>Wapno</v>
      </c>
      <c r="J3" s="1721"/>
      <c r="K3" s="1721" t="str">
        <f>JUMP_H_III</f>
        <v>Dolomit kalcynowany</v>
      </c>
      <c r="L3" s="1721"/>
      <c r="M3" s="1721" t="str">
        <f>JUMP_H_IV</f>
        <v>Kraking parowy</v>
      </c>
      <c r="N3" s="1721"/>
      <c r="O3" s="7"/>
      <c r="P3" s="8"/>
      <c r="Q3" s="8"/>
      <c r="R3" s="8"/>
      <c r="S3" s="8"/>
      <c r="T3" s="8"/>
      <c r="U3" s="8"/>
      <c r="V3" s="8"/>
      <c r="W3" s="8"/>
      <c r="X3" s="8"/>
    </row>
    <row r="4" spans="1:24" ht="13.5" thickBot="1" x14ac:dyDescent="0.25">
      <c r="B4" s="1554"/>
      <c r="C4" s="1555"/>
      <c r="D4" s="1556"/>
      <c r="E4" s="1339" t="str">
        <f>Translations!$B$6</f>
        <v>Koniec arkusza</v>
      </c>
      <c r="F4" s="1339"/>
      <c r="G4" s="1547" t="str">
        <f>JUMP_H_V</f>
        <v>CWT (Związki aromatyczne)</v>
      </c>
      <c r="H4" s="1545"/>
      <c r="I4" s="1545" t="str">
        <f>JUMP_H_VI</f>
        <v>Wodór</v>
      </c>
      <c r="J4" s="1545"/>
      <c r="K4" s="1545" t="str">
        <f>JUMP_H_VII</f>
        <v>Gaz syntezowy</v>
      </c>
      <c r="L4" s="1545"/>
      <c r="M4" s="1545" t="str">
        <f>JUMP_H_VIII</f>
        <v>Tlenek etylenu / glikole etylenowe</v>
      </c>
      <c r="N4" s="1545"/>
      <c r="O4" s="7"/>
      <c r="P4" s="8"/>
      <c r="Q4" s="8"/>
      <c r="R4" s="8"/>
      <c r="S4" s="8"/>
      <c r="T4" s="8"/>
      <c r="U4" s="8"/>
      <c r="V4" s="8"/>
      <c r="W4" s="8"/>
      <c r="X4" s="8"/>
    </row>
    <row r="5" spans="1:24" x14ac:dyDescent="0.2">
      <c r="B5" s="792"/>
      <c r="C5" s="792"/>
      <c r="D5" s="792"/>
      <c r="E5" s="1241"/>
      <c r="F5" s="1241"/>
      <c r="G5" s="1545" t="str">
        <f>JUMP_H_IX</f>
        <v>Monomer chlorku winylu (VCM)</v>
      </c>
      <c r="H5" s="1545"/>
      <c r="I5" s="1717"/>
      <c r="J5" s="1717"/>
      <c r="K5" s="1717"/>
      <c r="L5" s="1717"/>
      <c r="M5" s="1717"/>
      <c r="N5" s="1717"/>
      <c r="O5" s="7"/>
      <c r="P5" s="8"/>
      <c r="Q5" s="8"/>
      <c r="R5" s="8"/>
      <c r="S5" s="8"/>
      <c r="T5" s="8"/>
      <c r="U5" s="8"/>
      <c r="V5" s="8"/>
      <c r="W5" s="8"/>
      <c r="X5" s="8"/>
    </row>
    <row r="6" spans="1:24" x14ac:dyDescent="0.2">
      <c r="B6" s="3"/>
      <c r="C6" s="4"/>
      <c r="D6" s="5"/>
      <c r="E6" s="5"/>
      <c r="F6" s="6"/>
      <c r="G6" s="6"/>
      <c r="H6" s="6"/>
      <c r="I6" s="3"/>
      <c r="J6" s="3"/>
      <c r="K6" s="3"/>
      <c r="L6" s="3"/>
      <c r="M6" s="7"/>
      <c r="N6" s="7"/>
      <c r="O6" s="7"/>
      <c r="P6" s="8"/>
      <c r="Q6" s="8"/>
      <c r="R6" s="8"/>
      <c r="S6" s="8"/>
      <c r="T6" s="8"/>
      <c r="U6" s="8"/>
      <c r="V6" s="8"/>
      <c r="W6" s="8"/>
      <c r="X6" s="8"/>
    </row>
    <row r="7" spans="1:24" ht="38.25" customHeight="1" x14ac:dyDescent="0.2">
      <c r="B7" s="3"/>
      <c r="C7" s="9" t="s">
        <v>267</v>
      </c>
      <c r="D7" s="1371" t="str">
        <f>Translations!$B$902</f>
        <v>Arkusz „SpecialBM” (Szczególne wskaźniki emisyjności) – SZCZEGÓLNE DANE DOTYCZĄCE NIEKTÓRYCH WSKAŹNIKÓW EMISYJNOŚCI DLA PRODUKTÓW</v>
      </c>
      <c r="E7" s="1370"/>
      <c r="F7" s="1370"/>
      <c r="G7" s="1370"/>
      <c r="H7" s="1370"/>
      <c r="I7" s="1370"/>
      <c r="J7" s="1370"/>
      <c r="K7" s="1370"/>
      <c r="L7" s="1370"/>
      <c r="M7" s="1370"/>
      <c r="N7" s="1370"/>
      <c r="O7" s="7"/>
      <c r="P7" s="10" t="s">
        <v>75</v>
      </c>
      <c r="Q7" s="10" t="s">
        <v>75</v>
      </c>
      <c r="R7" s="10" t="s">
        <v>75</v>
      </c>
      <c r="S7" s="10" t="s">
        <v>75</v>
      </c>
      <c r="T7" s="10" t="s">
        <v>75</v>
      </c>
      <c r="U7" s="10" t="s">
        <v>75</v>
      </c>
      <c r="V7" s="10" t="s">
        <v>75</v>
      </c>
      <c r="W7" s="10" t="s">
        <v>75</v>
      </c>
      <c r="X7" s="10" t="s">
        <v>75</v>
      </c>
    </row>
    <row r="8" spans="1:24" x14ac:dyDescent="0.2">
      <c r="B8" s="3"/>
      <c r="C8" s="3"/>
      <c r="D8" s="3"/>
      <c r="E8" s="3"/>
      <c r="F8" s="3"/>
      <c r="G8" s="3"/>
      <c r="H8" s="3"/>
      <c r="I8" s="3"/>
      <c r="J8" s="3"/>
      <c r="K8" s="3"/>
      <c r="L8" s="3"/>
      <c r="M8" s="7"/>
      <c r="N8" s="7"/>
      <c r="O8" s="7"/>
      <c r="P8" s="11" t="s">
        <v>274</v>
      </c>
      <c r="Q8" s="11" t="s">
        <v>274</v>
      </c>
      <c r="R8" s="11" t="s">
        <v>274</v>
      </c>
      <c r="S8" s="11" t="s">
        <v>274</v>
      </c>
      <c r="T8" s="11" t="s">
        <v>274</v>
      </c>
      <c r="U8" s="11" t="s">
        <v>274</v>
      </c>
      <c r="V8" s="11" t="s">
        <v>274</v>
      </c>
      <c r="W8" s="11" t="s">
        <v>274</v>
      </c>
      <c r="X8" s="11" t="s">
        <v>274</v>
      </c>
    </row>
    <row r="9" spans="1:24" ht="15.75" x14ac:dyDescent="0.25">
      <c r="B9" s="3"/>
      <c r="C9" s="12" t="s">
        <v>407</v>
      </c>
      <c r="D9" s="1384" t="str">
        <f>Translations!$B$903</f>
        <v>CWT (Produkty rafineryjne)</v>
      </c>
      <c r="E9" s="1384"/>
      <c r="F9" s="1384"/>
      <c r="G9" s="1384"/>
      <c r="H9" s="1384"/>
      <c r="I9" s="1384"/>
      <c r="J9" s="1384"/>
      <c r="K9" s="1384"/>
      <c r="L9" s="1384"/>
      <c r="M9" s="1384"/>
      <c r="N9" s="1384"/>
      <c r="O9" s="7"/>
      <c r="P9" s="8"/>
    </row>
    <row r="10" spans="1:24" ht="5.0999999999999996" customHeight="1" x14ac:dyDescent="0.2">
      <c r="B10" s="3"/>
      <c r="C10" s="3"/>
      <c r="D10" s="3"/>
      <c r="E10" s="3"/>
      <c r="F10" s="3"/>
      <c r="G10" s="3"/>
      <c r="H10" s="3"/>
      <c r="I10" s="3"/>
      <c r="J10" s="3"/>
      <c r="K10" s="3"/>
      <c r="L10" s="3"/>
      <c r="M10" s="7"/>
      <c r="N10" s="7"/>
      <c r="O10" s="7"/>
      <c r="P10" s="8"/>
    </row>
    <row r="11" spans="1:24" ht="15" x14ac:dyDescent="0.25">
      <c r="B11" s="3"/>
      <c r="C11" s="18"/>
      <c r="D11" s="1439" t="str">
        <f>Translations!$B$904</f>
        <v>Narzędzie do obliczania historycznych poziomów działalności dla podinstalacji rafineryjnych</v>
      </c>
      <c r="E11" s="1370"/>
      <c r="F11" s="1370"/>
      <c r="G11" s="1370"/>
      <c r="H11" s="1370"/>
      <c r="I11" s="1370"/>
      <c r="J11" s="1370"/>
      <c r="K11" s="1370"/>
      <c r="L11" s="1370"/>
      <c r="M11" s="1370"/>
      <c r="N11" s="1370"/>
      <c r="O11" s="7"/>
      <c r="P11" s="8"/>
    </row>
    <row r="12" spans="1:24" ht="5.0999999999999996" customHeight="1" x14ac:dyDescent="0.2">
      <c r="B12" s="3"/>
      <c r="C12" s="3"/>
      <c r="D12" s="3"/>
      <c r="E12" s="3"/>
      <c r="F12" s="3"/>
      <c r="G12" s="3"/>
      <c r="H12" s="3"/>
      <c r="I12" s="3"/>
      <c r="J12" s="3"/>
      <c r="K12" s="3"/>
      <c r="L12" s="3"/>
      <c r="M12" s="7"/>
      <c r="N12" s="7"/>
      <c r="O12" s="7"/>
      <c r="P12" s="8"/>
    </row>
    <row r="13" spans="1:24" x14ac:dyDescent="0.2">
      <c r="B13" s="3"/>
      <c r="C13" s="3"/>
      <c r="D13" s="16"/>
      <c r="E13" s="1408" t="str">
        <f>Translations!$B$905</f>
        <v>Narzędzie to pomaga określić historyczne poziomy działalności dla wskaźnika dotyczącego rafinerii (pkt 1 załącznika III do FAR).</v>
      </c>
      <c r="F13" s="1370"/>
      <c r="G13" s="1370"/>
      <c r="H13" s="1370"/>
      <c r="I13" s="1370"/>
      <c r="J13" s="1370"/>
      <c r="K13" s="1370"/>
      <c r="L13" s="1370"/>
      <c r="M13" s="1370"/>
      <c r="N13" s="1370"/>
      <c r="O13" s="7"/>
      <c r="P13" s="8"/>
    </row>
    <row r="14" spans="1:24" ht="25.5" customHeight="1" x14ac:dyDescent="0.2">
      <c r="B14" s="3"/>
      <c r="C14" s="3"/>
      <c r="D14" s="16"/>
      <c r="E14" s="1408" t="str">
        <f>Translations!$B$906</f>
        <v>W przypadku wskaźnika dotyczącego związków aromatycznych, który również wykorzystuje CWT, należy użyć poniższego specjalnego narzędzia CWT dla związków aromatycznych (część V niniejszego arkusza).</v>
      </c>
      <c r="F14" s="1370"/>
      <c r="G14" s="1370"/>
      <c r="H14" s="1370"/>
      <c r="I14" s="1370"/>
      <c r="J14" s="1370"/>
      <c r="K14" s="1370"/>
      <c r="L14" s="1370"/>
      <c r="M14" s="1370"/>
      <c r="N14" s="1370"/>
      <c r="O14" s="7"/>
      <c r="P14" s="8"/>
    </row>
    <row r="15" spans="1:24" x14ac:dyDescent="0.2">
      <c r="B15" s="3"/>
      <c r="C15" s="3"/>
      <c r="D15" s="16"/>
      <c r="E15" s="1408" t="str">
        <f>Translations!$B$907</f>
        <v>Wynik zastosowania tego narzędzia jest automatycznie kopiowany do arkusza „F_ProductBM”, wiersz „a) ppkt (ii)” odpowiedniej podinstalacji.</v>
      </c>
      <c r="F15" s="1370"/>
      <c r="G15" s="1370"/>
      <c r="H15" s="1370"/>
      <c r="I15" s="1370"/>
      <c r="J15" s="1370"/>
      <c r="K15" s="1370"/>
      <c r="L15" s="1370"/>
      <c r="M15" s="1370"/>
      <c r="N15" s="1370"/>
      <c r="O15" s="7"/>
      <c r="P15" s="8"/>
    </row>
    <row r="16" spans="1:24" ht="5.0999999999999996" customHeight="1" x14ac:dyDescent="0.2">
      <c r="B16" s="3"/>
      <c r="C16" s="3"/>
      <c r="D16" s="3"/>
      <c r="E16" s="3"/>
      <c r="F16" s="3"/>
      <c r="G16" s="3"/>
      <c r="H16" s="3"/>
      <c r="I16" s="3"/>
      <c r="J16" s="3"/>
      <c r="K16" s="3"/>
      <c r="L16" s="3"/>
      <c r="M16" s="7"/>
      <c r="N16" s="7"/>
      <c r="O16" s="7"/>
      <c r="P16" s="8"/>
    </row>
    <row r="17" spans="2:22" ht="15" x14ac:dyDescent="0.25">
      <c r="B17" s="3"/>
      <c r="C17" s="3"/>
      <c r="D17" s="14" t="s">
        <v>173</v>
      </c>
      <c r="E17" s="1375" t="str">
        <f>Translations!$B$908</f>
        <v>Zastosowanie tego narzędzia w Państwa instalacji:</v>
      </c>
      <c r="F17" s="1375"/>
      <c r="G17" s="1375"/>
      <c r="H17" s="1375"/>
      <c r="I17" s="1375"/>
      <c r="J17" s="1375"/>
      <c r="K17" s="1637"/>
      <c r="L17" s="1913" t="str">
        <f>IF(CNTR_ExistSubInstEntries,IF(COUNTIF(CNTR_SubInstListNames,INDEX(EUconst_BMlistNames,Q17))&gt;0,EUconst_Relevant,EUconst_NotRelevant),"")</f>
        <v>nie dotyczy</v>
      </c>
      <c r="M17" s="1914"/>
      <c r="N17" s="1915"/>
      <c r="O17" s="7"/>
      <c r="P17" s="371" t="s">
        <v>34</v>
      </c>
      <c r="Q17" s="350">
        <v>1</v>
      </c>
    </row>
    <row r="18" spans="2:22" x14ac:dyDescent="0.2">
      <c r="B18" s="3"/>
      <c r="C18" s="3"/>
      <c r="D18" s="16"/>
      <c r="E18" s="1376" t="str">
        <f>Translations!$B$909</f>
        <v>Ten komunikat jest automatycznie generowany na podstawie Państwa wpisów w arkuszu „A_InstallationData” część A.III.1.</v>
      </c>
      <c r="F18" s="1377"/>
      <c r="G18" s="1377"/>
      <c r="H18" s="1377"/>
      <c r="I18" s="1377"/>
      <c r="J18" s="1377"/>
      <c r="K18" s="1377"/>
      <c r="L18" s="1377"/>
      <c r="M18" s="1377"/>
      <c r="N18" s="1377"/>
      <c r="O18" s="7"/>
    </row>
    <row r="19" spans="2:22" x14ac:dyDescent="0.2">
      <c r="B19" s="3"/>
      <c r="C19" s="3"/>
      <c r="D19" s="3"/>
      <c r="E19" s="1916" t="str">
        <f>IF(L17=EUconst_Relevant,HYPERLINK(Q19,EUconst_MsgBackToSheetF),"")</f>
        <v/>
      </c>
      <c r="F19" s="1917"/>
      <c r="G19" s="1917"/>
      <c r="H19" s="1917"/>
      <c r="I19" s="1917"/>
      <c r="J19" s="1917"/>
      <c r="K19" s="1917"/>
      <c r="L19" s="1917"/>
      <c r="M19" s="1917"/>
      <c r="N19" s="1918"/>
      <c r="O19" s="7"/>
      <c r="P19" s="371" t="s">
        <v>33</v>
      </c>
      <c r="Q19" s="116" t="str">
        <f>IF(ISNUMBER(MATCH(Q17,CNTR_SubInstListBMnumbers,0)),"#JUMP_F"&amp;MATCH(Q17,CNTR_SubInstListBMnumbers,0),"")</f>
        <v/>
      </c>
      <c r="R19" s="422"/>
    </row>
    <row r="20" spans="2:22" ht="5.0999999999999996" customHeight="1" x14ac:dyDescent="0.2">
      <c r="B20" s="3"/>
      <c r="C20" s="3"/>
      <c r="D20" s="3"/>
      <c r="E20" s="3"/>
      <c r="F20" s="3"/>
      <c r="G20" s="3"/>
      <c r="H20" s="3"/>
      <c r="I20" s="3"/>
      <c r="J20" s="3"/>
      <c r="K20" s="3"/>
      <c r="L20" s="3"/>
      <c r="M20" s="7"/>
      <c r="N20" s="7"/>
      <c r="O20" s="7"/>
      <c r="P20" s="8"/>
    </row>
    <row r="21" spans="2:22" x14ac:dyDescent="0.2">
      <c r="B21" s="3"/>
      <c r="C21" s="3"/>
      <c r="D21" s="14" t="s">
        <v>353</v>
      </c>
      <c r="E21" s="1375" t="str">
        <f>Translations!$B$910</f>
        <v>Dane dotyczące wielkości przerobu w CWT</v>
      </c>
      <c r="F21" s="1370"/>
      <c r="G21" s="1370"/>
      <c r="H21" s="1370"/>
      <c r="I21" s="1370"/>
      <c r="J21" s="1370"/>
      <c r="K21" s="1370"/>
      <c r="L21" s="1370"/>
      <c r="M21" s="1370"/>
      <c r="N21" s="1370"/>
      <c r="O21" s="7"/>
      <c r="P21" s="8"/>
    </row>
    <row r="22" spans="2:22" x14ac:dyDescent="0.2">
      <c r="B22" s="3"/>
      <c r="C22" s="3"/>
      <c r="D22" s="16"/>
      <c r="E22" s="1408" t="str">
        <f>Translations!$B$911</f>
        <v>W tym miejscu należy podać dane dotyczące rocznej wielkości przerobu poszczególnych funkcji CWT.</v>
      </c>
      <c r="F22" s="1370"/>
      <c r="G22" s="1370"/>
      <c r="H22" s="1370"/>
      <c r="I22" s="1370"/>
      <c r="J22" s="1370"/>
      <c r="K22" s="1370"/>
      <c r="L22" s="1370"/>
      <c r="M22" s="1370"/>
      <c r="N22" s="1370"/>
      <c r="O22" s="7"/>
      <c r="P22" s="8"/>
    </row>
    <row r="23" spans="2:22" x14ac:dyDescent="0.2">
      <c r="B23" s="3"/>
      <c r="C23" s="3"/>
      <c r="D23" s="16"/>
      <c r="E23" s="1408" t="str">
        <f>Translations!$B$912</f>
        <v>Definicja i granice poszczególnych funkcji CWT są podane w pkt 1 załącznika II do FAR.</v>
      </c>
      <c r="F23" s="1370"/>
      <c r="G23" s="1370"/>
      <c r="H23" s="1370"/>
      <c r="I23" s="1370"/>
      <c r="J23" s="1370"/>
      <c r="K23" s="1370"/>
      <c r="L23" s="1370"/>
      <c r="M23" s="1370"/>
      <c r="N23" s="1370"/>
      <c r="O23" s="7"/>
      <c r="P23" s="8"/>
    </row>
    <row r="24" spans="2:22" x14ac:dyDescent="0.2">
      <c r="B24" s="3"/>
      <c r="C24" s="3"/>
      <c r="D24" s="16"/>
      <c r="E24" s="1408" t="str">
        <f>Translations!$B$913</f>
        <v>W odniesieniu do podstawy stosuje się następujące skróty:</v>
      </c>
      <c r="F24" s="1370"/>
      <c r="G24" s="1370"/>
      <c r="H24" s="1370"/>
      <c r="I24" s="1370"/>
      <c r="J24" s="1370"/>
      <c r="K24" s="1370"/>
      <c r="L24" s="1370"/>
      <c r="M24" s="1370"/>
      <c r="N24" s="1370"/>
      <c r="O24" s="7"/>
      <c r="P24" s="8"/>
    </row>
    <row r="25" spans="2:22" x14ac:dyDescent="0.2">
      <c r="B25" s="3"/>
      <c r="C25" s="3"/>
      <c r="D25" s="16"/>
      <c r="E25" s="135" t="s">
        <v>98</v>
      </c>
      <c r="F25" s="1408" t="str">
        <f>Translations!$B$914</f>
        <v>Świeży surowiec zasilający netto</v>
      </c>
      <c r="G25" s="1370"/>
      <c r="H25" s="1370"/>
      <c r="I25" s="1370"/>
      <c r="J25" s="1370"/>
      <c r="K25" s="1370"/>
      <c r="L25" s="1370"/>
      <c r="M25" s="1370"/>
      <c r="N25" s="1370"/>
      <c r="O25" s="7"/>
      <c r="P25" s="8"/>
    </row>
    <row r="26" spans="2:22" x14ac:dyDescent="0.2">
      <c r="B26" s="3"/>
      <c r="C26" s="3"/>
      <c r="D26" s="16"/>
      <c r="E26" s="135" t="s">
        <v>410</v>
      </c>
      <c r="F26" s="1408" t="str">
        <f>Translations!$B$915</f>
        <v>Surowiec zasilający do reaktora (w tym z odzysku)</v>
      </c>
      <c r="G26" s="1370"/>
      <c r="H26" s="1370"/>
      <c r="I26" s="1370"/>
      <c r="J26" s="1370"/>
      <c r="K26" s="1370"/>
      <c r="L26" s="1370"/>
      <c r="M26" s="1370"/>
      <c r="N26" s="1370"/>
      <c r="O26" s="7"/>
      <c r="P26" s="8"/>
    </row>
    <row r="27" spans="2:22" x14ac:dyDescent="0.2">
      <c r="B27" s="3"/>
      <c r="C27" s="3"/>
      <c r="D27" s="16"/>
      <c r="E27" s="135" t="s">
        <v>154</v>
      </c>
      <c r="F27" s="1408" t="str">
        <f>Translations!$B$916</f>
        <v>Produkt</v>
      </c>
      <c r="G27" s="1370"/>
      <c r="H27" s="1370"/>
      <c r="I27" s="1370"/>
      <c r="J27" s="1370"/>
      <c r="K27" s="1370"/>
      <c r="L27" s="1370"/>
      <c r="M27" s="1370"/>
      <c r="N27" s="1370"/>
      <c r="O27" s="7"/>
      <c r="P27" s="8"/>
    </row>
    <row r="28" spans="2:22" x14ac:dyDescent="0.2">
      <c r="B28" s="3"/>
      <c r="C28" s="3"/>
      <c r="D28" s="16"/>
      <c r="E28" s="135" t="s">
        <v>224</v>
      </c>
      <c r="F28" s="1408" t="str">
        <f>Translations!$B$917</f>
        <v>Produkcja gazu syntezowego w przypadku jednostek POX</v>
      </c>
      <c r="G28" s="1370"/>
      <c r="H28" s="1370"/>
      <c r="I28" s="1370"/>
      <c r="J28" s="1370"/>
      <c r="K28" s="1370"/>
      <c r="L28" s="1370"/>
      <c r="M28" s="1370"/>
      <c r="N28" s="1370"/>
      <c r="O28" s="7"/>
      <c r="P28" s="8"/>
    </row>
    <row r="29" spans="2:22" x14ac:dyDescent="0.2">
      <c r="B29" s="3"/>
      <c r="C29" s="3"/>
      <c r="D29" s="17"/>
      <c r="E29" s="1448" t="str">
        <f>Translations!$B$918</f>
        <v>Ważna uwaga: Zgodnie z załącznikiem II do FAR jednostkami, które należy podać, są wielkości przerobu wyrażone w kilotonach.</v>
      </c>
      <c r="F29" s="1370"/>
      <c r="G29" s="1370"/>
      <c r="H29" s="1370"/>
      <c r="I29" s="1370"/>
      <c r="J29" s="1370"/>
      <c r="K29" s="1370"/>
      <c r="L29" s="1370"/>
      <c r="M29" s="1370"/>
      <c r="N29" s="1370"/>
      <c r="O29" s="7"/>
      <c r="P29" s="8"/>
      <c r="V29" s="422" t="s">
        <v>606</v>
      </c>
    </row>
    <row r="30" spans="2:22" ht="5.0999999999999996" customHeight="1" thickBot="1" x14ac:dyDescent="0.25">
      <c r="B30" s="3"/>
      <c r="C30" s="3"/>
      <c r="D30" s="3"/>
      <c r="E30" s="3"/>
      <c r="F30" s="3"/>
      <c r="G30" s="3"/>
      <c r="H30" s="3"/>
      <c r="I30" s="3"/>
      <c r="J30" s="3"/>
      <c r="K30" s="3"/>
      <c r="L30" s="3"/>
      <c r="M30" s="7"/>
      <c r="N30" s="7"/>
      <c r="O30" s="7"/>
      <c r="P30" s="8"/>
    </row>
    <row r="31" spans="2:22" x14ac:dyDescent="0.2">
      <c r="B31" s="20"/>
      <c r="C31" s="20"/>
      <c r="D31" s="20"/>
      <c r="E31" s="47" t="str">
        <f>Translations!$B$919</f>
        <v>Funkcja CWT</v>
      </c>
      <c r="F31" s="47"/>
      <c r="G31" s="47" t="str">
        <f>Translations!$B$920</f>
        <v>Podstawa (kt/a)</v>
      </c>
      <c r="H31" s="132" t="str">
        <f>Translations!$B$921</f>
        <v>Współczynnik CWT</v>
      </c>
      <c r="I31" s="432">
        <f>I$391</f>
        <v>2014</v>
      </c>
      <c r="J31" s="432">
        <f>J$391</f>
        <v>2015</v>
      </c>
      <c r="K31" s="432">
        <f>K$391</f>
        <v>2016</v>
      </c>
      <c r="L31" s="432">
        <f>L$391</f>
        <v>2017</v>
      </c>
      <c r="M31" s="914">
        <f>M$391</f>
        <v>2018</v>
      </c>
      <c r="N31" s="888" t="str">
        <f>IF(L17&lt;&gt;EUconst_Relevant,"",IF(T31,YEAR(INDEX(CNTR_SubInstStartDate,MATCH(Q17,CNTR_SubInstListBMnumbers,0)))+1,""))</f>
        <v/>
      </c>
      <c r="O31" s="7"/>
      <c r="S31" s="371" t="s">
        <v>598</v>
      </c>
      <c r="T31" s="438" t="str">
        <f>IF(L17&lt;&gt;EUconst_Relevant,"",INDEX(CNTR_SubInstLess1Year,MATCH(Q17,CNTR_SubInstListBMnumbers,0)))</f>
        <v/>
      </c>
      <c r="V31" s="714" t="b">
        <f>IF(CNTR_ExistSubInstEntries,IF(L17=EUconst_Relevant,NOT(T31),TRUE),FALSE)</f>
        <v>1</v>
      </c>
    </row>
    <row r="32" spans="2:22" ht="25.5" customHeight="1" x14ac:dyDescent="0.2">
      <c r="B32" s="20"/>
      <c r="C32" s="20"/>
      <c r="D32" s="20"/>
      <c r="E32" s="1612" t="str">
        <f>Translations!$B$922</f>
        <v>Atmosferyczna destylacja surowca</v>
      </c>
      <c r="F32" s="1612"/>
      <c r="G32" s="48" t="s">
        <v>98</v>
      </c>
      <c r="H32" s="137">
        <v>1</v>
      </c>
      <c r="I32" s="301"/>
      <c r="J32" s="301"/>
      <c r="K32" s="301"/>
      <c r="L32" s="301"/>
      <c r="M32" s="915"/>
      <c r="N32" s="919"/>
      <c r="O32" s="7"/>
      <c r="V32" s="715" t="b">
        <f>V31</f>
        <v>1</v>
      </c>
    </row>
    <row r="33" spans="2:22" x14ac:dyDescent="0.2">
      <c r="B33" s="20"/>
      <c r="C33" s="20"/>
      <c r="D33" s="20"/>
      <c r="E33" s="1642" t="str">
        <f>Translations!$B$923</f>
        <v xml:space="preserve">Destylacja próżniowa </v>
      </c>
      <c r="F33" s="1642"/>
      <c r="G33" s="32" t="s">
        <v>98</v>
      </c>
      <c r="H33" s="136">
        <v>0.85</v>
      </c>
      <c r="I33" s="300"/>
      <c r="J33" s="300"/>
      <c r="K33" s="300"/>
      <c r="L33" s="300"/>
      <c r="M33" s="916"/>
      <c r="N33" s="920"/>
      <c r="O33" s="7"/>
      <c r="V33" s="715" t="b">
        <f t="shared" ref="V33:V87" si="0">V32</f>
        <v>1</v>
      </c>
    </row>
    <row r="34" spans="2:22" x14ac:dyDescent="0.2">
      <c r="B34" s="20"/>
      <c r="C34" s="20"/>
      <c r="D34" s="20"/>
      <c r="E34" s="1613" t="str">
        <f>Translations!$B$924</f>
        <v xml:space="preserve">Odasfaltowanie rozpuszczalnikiem </v>
      </c>
      <c r="F34" s="1613"/>
      <c r="G34" s="28" t="s">
        <v>98</v>
      </c>
      <c r="H34" s="133">
        <v>2.4500000000000002</v>
      </c>
      <c r="I34" s="299"/>
      <c r="J34" s="299"/>
      <c r="K34" s="299"/>
      <c r="L34" s="299"/>
      <c r="M34" s="917"/>
      <c r="N34" s="921"/>
      <c r="O34" s="7"/>
      <c r="V34" s="715" t="b">
        <f t="shared" si="0"/>
        <v>1</v>
      </c>
    </row>
    <row r="35" spans="2:22" x14ac:dyDescent="0.2">
      <c r="B35" s="20"/>
      <c r="C35" s="20"/>
      <c r="D35" s="20"/>
      <c r="E35" s="1613" t="str">
        <f>Translations!$B$925</f>
        <v xml:space="preserve">Krakowanie wstępne </v>
      </c>
      <c r="F35" s="1613"/>
      <c r="G35" s="28" t="s">
        <v>98</v>
      </c>
      <c r="H35" s="133">
        <v>1.4</v>
      </c>
      <c r="I35" s="299"/>
      <c r="J35" s="299"/>
      <c r="K35" s="299"/>
      <c r="L35" s="299"/>
      <c r="M35" s="917"/>
      <c r="N35" s="921"/>
      <c r="O35" s="7"/>
      <c r="V35" s="715" t="b">
        <f t="shared" si="0"/>
        <v>1</v>
      </c>
    </row>
    <row r="36" spans="2:22" x14ac:dyDescent="0.2">
      <c r="B36" s="20"/>
      <c r="C36" s="20"/>
      <c r="D36" s="20"/>
      <c r="E36" s="1613" t="str">
        <f>Translations!$B$926</f>
        <v>Kraking termiczny</v>
      </c>
      <c r="F36" s="1613"/>
      <c r="G36" s="28" t="s">
        <v>98</v>
      </c>
      <c r="H36" s="133">
        <v>2.7</v>
      </c>
      <c r="I36" s="299"/>
      <c r="J36" s="299"/>
      <c r="K36" s="299"/>
      <c r="L36" s="299"/>
      <c r="M36" s="917"/>
      <c r="N36" s="921"/>
      <c r="O36" s="7"/>
      <c r="V36" s="715" t="b">
        <f t="shared" si="0"/>
        <v>1</v>
      </c>
    </row>
    <row r="37" spans="2:22" x14ac:dyDescent="0.2">
      <c r="B37" s="20"/>
      <c r="C37" s="20"/>
      <c r="D37" s="20"/>
      <c r="E37" s="1613" t="str">
        <f>Translations!$B$927</f>
        <v xml:space="preserve">Opóźnione koksowanie </v>
      </c>
      <c r="F37" s="1613"/>
      <c r="G37" s="28" t="s">
        <v>98</v>
      </c>
      <c r="H37" s="133">
        <v>2.2000000000000002</v>
      </c>
      <c r="I37" s="299"/>
      <c r="J37" s="299"/>
      <c r="K37" s="299"/>
      <c r="L37" s="299"/>
      <c r="M37" s="917"/>
      <c r="N37" s="921"/>
      <c r="O37" s="7"/>
      <c r="V37" s="715" t="b">
        <f t="shared" si="0"/>
        <v>1</v>
      </c>
    </row>
    <row r="38" spans="2:22" x14ac:dyDescent="0.2">
      <c r="B38" s="20"/>
      <c r="C38" s="20"/>
      <c r="D38" s="20"/>
      <c r="E38" s="1613" t="str">
        <f>Translations!$B$928</f>
        <v xml:space="preserve">Koksowanie fluidalne </v>
      </c>
      <c r="F38" s="1613"/>
      <c r="G38" s="28" t="s">
        <v>98</v>
      </c>
      <c r="H38" s="133">
        <v>7.6</v>
      </c>
      <c r="I38" s="299"/>
      <c r="J38" s="299"/>
      <c r="K38" s="299"/>
      <c r="L38" s="299"/>
      <c r="M38" s="917"/>
      <c r="N38" s="921"/>
      <c r="O38" s="7"/>
      <c r="V38" s="715" t="b">
        <f t="shared" si="0"/>
        <v>1</v>
      </c>
    </row>
    <row r="39" spans="2:22" x14ac:dyDescent="0.2">
      <c r="B39" s="20"/>
      <c r="C39" s="20"/>
      <c r="D39" s="20"/>
      <c r="E39" s="1613" t="str">
        <f>Translations!$B$929</f>
        <v xml:space="preserve">Flexicoking </v>
      </c>
      <c r="F39" s="1613"/>
      <c r="G39" s="28" t="s">
        <v>98</v>
      </c>
      <c r="H39" s="133">
        <v>16.600000000000001</v>
      </c>
      <c r="I39" s="299"/>
      <c r="J39" s="299"/>
      <c r="K39" s="299"/>
      <c r="L39" s="299"/>
      <c r="M39" s="917"/>
      <c r="N39" s="921"/>
      <c r="O39" s="7"/>
      <c r="V39" s="715" t="b">
        <f t="shared" si="0"/>
        <v>1</v>
      </c>
    </row>
    <row r="40" spans="2:22" x14ac:dyDescent="0.2">
      <c r="B40" s="20"/>
      <c r="C40" s="20"/>
      <c r="D40" s="20"/>
      <c r="E40" s="1613" t="str">
        <f>Translations!$B$930</f>
        <v xml:space="preserve">Kalcynacja koksu </v>
      </c>
      <c r="F40" s="1613"/>
      <c r="G40" s="28" t="s">
        <v>154</v>
      </c>
      <c r="H40" s="133">
        <v>12.75</v>
      </c>
      <c r="I40" s="299"/>
      <c r="J40" s="299"/>
      <c r="K40" s="299"/>
      <c r="L40" s="299"/>
      <c r="M40" s="917"/>
      <c r="N40" s="921"/>
      <c r="O40" s="7"/>
      <c r="V40" s="715" t="b">
        <f t="shared" si="0"/>
        <v>1</v>
      </c>
    </row>
    <row r="41" spans="2:22" x14ac:dyDescent="0.2">
      <c r="B41" s="20"/>
      <c r="C41" s="20"/>
      <c r="D41" s="20"/>
      <c r="E41" s="1613" t="str">
        <f>Translations!$B$931</f>
        <v>Fluidalny kraking katalityczny</v>
      </c>
      <c r="F41" s="1613"/>
      <c r="G41" s="28" t="s">
        <v>98</v>
      </c>
      <c r="H41" s="133">
        <v>5.5</v>
      </c>
      <c r="I41" s="299"/>
      <c r="J41" s="299"/>
      <c r="K41" s="299"/>
      <c r="L41" s="299"/>
      <c r="M41" s="917"/>
      <c r="N41" s="921"/>
      <c r="O41" s="7"/>
      <c r="V41" s="715" t="b">
        <f t="shared" si="0"/>
        <v>1</v>
      </c>
    </row>
    <row r="42" spans="2:22" x14ac:dyDescent="0.2">
      <c r="B42" s="20"/>
      <c r="C42" s="20"/>
      <c r="D42" s="20"/>
      <c r="E42" s="1613" t="str">
        <f>Translations!$B$932</f>
        <v xml:space="preserve">Pozostały kraking katalityczny </v>
      </c>
      <c r="F42" s="1613"/>
      <c r="G42" s="28" t="s">
        <v>98</v>
      </c>
      <c r="H42" s="133">
        <v>4.0999999999999996</v>
      </c>
      <c r="I42" s="299"/>
      <c r="J42" s="299"/>
      <c r="K42" s="299"/>
      <c r="L42" s="299"/>
      <c r="M42" s="917"/>
      <c r="N42" s="921"/>
      <c r="O42" s="7"/>
      <c r="V42" s="715" t="b">
        <f t="shared" si="0"/>
        <v>1</v>
      </c>
    </row>
    <row r="43" spans="2:22" ht="25.5" customHeight="1" x14ac:dyDescent="0.2">
      <c r="B43" s="20"/>
      <c r="C43" s="20"/>
      <c r="D43" s="20"/>
      <c r="E43" s="1613" t="str">
        <f>Translations!$B$933</f>
        <v xml:space="preserve">Hydrokraking destylatu / oleju napędowego </v>
      </c>
      <c r="F43" s="1613"/>
      <c r="G43" s="28" t="s">
        <v>98</v>
      </c>
      <c r="H43" s="133">
        <v>2.85</v>
      </c>
      <c r="I43" s="299"/>
      <c r="J43" s="299"/>
      <c r="K43" s="299"/>
      <c r="L43" s="299"/>
      <c r="M43" s="917"/>
      <c r="N43" s="921"/>
      <c r="O43" s="7"/>
      <c r="V43" s="715" t="b">
        <f t="shared" si="0"/>
        <v>1</v>
      </c>
    </row>
    <row r="44" spans="2:22" x14ac:dyDescent="0.2">
      <c r="B44" s="20"/>
      <c r="C44" s="20"/>
      <c r="D44" s="20"/>
      <c r="E44" s="1613" t="str">
        <f>Translations!$B$934</f>
        <v xml:space="preserve">Hydrokraking pozostałości </v>
      </c>
      <c r="F44" s="1613"/>
      <c r="G44" s="28" t="s">
        <v>98</v>
      </c>
      <c r="H44" s="133">
        <v>3.75</v>
      </c>
      <c r="I44" s="299"/>
      <c r="J44" s="299"/>
      <c r="K44" s="299"/>
      <c r="L44" s="299"/>
      <c r="M44" s="917"/>
      <c r="N44" s="921"/>
      <c r="O44" s="7"/>
      <c r="V44" s="715" t="b">
        <f t="shared" si="0"/>
        <v>1</v>
      </c>
    </row>
    <row r="45" spans="2:22" ht="25.5" customHeight="1" x14ac:dyDescent="0.2">
      <c r="B45" s="20"/>
      <c r="C45" s="20"/>
      <c r="D45" s="20"/>
      <c r="E45" s="1613" t="str">
        <f>Translations!$B$935</f>
        <v>Hydrorafinacja benzyny ciężkiej / benzyny</v>
      </c>
      <c r="F45" s="1613"/>
      <c r="G45" s="28" t="s">
        <v>98</v>
      </c>
      <c r="H45" s="133">
        <v>1.1000000000000001</v>
      </c>
      <c r="I45" s="299"/>
      <c r="J45" s="299"/>
      <c r="K45" s="299"/>
      <c r="L45" s="299"/>
      <c r="M45" s="917"/>
      <c r="N45" s="921"/>
      <c r="O45" s="7"/>
      <c r="V45" s="715" t="b">
        <f t="shared" si="0"/>
        <v>1</v>
      </c>
    </row>
    <row r="46" spans="2:22" ht="25.5" customHeight="1" x14ac:dyDescent="0.2">
      <c r="B46" s="20"/>
      <c r="C46" s="20"/>
      <c r="D46" s="20"/>
      <c r="E46" s="1613" t="str">
        <f>Translations!$B$936</f>
        <v xml:space="preserve">Hydrorafinacja nafty / oleju napędowego </v>
      </c>
      <c r="F46" s="1613"/>
      <c r="G46" s="28" t="s">
        <v>98</v>
      </c>
      <c r="H46" s="133">
        <v>0.9</v>
      </c>
      <c r="I46" s="299"/>
      <c r="J46" s="299"/>
      <c r="K46" s="299"/>
      <c r="L46" s="299"/>
      <c r="M46" s="917"/>
      <c r="N46" s="921"/>
      <c r="O46" s="7"/>
      <c r="V46" s="715" t="b">
        <f t="shared" si="0"/>
        <v>1</v>
      </c>
    </row>
    <row r="47" spans="2:22" x14ac:dyDescent="0.2">
      <c r="B47" s="20"/>
      <c r="C47" s="20"/>
      <c r="D47" s="20"/>
      <c r="E47" s="1613" t="str">
        <f>Translations!$B$937</f>
        <v xml:space="preserve">Głęboka rafinacja pozostałości </v>
      </c>
      <c r="F47" s="1613"/>
      <c r="G47" s="28" t="s">
        <v>98</v>
      </c>
      <c r="H47" s="133">
        <v>1.55</v>
      </c>
      <c r="I47" s="299"/>
      <c r="J47" s="299"/>
      <c r="K47" s="299"/>
      <c r="L47" s="299"/>
      <c r="M47" s="917"/>
      <c r="N47" s="921"/>
      <c r="O47" s="7"/>
      <c r="V47" s="715" t="b">
        <f t="shared" si="0"/>
        <v>1</v>
      </c>
    </row>
    <row r="48" spans="2:22" x14ac:dyDescent="0.2">
      <c r="B48" s="20"/>
      <c r="C48" s="20"/>
      <c r="D48" s="20"/>
      <c r="E48" s="1613" t="str">
        <f>Translations!$B$938</f>
        <v>Hydrorafinacja próżniowego oleju napędowego</v>
      </c>
      <c r="F48" s="1613"/>
      <c r="G48" s="28" t="s">
        <v>98</v>
      </c>
      <c r="H48" s="133">
        <v>0.9</v>
      </c>
      <c r="I48" s="299"/>
      <c r="J48" s="299"/>
      <c r="K48" s="299"/>
      <c r="L48" s="299"/>
      <c r="M48" s="917"/>
      <c r="N48" s="921"/>
      <c r="O48" s="7"/>
      <c r="V48" s="715" t="b">
        <f t="shared" si="0"/>
        <v>1</v>
      </c>
    </row>
    <row r="49" spans="2:22" x14ac:dyDescent="0.2">
      <c r="B49" s="20"/>
      <c r="C49" s="20"/>
      <c r="D49" s="20"/>
      <c r="E49" s="1613" t="str">
        <f>Translations!$B$939</f>
        <v xml:space="preserve">Produkcja wodoru </v>
      </c>
      <c r="F49" s="1613"/>
      <c r="G49" s="28" t="s">
        <v>154</v>
      </c>
      <c r="H49" s="133">
        <v>300</v>
      </c>
      <c r="I49" s="299"/>
      <c r="J49" s="299"/>
      <c r="K49" s="299"/>
      <c r="L49" s="299"/>
      <c r="M49" s="917"/>
      <c r="N49" s="921"/>
      <c r="O49" s="7"/>
      <c r="V49" s="715" t="b">
        <f t="shared" si="0"/>
        <v>1</v>
      </c>
    </row>
    <row r="50" spans="2:22" x14ac:dyDescent="0.2">
      <c r="B50" s="20"/>
      <c r="C50" s="20"/>
      <c r="D50" s="20"/>
      <c r="E50" s="1613" t="str">
        <f>Translations!$B$940</f>
        <v>Reformowanie katalityczne</v>
      </c>
      <c r="F50" s="1613"/>
      <c r="G50" s="28" t="s">
        <v>98</v>
      </c>
      <c r="H50" s="133">
        <v>4.95</v>
      </c>
      <c r="I50" s="299"/>
      <c r="J50" s="299"/>
      <c r="K50" s="299"/>
      <c r="L50" s="299"/>
      <c r="M50" s="917"/>
      <c r="N50" s="921"/>
      <c r="O50" s="7"/>
      <c r="V50" s="715" t="b">
        <f t="shared" si="0"/>
        <v>1</v>
      </c>
    </row>
    <row r="51" spans="2:22" x14ac:dyDescent="0.2">
      <c r="B51" s="20"/>
      <c r="C51" s="20"/>
      <c r="D51" s="20"/>
      <c r="E51" s="1613" t="str">
        <f>Translations!$B$941</f>
        <v xml:space="preserve">Alkilacja </v>
      </c>
      <c r="F51" s="1613"/>
      <c r="G51" s="28" t="s">
        <v>154</v>
      </c>
      <c r="H51" s="133">
        <v>7.25</v>
      </c>
      <c r="I51" s="299"/>
      <c r="J51" s="299"/>
      <c r="K51" s="299"/>
      <c r="L51" s="299"/>
      <c r="M51" s="917"/>
      <c r="N51" s="921"/>
      <c r="O51" s="7"/>
      <c r="V51" s="715" t="b">
        <f t="shared" si="0"/>
        <v>1</v>
      </c>
    </row>
    <row r="52" spans="2:22" x14ac:dyDescent="0.2">
      <c r="B52" s="20"/>
      <c r="C52" s="20"/>
      <c r="D52" s="20"/>
      <c r="E52" s="1613" t="str">
        <f>Translations!$B$942</f>
        <v>Izomeryzacja C4</v>
      </c>
      <c r="F52" s="1613"/>
      <c r="G52" s="28" t="s">
        <v>410</v>
      </c>
      <c r="H52" s="133">
        <v>3.25</v>
      </c>
      <c r="I52" s="299"/>
      <c r="J52" s="299"/>
      <c r="K52" s="299"/>
      <c r="L52" s="299"/>
      <c r="M52" s="917"/>
      <c r="N52" s="921"/>
      <c r="O52" s="7"/>
      <c r="V52" s="715" t="b">
        <f t="shared" si="0"/>
        <v>1</v>
      </c>
    </row>
    <row r="53" spans="2:22" x14ac:dyDescent="0.2">
      <c r="B53" s="20"/>
      <c r="C53" s="20"/>
      <c r="D53" s="20"/>
      <c r="E53" s="1613" t="str">
        <f>Translations!$B$943</f>
        <v>Izomeryzacja C5/C6</v>
      </c>
      <c r="F53" s="1613"/>
      <c r="G53" s="28" t="s">
        <v>410</v>
      </c>
      <c r="H53" s="133">
        <v>2.85</v>
      </c>
      <c r="I53" s="299"/>
      <c r="J53" s="299"/>
      <c r="K53" s="299"/>
      <c r="L53" s="299"/>
      <c r="M53" s="917"/>
      <c r="N53" s="921"/>
      <c r="O53" s="7"/>
      <c r="V53" s="715" t="b">
        <f t="shared" si="0"/>
        <v>1</v>
      </c>
    </row>
    <row r="54" spans="2:22" x14ac:dyDescent="0.2">
      <c r="B54" s="20"/>
      <c r="C54" s="20"/>
      <c r="D54" s="20"/>
      <c r="E54" s="1613" t="str">
        <f>Translations!$B$944</f>
        <v xml:space="preserve">Wytwarzanie związków tlenowych </v>
      </c>
      <c r="F54" s="1613"/>
      <c r="G54" s="28" t="s">
        <v>154</v>
      </c>
      <c r="H54" s="133">
        <v>5.6</v>
      </c>
      <c r="I54" s="299"/>
      <c r="J54" s="299"/>
      <c r="K54" s="299"/>
      <c r="L54" s="299"/>
      <c r="M54" s="917"/>
      <c r="N54" s="921"/>
      <c r="O54" s="7"/>
      <c r="V54" s="715" t="b">
        <f t="shared" si="0"/>
        <v>1</v>
      </c>
    </row>
    <row r="55" spans="2:22" x14ac:dyDescent="0.2">
      <c r="B55" s="20"/>
      <c r="C55" s="20"/>
      <c r="D55" s="20"/>
      <c r="E55" s="1613" t="str">
        <f>Translations!$B$945</f>
        <v xml:space="preserve">Produkcja propylenu </v>
      </c>
      <c r="F55" s="1613"/>
      <c r="G55" s="28" t="s">
        <v>98</v>
      </c>
      <c r="H55" s="133">
        <v>3.45</v>
      </c>
      <c r="I55" s="299"/>
      <c r="J55" s="299"/>
      <c r="K55" s="299"/>
      <c r="L55" s="299"/>
      <c r="M55" s="917"/>
      <c r="N55" s="921"/>
      <c r="O55" s="7"/>
      <c r="V55" s="715" t="b">
        <f t="shared" si="0"/>
        <v>1</v>
      </c>
    </row>
    <row r="56" spans="2:22" x14ac:dyDescent="0.2">
      <c r="B56" s="20"/>
      <c r="C56" s="20"/>
      <c r="D56" s="20"/>
      <c r="E56" s="1613" t="str">
        <f>Translations!$B$946</f>
        <v>Produkcja asfaltu</v>
      </c>
      <c r="F56" s="1613"/>
      <c r="G56" s="28" t="s">
        <v>154</v>
      </c>
      <c r="H56" s="133">
        <v>2.1</v>
      </c>
      <c r="I56" s="299"/>
      <c r="J56" s="299"/>
      <c r="K56" s="299"/>
      <c r="L56" s="299"/>
      <c r="M56" s="917"/>
      <c r="N56" s="921"/>
      <c r="O56" s="7"/>
      <c r="V56" s="715" t="b">
        <f t="shared" si="0"/>
        <v>1</v>
      </c>
    </row>
    <row r="57" spans="2:22" ht="25.5" customHeight="1" x14ac:dyDescent="0.2">
      <c r="B57" s="20"/>
      <c r="C57" s="20"/>
      <c r="D57" s="20"/>
      <c r="E57" s="1613" t="str">
        <f>Translations!$B$947</f>
        <v>Mieszanie asfaltu zmodyfikowanego polimerowo</v>
      </c>
      <c r="F57" s="1613"/>
      <c r="G57" s="28" t="s">
        <v>154</v>
      </c>
      <c r="H57" s="133">
        <v>0.55000000000000004</v>
      </c>
      <c r="I57" s="299"/>
      <c r="J57" s="299"/>
      <c r="K57" s="299"/>
      <c r="L57" s="299"/>
      <c r="M57" s="917"/>
      <c r="N57" s="921"/>
      <c r="O57" s="7"/>
      <c r="V57" s="715" t="b">
        <f t="shared" si="0"/>
        <v>1</v>
      </c>
    </row>
    <row r="58" spans="2:22" x14ac:dyDescent="0.2">
      <c r="B58" s="20"/>
      <c r="C58" s="20"/>
      <c r="D58" s="20"/>
      <c r="E58" s="1613" t="str">
        <f>Translations!$B$948</f>
        <v>Odzyskiwanie siarki</v>
      </c>
      <c r="F58" s="1613"/>
      <c r="G58" s="28" t="s">
        <v>154</v>
      </c>
      <c r="H58" s="133">
        <v>18.600000000000001</v>
      </c>
      <c r="I58" s="299"/>
      <c r="J58" s="299"/>
      <c r="K58" s="299"/>
      <c r="L58" s="299"/>
      <c r="M58" s="917"/>
      <c r="N58" s="921"/>
      <c r="O58" s="7"/>
      <c r="V58" s="715" t="b">
        <f t="shared" si="0"/>
        <v>1</v>
      </c>
    </row>
    <row r="59" spans="2:22" x14ac:dyDescent="0.2">
      <c r="B59" s="20"/>
      <c r="C59" s="20"/>
      <c r="D59" s="20"/>
      <c r="E59" s="1613" t="str">
        <f>Translations!$B$949</f>
        <v>Ekstrakcja rozpuszczalnikowa związków aromatycznych</v>
      </c>
      <c r="F59" s="1613"/>
      <c r="G59" s="28" t="s">
        <v>98</v>
      </c>
      <c r="H59" s="133">
        <v>5.25</v>
      </c>
      <c r="I59" s="299"/>
      <c r="J59" s="299"/>
      <c r="K59" s="299"/>
      <c r="L59" s="299"/>
      <c r="M59" s="917"/>
      <c r="N59" s="921"/>
      <c r="O59" s="7"/>
      <c r="V59" s="715" t="b">
        <f t="shared" si="0"/>
        <v>1</v>
      </c>
    </row>
    <row r="60" spans="2:22" x14ac:dyDescent="0.2">
      <c r="B60" s="20"/>
      <c r="C60" s="20"/>
      <c r="D60" s="20"/>
      <c r="E60" s="1613" t="str">
        <f>Translations!$B$950</f>
        <v>Hydrodealkilacja</v>
      </c>
      <c r="F60" s="1613"/>
      <c r="G60" s="28" t="s">
        <v>98</v>
      </c>
      <c r="H60" s="133">
        <v>2.4500000000000002</v>
      </c>
      <c r="I60" s="299"/>
      <c r="J60" s="299"/>
      <c r="K60" s="299"/>
      <c r="L60" s="299"/>
      <c r="M60" s="917"/>
      <c r="N60" s="921"/>
      <c r="O60" s="7"/>
      <c r="V60" s="715" t="b">
        <f t="shared" si="0"/>
        <v>1</v>
      </c>
    </row>
    <row r="61" spans="2:22" x14ac:dyDescent="0.2">
      <c r="B61" s="20"/>
      <c r="C61" s="20"/>
      <c r="D61" s="20"/>
      <c r="E61" s="1613" t="str">
        <f>Translations!$B$951</f>
        <v>TDP/TDA</v>
      </c>
      <c r="F61" s="1613"/>
      <c r="G61" s="28" t="s">
        <v>98</v>
      </c>
      <c r="H61" s="133">
        <v>1.85</v>
      </c>
      <c r="I61" s="299"/>
      <c r="J61" s="299"/>
      <c r="K61" s="299"/>
      <c r="L61" s="299"/>
      <c r="M61" s="917"/>
      <c r="N61" s="921"/>
      <c r="O61" s="7"/>
      <c r="V61" s="715" t="b">
        <f t="shared" si="0"/>
        <v>1</v>
      </c>
    </row>
    <row r="62" spans="2:22" x14ac:dyDescent="0.2">
      <c r="B62" s="20"/>
      <c r="C62" s="20"/>
      <c r="D62" s="20"/>
      <c r="E62" s="1613" t="str">
        <f>Translations!$B$952</f>
        <v>Produkcja cykloheksanu</v>
      </c>
      <c r="F62" s="1613"/>
      <c r="G62" s="28" t="s">
        <v>154</v>
      </c>
      <c r="H62" s="133">
        <v>3</v>
      </c>
      <c r="I62" s="299"/>
      <c r="J62" s="299"/>
      <c r="K62" s="299"/>
      <c r="L62" s="299"/>
      <c r="M62" s="917"/>
      <c r="N62" s="921"/>
      <c r="O62" s="7"/>
      <c r="V62" s="715" t="b">
        <f t="shared" si="0"/>
        <v>1</v>
      </c>
    </row>
    <row r="63" spans="2:22" x14ac:dyDescent="0.2">
      <c r="B63" s="20"/>
      <c r="C63" s="20"/>
      <c r="D63" s="20"/>
      <c r="E63" s="1613" t="str">
        <f>Translations!$B$953</f>
        <v>Izomeryzacja ksylenu</v>
      </c>
      <c r="F63" s="1613"/>
      <c r="G63" s="28" t="s">
        <v>98</v>
      </c>
      <c r="H63" s="133">
        <v>1.85</v>
      </c>
      <c r="I63" s="299"/>
      <c r="J63" s="299"/>
      <c r="K63" s="299"/>
      <c r="L63" s="299"/>
      <c r="M63" s="917"/>
      <c r="N63" s="921"/>
      <c r="O63" s="7"/>
      <c r="V63" s="715" t="b">
        <f t="shared" si="0"/>
        <v>1</v>
      </c>
    </row>
    <row r="64" spans="2:22" x14ac:dyDescent="0.2">
      <c r="B64" s="20"/>
      <c r="C64" s="20"/>
      <c r="D64" s="20"/>
      <c r="E64" s="1613" t="str">
        <f>Translations!$B$954</f>
        <v>Produkcja paraksylenu</v>
      </c>
      <c r="F64" s="1613"/>
      <c r="G64" s="28" t="s">
        <v>154</v>
      </c>
      <c r="H64" s="133">
        <v>6.4</v>
      </c>
      <c r="I64" s="299"/>
      <c r="J64" s="299"/>
      <c r="K64" s="299"/>
      <c r="L64" s="299"/>
      <c r="M64" s="917"/>
      <c r="N64" s="921"/>
      <c r="O64" s="7"/>
      <c r="V64" s="715" t="b">
        <f t="shared" si="0"/>
        <v>1</v>
      </c>
    </row>
    <row r="65" spans="2:22" x14ac:dyDescent="0.2">
      <c r="B65" s="20"/>
      <c r="C65" s="20"/>
      <c r="D65" s="20"/>
      <c r="E65" s="1613" t="str">
        <f>Translations!$B$955</f>
        <v>Produkcja metaksylenu</v>
      </c>
      <c r="F65" s="1613"/>
      <c r="G65" s="28" t="s">
        <v>154</v>
      </c>
      <c r="H65" s="133">
        <v>11.1</v>
      </c>
      <c r="I65" s="299"/>
      <c r="J65" s="299"/>
      <c r="K65" s="299"/>
      <c r="L65" s="299"/>
      <c r="M65" s="917"/>
      <c r="N65" s="921"/>
      <c r="O65" s="7"/>
      <c r="V65" s="715" t="b">
        <f t="shared" si="0"/>
        <v>1</v>
      </c>
    </row>
    <row r="66" spans="2:22" x14ac:dyDescent="0.2">
      <c r="B66" s="20"/>
      <c r="C66" s="20"/>
      <c r="D66" s="20"/>
      <c r="E66" s="1613" t="str">
        <f>Translations!$B$956</f>
        <v>Produkcja bezwodnika ftalowego</v>
      </c>
      <c r="F66" s="1613"/>
      <c r="G66" s="28" t="s">
        <v>154</v>
      </c>
      <c r="H66" s="133">
        <v>14.4</v>
      </c>
      <c r="I66" s="299"/>
      <c r="J66" s="299"/>
      <c r="K66" s="299"/>
      <c r="L66" s="299"/>
      <c r="M66" s="917"/>
      <c r="N66" s="921"/>
      <c r="O66" s="7"/>
      <c r="V66" s="715" t="b">
        <f t="shared" si="0"/>
        <v>1</v>
      </c>
    </row>
    <row r="67" spans="2:22" x14ac:dyDescent="0.2">
      <c r="B67" s="20"/>
      <c r="C67" s="20"/>
      <c r="D67" s="20"/>
      <c r="E67" s="1613" t="str">
        <f>Translations!$B$957</f>
        <v>Produkcja bezwodnika maleinowego</v>
      </c>
      <c r="F67" s="1613"/>
      <c r="G67" s="28" t="s">
        <v>154</v>
      </c>
      <c r="H67" s="133">
        <v>20.8</v>
      </c>
      <c r="I67" s="299"/>
      <c r="J67" s="299"/>
      <c r="K67" s="299"/>
      <c r="L67" s="299"/>
      <c r="M67" s="917"/>
      <c r="N67" s="921"/>
      <c r="O67" s="7"/>
      <c r="V67" s="715" t="b">
        <f t="shared" si="0"/>
        <v>1</v>
      </c>
    </row>
    <row r="68" spans="2:22" x14ac:dyDescent="0.2">
      <c r="B68" s="20"/>
      <c r="C68" s="20"/>
      <c r="D68" s="20"/>
      <c r="E68" s="1613" t="str">
        <f>Translations!$B$958</f>
        <v>Produkcja etylobenzenu</v>
      </c>
      <c r="F68" s="1613"/>
      <c r="G68" s="28" t="s">
        <v>154</v>
      </c>
      <c r="H68" s="133">
        <v>1.55</v>
      </c>
      <c r="I68" s="299"/>
      <c r="J68" s="299"/>
      <c r="K68" s="299"/>
      <c r="L68" s="299"/>
      <c r="M68" s="917"/>
      <c r="N68" s="921"/>
      <c r="O68" s="7"/>
      <c r="V68" s="715" t="b">
        <f t="shared" si="0"/>
        <v>1</v>
      </c>
    </row>
    <row r="69" spans="2:22" x14ac:dyDescent="0.2">
      <c r="B69" s="20"/>
      <c r="C69" s="20"/>
      <c r="D69" s="20"/>
      <c r="E69" s="1613" t="str">
        <f>Translations!$B$959</f>
        <v>Produkcja kumenu</v>
      </c>
      <c r="F69" s="1613"/>
      <c r="G69" s="28" t="s">
        <v>154</v>
      </c>
      <c r="H69" s="133">
        <v>5</v>
      </c>
      <c r="I69" s="299"/>
      <c r="J69" s="299"/>
      <c r="K69" s="299"/>
      <c r="L69" s="299"/>
      <c r="M69" s="917"/>
      <c r="N69" s="921"/>
      <c r="O69" s="7"/>
      <c r="V69" s="715" t="b">
        <f t="shared" si="0"/>
        <v>1</v>
      </c>
    </row>
    <row r="70" spans="2:22" x14ac:dyDescent="0.2">
      <c r="B70" s="20"/>
      <c r="C70" s="20"/>
      <c r="D70" s="20"/>
      <c r="E70" s="1613" t="str">
        <f>Translations!$B$960</f>
        <v>Produkcja fenolu</v>
      </c>
      <c r="F70" s="1613"/>
      <c r="G70" s="28" t="s">
        <v>154</v>
      </c>
      <c r="H70" s="133">
        <v>1.1499999999999999</v>
      </c>
      <c r="I70" s="299"/>
      <c r="J70" s="299"/>
      <c r="K70" s="299"/>
      <c r="L70" s="299"/>
      <c r="M70" s="917"/>
      <c r="N70" s="921"/>
      <c r="O70" s="7"/>
      <c r="V70" s="715" t="b">
        <f t="shared" si="0"/>
        <v>1</v>
      </c>
    </row>
    <row r="71" spans="2:22" x14ac:dyDescent="0.2">
      <c r="B71" s="20"/>
      <c r="C71" s="20"/>
      <c r="D71" s="20"/>
      <c r="E71" s="1613" t="str">
        <f>Translations!$B$961</f>
        <v>Ekstrakcja rozpuszczalnikowa olejów smarowych</v>
      </c>
      <c r="F71" s="1613"/>
      <c r="G71" s="28" t="s">
        <v>98</v>
      </c>
      <c r="H71" s="133">
        <v>2.1</v>
      </c>
      <c r="I71" s="299"/>
      <c r="J71" s="299"/>
      <c r="K71" s="299"/>
      <c r="L71" s="299"/>
      <c r="M71" s="917"/>
      <c r="N71" s="921"/>
      <c r="O71" s="7"/>
      <c r="V71" s="715" t="b">
        <f t="shared" si="0"/>
        <v>1</v>
      </c>
    </row>
    <row r="72" spans="2:22" x14ac:dyDescent="0.2">
      <c r="B72" s="20"/>
      <c r="C72" s="20"/>
      <c r="D72" s="20"/>
      <c r="E72" s="1613" t="str">
        <f>Translations!$B$962</f>
        <v>Odparafinowywanie rozpuszczalnikowe olejów smarowych</v>
      </c>
      <c r="F72" s="1613"/>
      <c r="G72" s="28" t="s">
        <v>98</v>
      </c>
      <c r="H72" s="133">
        <v>4.55</v>
      </c>
      <c r="I72" s="299"/>
      <c r="J72" s="299"/>
      <c r="K72" s="299"/>
      <c r="L72" s="299"/>
      <c r="M72" s="917"/>
      <c r="N72" s="921"/>
      <c r="O72" s="7"/>
      <c r="V72" s="715" t="b">
        <f t="shared" si="0"/>
        <v>1</v>
      </c>
    </row>
    <row r="73" spans="2:22" x14ac:dyDescent="0.2">
      <c r="B73" s="20"/>
      <c r="C73" s="20"/>
      <c r="D73" s="20"/>
      <c r="E73" s="1613" t="str">
        <f>Translations!$B$963</f>
        <v>Katalityczna izomeryzacja parafin</v>
      </c>
      <c r="F73" s="1613"/>
      <c r="G73" s="28" t="s">
        <v>98</v>
      </c>
      <c r="H73" s="133">
        <v>1.6</v>
      </c>
      <c r="I73" s="299"/>
      <c r="J73" s="299"/>
      <c r="K73" s="299"/>
      <c r="L73" s="299"/>
      <c r="M73" s="917"/>
      <c r="N73" s="921"/>
      <c r="O73" s="7"/>
      <c r="V73" s="715" t="b">
        <f t="shared" si="0"/>
        <v>1</v>
      </c>
    </row>
    <row r="74" spans="2:22" x14ac:dyDescent="0.2">
      <c r="B74" s="20"/>
      <c r="C74" s="20"/>
      <c r="D74" s="20"/>
      <c r="E74" s="1613" t="str">
        <f>Translations!$B$964</f>
        <v xml:space="preserve">Hydrokraker olejów smarowych </v>
      </c>
      <c r="F74" s="1613"/>
      <c r="G74" s="28" t="s">
        <v>98</v>
      </c>
      <c r="H74" s="133">
        <v>2.5</v>
      </c>
      <c r="I74" s="299"/>
      <c r="J74" s="299"/>
      <c r="K74" s="299"/>
      <c r="L74" s="299"/>
      <c r="M74" s="917"/>
      <c r="N74" s="921"/>
      <c r="O74" s="7"/>
      <c r="V74" s="715" t="b">
        <f t="shared" si="0"/>
        <v>1</v>
      </c>
    </row>
    <row r="75" spans="2:22" x14ac:dyDescent="0.2">
      <c r="B75" s="20"/>
      <c r="C75" s="20"/>
      <c r="D75" s="20"/>
      <c r="E75" s="1613" t="str">
        <f>Translations!$B$965</f>
        <v xml:space="preserve">Odolejanie parafin </v>
      </c>
      <c r="F75" s="1613"/>
      <c r="G75" s="28" t="s">
        <v>154</v>
      </c>
      <c r="H75" s="133">
        <v>12</v>
      </c>
      <c r="I75" s="299"/>
      <c r="J75" s="299"/>
      <c r="K75" s="299"/>
      <c r="L75" s="299"/>
      <c r="M75" s="917"/>
      <c r="N75" s="921"/>
      <c r="O75" s="7"/>
      <c r="V75" s="715" t="b">
        <f t="shared" si="0"/>
        <v>1</v>
      </c>
    </row>
    <row r="76" spans="2:22" x14ac:dyDescent="0.2">
      <c r="B76" s="20"/>
      <c r="C76" s="20"/>
      <c r="D76" s="20"/>
      <c r="E76" s="1613" t="str">
        <f>Translations!$B$966</f>
        <v xml:space="preserve">Hydrorafinacja olejów smarowych / parafin </v>
      </c>
      <c r="F76" s="1613"/>
      <c r="G76" s="28" t="s">
        <v>98</v>
      </c>
      <c r="H76" s="133">
        <v>1.1499999999999999</v>
      </c>
      <c r="I76" s="299"/>
      <c r="J76" s="299"/>
      <c r="K76" s="299"/>
      <c r="L76" s="299"/>
      <c r="M76" s="917"/>
      <c r="N76" s="921"/>
      <c r="O76" s="7"/>
      <c r="V76" s="715" t="b">
        <f t="shared" si="0"/>
        <v>1</v>
      </c>
    </row>
    <row r="77" spans="2:22" x14ac:dyDescent="0.2">
      <c r="B77" s="20"/>
      <c r="C77" s="20"/>
      <c r="D77" s="20"/>
      <c r="E77" s="1613" t="str">
        <f>Translations!$B$967</f>
        <v>Głęboka rafinacja rozpuszczalnikami</v>
      </c>
      <c r="F77" s="1613"/>
      <c r="G77" s="28" t="s">
        <v>98</v>
      </c>
      <c r="H77" s="133">
        <v>1.25</v>
      </c>
      <c r="I77" s="299"/>
      <c r="J77" s="299"/>
      <c r="K77" s="299"/>
      <c r="L77" s="299"/>
      <c r="M77" s="917"/>
      <c r="N77" s="921"/>
      <c r="O77" s="7"/>
      <c r="V77" s="715" t="b">
        <f t="shared" si="0"/>
        <v>1</v>
      </c>
    </row>
    <row r="78" spans="2:22" x14ac:dyDescent="0.2">
      <c r="B78" s="20"/>
      <c r="C78" s="20"/>
      <c r="D78" s="20"/>
      <c r="E78" s="1613" t="str">
        <f>Translations!$B$968</f>
        <v>Frakcjonowanie rozpuszczalnikowe</v>
      </c>
      <c r="F78" s="1613"/>
      <c r="G78" s="28" t="s">
        <v>98</v>
      </c>
      <c r="H78" s="133">
        <v>0.9</v>
      </c>
      <c r="I78" s="299"/>
      <c r="J78" s="299"/>
      <c r="K78" s="299"/>
      <c r="L78" s="299"/>
      <c r="M78" s="917"/>
      <c r="N78" s="921"/>
      <c r="O78" s="7"/>
      <c r="V78" s="715" t="b">
        <f t="shared" si="0"/>
        <v>1</v>
      </c>
    </row>
    <row r="79" spans="2:22" x14ac:dyDescent="0.2">
      <c r="B79" s="20"/>
      <c r="C79" s="20"/>
      <c r="D79" s="20"/>
      <c r="E79" s="1613" t="str">
        <f>Translations!$B$969</f>
        <v>Sito molekularne do wydzielania parafin C10+</v>
      </c>
      <c r="F79" s="1613"/>
      <c r="G79" s="28" t="s">
        <v>154</v>
      </c>
      <c r="H79" s="133">
        <v>1.85</v>
      </c>
      <c r="I79" s="299"/>
      <c r="J79" s="299"/>
      <c r="K79" s="299"/>
      <c r="L79" s="299"/>
      <c r="M79" s="917"/>
      <c r="N79" s="921"/>
      <c r="O79" s="7"/>
      <c r="V79" s="715" t="b">
        <f t="shared" si="0"/>
        <v>1</v>
      </c>
    </row>
    <row r="80" spans="2:22" ht="25.5" customHeight="1" x14ac:dyDescent="0.2">
      <c r="B80" s="20"/>
      <c r="C80" s="20"/>
      <c r="D80" s="20"/>
      <c r="E80" s="1613" t="str">
        <f>Translations!$B$970</f>
        <v>Częściowe utlenianie resztkowych surowców zasilających (POX) na paliwo</v>
      </c>
      <c r="F80" s="1613"/>
      <c r="G80" s="28" t="s">
        <v>224</v>
      </c>
      <c r="H80" s="133">
        <v>8.1999999999999993</v>
      </c>
      <c r="I80" s="299"/>
      <c r="J80" s="299"/>
      <c r="K80" s="299"/>
      <c r="L80" s="299"/>
      <c r="M80" s="917"/>
      <c r="N80" s="921"/>
      <c r="O80" s="7"/>
      <c r="V80" s="715" t="b">
        <f t="shared" si="0"/>
        <v>1</v>
      </c>
    </row>
    <row r="81" spans="2:22" ht="39.950000000000003" customHeight="1" x14ac:dyDescent="0.2">
      <c r="B81" s="20"/>
      <c r="C81" s="20"/>
      <c r="D81" s="20"/>
      <c r="E81" s="1613" t="str">
        <f>Translations!$B$971</f>
        <v>Częściowe utlenianie resztkowych surowców zasilających (POX) do produkcji wodoru lub metanolu</v>
      </c>
      <c r="F81" s="1613"/>
      <c r="G81" s="28" t="s">
        <v>224</v>
      </c>
      <c r="H81" s="133">
        <v>44</v>
      </c>
      <c r="I81" s="299"/>
      <c r="J81" s="299"/>
      <c r="K81" s="299"/>
      <c r="L81" s="299"/>
      <c r="M81" s="917"/>
      <c r="N81" s="921"/>
      <c r="O81" s="7"/>
      <c r="V81" s="715" t="b">
        <f t="shared" si="0"/>
        <v>1</v>
      </c>
    </row>
    <row r="82" spans="2:22" x14ac:dyDescent="0.2">
      <c r="B82" s="20"/>
      <c r="C82" s="20"/>
      <c r="D82" s="20"/>
      <c r="E82" s="1613" t="str">
        <f>Translations!$B$972</f>
        <v>Metanol z gazu syntezowego</v>
      </c>
      <c r="F82" s="1613"/>
      <c r="G82" s="28" t="s">
        <v>154</v>
      </c>
      <c r="H82" s="133">
        <v>-36.200000000000003</v>
      </c>
      <c r="I82" s="299"/>
      <c r="J82" s="299"/>
      <c r="K82" s="299"/>
      <c r="L82" s="299"/>
      <c r="M82" s="917"/>
      <c r="N82" s="921"/>
      <c r="O82" s="7"/>
      <c r="V82" s="715" t="b">
        <f t="shared" si="0"/>
        <v>1</v>
      </c>
    </row>
    <row r="83" spans="2:22" x14ac:dyDescent="0.2">
      <c r="B83" s="20"/>
      <c r="C83" s="20"/>
      <c r="D83" s="20"/>
      <c r="E83" s="1613" t="str">
        <f>Translations!$B$973</f>
        <v>Rozdział powietrza</v>
      </c>
      <c r="F83" s="1613"/>
      <c r="G83" s="28" t="s">
        <v>225</v>
      </c>
      <c r="H83" s="133">
        <v>8.8000000000000007</v>
      </c>
      <c r="I83" s="299"/>
      <c r="J83" s="299"/>
      <c r="K83" s="299"/>
      <c r="L83" s="299"/>
      <c r="M83" s="917"/>
      <c r="N83" s="921"/>
      <c r="O83" s="7"/>
      <c r="V83" s="715" t="b">
        <f t="shared" si="0"/>
        <v>1</v>
      </c>
    </row>
    <row r="84" spans="2:22" ht="25.5" customHeight="1" x14ac:dyDescent="0.2">
      <c r="B84" s="20"/>
      <c r="C84" s="20"/>
      <c r="D84" s="20"/>
      <c r="E84" s="1613" t="str">
        <f>Translations!$B$974</f>
        <v>Frakcjonowanie zakupionego kondensatu gazu ziemnego</v>
      </c>
      <c r="F84" s="1613"/>
      <c r="G84" s="28" t="s">
        <v>98</v>
      </c>
      <c r="H84" s="133">
        <v>1</v>
      </c>
      <c r="I84" s="299"/>
      <c r="J84" s="299"/>
      <c r="K84" s="299"/>
      <c r="L84" s="299"/>
      <c r="M84" s="917"/>
      <c r="N84" s="921"/>
      <c r="O84" s="7"/>
      <c r="V84" s="715" t="b">
        <f t="shared" si="0"/>
        <v>1</v>
      </c>
    </row>
    <row r="85" spans="2:22" x14ac:dyDescent="0.2">
      <c r="B85" s="20"/>
      <c r="C85" s="20"/>
      <c r="D85" s="20"/>
      <c r="E85" s="1613" t="str">
        <f>Translations!$B$975</f>
        <v>Oczyszczanie spalin</v>
      </c>
      <c r="F85" s="1613"/>
      <c r="G85" s="28" t="s">
        <v>226</v>
      </c>
      <c r="H85" s="133">
        <v>0.1</v>
      </c>
      <c r="I85" s="299"/>
      <c r="J85" s="299"/>
      <c r="K85" s="299"/>
      <c r="L85" s="299"/>
      <c r="M85" s="917"/>
      <c r="N85" s="921"/>
      <c r="O85" s="7"/>
      <c r="V85" s="715" t="b">
        <f t="shared" si="0"/>
        <v>1</v>
      </c>
    </row>
    <row r="86" spans="2:22" ht="25.5" customHeight="1" x14ac:dyDescent="0.2">
      <c r="B86" s="20"/>
      <c r="C86" s="20"/>
      <c r="D86" s="20"/>
      <c r="E86" s="1613" t="str">
        <f>Translations!$B$976</f>
        <v>Oczyszczanie i sprężanie gazu opałowego przeznaczonego na sprzedaż</v>
      </c>
      <c r="F86" s="1613"/>
      <c r="G86" s="28" t="s">
        <v>227</v>
      </c>
      <c r="H86" s="133">
        <v>0.15</v>
      </c>
      <c r="I86" s="299"/>
      <c r="J86" s="299"/>
      <c r="K86" s="299"/>
      <c r="L86" s="299"/>
      <c r="M86" s="917"/>
      <c r="N86" s="921"/>
      <c r="O86" s="7"/>
      <c r="V86" s="715" t="b">
        <f t="shared" si="0"/>
        <v>1</v>
      </c>
    </row>
    <row r="87" spans="2:22" ht="13.5" thickBot="1" x14ac:dyDescent="0.25">
      <c r="B87" s="20"/>
      <c r="C87" s="20"/>
      <c r="D87" s="20"/>
      <c r="E87" s="1615" t="str">
        <f>Translations!$B$977</f>
        <v>Odsalanie wody morskiej</v>
      </c>
      <c r="F87" s="1615"/>
      <c r="G87" s="30" t="s">
        <v>154</v>
      </c>
      <c r="H87" s="134">
        <v>1.1499999999999999</v>
      </c>
      <c r="I87" s="298"/>
      <c r="J87" s="298"/>
      <c r="K87" s="298"/>
      <c r="L87" s="298"/>
      <c r="M87" s="918"/>
      <c r="N87" s="922"/>
      <c r="O87" s="7"/>
      <c r="V87" s="716" t="b">
        <f t="shared" si="0"/>
        <v>1</v>
      </c>
    </row>
    <row r="88" spans="2:22" ht="5.0999999999999996" customHeight="1" x14ac:dyDescent="0.2">
      <c r="B88" s="3"/>
      <c r="C88" s="3"/>
      <c r="D88" s="3"/>
      <c r="E88" s="3"/>
      <c r="F88" s="3"/>
      <c r="G88" s="3"/>
      <c r="H88" s="3"/>
      <c r="I88" s="3"/>
      <c r="J88" s="3"/>
      <c r="K88" s="3"/>
      <c r="L88" s="3"/>
      <c r="M88" s="7"/>
      <c r="N88" s="7"/>
      <c r="O88" s="7"/>
      <c r="P88" s="8"/>
    </row>
    <row r="89" spans="2:22" x14ac:dyDescent="0.2">
      <c r="B89" s="3"/>
      <c r="C89" s="3"/>
      <c r="D89" s="14" t="s">
        <v>11</v>
      </c>
      <c r="E89" s="1375" t="str">
        <f>Translations!$B$978</f>
        <v>Wynik: Poziomy działalności dla wskaźnika dotyczącego rafinerii wyrażone w CWT</v>
      </c>
      <c r="F89" s="1370"/>
      <c r="G89" s="1370"/>
      <c r="H89" s="1370"/>
      <c r="I89" s="1370"/>
      <c r="J89" s="1370"/>
      <c r="K89" s="1370"/>
      <c r="L89" s="1370"/>
      <c r="M89" s="1370"/>
      <c r="N89" s="1370"/>
      <c r="O89" s="7"/>
      <c r="P89" s="8"/>
    </row>
    <row r="90" spans="2:22" x14ac:dyDescent="0.2">
      <c r="B90" s="3"/>
      <c r="C90" s="3"/>
      <c r="D90" s="16"/>
      <c r="E90" s="1408" t="str">
        <f>Translations!$B$979</f>
        <v>W tym miejscu oblicza się poziom działalności rafinerii według wzoru podanego w pkt 1 załącznika III do FAR (przed określeniem średniej wartości).</v>
      </c>
      <c r="F90" s="1370"/>
      <c r="G90" s="1370"/>
      <c r="H90" s="1370"/>
      <c r="I90" s="1370"/>
      <c r="J90" s="1370"/>
      <c r="K90" s="1370"/>
      <c r="L90" s="1370"/>
      <c r="M90" s="1370"/>
      <c r="N90" s="1370"/>
      <c r="O90" s="7"/>
      <c r="P90" s="8"/>
    </row>
    <row r="91" spans="2:22" ht="12.75" customHeight="1" x14ac:dyDescent="0.2">
      <c r="B91" s="3"/>
      <c r="C91" s="3"/>
      <c r="D91" s="16"/>
      <c r="E91" s="1448" t="str">
        <f>Translations!$B$980</f>
        <v>Ważna uwaga: Powyższe dane należy podawać w kilotonach, ale wskaźnik jest wyrażany w t CO2/CWT, przy czym CWT jest wyrażona w tonach.</v>
      </c>
      <c r="F91" s="1370"/>
      <c r="G91" s="1370"/>
      <c r="H91" s="1370"/>
      <c r="I91" s="1370"/>
      <c r="J91" s="1370"/>
      <c r="K91" s="1370"/>
      <c r="L91" s="1370"/>
      <c r="M91" s="1370"/>
      <c r="N91" s="1370"/>
      <c r="O91" s="7"/>
      <c r="P91" s="8"/>
    </row>
    <row r="92" spans="2:22" x14ac:dyDescent="0.2">
      <c r="B92" s="3"/>
      <c r="C92" s="3"/>
      <c r="D92" s="16"/>
      <c r="E92" s="1448" t="str">
        <f>Translations!$B$981</f>
        <v>W związku z tym poniższe wyniki mnoży się przez 1000, co nie jest wyraźnie wskazane w pkt 1 załącznika III do FAR.</v>
      </c>
      <c r="F92" s="1370"/>
      <c r="G92" s="1370"/>
      <c r="H92" s="1370"/>
      <c r="I92" s="1370"/>
      <c r="J92" s="1370"/>
      <c r="K92" s="1370"/>
      <c r="L92" s="1370"/>
      <c r="M92" s="1370"/>
      <c r="N92" s="1370"/>
      <c r="O92" s="7"/>
      <c r="P92" s="8"/>
    </row>
    <row r="93" spans="2:22" ht="13.5" thickBot="1" x14ac:dyDescent="0.25">
      <c r="B93" s="3"/>
      <c r="C93" s="3"/>
      <c r="D93" s="16"/>
      <c r="E93" s="1408" t="str">
        <f>Translations!$B$982</f>
        <v>Wynik zastosowania tego narzędzia jest wykorzystywany w arkuszu „F_ProductBM” wiersz „a) lit. (ii)” odpowiedniej podinstalacji, na którego podstawie obliczana jest średnia.</v>
      </c>
      <c r="F93" s="1370"/>
      <c r="G93" s="1370"/>
      <c r="H93" s="1370"/>
      <c r="I93" s="1370"/>
      <c r="J93" s="1370"/>
      <c r="K93" s="1370"/>
      <c r="L93" s="1370"/>
      <c r="M93" s="1370"/>
      <c r="N93" s="1370"/>
      <c r="O93" s="7"/>
      <c r="P93" s="8"/>
    </row>
    <row r="94" spans="2:22" x14ac:dyDescent="0.2">
      <c r="B94" s="20"/>
      <c r="C94" s="20"/>
      <c r="D94" s="14"/>
      <c r="E94" s="22"/>
      <c r="F94" s="22"/>
      <c r="G94" s="22"/>
      <c r="H94" s="34" t="str">
        <f>EUconst_Unit</f>
        <v>Jednostka</v>
      </c>
      <c r="I94" s="432">
        <f>I$391</f>
        <v>2014</v>
      </c>
      <c r="J94" s="432">
        <f>J$391</f>
        <v>2015</v>
      </c>
      <c r="K94" s="432">
        <f>K$391</f>
        <v>2016</v>
      </c>
      <c r="L94" s="432">
        <f>L$391</f>
        <v>2017</v>
      </c>
      <c r="M94" s="914">
        <f>M$391</f>
        <v>2018</v>
      </c>
      <c r="N94" s="888" t="str">
        <f>N31</f>
        <v/>
      </c>
      <c r="O94" s="7"/>
      <c r="V94" s="179" t="b">
        <f>V87</f>
        <v>1</v>
      </c>
    </row>
    <row r="95" spans="2:22" ht="13.5" thickBot="1" x14ac:dyDescent="0.25">
      <c r="B95" s="20"/>
      <c r="C95" s="20"/>
      <c r="D95" s="20"/>
      <c r="E95" s="1611" t="str">
        <f>Translations!$B$983</f>
        <v>Poziom działalności rafinerii</v>
      </c>
      <c r="F95" s="1611"/>
      <c r="G95" s="1611"/>
      <c r="H95" s="138" t="str">
        <f>EUconst_CWTpa</f>
        <v>CWT / rok</v>
      </c>
      <c r="I95" s="321" t="str">
        <f t="shared" ref="I95:N95" si="1">IF(COUNT(I32:I87)&gt;0,1000*(1.0183*SUMPRODUCT($H$32:$H$87,I32:I87)+298+0.315*I32),"")</f>
        <v/>
      </c>
      <c r="J95" s="321" t="str">
        <f t="shared" si="1"/>
        <v/>
      </c>
      <c r="K95" s="321" t="str">
        <f t="shared" si="1"/>
        <v/>
      </c>
      <c r="L95" s="321" t="str">
        <f t="shared" si="1"/>
        <v/>
      </c>
      <c r="M95" s="887" t="str">
        <f t="shared" si="1"/>
        <v/>
      </c>
      <c r="N95" s="890" t="str">
        <f t="shared" si="1"/>
        <v/>
      </c>
      <c r="O95" s="7"/>
      <c r="P95" s="116" t="str">
        <f>IF(L17=EUconst_Relevant,EUconst_CNTR_HALspecial &amp; INDEX(EUconst_BMlistNames,Q17),"")</f>
        <v/>
      </c>
      <c r="V95" s="168" t="b">
        <f>V94</f>
        <v>1</v>
      </c>
    </row>
    <row r="96" spans="2:22" ht="5.0999999999999996" customHeight="1" x14ac:dyDescent="0.2">
      <c r="B96" s="3"/>
      <c r="C96" s="3"/>
      <c r="D96" s="3"/>
      <c r="E96" s="3"/>
      <c r="F96" s="3"/>
      <c r="G96" s="3"/>
      <c r="H96" s="3"/>
      <c r="I96" s="3"/>
      <c r="J96" s="3"/>
      <c r="K96" s="3"/>
      <c r="L96" s="3"/>
      <c r="M96" s="7"/>
      <c r="N96" s="7"/>
      <c r="O96" s="7"/>
      <c r="P96" s="8"/>
    </row>
    <row r="97" spans="2:22" x14ac:dyDescent="0.2">
      <c r="B97" s="3"/>
      <c r="C97" s="3"/>
      <c r="D97" s="3"/>
      <c r="E97" s="1916" t="str">
        <f>IF(L17=EUconst_Relevant,HYPERLINK(Q97,EUconst_MsgBackToSheetF),"")</f>
        <v/>
      </c>
      <c r="F97" s="1917"/>
      <c r="G97" s="1917"/>
      <c r="H97" s="1917"/>
      <c r="I97" s="1917"/>
      <c r="J97" s="1917"/>
      <c r="K97" s="1917"/>
      <c r="L97" s="1917"/>
      <c r="M97" s="1917"/>
      <c r="N97" s="1918"/>
      <c r="O97" s="7"/>
      <c r="P97" s="371" t="s">
        <v>33</v>
      </c>
      <c r="Q97" s="116" t="str">
        <f>Q19</f>
        <v/>
      </c>
    </row>
    <row r="98" spans="2:22" x14ac:dyDescent="0.2">
      <c r="B98" s="20"/>
      <c r="C98" s="20"/>
      <c r="D98" s="20"/>
      <c r="E98" s="20"/>
      <c r="F98" s="20"/>
      <c r="G98" s="20"/>
      <c r="H98" s="20"/>
      <c r="I98" s="20"/>
      <c r="J98" s="20"/>
      <c r="K98" s="20"/>
      <c r="L98" s="20"/>
      <c r="M98" s="20"/>
      <c r="N98" s="20"/>
      <c r="O98" s="7"/>
    </row>
    <row r="99" spans="2:22" ht="15.75" x14ac:dyDescent="0.25">
      <c r="B99" s="3"/>
      <c r="C99" s="12" t="s">
        <v>352</v>
      </c>
      <c r="D99" s="1384" t="str">
        <f>Translations!$B$984</f>
        <v>Wapno</v>
      </c>
      <c r="E99" s="1384"/>
      <c r="F99" s="1384"/>
      <c r="G99" s="1384"/>
      <c r="H99" s="1384"/>
      <c r="I99" s="1384"/>
      <c r="J99" s="1384"/>
      <c r="K99" s="1384"/>
      <c r="L99" s="1384"/>
      <c r="M99" s="1384"/>
      <c r="N99" s="1384"/>
      <c r="O99" s="7"/>
      <c r="P99" s="8"/>
    </row>
    <row r="100" spans="2:22" ht="5.0999999999999996" customHeight="1" x14ac:dyDescent="0.2">
      <c r="B100" s="3"/>
      <c r="C100" s="3"/>
      <c r="D100" s="3"/>
      <c r="E100" s="3"/>
      <c r="F100" s="3"/>
      <c r="G100" s="3"/>
      <c r="H100" s="3"/>
      <c r="I100" s="3"/>
      <c r="J100" s="3"/>
      <c r="K100" s="3"/>
      <c r="L100" s="3"/>
      <c r="M100" s="7"/>
      <c r="N100" s="7"/>
      <c r="O100" s="7"/>
      <c r="P100" s="8"/>
    </row>
    <row r="101" spans="2:22" ht="15" x14ac:dyDescent="0.25">
      <c r="B101" s="3"/>
      <c r="C101" s="18"/>
      <c r="D101" s="1439" t="str">
        <f>Translations!$B$985</f>
        <v>Narzędzie do obliczania historycznych poziomów działalności dla podinstalacji wapna</v>
      </c>
      <c r="E101" s="1370"/>
      <c r="F101" s="1370"/>
      <c r="G101" s="1370"/>
      <c r="H101" s="1370"/>
      <c r="I101" s="1370"/>
      <c r="J101" s="1370"/>
      <c r="K101" s="1370"/>
      <c r="L101" s="1370"/>
      <c r="M101" s="1370"/>
      <c r="N101" s="1370"/>
      <c r="O101" s="7"/>
      <c r="P101" s="8"/>
    </row>
    <row r="102" spans="2:22" ht="5.0999999999999996" customHeight="1" x14ac:dyDescent="0.2">
      <c r="B102" s="3"/>
      <c r="C102" s="3"/>
      <c r="D102" s="3"/>
      <c r="E102" s="3"/>
      <c r="F102" s="3"/>
      <c r="G102" s="3"/>
      <c r="H102" s="3"/>
      <c r="I102" s="3"/>
      <c r="J102" s="3"/>
      <c r="K102" s="3"/>
      <c r="L102" s="3"/>
      <c r="M102" s="7"/>
      <c r="N102" s="7"/>
      <c r="O102" s="7"/>
      <c r="P102" s="8"/>
    </row>
    <row r="103" spans="2:22" ht="12.75" customHeight="1" x14ac:dyDescent="0.2">
      <c r="B103" s="3"/>
      <c r="C103" s="3"/>
      <c r="D103" s="16"/>
      <c r="E103" s="1408" t="str">
        <f>Translations!$B$986</f>
        <v>Narzędzie to pomaga określić historyczne poziomy działalności dla wskaźnika dotyczącego wapna (pkt 2 załącznika III do FAR)</v>
      </c>
      <c r="F103" s="1370"/>
      <c r="G103" s="1370"/>
      <c r="H103" s="1370"/>
      <c r="I103" s="1370"/>
      <c r="J103" s="1370"/>
      <c r="K103" s="1370"/>
      <c r="L103" s="1370"/>
      <c r="M103" s="1370"/>
      <c r="N103" s="1370"/>
      <c r="O103" s="7"/>
      <c r="P103" s="8"/>
    </row>
    <row r="104" spans="2:22" x14ac:dyDescent="0.2">
      <c r="B104" s="3"/>
      <c r="C104" s="3"/>
      <c r="D104" s="16"/>
      <c r="E104" s="1408" t="str">
        <f>Translations!$B$907</f>
        <v>Wynik zastosowania tego narzędzia jest automatycznie kopiowany do arkusza „F_ProductBM”, wiersz „a) ppkt (ii)” odpowiedniej podinstalacji.</v>
      </c>
      <c r="F104" s="1370"/>
      <c r="G104" s="1370"/>
      <c r="H104" s="1370"/>
      <c r="I104" s="1370"/>
      <c r="J104" s="1370"/>
      <c r="K104" s="1370"/>
      <c r="L104" s="1370"/>
      <c r="M104" s="1370"/>
      <c r="N104" s="1370"/>
      <c r="O104" s="7"/>
      <c r="P104" s="8"/>
    </row>
    <row r="105" spans="2:22" ht="5.0999999999999996" customHeight="1" x14ac:dyDescent="0.2">
      <c r="B105" s="3"/>
      <c r="C105" s="3"/>
      <c r="D105" s="3"/>
      <c r="E105" s="3"/>
      <c r="F105" s="3"/>
      <c r="G105" s="3"/>
      <c r="H105" s="3"/>
      <c r="I105" s="3"/>
      <c r="J105" s="3"/>
      <c r="K105" s="3"/>
      <c r="L105" s="3"/>
      <c r="M105" s="7"/>
      <c r="N105" s="7"/>
      <c r="O105" s="7"/>
      <c r="P105" s="8"/>
    </row>
    <row r="106" spans="2:22" ht="15" x14ac:dyDescent="0.25">
      <c r="B106" s="3"/>
      <c r="C106" s="3"/>
      <c r="D106" s="14" t="s">
        <v>173</v>
      </c>
      <c r="E106" s="1375" t="str">
        <f>Translations!$B$908</f>
        <v>Zastosowanie tego narzędzia w Państwa instalacji:</v>
      </c>
      <c r="F106" s="1375"/>
      <c r="G106" s="1375"/>
      <c r="H106" s="1375"/>
      <c r="I106" s="1375"/>
      <c r="J106" s="1375"/>
      <c r="K106" s="1637"/>
      <c r="L106" s="1913" t="str">
        <f>IF(CNTR_ExistSubInstEntries,IF(COUNTIF(CNTR_SubInstListNames,INDEX(EUconst_BMlistNames,Q106))&gt;0,EUconst_Relevant,EUconst_NotRelevant),"")</f>
        <v>nie dotyczy</v>
      </c>
      <c r="M106" s="1914"/>
      <c r="N106" s="1915"/>
      <c r="O106" s="7"/>
      <c r="P106" s="371" t="s">
        <v>34</v>
      </c>
      <c r="Q106" s="350">
        <v>12</v>
      </c>
    </row>
    <row r="107" spans="2:22" x14ac:dyDescent="0.2">
      <c r="B107" s="3"/>
      <c r="C107" s="3"/>
      <c r="D107" s="16"/>
      <c r="E107" s="1376" t="str">
        <f>Translations!$B$909</f>
        <v>Ten komunikat jest automatycznie generowany na podstawie Państwa wpisów w arkuszu „A_InstallationData” część A.III.1.</v>
      </c>
      <c r="F107" s="1377"/>
      <c r="G107" s="1377"/>
      <c r="H107" s="1377"/>
      <c r="I107" s="1377"/>
      <c r="J107" s="1377"/>
      <c r="K107" s="1377"/>
      <c r="L107" s="1377"/>
      <c r="M107" s="1377"/>
      <c r="N107" s="1377"/>
      <c r="O107" s="7"/>
      <c r="P107" s="8"/>
    </row>
    <row r="108" spans="2:22" x14ac:dyDescent="0.2">
      <c r="B108" s="3"/>
      <c r="C108" s="3"/>
      <c r="D108" s="3"/>
      <c r="E108" s="1916" t="str">
        <f>IF(L106=EUconst_Relevant,HYPERLINK(Q108,EUconst_MsgBackToSheetF),"")</f>
        <v/>
      </c>
      <c r="F108" s="1917"/>
      <c r="G108" s="1917"/>
      <c r="H108" s="1917"/>
      <c r="I108" s="1917"/>
      <c r="J108" s="1917"/>
      <c r="K108" s="1917"/>
      <c r="L108" s="1917"/>
      <c r="M108" s="1917"/>
      <c r="N108" s="1918"/>
      <c r="O108" s="7"/>
      <c r="P108" s="371" t="s">
        <v>33</v>
      </c>
      <c r="Q108" s="116" t="str">
        <f>IF(ISNUMBER(MATCH(Q106,CNTR_SubInstListBMnumbers,0)),"#JUMP_F"&amp;MATCH(Q106,CNTR_SubInstListBMnumbers,0),"")</f>
        <v/>
      </c>
    </row>
    <row r="109" spans="2:22" ht="5.0999999999999996" customHeight="1" x14ac:dyDescent="0.2">
      <c r="B109" s="3"/>
      <c r="C109" s="3"/>
      <c r="D109" s="3"/>
      <c r="E109" s="3"/>
      <c r="F109" s="3"/>
      <c r="G109" s="3"/>
      <c r="H109" s="3"/>
      <c r="I109" s="3"/>
      <c r="J109" s="3"/>
      <c r="K109" s="3"/>
      <c r="L109" s="3"/>
      <c r="M109" s="7"/>
      <c r="N109" s="7"/>
      <c r="O109" s="7"/>
      <c r="P109" s="8"/>
    </row>
    <row r="110" spans="2:22" x14ac:dyDescent="0.2">
      <c r="B110" s="3"/>
      <c r="C110" s="3"/>
      <c r="D110" s="14" t="s">
        <v>353</v>
      </c>
      <c r="E110" s="1375" t="str">
        <f>Translations!$B$987</f>
        <v>Nieskorygowana produkcja wapna:</v>
      </c>
      <c r="F110" s="1370"/>
      <c r="G110" s="1370"/>
      <c r="H110" s="1370"/>
      <c r="I110" s="1370"/>
      <c r="J110" s="1370"/>
      <c r="K110" s="1370"/>
      <c r="L110" s="1370"/>
      <c r="M110" s="1370"/>
      <c r="N110" s="1370"/>
      <c r="O110" s="7"/>
      <c r="P110" s="8"/>
    </row>
    <row r="111" spans="2:22" ht="13.5" thickBot="1" x14ac:dyDescent="0.25">
      <c r="B111" s="3"/>
      <c r="C111" s="3"/>
      <c r="D111" s="16"/>
      <c r="E111" s="1408" t="str">
        <f>Translations!$B$988</f>
        <v>W tym miejscu proszę podać dane dotyczące rocznej produkcji, wyrażone w tonach wapna, bez korekty na potrzeby danych dotyczących składu:</v>
      </c>
      <c r="F111" s="1370"/>
      <c r="G111" s="1370"/>
      <c r="H111" s="1370"/>
      <c r="I111" s="1370"/>
      <c r="J111" s="1370"/>
      <c r="K111" s="1370"/>
      <c r="L111" s="1370"/>
      <c r="M111" s="1370"/>
      <c r="N111" s="1370"/>
      <c r="O111" s="7"/>
      <c r="P111" s="8"/>
      <c r="V111" s="422" t="s">
        <v>606</v>
      </c>
    </row>
    <row r="112" spans="2:22" x14ac:dyDescent="0.2">
      <c r="B112" s="20"/>
      <c r="C112" s="20"/>
      <c r="D112" s="14"/>
      <c r="E112" s="25"/>
      <c r="F112" s="22"/>
      <c r="G112" s="22"/>
      <c r="H112" s="34" t="str">
        <f>EUconst_Unit</f>
        <v>Jednostka</v>
      </c>
      <c r="I112" s="432">
        <f>I$391</f>
        <v>2014</v>
      </c>
      <c r="J112" s="432">
        <f>J$391</f>
        <v>2015</v>
      </c>
      <c r="K112" s="432">
        <f>K$391</f>
        <v>2016</v>
      </c>
      <c r="L112" s="432">
        <f>L$391</f>
        <v>2017</v>
      </c>
      <c r="M112" s="432">
        <f>M$391</f>
        <v>2018</v>
      </c>
      <c r="N112" s="888" t="str">
        <f>IF(L106&lt;&gt;EUconst_Relevant,"",IF(T112,YEAR(INDEX(CNTR_SubInstStartDate,MATCH(Q106,CNTR_SubInstListBMnumbers,0)))+1,""))</f>
        <v/>
      </c>
      <c r="O112" s="7"/>
      <c r="S112" s="371" t="s">
        <v>598</v>
      </c>
      <c r="T112" s="438" t="str">
        <f>IF(L106&lt;&gt;EUconst_Relevant,"",INDEX(CNTR_SubInstLess1Year,MATCH(Q106,CNTR_SubInstListBMnumbers,0)))</f>
        <v/>
      </c>
      <c r="V112" s="714" t="b">
        <f>IF(CNTR_ExistSubInstEntries,IF(L106=EUconst_Relevant,NOT(T112),TRUE),FALSE)</f>
        <v>1</v>
      </c>
    </row>
    <row r="113" spans="2:22" ht="13.5" thickBot="1" x14ac:dyDescent="0.25">
      <c r="B113" s="20"/>
      <c r="C113" s="20"/>
      <c r="D113" s="20"/>
      <c r="E113" s="1612" t="str">
        <f>Translations!$B$989</f>
        <v>nieskorygowana produkcja wapna</v>
      </c>
      <c r="F113" s="1612"/>
      <c r="G113" s="1612"/>
      <c r="H113" s="48" t="str">
        <f>EUconst_tpa</f>
        <v>t / rok</v>
      </c>
      <c r="I113" s="297"/>
      <c r="J113" s="297"/>
      <c r="K113" s="297"/>
      <c r="L113" s="297"/>
      <c r="M113" s="297"/>
      <c r="N113" s="919"/>
      <c r="O113" s="7"/>
      <c r="V113" s="716" t="b">
        <f>V112</f>
        <v>1</v>
      </c>
    </row>
    <row r="114" spans="2:22" ht="5.0999999999999996" customHeight="1" x14ac:dyDescent="0.2">
      <c r="B114" s="3"/>
      <c r="C114" s="3"/>
      <c r="D114" s="3"/>
      <c r="E114" s="3"/>
      <c r="F114" s="3"/>
      <c r="G114" s="3"/>
      <c r="H114" s="3"/>
      <c r="I114" s="3"/>
      <c r="J114" s="3"/>
      <c r="K114" s="3"/>
      <c r="L114" s="3"/>
      <c r="M114" s="7"/>
      <c r="N114" s="7"/>
      <c r="O114" s="7"/>
      <c r="P114" s="8"/>
    </row>
    <row r="115" spans="2:22" x14ac:dyDescent="0.2">
      <c r="B115" s="3"/>
      <c r="C115" s="3"/>
      <c r="D115" s="14" t="s">
        <v>11</v>
      </c>
      <c r="E115" s="1375" t="str">
        <f>Translations!$B$990</f>
        <v>Dane dotyczące składu:</v>
      </c>
      <c r="F115" s="1370"/>
      <c r="G115" s="1370"/>
      <c r="H115" s="1370"/>
      <c r="I115" s="1370"/>
      <c r="J115" s="1370"/>
      <c r="K115" s="1370"/>
      <c r="L115" s="1370"/>
      <c r="M115" s="1370"/>
      <c r="N115" s="1370"/>
      <c r="O115" s="7"/>
      <c r="P115" s="8"/>
    </row>
    <row r="116" spans="2:22" x14ac:dyDescent="0.2">
      <c r="B116" s="3"/>
      <c r="C116" s="3"/>
      <c r="D116" s="16"/>
      <c r="E116" s="1408" t="str">
        <f>Translations!$B$991</f>
        <v>Zgodnie z pkt 2 załącznika III do FAR wymagane są następujące dane:</v>
      </c>
      <c r="F116" s="1370"/>
      <c r="G116" s="1370"/>
      <c r="H116" s="1370"/>
      <c r="I116" s="1370"/>
      <c r="J116" s="1370"/>
      <c r="K116" s="1370"/>
      <c r="L116" s="1370"/>
      <c r="M116" s="1370"/>
      <c r="N116" s="1370"/>
      <c r="O116" s="7"/>
      <c r="P116" s="8"/>
    </row>
    <row r="117" spans="2:22" ht="12.75" customHeight="1" x14ac:dyDescent="0.2">
      <c r="B117" s="3"/>
      <c r="C117" s="3"/>
      <c r="D117" s="16"/>
      <c r="E117" s="17" t="s">
        <v>26</v>
      </c>
      <c r="F117" s="1408" t="str">
        <f>Translations!$B$992</f>
        <v>zawartość wolnego CaO w wyprodukowanym wapnie w poszczególnych latach okresu odniesienia wyrażona jako procent masy</v>
      </c>
      <c r="G117" s="1370"/>
      <c r="H117" s="1370"/>
      <c r="I117" s="1370"/>
      <c r="J117" s="1370"/>
      <c r="K117" s="1370"/>
      <c r="L117" s="1370"/>
      <c r="M117" s="1370"/>
      <c r="N117" s="1370"/>
      <c r="O117" s="7"/>
      <c r="P117" s="8"/>
    </row>
    <row r="118" spans="2:22" x14ac:dyDescent="0.2">
      <c r="B118" s="3"/>
      <c r="C118" s="3"/>
      <c r="D118" s="16"/>
      <c r="E118" s="17"/>
      <c r="F118" s="1408" t="str">
        <f>Translations!$B$993</f>
        <v>W przypadku braku danych na temat zawartości wolnego CaO stosuje się zachowawczy szacunek nie wyższy niż 85%.</v>
      </c>
      <c r="G118" s="1370"/>
      <c r="H118" s="1370"/>
      <c r="I118" s="1370"/>
      <c r="J118" s="1370"/>
      <c r="K118" s="1370"/>
      <c r="L118" s="1370"/>
      <c r="M118" s="1370"/>
      <c r="N118" s="1370"/>
      <c r="O118" s="7"/>
      <c r="P118" s="8"/>
    </row>
    <row r="119" spans="2:22" x14ac:dyDescent="0.2">
      <c r="B119" s="3"/>
      <c r="C119" s="3"/>
      <c r="D119" s="16"/>
      <c r="E119" s="17" t="s">
        <v>27</v>
      </c>
      <c r="F119" s="1408" t="str">
        <f>Translations!$B$994</f>
        <v>zawartość wolnego MgO w wyprodukowanym wapnie w poszczególnych latach okresu odniesienia wyrażona jako procent masy</v>
      </c>
      <c r="G119" s="1370"/>
      <c r="H119" s="1370"/>
      <c r="I119" s="1370"/>
      <c r="J119" s="1370"/>
      <c r="K119" s="1370"/>
      <c r="L119" s="1370"/>
      <c r="M119" s="1370"/>
      <c r="N119" s="1370"/>
      <c r="O119" s="7"/>
      <c r="P119" s="8"/>
    </row>
    <row r="120" spans="2:22" ht="13.5" thickBot="1" x14ac:dyDescent="0.25">
      <c r="B120" s="3"/>
      <c r="C120" s="3"/>
      <c r="D120" s="16"/>
      <c r="E120" s="17"/>
      <c r="F120" s="1408" t="str">
        <f>Translations!$B$995</f>
        <v>W przypadku braku danych na temat zawartości wolnego CaO stosuje się zachowawczy szacunek nie wyższy niż 0,5%.</v>
      </c>
      <c r="G120" s="1370"/>
      <c r="H120" s="1370"/>
      <c r="I120" s="1370"/>
      <c r="J120" s="1370"/>
      <c r="K120" s="1370"/>
      <c r="L120" s="1370"/>
      <c r="M120" s="1370"/>
      <c r="N120" s="1370"/>
      <c r="O120" s="7"/>
      <c r="P120" s="8"/>
    </row>
    <row r="121" spans="2:22" x14ac:dyDescent="0.2">
      <c r="B121" s="20"/>
      <c r="C121" s="20"/>
      <c r="D121" s="14"/>
      <c r="E121" s="25"/>
      <c r="F121" s="22"/>
      <c r="G121" s="22"/>
      <c r="H121" s="34" t="str">
        <f>EUconst_Unit</f>
        <v>Jednostka</v>
      </c>
      <c r="I121" s="432">
        <f>I$391</f>
        <v>2014</v>
      </c>
      <c r="J121" s="432">
        <f>J$391</f>
        <v>2015</v>
      </c>
      <c r="K121" s="432">
        <f>K$391</f>
        <v>2016</v>
      </c>
      <c r="L121" s="432">
        <f>L$391</f>
        <v>2017</v>
      </c>
      <c r="M121" s="432">
        <f>M$391</f>
        <v>2018</v>
      </c>
      <c r="N121" s="888" t="str">
        <f>N112</f>
        <v/>
      </c>
      <c r="O121" s="7"/>
      <c r="V121" s="179" t="b">
        <f>V113</f>
        <v>1</v>
      </c>
    </row>
    <row r="122" spans="2:22" x14ac:dyDescent="0.2">
      <c r="B122" s="20"/>
      <c r="C122" s="20"/>
      <c r="D122" s="20"/>
      <c r="E122" s="1618" t="str">
        <f>Translations!$B$996</f>
        <v>Zawartość CaO</v>
      </c>
      <c r="F122" s="1618"/>
      <c r="G122" s="1618"/>
      <c r="H122" s="27" t="s">
        <v>409</v>
      </c>
      <c r="I122" s="331"/>
      <c r="J122" s="331"/>
      <c r="K122" s="331"/>
      <c r="L122" s="331"/>
      <c r="M122" s="331"/>
      <c r="N122" s="923"/>
      <c r="O122" s="7"/>
      <c r="V122" s="345" t="b">
        <f>V121</f>
        <v>1</v>
      </c>
    </row>
    <row r="123" spans="2:22" ht="13.5" thickBot="1" x14ac:dyDescent="0.25">
      <c r="B123" s="20"/>
      <c r="C123" s="20"/>
      <c r="D123" s="20"/>
      <c r="E123" s="1615" t="str">
        <f>Translations!$B$997</f>
        <v>Zawartość MgO</v>
      </c>
      <c r="F123" s="1615"/>
      <c r="G123" s="1615"/>
      <c r="H123" s="30" t="s">
        <v>409</v>
      </c>
      <c r="I123" s="329"/>
      <c r="J123" s="329"/>
      <c r="K123" s="329"/>
      <c r="L123" s="329"/>
      <c r="M123" s="329"/>
      <c r="N123" s="922"/>
      <c r="O123" s="7"/>
      <c r="V123" s="168" t="b">
        <f>V122</f>
        <v>1</v>
      </c>
    </row>
    <row r="124" spans="2:22" ht="5.0999999999999996" customHeight="1" x14ac:dyDescent="0.2">
      <c r="B124" s="3"/>
      <c r="C124" s="3"/>
      <c r="D124" s="3"/>
      <c r="E124" s="3"/>
      <c r="F124" s="3"/>
      <c r="G124" s="3"/>
      <c r="H124" s="3"/>
      <c r="I124" s="3"/>
      <c r="J124" s="3"/>
      <c r="K124" s="3"/>
      <c r="L124" s="3"/>
      <c r="M124" s="7"/>
      <c r="N124" s="7"/>
      <c r="O124" s="7"/>
      <c r="P124" s="8"/>
    </row>
    <row r="125" spans="2:22" x14ac:dyDescent="0.2">
      <c r="B125" s="3"/>
      <c r="C125" s="3"/>
      <c r="D125" s="14" t="s">
        <v>356</v>
      </c>
      <c r="E125" s="1375" t="str">
        <f>Translations!$B$998</f>
        <v>Wynik: Historyczne poziomy działalności w zakresie produkcji wapna wyrażone jako standardowe czyste wapno</v>
      </c>
      <c r="F125" s="1370"/>
      <c r="G125" s="1370"/>
      <c r="H125" s="1370"/>
      <c r="I125" s="1370"/>
      <c r="J125" s="1370"/>
      <c r="K125" s="1370"/>
      <c r="L125" s="1370"/>
      <c r="M125" s="1370"/>
      <c r="N125" s="1370"/>
      <c r="O125" s="7"/>
      <c r="P125" s="8"/>
    </row>
    <row r="126" spans="2:22" ht="25.5" customHeight="1" x14ac:dyDescent="0.2">
      <c r="B126" s="3"/>
      <c r="C126" s="3"/>
      <c r="D126" s="16"/>
      <c r="E126" s="1408" t="str">
        <f>Translations!$B$999</f>
        <v>W tym miejscu oblicza się skorygowany poziom działalności w zakresie produkcji wapna według wzoru podanego w pkt 2 załącznika III do FAR (przed określeniem średniej wartości).</v>
      </c>
      <c r="F126" s="1370"/>
      <c r="G126" s="1370"/>
      <c r="H126" s="1370"/>
      <c r="I126" s="1370"/>
      <c r="J126" s="1370"/>
      <c r="K126" s="1370"/>
      <c r="L126" s="1370"/>
      <c r="M126" s="1370"/>
      <c r="N126" s="1370"/>
      <c r="O126" s="7"/>
      <c r="P126" s="8"/>
    </row>
    <row r="127" spans="2:22" ht="13.5" thickBot="1" x14ac:dyDescent="0.25">
      <c r="B127" s="3"/>
      <c r="C127" s="3"/>
      <c r="D127" s="16"/>
      <c r="E127" s="1408" t="str">
        <f>Translations!$B$982</f>
        <v>Wynik zastosowania tego narzędzia jest wykorzystywany w arkuszu „F_ProductBM” wiersz „a) lit. (ii)” odpowiedniej podinstalacji, na którego podstawie obliczana jest średnia.</v>
      </c>
      <c r="F127" s="1370"/>
      <c r="G127" s="1370"/>
      <c r="H127" s="1370"/>
      <c r="I127" s="1370"/>
      <c r="J127" s="1370"/>
      <c r="K127" s="1370"/>
      <c r="L127" s="1370"/>
      <c r="M127" s="1370"/>
      <c r="N127" s="1370"/>
      <c r="O127" s="7"/>
      <c r="P127" s="8"/>
    </row>
    <row r="128" spans="2:22" x14ac:dyDescent="0.2">
      <c r="B128" s="20"/>
      <c r="C128" s="20"/>
      <c r="D128" s="14"/>
      <c r="E128" s="22"/>
      <c r="F128" s="22"/>
      <c r="G128" s="22"/>
      <c r="H128" s="34" t="str">
        <f>EUconst_Unit</f>
        <v>Jednostka</v>
      </c>
      <c r="I128" s="432">
        <f>I$391</f>
        <v>2014</v>
      </c>
      <c r="J128" s="432">
        <f>J$391</f>
        <v>2015</v>
      </c>
      <c r="K128" s="432">
        <f>K$391</f>
        <v>2016</v>
      </c>
      <c r="L128" s="432">
        <f>L$391</f>
        <v>2017</v>
      </c>
      <c r="M128" s="914">
        <f>M$391</f>
        <v>2018</v>
      </c>
      <c r="N128" s="888" t="str">
        <f>N121</f>
        <v/>
      </c>
      <c r="O128" s="7"/>
      <c r="V128" s="179" t="b">
        <f>V123</f>
        <v>1</v>
      </c>
    </row>
    <row r="129" spans="2:22" ht="13.5" thickBot="1" x14ac:dyDescent="0.25">
      <c r="B129" s="20"/>
      <c r="C129" s="20"/>
      <c r="D129" s="20"/>
      <c r="E129" s="1612" t="str">
        <f>Translations!$B$1000</f>
        <v>produkcja standardowego czystego wapna</v>
      </c>
      <c r="F129" s="1612"/>
      <c r="G129" s="1612"/>
      <c r="H129" s="48" t="str">
        <f>EUconst_tpa</f>
        <v>t / rok</v>
      </c>
      <c r="I129" s="321" t="str">
        <f t="shared" ref="I129:N129" si="2">IF(ISNUMBER(I113),I113*(785*I122/100+1092*I123/100)/751.7,"")</f>
        <v/>
      </c>
      <c r="J129" s="321" t="str">
        <f t="shared" si="2"/>
        <v/>
      </c>
      <c r="K129" s="321" t="str">
        <f t="shared" si="2"/>
        <v/>
      </c>
      <c r="L129" s="321" t="str">
        <f t="shared" si="2"/>
        <v/>
      </c>
      <c r="M129" s="887" t="str">
        <f t="shared" si="2"/>
        <v/>
      </c>
      <c r="N129" s="924" t="str">
        <f t="shared" si="2"/>
        <v/>
      </c>
      <c r="O129" s="7"/>
      <c r="P129" s="116" t="str">
        <f>IF(L106=EUconst_Relevant,EUconst_CNTR_HALspecial &amp; INDEX(EUconst_BMlistNames,Q106),"")</f>
        <v/>
      </c>
      <c r="V129" s="168" t="b">
        <f>V128</f>
        <v>1</v>
      </c>
    </row>
    <row r="130" spans="2:22" ht="5.0999999999999996" customHeight="1" x14ac:dyDescent="0.2">
      <c r="B130" s="3"/>
      <c r="C130" s="3"/>
      <c r="D130" s="3"/>
      <c r="E130" s="3"/>
      <c r="F130" s="3"/>
      <c r="G130" s="3"/>
      <c r="H130" s="3"/>
      <c r="I130" s="3"/>
      <c r="J130" s="3"/>
      <c r="K130" s="3"/>
      <c r="L130" s="3"/>
      <c r="M130" s="7"/>
      <c r="N130" s="7"/>
      <c r="O130" s="7"/>
      <c r="P130" s="8"/>
    </row>
    <row r="131" spans="2:22" x14ac:dyDescent="0.2">
      <c r="B131" s="3"/>
      <c r="C131" s="3"/>
      <c r="D131" s="3"/>
      <c r="E131" s="1916" t="str">
        <f>IF(L106=EUconst_Relevant,HYPERLINK(Q131,EUconst_MsgBackToSheetF),"")</f>
        <v/>
      </c>
      <c r="F131" s="1917"/>
      <c r="G131" s="1917"/>
      <c r="H131" s="1917"/>
      <c r="I131" s="1917"/>
      <c r="J131" s="1917"/>
      <c r="K131" s="1917"/>
      <c r="L131" s="1917"/>
      <c r="M131" s="1917"/>
      <c r="N131" s="1918"/>
      <c r="O131" s="7"/>
      <c r="P131" s="371" t="s">
        <v>33</v>
      </c>
      <c r="Q131" s="116" t="str">
        <f>Q108</f>
        <v/>
      </c>
    </row>
    <row r="132" spans="2:22" x14ac:dyDescent="0.2">
      <c r="B132" s="20"/>
      <c r="C132" s="20"/>
      <c r="D132" s="20"/>
      <c r="E132" s="20"/>
      <c r="F132" s="20"/>
      <c r="G132" s="20"/>
      <c r="H132" s="20"/>
      <c r="I132" s="20"/>
      <c r="J132" s="20"/>
      <c r="K132" s="20"/>
      <c r="L132" s="20"/>
      <c r="M132" s="20"/>
      <c r="N132" s="20"/>
      <c r="O132" s="7"/>
    </row>
    <row r="133" spans="2:22" ht="15.75" x14ac:dyDescent="0.25">
      <c r="B133" s="3"/>
      <c r="C133" s="12" t="s">
        <v>357</v>
      </c>
      <c r="D133" s="1384" t="str">
        <f>Translations!$B$1001</f>
        <v>Dolomit kalcynowany</v>
      </c>
      <c r="E133" s="1384"/>
      <c r="F133" s="1384"/>
      <c r="G133" s="1384"/>
      <c r="H133" s="1384"/>
      <c r="I133" s="1384"/>
      <c r="J133" s="1384"/>
      <c r="K133" s="1384"/>
      <c r="L133" s="1384"/>
      <c r="M133" s="1384"/>
      <c r="N133" s="1384"/>
      <c r="O133" s="7"/>
      <c r="P133" s="8"/>
    </row>
    <row r="134" spans="2:22" ht="5.0999999999999996" customHeight="1" x14ac:dyDescent="0.2">
      <c r="B134" s="3"/>
      <c r="C134" s="3"/>
      <c r="D134" s="3"/>
      <c r="E134" s="3"/>
      <c r="F134" s="3"/>
      <c r="G134" s="3"/>
      <c r="H134" s="3"/>
      <c r="I134" s="3"/>
      <c r="J134" s="3"/>
      <c r="K134" s="3"/>
      <c r="L134" s="3"/>
      <c r="M134" s="7"/>
      <c r="N134" s="7"/>
      <c r="O134" s="7"/>
      <c r="P134" s="8"/>
    </row>
    <row r="135" spans="2:22" ht="15" x14ac:dyDescent="0.25">
      <c r="B135" s="3"/>
      <c r="C135" s="18"/>
      <c r="D135" s="1439" t="str">
        <f>Translations!$B$1002</f>
        <v>Narzędzie do obliczania historycznych poziomów działalności dla podinstalacji dolomitu kalcynowanego</v>
      </c>
      <c r="E135" s="1370"/>
      <c r="F135" s="1370"/>
      <c r="G135" s="1370"/>
      <c r="H135" s="1370"/>
      <c r="I135" s="1370"/>
      <c r="J135" s="1370"/>
      <c r="K135" s="1370"/>
      <c r="L135" s="1370"/>
      <c r="M135" s="1370"/>
      <c r="N135" s="1370"/>
      <c r="O135" s="7"/>
      <c r="P135" s="8"/>
    </row>
    <row r="136" spans="2:22" ht="5.0999999999999996" customHeight="1" x14ac:dyDescent="0.2">
      <c r="B136" s="3"/>
      <c r="C136" s="3"/>
      <c r="D136" s="3"/>
      <c r="E136" s="3"/>
      <c r="F136" s="3"/>
      <c r="G136" s="3"/>
      <c r="H136" s="3"/>
      <c r="I136" s="3"/>
      <c r="J136" s="3"/>
      <c r="K136" s="3"/>
      <c r="L136" s="3"/>
      <c r="M136" s="7"/>
      <c r="N136" s="7"/>
      <c r="O136" s="7"/>
      <c r="P136" s="8"/>
    </row>
    <row r="137" spans="2:22" ht="25.5" customHeight="1" x14ac:dyDescent="0.2">
      <c r="B137" s="3"/>
      <c r="C137" s="3"/>
      <c r="D137" s="16"/>
      <c r="E137" s="1408" t="str">
        <f>Translations!$B$1003</f>
        <v>Narzędzie to pomaga określić historyczne poziomy działalności dla wskaźnika dotyczącego dolomitu kalcynowanego (pkt 3 załącznika III do FAR) Narzędzia nie należy używać w odniesieniu do dolomitu spiekanego.</v>
      </c>
      <c r="F137" s="1370"/>
      <c r="G137" s="1370"/>
      <c r="H137" s="1370"/>
      <c r="I137" s="1370"/>
      <c r="J137" s="1370"/>
      <c r="K137" s="1370"/>
      <c r="L137" s="1370"/>
      <c r="M137" s="1370"/>
      <c r="N137" s="1370"/>
      <c r="O137" s="7"/>
      <c r="P137" s="8"/>
    </row>
    <row r="138" spans="2:22" x14ac:dyDescent="0.2">
      <c r="B138" s="3"/>
      <c r="C138" s="3"/>
      <c r="D138" s="16"/>
      <c r="E138" s="1408" t="str">
        <f>Translations!$B$907</f>
        <v>Wynik zastosowania tego narzędzia jest automatycznie kopiowany do arkusza „F_ProductBM”, wiersz „a) ppkt (ii)” odpowiedniej podinstalacji.</v>
      </c>
      <c r="F138" s="1370"/>
      <c r="G138" s="1370"/>
      <c r="H138" s="1370"/>
      <c r="I138" s="1370"/>
      <c r="J138" s="1370"/>
      <c r="K138" s="1370"/>
      <c r="L138" s="1370"/>
      <c r="M138" s="1370"/>
      <c r="N138" s="1370"/>
      <c r="O138" s="7"/>
      <c r="P138" s="8"/>
    </row>
    <row r="139" spans="2:22" ht="5.0999999999999996" customHeight="1" x14ac:dyDescent="0.2">
      <c r="B139" s="3"/>
      <c r="C139" s="3"/>
      <c r="D139" s="3"/>
      <c r="E139" s="3"/>
      <c r="F139" s="3"/>
      <c r="G139" s="3"/>
      <c r="H139" s="3"/>
      <c r="I139" s="3"/>
      <c r="J139" s="3"/>
      <c r="K139" s="3"/>
      <c r="L139" s="3"/>
      <c r="M139" s="7"/>
      <c r="N139" s="7"/>
      <c r="O139" s="7"/>
      <c r="P139" s="8"/>
    </row>
    <row r="140" spans="2:22" ht="15" x14ac:dyDescent="0.25">
      <c r="B140" s="3"/>
      <c r="C140" s="3"/>
      <c r="D140" s="14" t="s">
        <v>173</v>
      </c>
      <c r="E140" s="1375" t="str">
        <f>Translations!$B$908</f>
        <v>Zastosowanie tego narzędzia w Państwa instalacji:</v>
      </c>
      <c r="F140" s="1375"/>
      <c r="G140" s="1375"/>
      <c r="H140" s="1375"/>
      <c r="I140" s="1375"/>
      <c r="J140" s="1375"/>
      <c r="K140" s="1637"/>
      <c r="L140" s="1913" t="str">
        <f>IF(CNTR_ExistSubInstEntries,IF(COUNTIF(CNTR_SubInstListNames,INDEX(EUconst_BMlistNames,Q140))&gt;0,EUconst_Relevant,EUconst_NotRelevant),"")</f>
        <v>nie dotyczy</v>
      </c>
      <c r="M140" s="1914"/>
      <c r="N140" s="1915"/>
      <c r="O140" s="7"/>
      <c r="P140" s="371" t="s">
        <v>34</v>
      </c>
      <c r="Q140" s="350">
        <v>13</v>
      </c>
    </row>
    <row r="141" spans="2:22" x14ac:dyDescent="0.2">
      <c r="B141" s="3"/>
      <c r="C141" s="3"/>
      <c r="D141" s="16"/>
      <c r="E141" s="1376" t="str">
        <f>Translations!$B$909</f>
        <v>Ten komunikat jest automatycznie generowany na podstawie Państwa wpisów w arkuszu „A_InstallationData” część A.III.1.</v>
      </c>
      <c r="F141" s="1377"/>
      <c r="G141" s="1377"/>
      <c r="H141" s="1377"/>
      <c r="I141" s="1377"/>
      <c r="J141" s="1377"/>
      <c r="K141" s="1377"/>
      <c r="L141" s="1377"/>
      <c r="M141" s="1377"/>
      <c r="N141" s="1377"/>
      <c r="O141" s="7"/>
      <c r="P141" s="8"/>
    </row>
    <row r="142" spans="2:22" x14ac:dyDescent="0.2">
      <c r="B142" s="3"/>
      <c r="C142" s="3"/>
      <c r="D142" s="3"/>
      <c r="E142" s="1916" t="str">
        <f>IF(L140=EUconst_Relevant,HYPERLINK(Q142,EUconst_MsgBackToSheetF),"")</f>
        <v/>
      </c>
      <c r="F142" s="1917"/>
      <c r="G142" s="1917"/>
      <c r="H142" s="1917"/>
      <c r="I142" s="1917"/>
      <c r="J142" s="1917"/>
      <c r="K142" s="1917"/>
      <c r="L142" s="1917"/>
      <c r="M142" s="1917"/>
      <c r="N142" s="1918"/>
      <c r="O142" s="7"/>
      <c r="P142" s="371" t="s">
        <v>33</v>
      </c>
      <c r="Q142" s="116" t="str">
        <f>IF(ISNUMBER(MATCH(Q140,CNTR_SubInstListBMnumbers,0)),"#JUMP_F"&amp;MATCH(Q140,CNTR_SubInstListBMnumbers,0),"")</f>
        <v/>
      </c>
    </row>
    <row r="143" spans="2:22" ht="5.0999999999999996" customHeight="1" x14ac:dyDescent="0.2">
      <c r="B143" s="3"/>
      <c r="C143" s="3"/>
      <c r="D143" s="3"/>
      <c r="E143" s="3"/>
      <c r="F143" s="3"/>
      <c r="G143" s="3"/>
      <c r="H143" s="3"/>
      <c r="I143" s="3"/>
      <c r="J143" s="3"/>
      <c r="K143" s="3"/>
      <c r="L143" s="3"/>
      <c r="M143" s="7"/>
      <c r="N143" s="7"/>
      <c r="O143" s="7"/>
      <c r="P143" s="8"/>
    </row>
    <row r="144" spans="2:22" x14ac:dyDescent="0.2">
      <c r="B144" s="3"/>
      <c r="C144" s="3"/>
      <c r="D144" s="14" t="s">
        <v>353</v>
      </c>
      <c r="E144" s="1375" t="str">
        <f>Translations!$B$1004</f>
        <v>Nieskorygowana produkcja dolomitu kalcynowanego:</v>
      </c>
      <c r="F144" s="1370"/>
      <c r="G144" s="1370"/>
      <c r="H144" s="1370"/>
      <c r="I144" s="1370"/>
      <c r="J144" s="1370"/>
      <c r="K144" s="1370"/>
      <c r="L144" s="1370"/>
      <c r="M144" s="1370"/>
      <c r="N144" s="1370"/>
      <c r="O144" s="7"/>
      <c r="P144" s="8"/>
    </row>
    <row r="145" spans="2:22" ht="13.5" thickBot="1" x14ac:dyDescent="0.25">
      <c r="B145" s="3"/>
      <c r="C145" s="3"/>
      <c r="D145" s="16"/>
      <c r="E145" s="1408" t="str">
        <f>Translations!$B$1005</f>
        <v>W tym miejscu proszę podać dane dotyczące rocznej produkcji, wyrażone w tonach dolomitu kalcynowanego, bez korekty na potrzeby danych dotyczących składu:</v>
      </c>
      <c r="F145" s="1370"/>
      <c r="G145" s="1370"/>
      <c r="H145" s="1370"/>
      <c r="I145" s="1370"/>
      <c r="J145" s="1370"/>
      <c r="K145" s="1370"/>
      <c r="L145" s="1370"/>
      <c r="M145" s="1370"/>
      <c r="N145" s="1370"/>
      <c r="O145" s="7"/>
      <c r="P145" s="8"/>
      <c r="V145" s="422" t="s">
        <v>606</v>
      </c>
    </row>
    <row r="146" spans="2:22" x14ac:dyDescent="0.2">
      <c r="B146" s="20"/>
      <c r="C146" s="20"/>
      <c r="D146" s="14"/>
      <c r="E146" s="25"/>
      <c r="F146" s="22"/>
      <c r="G146" s="22"/>
      <c r="H146" s="34" t="str">
        <f>EUconst_Unit</f>
        <v>Jednostka</v>
      </c>
      <c r="I146" s="432">
        <f>I$391</f>
        <v>2014</v>
      </c>
      <c r="J146" s="432">
        <f>J$391</f>
        <v>2015</v>
      </c>
      <c r="K146" s="432">
        <f>K$391</f>
        <v>2016</v>
      </c>
      <c r="L146" s="432">
        <f>L$391</f>
        <v>2017</v>
      </c>
      <c r="M146" s="432">
        <f>M$391</f>
        <v>2018</v>
      </c>
      <c r="N146" s="888" t="str">
        <f>IF(L140&lt;&gt;EUconst_Relevant,"",IF(T146,YEAR(INDEX(CNTR_SubInstStartDate,MATCH(Q140,CNTR_SubInstListBMnumbers,0)))+1,""))</f>
        <v/>
      </c>
      <c r="O146" s="7"/>
      <c r="S146" s="371" t="s">
        <v>598</v>
      </c>
      <c r="T146" s="438" t="str">
        <f>IF(L140&lt;&gt;EUconst_Relevant,"",INDEX(CNTR_SubInstLess1Year,MATCH(Q140,CNTR_SubInstListBMnumbers,0)))</f>
        <v/>
      </c>
      <c r="V146" s="714" t="b">
        <f>IF(CNTR_ExistSubInstEntries,IF(L140=EUconst_Relevant,NOT(T146),TRUE),FALSE)</f>
        <v>1</v>
      </c>
    </row>
    <row r="147" spans="2:22" ht="13.5" thickBot="1" x14ac:dyDescent="0.25">
      <c r="B147" s="20"/>
      <c r="C147" s="20"/>
      <c r="D147" s="20"/>
      <c r="E147" s="1612" t="str">
        <f>Translations!$B$1006</f>
        <v>nieskorygowana produkcja dolomitu kalcynowanego</v>
      </c>
      <c r="F147" s="1612"/>
      <c r="G147" s="1612"/>
      <c r="H147" s="48" t="str">
        <f>EUconst_tpa</f>
        <v>t / rok</v>
      </c>
      <c r="I147" s="322"/>
      <c r="J147" s="322"/>
      <c r="K147" s="322"/>
      <c r="L147" s="322"/>
      <c r="M147" s="322"/>
      <c r="N147" s="919"/>
      <c r="O147" s="7"/>
      <c r="V147" s="168" t="b">
        <f>V146</f>
        <v>1</v>
      </c>
    </row>
    <row r="148" spans="2:22" ht="5.0999999999999996" customHeight="1" x14ac:dyDescent="0.2">
      <c r="B148" s="3"/>
      <c r="C148" s="3"/>
      <c r="D148" s="3"/>
      <c r="E148" s="3"/>
      <c r="F148" s="3"/>
      <c r="G148" s="3"/>
      <c r="H148" s="3"/>
      <c r="I148" s="3"/>
      <c r="J148" s="3"/>
      <c r="K148" s="3"/>
      <c r="L148" s="3"/>
      <c r="M148" s="7"/>
      <c r="N148" s="7"/>
      <c r="O148" s="7"/>
      <c r="P148" s="8"/>
    </row>
    <row r="149" spans="2:22" x14ac:dyDescent="0.2">
      <c r="B149" s="3"/>
      <c r="C149" s="3"/>
      <c r="D149" s="14" t="s">
        <v>11</v>
      </c>
      <c r="E149" s="1375" t="str">
        <f>Translations!$B$990</f>
        <v>Dane dotyczące składu:</v>
      </c>
      <c r="F149" s="1370"/>
      <c r="G149" s="1370"/>
      <c r="H149" s="1370"/>
      <c r="I149" s="1370"/>
      <c r="J149" s="1370"/>
      <c r="K149" s="1370"/>
      <c r="L149" s="1370"/>
      <c r="M149" s="1370"/>
      <c r="N149" s="1370"/>
      <c r="O149" s="7"/>
      <c r="P149" s="8"/>
    </row>
    <row r="150" spans="2:22" x14ac:dyDescent="0.2">
      <c r="B150" s="3"/>
      <c r="C150" s="3"/>
      <c r="D150" s="16"/>
      <c r="E150" s="1408" t="str">
        <f>Translations!$B$1007</f>
        <v>Zgodnie z pkt 3 załącznika III do FAR wymagane są następujące dane:</v>
      </c>
      <c r="F150" s="1370"/>
      <c r="G150" s="1370"/>
      <c r="H150" s="1370"/>
      <c r="I150" s="1370"/>
      <c r="J150" s="1370"/>
      <c r="K150" s="1370"/>
      <c r="L150" s="1370"/>
      <c r="M150" s="1370"/>
      <c r="N150" s="1370"/>
      <c r="O150" s="7"/>
      <c r="P150" s="8"/>
    </row>
    <row r="151" spans="2:22" ht="25.5" customHeight="1" x14ac:dyDescent="0.2">
      <c r="B151" s="3"/>
      <c r="C151" s="3"/>
      <c r="D151" s="16"/>
      <c r="E151" s="17" t="s">
        <v>26</v>
      </c>
      <c r="F151" s="1408" t="str">
        <f>Translations!$B$1008</f>
        <v>zawartość wolnego CaO w wyprodukowanym dolomicie kalcynowanym w poszczególnych latach okresu odniesienia wyrażona jako procent masy</v>
      </c>
      <c r="G151" s="1370"/>
      <c r="H151" s="1370"/>
      <c r="I151" s="1370"/>
      <c r="J151" s="1370"/>
      <c r="K151" s="1370"/>
      <c r="L151" s="1370"/>
      <c r="M151" s="1370"/>
      <c r="N151" s="1370"/>
      <c r="O151" s="7"/>
      <c r="P151" s="8"/>
    </row>
    <row r="152" spans="2:22" x14ac:dyDescent="0.2">
      <c r="B152" s="3"/>
      <c r="C152" s="3"/>
      <c r="D152" s="16"/>
      <c r="E152" s="17"/>
      <c r="F152" s="1408" t="str">
        <f>Translations!$B$1009</f>
        <v>W przypadku braku danych na temat zawartości wolnego CaO stosuje się zachowawczy szacunek nie wyższy niż 52%.</v>
      </c>
      <c r="G152" s="1370"/>
      <c r="H152" s="1370"/>
      <c r="I152" s="1370"/>
      <c r="J152" s="1370"/>
      <c r="K152" s="1370"/>
      <c r="L152" s="1370"/>
      <c r="M152" s="1370"/>
      <c r="N152" s="1370"/>
      <c r="O152" s="7"/>
      <c r="P152" s="8"/>
    </row>
    <row r="153" spans="2:22" ht="12.75" customHeight="1" x14ac:dyDescent="0.2">
      <c r="B153" s="3"/>
      <c r="C153" s="3"/>
      <c r="D153" s="16"/>
      <c r="E153" s="17" t="s">
        <v>27</v>
      </c>
      <c r="F153" s="1408" t="str">
        <f>Translations!$B$1010</f>
        <v>zawartość wolnego MgO w wyprodukowanym dolomicie kalcynowanym w poszczególnych latach okresu odniesienia wyrażona jako procent masy</v>
      </c>
      <c r="G153" s="1370"/>
      <c r="H153" s="1370"/>
      <c r="I153" s="1370"/>
      <c r="J153" s="1370"/>
      <c r="K153" s="1370"/>
      <c r="L153" s="1370"/>
      <c r="M153" s="1370"/>
      <c r="N153" s="1370"/>
      <c r="O153" s="7"/>
      <c r="P153" s="8"/>
    </row>
    <row r="154" spans="2:22" ht="13.5" thickBot="1" x14ac:dyDescent="0.25">
      <c r="B154" s="3"/>
      <c r="C154" s="3"/>
      <c r="D154" s="16"/>
      <c r="E154" s="17"/>
      <c r="F154" s="1408" t="str">
        <f>Translations!$B$1011</f>
        <v>W przypadku braku danych na temat zawartości wolnego CaO stosuje się zachowawczy szacunek nie wyższy niż 33%.</v>
      </c>
      <c r="G154" s="1370"/>
      <c r="H154" s="1370"/>
      <c r="I154" s="1370"/>
      <c r="J154" s="1370"/>
      <c r="K154" s="1370"/>
      <c r="L154" s="1370"/>
      <c r="M154" s="1370"/>
      <c r="N154" s="1370"/>
      <c r="O154" s="7"/>
      <c r="P154" s="8"/>
    </row>
    <row r="155" spans="2:22" x14ac:dyDescent="0.2">
      <c r="B155" s="20"/>
      <c r="C155" s="20"/>
      <c r="D155" s="14"/>
      <c r="E155" s="25"/>
      <c r="F155" s="22"/>
      <c r="G155" s="22"/>
      <c r="H155" s="34" t="str">
        <f>EUconst_Unit</f>
        <v>Jednostka</v>
      </c>
      <c r="I155" s="432">
        <f>I$391</f>
        <v>2014</v>
      </c>
      <c r="J155" s="432">
        <f>J$391</f>
        <v>2015</v>
      </c>
      <c r="K155" s="432">
        <f>K$391</f>
        <v>2016</v>
      </c>
      <c r="L155" s="432">
        <f>L$391</f>
        <v>2017</v>
      </c>
      <c r="M155" s="914">
        <f>M$391</f>
        <v>2018</v>
      </c>
      <c r="N155" s="888" t="str">
        <f>N146</f>
        <v/>
      </c>
      <c r="O155" s="7"/>
      <c r="V155" s="179" t="b">
        <f>V147</f>
        <v>1</v>
      </c>
    </row>
    <row r="156" spans="2:22" x14ac:dyDescent="0.2">
      <c r="B156" s="20"/>
      <c r="C156" s="20"/>
      <c r="D156" s="20"/>
      <c r="E156" s="1618" t="str">
        <f>Translations!$B$996</f>
        <v>Zawartość CaO</v>
      </c>
      <c r="F156" s="1618"/>
      <c r="G156" s="1618"/>
      <c r="H156" s="27" t="s">
        <v>409</v>
      </c>
      <c r="I156" s="331"/>
      <c r="J156" s="331"/>
      <c r="K156" s="331"/>
      <c r="L156" s="331"/>
      <c r="M156" s="605"/>
      <c r="N156" s="925"/>
      <c r="O156" s="7"/>
      <c r="V156" s="345" t="b">
        <f>V155</f>
        <v>1</v>
      </c>
    </row>
    <row r="157" spans="2:22" ht="13.5" thickBot="1" x14ac:dyDescent="0.25">
      <c r="B157" s="20"/>
      <c r="C157" s="20"/>
      <c r="D157" s="20"/>
      <c r="E157" s="1615" t="str">
        <f>Translations!$B$997</f>
        <v>Zawartość MgO</v>
      </c>
      <c r="F157" s="1615"/>
      <c r="G157" s="1615"/>
      <c r="H157" s="30" t="s">
        <v>409</v>
      </c>
      <c r="I157" s="329"/>
      <c r="J157" s="329"/>
      <c r="K157" s="329"/>
      <c r="L157" s="329"/>
      <c r="M157" s="607"/>
      <c r="N157" s="926"/>
      <c r="O157" s="7"/>
      <c r="V157" s="168" t="b">
        <f>V156</f>
        <v>1</v>
      </c>
    </row>
    <row r="158" spans="2:22" ht="5.0999999999999996" customHeight="1" x14ac:dyDescent="0.2">
      <c r="B158" s="3"/>
      <c r="C158" s="3"/>
      <c r="D158" s="3"/>
      <c r="E158" s="3"/>
      <c r="F158" s="3"/>
      <c r="G158" s="3"/>
      <c r="H158" s="3"/>
      <c r="I158" s="3"/>
      <c r="J158" s="3"/>
      <c r="K158" s="3"/>
      <c r="L158" s="3"/>
      <c r="M158" s="7"/>
      <c r="N158" s="7"/>
      <c r="O158" s="7"/>
      <c r="P158" s="8"/>
    </row>
    <row r="159" spans="2:22" x14ac:dyDescent="0.2">
      <c r="B159" s="3"/>
      <c r="C159" s="3"/>
      <c r="D159" s="14" t="s">
        <v>356</v>
      </c>
      <c r="E159" s="1375" t="str">
        <f>Translations!$B$1012</f>
        <v>Wynik: Poziomy działalności w zakresie produkcji dolomitu kalcynowanego wyrażone jako standardowy czysty dolomit kalcynowany</v>
      </c>
      <c r="F159" s="1370"/>
      <c r="G159" s="1370"/>
      <c r="H159" s="1370"/>
      <c r="I159" s="1370"/>
      <c r="J159" s="1370"/>
      <c r="K159" s="1370"/>
      <c r="L159" s="1370"/>
      <c r="M159" s="1370"/>
      <c r="N159" s="1370"/>
      <c r="O159" s="7"/>
      <c r="P159" s="8"/>
    </row>
    <row r="160" spans="2:22" ht="25.5" customHeight="1" x14ac:dyDescent="0.2">
      <c r="B160" s="3"/>
      <c r="C160" s="3"/>
      <c r="D160" s="16"/>
      <c r="E160" s="1408" t="str">
        <f>Translations!$B$1013</f>
        <v>W tym miejscu oblicza się skorygowany poziom działalności w zakresie produkcji dolomitu kalcynowanego według wzoru podanego w pkt 3 załącznika III do FAR (przed określeniem średniej wartości).</v>
      </c>
      <c r="F160" s="1370"/>
      <c r="G160" s="1370"/>
      <c r="H160" s="1370"/>
      <c r="I160" s="1370"/>
      <c r="J160" s="1370"/>
      <c r="K160" s="1370"/>
      <c r="L160" s="1370"/>
      <c r="M160" s="1370"/>
      <c r="N160" s="1370"/>
      <c r="O160" s="7"/>
      <c r="P160" s="8"/>
    </row>
    <row r="161" spans="2:22" ht="13.5" thickBot="1" x14ac:dyDescent="0.25">
      <c r="B161" s="3"/>
      <c r="C161" s="3"/>
      <c r="D161" s="16"/>
      <c r="E161" s="1408" t="str">
        <f>Translations!$B$982</f>
        <v>Wynik zastosowania tego narzędzia jest wykorzystywany w arkuszu „F_ProductBM” wiersz „a) lit. (ii)” odpowiedniej podinstalacji, na którego podstawie obliczana jest średnia.</v>
      </c>
      <c r="F161" s="1370"/>
      <c r="G161" s="1370"/>
      <c r="H161" s="1370"/>
      <c r="I161" s="1370"/>
      <c r="J161" s="1370"/>
      <c r="K161" s="1370"/>
      <c r="L161" s="1370"/>
      <c r="M161" s="1370"/>
      <c r="N161" s="1370"/>
      <c r="O161" s="7"/>
      <c r="P161" s="8"/>
    </row>
    <row r="162" spans="2:22" x14ac:dyDescent="0.2">
      <c r="B162" s="20"/>
      <c r="C162" s="20"/>
      <c r="D162" s="14"/>
      <c r="E162" s="22"/>
      <c r="F162" s="22"/>
      <c r="G162" s="22"/>
      <c r="H162" s="34" t="str">
        <f>EUconst_Unit</f>
        <v>Jednostka</v>
      </c>
      <c r="I162" s="432">
        <f>I$391</f>
        <v>2014</v>
      </c>
      <c r="J162" s="432">
        <f>J$391</f>
        <v>2015</v>
      </c>
      <c r="K162" s="432">
        <f>K$391</f>
        <v>2016</v>
      </c>
      <c r="L162" s="432">
        <f>L$391</f>
        <v>2017</v>
      </c>
      <c r="M162" s="914">
        <f>M$391</f>
        <v>2018</v>
      </c>
      <c r="N162" s="888" t="str">
        <f>N155</f>
        <v/>
      </c>
      <c r="O162" s="7"/>
      <c r="V162" s="179" t="b">
        <f>V157</f>
        <v>1</v>
      </c>
    </row>
    <row r="163" spans="2:22" ht="13.5" thickBot="1" x14ac:dyDescent="0.25">
      <c r="B163" s="20"/>
      <c r="C163" s="20"/>
      <c r="D163" s="20"/>
      <c r="E163" s="1612" t="str">
        <f>Translations!$B$1014</f>
        <v>produkcja standardowego czystego dolomitu kalcynowanego</v>
      </c>
      <c r="F163" s="1612"/>
      <c r="G163" s="1612"/>
      <c r="H163" s="48" t="str">
        <f>EUconst_tpa</f>
        <v>t / rok</v>
      </c>
      <c r="I163" s="321" t="str">
        <f t="shared" ref="I163:N163" si="3">IF(ISNUMBER(I147),I147*(785*I156/100+1092*I157/100)/865.6,"")</f>
        <v/>
      </c>
      <c r="J163" s="321" t="str">
        <f t="shared" si="3"/>
        <v/>
      </c>
      <c r="K163" s="321" t="str">
        <f t="shared" si="3"/>
        <v/>
      </c>
      <c r="L163" s="321" t="str">
        <f t="shared" si="3"/>
        <v/>
      </c>
      <c r="M163" s="887" t="str">
        <f t="shared" si="3"/>
        <v/>
      </c>
      <c r="N163" s="890" t="str">
        <f t="shared" si="3"/>
        <v/>
      </c>
      <c r="O163" s="7"/>
      <c r="P163" s="116" t="str">
        <f>IF(L140=EUconst_Relevant,EUconst_CNTR_HALspecial &amp; INDEX(EUconst_BMlistNames,Q140),"")</f>
        <v/>
      </c>
      <c r="V163" s="168" t="b">
        <f>V162</f>
        <v>1</v>
      </c>
    </row>
    <row r="164" spans="2:22" ht="5.0999999999999996" customHeight="1" x14ac:dyDescent="0.2">
      <c r="B164" s="3"/>
      <c r="C164" s="3"/>
      <c r="D164" s="3"/>
      <c r="E164" s="3"/>
      <c r="F164" s="3"/>
      <c r="G164" s="3"/>
      <c r="H164" s="3"/>
      <c r="I164" s="3"/>
      <c r="J164" s="3"/>
      <c r="K164" s="3"/>
      <c r="L164" s="3"/>
      <c r="M164" s="7"/>
      <c r="N164" s="7"/>
      <c r="O164" s="7"/>
      <c r="P164" s="8"/>
    </row>
    <row r="165" spans="2:22" x14ac:dyDescent="0.2">
      <c r="B165" s="3"/>
      <c r="C165" s="3"/>
      <c r="D165" s="3"/>
      <c r="E165" s="1916" t="str">
        <f>IF(L140=EUconst_Relevant,HYPERLINK(Q165,EUconst_MsgBackToSheetF),"")</f>
        <v/>
      </c>
      <c r="F165" s="1917"/>
      <c r="G165" s="1917"/>
      <c r="H165" s="1917"/>
      <c r="I165" s="1917"/>
      <c r="J165" s="1917"/>
      <c r="K165" s="1917"/>
      <c r="L165" s="1917"/>
      <c r="M165" s="1917"/>
      <c r="N165" s="1918"/>
      <c r="O165" s="7"/>
      <c r="P165" s="371" t="s">
        <v>33</v>
      </c>
      <c r="Q165" s="116" t="str">
        <f>Q142</f>
        <v/>
      </c>
    </row>
    <row r="166" spans="2:22" x14ac:dyDescent="0.2">
      <c r="B166" s="20"/>
      <c r="C166" s="20"/>
      <c r="D166" s="20"/>
      <c r="E166" s="20"/>
      <c r="F166" s="20"/>
      <c r="G166" s="20"/>
      <c r="H166" s="20"/>
      <c r="I166" s="20"/>
      <c r="J166" s="20"/>
      <c r="K166" s="20"/>
      <c r="L166" s="20"/>
      <c r="M166" s="20"/>
      <c r="N166" s="20"/>
      <c r="O166" s="7"/>
    </row>
    <row r="167" spans="2:22" ht="15.75" x14ac:dyDescent="0.25">
      <c r="B167" s="3"/>
      <c r="C167" s="12" t="s">
        <v>5</v>
      </c>
      <c r="D167" s="1384" t="str">
        <f>Translations!$B$1015</f>
        <v>Kraking parowy</v>
      </c>
      <c r="E167" s="1384"/>
      <c r="F167" s="1384"/>
      <c r="G167" s="1384"/>
      <c r="H167" s="1384"/>
      <c r="I167" s="1384"/>
      <c r="J167" s="1384"/>
      <c r="K167" s="1384"/>
      <c r="L167" s="1384"/>
      <c r="M167" s="1384"/>
      <c r="N167" s="1384"/>
      <c r="O167" s="7"/>
      <c r="P167" s="8"/>
    </row>
    <row r="168" spans="2:22" ht="5.0999999999999996" customHeight="1" x14ac:dyDescent="0.2">
      <c r="B168" s="3"/>
      <c r="C168" s="3"/>
      <c r="D168" s="3"/>
      <c r="E168" s="3"/>
      <c r="F168" s="3"/>
      <c r="G168" s="3"/>
      <c r="H168" s="3"/>
      <c r="I168" s="3"/>
      <c r="J168" s="3"/>
      <c r="K168" s="3"/>
      <c r="L168" s="3"/>
      <c r="M168" s="7"/>
      <c r="N168" s="7"/>
      <c r="O168" s="7"/>
      <c r="P168" s="8"/>
    </row>
    <row r="169" spans="2:22" ht="15" x14ac:dyDescent="0.25">
      <c r="B169" s="3"/>
      <c r="C169" s="18">
        <v>1</v>
      </c>
      <c r="D169" s="1439" t="str">
        <f>Translations!$B$1016</f>
        <v>Narzędzie do obliczania historycznych poziomów działalności dla podinstalacji krakingu parowego</v>
      </c>
      <c r="E169" s="1370"/>
      <c r="F169" s="1370"/>
      <c r="G169" s="1370"/>
      <c r="H169" s="1370"/>
      <c r="I169" s="1370"/>
      <c r="J169" s="1370"/>
      <c r="K169" s="1370"/>
      <c r="L169" s="1370"/>
      <c r="M169" s="1370"/>
      <c r="N169" s="1370"/>
      <c r="O169" s="7"/>
      <c r="P169" s="8"/>
    </row>
    <row r="170" spans="2:22" ht="5.0999999999999996" customHeight="1" x14ac:dyDescent="0.2">
      <c r="B170" s="3"/>
      <c r="C170" s="3"/>
      <c r="D170" s="3"/>
      <c r="E170" s="3"/>
      <c r="F170" s="3"/>
      <c r="G170" s="3"/>
      <c r="H170" s="3"/>
      <c r="I170" s="3"/>
      <c r="J170" s="3"/>
      <c r="K170" s="3"/>
      <c r="L170" s="3"/>
      <c r="M170" s="7"/>
      <c r="N170" s="7"/>
      <c r="O170" s="7"/>
      <c r="P170" s="8"/>
    </row>
    <row r="171" spans="2:22" x14ac:dyDescent="0.2">
      <c r="B171" s="3"/>
      <c r="C171" s="3"/>
      <c r="D171" s="16"/>
      <c r="E171" s="1408" t="str">
        <f>Translations!$B$1017</f>
        <v>Narzędzie to pomaga określić historyczne poziomy działalności dla wskaźnika dotyczącego krakingu parowego (pkt 4 załącznika III do FAR).</v>
      </c>
      <c r="F171" s="1370"/>
      <c r="G171" s="1370"/>
      <c r="H171" s="1370"/>
      <c r="I171" s="1370"/>
      <c r="J171" s="1370"/>
      <c r="K171" s="1370"/>
      <c r="L171" s="1370"/>
      <c r="M171" s="1370"/>
      <c r="N171" s="1370"/>
      <c r="O171" s="7"/>
      <c r="P171" s="8"/>
    </row>
    <row r="172" spans="2:22" x14ac:dyDescent="0.2">
      <c r="B172" s="3"/>
      <c r="C172" s="3"/>
      <c r="D172" s="16"/>
      <c r="E172" s="1408" t="str">
        <f>Translations!$B$907</f>
        <v>Wynik zastosowania tego narzędzia jest automatycznie kopiowany do arkusza „F_ProductBM”, wiersz „a) ppkt (ii)” odpowiedniej podinstalacji.</v>
      </c>
      <c r="F172" s="1370"/>
      <c r="G172" s="1370"/>
      <c r="H172" s="1370"/>
      <c r="I172" s="1370"/>
      <c r="J172" s="1370"/>
      <c r="K172" s="1370"/>
      <c r="L172" s="1370"/>
      <c r="M172" s="1370"/>
      <c r="N172" s="1370"/>
      <c r="O172" s="7"/>
      <c r="P172" s="8"/>
    </row>
    <row r="173" spans="2:22" ht="5.0999999999999996" customHeight="1" x14ac:dyDescent="0.2">
      <c r="B173" s="3"/>
      <c r="C173" s="3"/>
      <c r="D173" s="3"/>
      <c r="E173" s="3"/>
      <c r="F173" s="3"/>
      <c r="G173" s="3"/>
      <c r="H173" s="3"/>
      <c r="I173" s="3"/>
      <c r="J173" s="3"/>
      <c r="K173" s="3"/>
      <c r="L173" s="3"/>
      <c r="M173" s="7"/>
      <c r="N173" s="7"/>
      <c r="O173" s="7"/>
      <c r="P173" s="8"/>
    </row>
    <row r="174" spans="2:22" ht="15" x14ac:dyDescent="0.25">
      <c r="B174" s="3"/>
      <c r="C174" s="3"/>
      <c r="D174" s="14" t="s">
        <v>173</v>
      </c>
      <c r="E174" s="1375" t="str">
        <f>Translations!$B$908</f>
        <v>Zastosowanie tego narzędzia w Państwa instalacji:</v>
      </c>
      <c r="F174" s="1375"/>
      <c r="G174" s="1375"/>
      <c r="H174" s="1375"/>
      <c r="I174" s="1375"/>
      <c r="J174" s="1375"/>
      <c r="K174" s="1637"/>
      <c r="L174" s="1913" t="str">
        <f>IF(CNTR_ExistSubInstEntries,IF(COUNTIF(CNTR_SubInstListNames,INDEX(EUconst_BMlistNames,Q174))&gt;0,EUconst_Relevant,EUconst_NotRelevant),"")</f>
        <v>nie dotyczy</v>
      </c>
      <c r="M174" s="1914"/>
      <c r="N174" s="1915"/>
      <c r="O174" s="7"/>
      <c r="P174" s="371" t="s">
        <v>34</v>
      </c>
      <c r="Q174" s="350">
        <v>42</v>
      </c>
    </row>
    <row r="175" spans="2:22" x14ac:dyDescent="0.2">
      <c r="B175" s="3"/>
      <c r="C175" s="3"/>
      <c r="D175" s="16"/>
      <c r="E175" s="1376" t="str">
        <f>Translations!$B$909</f>
        <v>Ten komunikat jest automatycznie generowany na podstawie Państwa wpisów w arkuszu „A_InstallationData” część A.III.1.</v>
      </c>
      <c r="F175" s="1377"/>
      <c r="G175" s="1377"/>
      <c r="H175" s="1377"/>
      <c r="I175" s="1377"/>
      <c r="J175" s="1377"/>
      <c r="K175" s="1377"/>
      <c r="L175" s="1377"/>
      <c r="M175" s="1377"/>
      <c r="N175" s="1377"/>
      <c r="O175" s="7"/>
      <c r="P175" s="8"/>
    </row>
    <row r="176" spans="2:22" x14ac:dyDescent="0.2">
      <c r="B176" s="3"/>
      <c r="C176" s="3"/>
      <c r="D176" s="3"/>
      <c r="E176" s="1916" t="str">
        <f>IF(L174=EUconst_Relevant,HYPERLINK(Q176,EUconst_MsgBackToSheetF),"")</f>
        <v/>
      </c>
      <c r="F176" s="1917"/>
      <c r="G176" s="1917"/>
      <c r="H176" s="1917"/>
      <c r="I176" s="1917"/>
      <c r="J176" s="1917"/>
      <c r="K176" s="1917"/>
      <c r="L176" s="1917"/>
      <c r="M176" s="1917"/>
      <c r="N176" s="1918"/>
      <c r="O176" s="7"/>
      <c r="P176" s="371" t="s">
        <v>33</v>
      </c>
      <c r="Q176" s="116" t="str">
        <f>IF(ISNUMBER(MATCH(Q174,CNTR_SubInstListBMnumbers,0)),"#JUMP_F"&amp;MATCH(Q174,CNTR_SubInstListBMnumbers,0),"")</f>
        <v/>
      </c>
    </row>
    <row r="177" spans="2:22" ht="5.0999999999999996" customHeight="1" x14ac:dyDescent="0.2">
      <c r="B177" s="3"/>
      <c r="C177" s="3"/>
      <c r="D177" s="3"/>
      <c r="E177" s="3"/>
      <c r="F177" s="3"/>
      <c r="G177" s="3"/>
      <c r="H177" s="3"/>
      <c r="I177" s="3"/>
      <c r="J177" s="3"/>
      <c r="K177" s="3"/>
      <c r="L177" s="3"/>
      <c r="M177" s="7"/>
      <c r="N177" s="7"/>
      <c r="O177" s="7"/>
      <c r="P177" s="8"/>
    </row>
    <row r="178" spans="2:22" x14ac:dyDescent="0.2">
      <c r="B178" s="3"/>
      <c r="C178" s="3"/>
      <c r="D178" s="14" t="s">
        <v>353</v>
      </c>
      <c r="E178" s="1375" t="str">
        <f>Translations!$B$1018</f>
        <v>Łączna produkcja chemikaliów o wysokich wartościach (HVC łącznie)</v>
      </c>
      <c r="F178" s="1370"/>
      <c r="G178" s="1370"/>
      <c r="H178" s="1370"/>
      <c r="I178" s="1370"/>
      <c r="J178" s="1370"/>
      <c r="K178" s="1370"/>
      <c r="L178" s="1370"/>
      <c r="M178" s="1370"/>
      <c r="N178" s="1370"/>
      <c r="O178" s="7"/>
      <c r="P178" s="8"/>
    </row>
    <row r="179" spans="2:22" ht="13.5" thickBot="1" x14ac:dyDescent="0.25">
      <c r="B179" s="3"/>
      <c r="C179" s="3"/>
      <c r="D179" s="16"/>
      <c r="E179" s="1408" t="str">
        <f>Translations!$B$1019</f>
        <v>W tym miejscu proszę podać dane dotyczące rocznej produkcji, wyrażone w tonach HVC (bez korekt)</v>
      </c>
      <c r="F179" s="1370"/>
      <c r="G179" s="1370"/>
      <c r="H179" s="1370"/>
      <c r="I179" s="1370"/>
      <c r="J179" s="1370"/>
      <c r="K179" s="1370"/>
      <c r="L179" s="1370"/>
      <c r="M179" s="1370"/>
      <c r="N179" s="1370"/>
      <c r="O179" s="7"/>
      <c r="P179" s="8"/>
      <c r="V179" s="422" t="s">
        <v>606</v>
      </c>
    </row>
    <row r="180" spans="2:22" x14ac:dyDescent="0.2">
      <c r="B180" s="20"/>
      <c r="C180" s="20"/>
      <c r="D180" s="14"/>
      <c r="E180" s="25"/>
      <c r="F180" s="22"/>
      <c r="G180" s="22"/>
      <c r="H180" s="34" t="str">
        <f>EUconst_Unit</f>
        <v>Jednostka</v>
      </c>
      <c r="I180" s="432">
        <f>I$391</f>
        <v>2014</v>
      </c>
      <c r="J180" s="432">
        <f>J$391</f>
        <v>2015</v>
      </c>
      <c r="K180" s="432">
        <f>K$391</f>
        <v>2016</v>
      </c>
      <c r="L180" s="432">
        <f>L$391</f>
        <v>2017</v>
      </c>
      <c r="M180" s="432">
        <f>M$391</f>
        <v>2018</v>
      </c>
      <c r="N180" s="888" t="str">
        <f>IF(L174&lt;&gt;EUconst_Relevant,"",IF(T180,YEAR(INDEX(CNTR_SubInstStartDate,MATCH(Q174,CNTR_SubInstListBMnumbers,0)))+1,""))</f>
        <v/>
      </c>
      <c r="O180" s="7"/>
      <c r="S180" s="371" t="s">
        <v>598</v>
      </c>
      <c r="T180" s="438" t="str">
        <f>IF(L174&lt;&gt;EUconst_Relevant,"",INDEX(CNTR_SubInstLess1Year,MATCH(Q174,CNTR_SubInstListBMnumbers,0)))</f>
        <v/>
      </c>
      <c r="V180" s="714" t="b">
        <f>IF(CNTR_ExistSubInstEntries,IF(L174=EUconst_Relevant,NOT(T180),TRUE),FALSE)</f>
        <v>1</v>
      </c>
    </row>
    <row r="181" spans="2:22" ht="13.5" thickBot="1" x14ac:dyDescent="0.25">
      <c r="B181" s="20"/>
      <c r="C181" s="20"/>
      <c r="D181" s="20"/>
      <c r="E181" s="1612" t="str">
        <f>Translations!$B$1020</f>
        <v>HVC łącznie</v>
      </c>
      <c r="F181" s="1612"/>
      <c r="G181" s="1612"/>
      <c r="H181" s="48" t="str">
        <f>EUconst_tpa</f>
        <v>t / rok</v>
      </c>
      <c r="I181" s="322"/>
      <c r="J181" s="322"/>
      <c r="K181" s="322"/>
      <c r="L181" s="322"/>
      <c r="M181" s="322"/>
      <c r="N181" s="919"/>
      <c r="O181" s="7"/>
      <c r="V181" s="168" t="b">
        <f>V180</f>
        <v>1</v>
      </c>
    </row>
    <row r="182" spans="2:22" ht="5.0999999999999996" customHeight="1" x14ac:dyDescent="0.2">
      <c r="B182" s="3"/>
      <c r="C182" s="3"/>
      <c r="D182" s="3"/>
      <c r="E182" s="3"/>
      <c r="F182" s="3"/>
      <c r="G182" s="3"/>
      <c r="H182" s="3"/>
      <c r="I182" s="3"/>
      <c r="J182" s="3"/>
      <c r="K182" s="3"/>
      <c r="L182" s="3"/>
      <c r="M182" s="7"/>
      <c r="N182" s="7"/>
      <c r="O182" s="7"/>
      <c r="P182" s="8"/>
    </row>
    <row r="183" spans="2:22" x14ac:dyDescent="0.2">
      <c r="B183" s="3"/>
      <c r="C183" s="3"/>
      <c r="D183" s="14" t="s">
        <v>11</v>
      </c>
      <c r="E183" s="1375" t="str">
        <f>Translations!$B$1021</f>
        <v>Dane dotyczące dodatkowego surowca zasilającego:</v>
      </c>
      <c r="F183" s="1370"/>
      <c r="G183" s="1370"/>
      <c r="H183" s="1370"/>
      <c r="I183" s="1370"/>
      <c r="J183" s="1370"/>
      <c r="K183" s="1370"/>
      <c r="L183" s="1370"/>
      <c r="M183" s="1370"/>
      <c r="N183" s="1370"/>
      <c r="O183" s="7"/>
      <c r="P183" s="8"/>
    </row>
    <row r="184" spans="2:22" x14ac:dyDescent="0.2">
      <c r="B184" s="3"/>
      <c r="C184" s="3"/>
      <c r="D184" s="16"/>
      <c r="E184" s="1408" t="str">
        <f>Translations!$B$1022</f>
        <v>Zgodnie z pkt 4 załącznika III do FAR wymagane są następujące dane:</v>
      </c>
      <c r="F184" s="1370"/>
      <c r="G184" s="1370"/>
      <c r="H184" s="1370"/>
      <c r="I184" s="1370"/>
      <c r="J184" s="1370"/>
      <c r="K184" s="1370"/>
      <c r="L184" s="1370"/>
      <c r="M184" s="1370"/>
      <c r="N184" s="1370"/>
      <c r="O184" s="7"/>
      <c r="P184" s="8"/>
    </row>
    <row r="185" spans="2:22" x14ac:dyDescent="0.2">
      <c r="B185" s="3"/>
      <c r="C185" s="3"/>
      <c r="D185" s="16"/>
      <c r="E185" s="123" t="s">
        <v>408</v>
      </c>
      <c r="F185" s="1408" t="str">
        <f>Translations!$B$1023</f>
        <v>historyczne dodatkowe ilości wodoru w poszczególnych latach okresu odniesienia, wyrażone w tonach wodoru</v>
      </c>
      <c r="G185" s="1370"/>
      <c r="H185" s="1370"/>
      <c r="I185" s="1370"/>
      <c r="J185" s="1370"/>
      <c r="K185" s="1370"/>
      <c r="L185" s="1370"/>
      <c r="M185" s="1370"/>
      <c r="N185" s="1370"/>
      <c r="O185" s="7"/>
      <c r="P185" s="8"/>
    </row>
    <row r="186" spans="2:22" x14ac:dyDescent="0.2">
      <c r="B186" s="3"/>
      <c r="C186" s="3"/>
      <c r="D186" s="16"/>
      <c r="E186" s="123" t="s">
        <v>408</v>
      </c>
      <c r="F186" s="1408" t="str">
        <f>Translations!$B$1024</f>
        <v>historyczne dodatkowe ilości etylenu w poszczególnych latach okresu odniesienia, wyrażone w tonach etylenu</v>
      </c>
      <c r="G186" s="1370"/>
      <c r="H186" s="1370"/>
      <c r="I186" s="1370"/>
      <c r="J186" s="1370"/>
      <c r="K186" s="1370"/>
      <c r="L186" s="1370"/>
      <c r="M186" s="1370"/>
      <c r="N186" s="1370"/>
      <c r="O186" s="7"/>
      <c r="P186" s="8"/>
    </row>
    <row r="187" spans="2:22" ht="25.5" customHeight="1" thickBot="1" x14ac:dyDescent="0.25">
      <c r="B187" s="3"/>
      <c r="C187" s="3"/>
      <c r="D187" s="16"/>
      <c r="E187" s="123" t="s">
        <v>408</v>
      </c>
      <c r="F187" s="1408" t="str">
        <f>Translations!$B$1025</f>
        <v>historyczne dodatkowe ilości innych chemikaliów o wysokich wartościach innych niż wodór i etylen w poszczególnych latach okresu odniesienia, wyrażone w tonach HVC</v>
      </c>
      <c r="G187" s="1370"/>
      <c r="H187" s="1370"/>
      <c r="I187" s="1370"/>
      <c r="J187" s="1370"/>
      <c r="K187" s="1370"/>
      <c r="L187" s="1370"/>
      <c r="M187" s="1370"/>
      <c r="N187" s="1370"/>
      <c r="O187" s="7"/>
      <c r="P187" s="8"/>
    </row>
    <row r="188" spans="2:22" x14ac:dyDescent="0.2">
      <c r="B188" s="20"/>
      <c r="C188" s="20"/>
      <c r="D188" s="14"/>
      <c r="E188" s="1430" t="str">
        <f>Translations!$B$1026</f>
        <v>Dodatkowy surowiec zasilający</v>
      </c>
      <c r="F188" s="1377"/>
      <c r="G188" s="1377"/>
      <c r="H188" s="34" t="str">
        <f>EUconst_Unit</f>
        <v>Jednostka</v>
      </c>
      <c r="I188" s="432">
        <f>I$391</f>
        <v>2014</v>
      </c>
      <c r="J188" s="432">
        <f>J$391</f>
        <v>2015</v>
      </c>
      <c r="K188" s="432">
        <f>K$391</f>
        <v>2016</v>
      </c>
      <c r="L188" s="432">
        <f>L$391</f>
        <v>2017</v>
      </c>
      <c r="M188" s="914">
        <f>M$391</f>
        <v>2018</v>
      </c>
      <c r="N188" s="888" t="str">
        <f>N180</f>
        <v/>
      </c>
      <c r="O188" s="7"/>
      <c r="V188" s="179" t="b">
        <f>V181</f>
        <v>1</v>
      </c>
    </row>
    <row r="189" spans="2:22" x14ac:dyDescent="0.2">
      <c r="B189" s="20"/>
      <c r="C189" s="20"/>
      <c r="D189" s="20"/>
      <c r="E189" s="1618" t="str">
        <f>Translations!$B$1027</f>
        <v>Wodór</v>
      </c>
      <c r="F189" s="1618"/>
      <c r="G189" s="1618"/>
      <c r="H189" s="27" t="str">
        <f>EUconst_tpa</f>
        <v>t / rok</v>
      </c>
      <c r="I189" s="318"/>
      <c r="J189" s="318"/>
      <c r="K189" s="318"/>
      <c r="L189" s="318"/>
      <c r="M189" s="930"/>
      <c r="N189" s="936"/>
      <c r="O189" s="7"/>
      <c r="V189" s="345" t="b">
        <f>V188</f>
        <v>1</v>
      </c>
    </row>
    <row r="190" spans="2:22" x14ac:dyDescent="0.2">
      <c r="B190" s="20"/>
      <c r="C190" s="20"/>
      <c r="D190" s="20"/>
      <c r="E190" s="1613" t="str">
        <f>Translations!$B$1028</f>
        <v>Etylen</v>
      </c>
      <c r="F190" s="1613"/>
      <c r="G190" s="1613"/>
      <c r="H190" s="50" t="str">
        <f>EUconst_tpa</f>
        <v>t / rok</v>
      </c>
      <c r="I190" s="296"/>
      <c r="J190" s="296"/>
      <c r="K190" s="296"/>
      <c r="L190" s="296"/>
      <c r="M190" s="931"/>
      <c r="N190" s="937"/>
      <c r="O190" s="7"/>
      <c r="V190" s="345" t="b">
        <f>V189</f>
        <v>1</v>
      </c>
    </row>
    <row r="191" spans="2:22" ht="13.5" thickBot="1" x14ac:dyDescent="0.25">
      <c r="B191" s="20"/>
      <c r="C191" s="20"/>
      <c r="D191" s="20"/>
      <c r="E191" s="1615" t="str">
        <f>Translations!$B$1029</f>
        <v>Inne HVC</v>
      </c>
      <c r="F191" s="1615"/>
      <c r="G191" s="1615"/>
      <c r="H191" s="30" t="str">
        <f>EUconst_tpa</f>
        <v>t / rok</v>
      </c>
      <c r="I191" s="317"/>
      <c r="J191" s="317"/>
      <c r="K191" s="317"/>
      <c r="L191" s="317"/>
      <c r="M191" s="932"/>
      <c r="N191" s="938"/>
      <c r="O191" s="7"/>
      <c r="V191" s="168" t="b">
        <f>V190</f>
        <v>1</v>
      </c>
    </row>
    <row r="192" spans="2:22" ht="5.0999999999999996" customHeight="1" x14ac:dyDescent="0.2">
      <c r="B192" s="3"/>
      <c r="C192" s="3"/>
      <c r="D192" s="3"/>
      <c r="E192" s="3"/>
      <c r="F192" s="3"/>
      <c r="G192" s="3"/>
      <c r="H192" s="3"/>
      <c r="I192" s="3"/>
      <c r="J192" s="3"/>
      <c r="K192" s="3"/>
      <c r="L192" s="3"/>
      <c r="M192" s="7"/>
      <c r="N192" s="7"/>
      <c r="O192" s="7"/>
      <c r="P192" s="8"/>
    </row>
    <row r="193" spans="2:24" x14ac:dyDescent="0.2">
      <c r="B193" s="3"/>
      <c r="C193" s="3"/>
      <c r="D193" s="14" t="s">
        <v>356</v>
      </c>
      <c r="E193" s="1375" t="str">
        <f>Translations!$B$1030</f>
        <v>Wynik: Poziomy działalności dla HVC netto</v>
      </c>
      <c r="F193" s="1370"/>
      <c r="G193" s="1370"/>
      <c r="H193" s="1370"/>
      <c r="I193" s="1370"/>
      <c r="J193" s="1370"/>
      <c r="K193" s="1370"/>
      <c r="L193" s="1370"/>
      <c r="M193" s="1370"/>
      <c r="N193" s="1370"/>
      <c r="O193" s="7"/>
      <c r="P193" s="8"/>
    </row>
    <row r="194" spans="2:24" x14ac:dyDescent="0.2">
      <c r="B194" s="3"/>
      <c r="C194" s="3"/>
      <c r="D194" s="16"/>
      <c r="E194" s="1408" t="str">
        <f>Translations!$B$1031</f>
        <v>W tym miejscu skorygowany poziom działalności (ilość HVC netto) jest obliczany według wzoru podanego w pkt 4 załącznika III do FAR (przed określeniem średniej wartości).</v>
      </c>
      <c r="F194" s="1370"/>
      <c r="G194" s="1370"/>
      <c r="H194" s="1370"/>
      <c r="I194" s="1370"/>
      <c r="J194" s="1370"/>
      <c r="K194" s="1370"/>
      <c r="L194" s="1370"/>
      <c r="M194" s="1370"/>
      <c r="N194" s="1370"/>
      <c r="O194" s="7"/>
      <c r="P194" s="8"/>
    </row>
    <row r="195" spans="2:24" ht="12.75" customHeight="1" thickBot="1" x14ac:dyDescent="0.25">
      <c r="B195" s="3"/>
      <c r="C195" s="3"/>
      <c r="D195" s="16"/>
      <c r="E195" s="1408" t="str">
        <f>Translations!$B$982</f>
        <v>Wynik zastosowania tego narzędzia jest wykorzystywany w arkuszu „F_ProductBM” wiersz „a) lit. (ii)” odpowiedniej podinstalacji, na którego podstawie obliczana jest średnia.</v>
      </c>
      <c r="F195" s="1370"/>
      <c r="G195" s="1370"/>
      <c r="H195" s="1370"/>
      <c r="I195" s="1370"/>
      <c r="J195" s="1370"/>
      <c r="K195" s="1370"/>
      <c r="L195" s="1370"/>
      <c r="M195" s="1370"/>
      <c r="N195" s="1370"/>
      <c r="O195" s="7"/>
      <c r="P195" s="8"/>
    </row>
    <row r="196" spans="2:24" x14ac:dyDescent="0.2">
      <c r="B196" s="20"/>
      <c r="C196" s="20"/>
      <c r="D196" s="14"/>
      <c r="E196" s="22"/>
      <c r="F196" s="22"/>
      <c r="G196" s="22"/>
      <c r="H196" s="34" t="str">
        <f>EUconst_Unit</f>
        <v>Jednostka</v>
      </c>
      <c r="I196" s="432">
        <f>I$391</f>
        <v>2014</v>
      </c>
      <c r="J196" s="432">
        <f>J$391</f>
        <v>2015</v>
      </c>
      <c r="K196" s="432">
        <f>K$391</f>
        <v>2016</v>
      </c>
      <c r="L196" s="432">
        <f>L$391</f>
        <v>2017</v>
      </c>
      <c r="M196" s="914">
        <f>M$391</f>
        <v>2018</v>
      </c>
      <c r="N196" s="888" t="str">
        <f>N188</f>
        <v/>
      </c>
      <c r="O196" s="7"/>
      <c r="V196" s="179" t="b">
        <f>V191</f>
        <v>1</v>
      </c>
    </row>
    <row r="197" spans="2:24" ht="13.5" thickBot="1" x14ac:dyDescent="0.25">
      <c r="B197" s="20"/>
      <c r="C197" s="20"/>
      <c r="D197" s="20"/>
      <c r="E197" s="1612" t="str">
        <f>Translations!$B$1032</f>
        <v>Poziomy produkcji HVC netto</v>
      </c>
      <c r="F197" s="1612"/>
      <c r="G197" s="1612"/>
      <c r="H197" s="48" t="str">
        <f>EUconst_tpa</f>
        <v>t / rok</v>
      </c>
      <c r="I197" s="321" t="str">
        <f t="shared" ref="I197:N197" si="4">IF(ISNUMBER(I181),I181-SUM(I189:I191),"")</f>
        <v/>
      </c>
      <c r="J197" s="321" t="str">
        <f t="shared" si="4"/>
        <v/>
      </c>
      <c r="K197" s="321" t="str">
        <f t="shared" si="4"/>
        <v/>
      </c>
      <c r="L197" s="321" t="str">
        <f t="shared" si="4"/>
        <v/>
      </c>
      <c r="M197" s="887" t="str">
        <f t="shared" si="4"/>
        <v/>
      </c>
      <c r="N197" s="890" t="str">
        <f t="shared" si="4"/>
        <v/>
      </c>
      <c r="O197" s="7"/>
      <c r="P197" s="116" t="str">
        <f>IF(L174=EUconst_Relevant,EUconst_CNTR_HALspecial &amp; INDEX(EUconst_BMlistNames,Q174),"")</f>
        <v/>
      </c>
      <c r="V197" s="168" t="b">
        <f>V196</f>
        <v>1</v>
      </c>
    </row>
    <row r="198" spans="2:24" x14ac:dyDescent="0.2">
      <c r="B198" s="20"/>
      <c r="C198" s="20"/>
      <c r="D198" s="20"/>
      <c r="E198" s="20"/>
      <c r="F198" s="20"/>
      <c r="G198" s="20"/>
      <c r="H198" s="20"/>
      <c r="I198" s="20"/>
      <c r="J198" s="20"/>
      <c r="K198" s="20"/>
      <c r="L198" s="20"/>
      <c r="M198" s="20"/>
      <c r="N198" s="20"/>
      <c r="O198" s="7"/>
    </row>
    <row r="199" spans="2:24" ht="15" x14ac:dyDescent="0.25">
      <c r="B199" s="3"/>
      <c r="C199" s="18">
        <v>2</v>
      </c>
      <c r="D199" s="1439" t="str">
        <f>Translations!$B$1033</f>
        <v>Narzędzie dotyczące krakingu parowego, część 2: Wstępny przydział (art. 19 FAR)</v>
      </c>
      <c r="E199" s="1370"/>
      <c r="F199" s="1370"/>
      <c r="G199" s="1370"/>
      <c r="H199" s="1370"/>
      <c r="I199" s="1370"/>
      <c r="J199" s="1370"/>
      <c r="K199" s="1370"/>
      <c r="L199" s="1370"/>
      <c r="M199" s="1370"/>
      <c r="N199" s="1370"/>
      <c r="O199" s="7"/>
      <c r="P199" s="8"/>
    </row>
    <row r="200" spans="2:24" ht="5.0999999999999996" customHeight="1" x14ac:dyDescent="0.2">
      <c r="B200" s="3"/>
      <c r="C200" s="3"/>
      <c r="D200" s="3"/>
      <c r="E200" s="3"/>
      <c r="F200" s="3"/>
      <c r="G200" s="3"/>
      <c r="H200" s="3"/>
      <c r="I200" s="3"/>
      <c r="J200" s="3"/>
      <c r="K200" s="3"/>
      <c r="L200" s="3"/>
      <c r="M200" s="7"/>
      <c r="N200" s="7"/>
      <c r="O200" s="7"/>
      <c r="P200" s="8"/>
    </row>
    <row r="201" spans="2:24" x14ac:dyDescent="0.2">
      <c r="B201" s="3"/>
      <c r="C201" s="3"/>
      <c r="D201" s="16"/>
      <c r="E201" s="1408" t="str">
        <f>Translations!$B$1034</f>
        <v>Narzędzie to pomaga w określeniu wstępnego przydziału uprawnień przydzielanych podinstalacji krakingu parowego (art. 19 FAR).</v>
      </c>
      <c r="F201" s="1370"/>
      <c r="G201" s="1370"/>
      <c r="H201" s="1370"/>
      <c r="I201" s="1370"/>
      <c r="J201" s="1370"/>
      <c r="K201" s="1370"/>
      <c r="L201" s="1370"/>
      <c r="M201" s="1370"/>
      <c r="N201" s="1370"/>
      <c r="O201" s="7"/>
      <c r="P201" s="8"/>
    </row>
    <row r="202" spans="2:24" x14ac:dyDescent="0.2">
      <c r="B202" s="3"/>
      <c r="C202" s="3"/>
      <c r="D202" s="16"/>
      <c r="E202" s="1408" t="str">
        <f>Translations!$B$1035</f>
        <v>Określa ono ilość, którą należy dodać do wstępnego przydziału rocznego po dokonaniu korekty w zakresie zamienności energii elektrycznej.</v>
      </c>
      <c r="F202" s="1370"/>
      <c r="G202" s="1370"/>
      <c r="H202" s="1370"/>
      <c r="I202" s="1370"/>
      <c r="J202" s="1370"/>
      <c r="K202" s="1370"/>
      <c r="L202" s="1370"/>
      <c r="M202" s="1370"/>
      <c r="N202" s="1370"/>
      <c r="O202" s="7"/>
      <c r="P202" s="8"/>
    </row>
    <row r="203" spans="2:24" ht="12.75" customHeight="1" x14ac:dyDescent="0.2">
      <c r="B203" s="3"/>
      <c r="C203" s="3"/>
      <c r="D203" s="16"/>
      <c r="E203" s="1408" t="str">
        <f>Translations!$B$1036</f>
        <v>Wymagane dane dotyczące historycznej produkcji wodoru, etylenu i innych HVC z dodatkowego surowca zasilającego, wyrażone w tonach, pobrane z części IV.1 lit. c) powyżej;</v>
      </c>
      <c r="F203" s="1370"/>
      <c r="G203" s="1370"/>
      <c r="H203" s="1370"/>
      <c r="I203" s="1370"/>
      <c r="J203" s="1370"/>
      <c r="K203" s="1370"/>
      <c r="L203" s="1370"/>
      <c r="M203" s="1370"/>
      <c r="N203" s="1370"/>
      <c r="O203" s="7"/>
      <c r="P203" s="8"/>
    </row>
    <row r="204" spans="2:24" ht="5.0999999999999996" customHeight="1" x14ac:dyDescent="0.2">
      <c r="B204" s="3"/>
      <c r="C204" s="3"/>
      <c r="D204" s="3"/>
      <c r="E204" s="3"/>
      <c r="F204" s="3"/>
      <c r="G204" s="3"/>
      <c r="H204" s="3"/>
      <c r="I204" s="3"/>
      <c r="J204" s="3"/>
      <c r="K204" s="3"/>
      <c r="L204" s="3"/>
      <c r="M204" s="7"/>
      <c r="N204" s="7"/>
      <c r="O204" s="7"/>
      <c r="P204" s="8"/>
    </row>
    <row r="205" spans="2:24" ht="13.5" thickBot="1" x14ac:dyDescent="0.25">
      <c r="B205" s="3"/>
      <c r="C205" s="3"/>
      <c r="D205" s="14" t="s">
        <v>173</v>
      </c>
      <c r="E205" s="1375" t="str">
        <f>Translations!$B$1037</f>
        <v>Produkcja z dodatkowego surowca zasilającego:</v>
      </c>
      <c r="F205" s="1370"/>
      <c r="G205" s="1370"/>
      <c r="H205" s="1370"/>
      <c r="I205" s="1370"/>
      <c r="J205" s="1370"/>
      <c r="K205" s="1370"/>
      <c r="L205" s="1370"/>
      <c r="M205" s="1370"/>
      <c r="N205" s="1370"/>
      <c r="O205" s="7"/>
      <c r="P205" s="8"/>
    </row>
    <row r="206" spans="2:24" ht="13.5" thickBot="1" x14ac:dyDescent="0.25">
      <c r="B206" s="3"/>
      <c r="C206" s="3"/>
      <c r="D206" s="16"/>
      <c r="E206" s="1408" t="str">
        <f>Translations!$B$1038</f>
        <v>Te dane są automatycznie pobierane z części IV.1 lit. c) powyżej. Mnożniki są określone w art. 19 FAR.</v>
      </c>
      <c r="F206" s="1370"/>
      <c r="G206" s="1370"/>
      <c r="H206" s="1370"/>
      <c r="I206" s="1370"/>
      <c r="J206" s="1370"/>
      <c r="K206" s="1370"/>
      <c r="L206" s="1370"/>
      <c r="M206" s="1370"/>
      <c r="N206" s="1370"/>
      <c r="O206" s="7"/>
      <c r="P206" s="182"/>
      <c r="Q206" s="275"/>
      <c r="R206" s="169" t="s">
        <v>403</v>
      </c>
      <c r="S206" s="276"/>
      <c r="T206" s="276"/>
      <c r="U206" s="276"/>
      <c r="V206" s="276"/>
      <c r="W206" s="276"/>
      <c r="X206" s="277"/>
    </row>
    <row r="207" spans="2:24" ht="25.5" customHeight="1" x14ac:dyDescent="0.2">
      <c r="B207" s="20"/>
      <c r="C207" s="20"/>
      <c r="D207" s="14"/>
      <c r="E207" s="1430" t="str">
        <f>Translations!$B$1039</f>
        <v>Produkcja z dodatkowego surowca zasilającego</v>
      </c>
      <c r="F207" s="1377"/>
      <c r="G207" s="140" t="str">
        <f>Translations!$B$1040</f>
        <v>Mnożnik (t CO2 / t)</v>
      </c>
      <c r="H207" s="34" t="str">
        <f>EUconst_Unit</f>
        <v>Jednostka</v>
      </c>
      <c r="I207" s="432">
        <f>I$391</f>
        <v>2014</v>
      </c>
      <c r="J207" s="432">
        <f>J$391</f>
        <v>2015</v>
      </c>
      <c r="K207" s="432">
        <f>K$391</f>
        <v>2016</v>
      </c>
      <c r="L207" s="432">
        <f>L$391</f>
        <v>2017</v>
      </c>
      <c r="M207" s="914">
        <f>M$391</f>
        <v>2018</v>
      </c>
      <c r="N207" s="888" t="str">
        <f>N196</f>
        <v/>
      </c>
      <c r="O207" s="7"/>
      <c r="P207" s="8"/>
      <c r="Q207" s="183"/>
      <c r="R207" s="173" t="s">
        <v>437</v>
      </c>
      <c r="S207" s="165">
        <f t="shared" ref="S207:X207" si="5">I207</f>
        <v>2014</v>
      </c>
      <c r="T207" s="116">
        <f t="shared" si="5"/>
        <v>2015</v>
      </c>
      <c r="U207" s="116">
        <f t="shared" si="5"/>
        <v>2016</v>
      </c>
      <c r="V207" s="116">
        <f t="shared" si="5"/>
        <v>2017</v>
      </c>
      <c r="W207" s="116">
        <f t="shared" si="5"/>
        <v>2018</v>
      </c>
      <c r="X207" s="117" t="str">
        <f t="shared" si="5"/>
        <v/>
      </c>
    </row>
    <row r="208" spans="2:24" x14ac:dyDescent="0.2">
      <c r="B208" s="20"/>
      <c r="C208" s="20"/>
      <c r="D208" s="20"/>
      <c r="E208" s="1618" t="str">
        <f>Translations!$B$1027</f>
        <v>Wodór</v>
      </c>
      <c r="F208" s="1618"/>
      <c r="G208" s="27">
        <v>1.78</v>
      </c>
      <c r="H208" s="27" t="str">
        <f>EUconst_tpa</f>
        <v>t / rok</v>
      </c>
      <c r="I208" s="333" t="str">
        <f t="shared" ref="I208:M210" si="6">IF(ISNUMBER(I189),I189,"")</f>
        <v/>
      </c>
      <c r="J208" s="333" t="str">
        <f t="shared" si="6"/>
        <v/>
      </c>
      <c r="K208" s="333" t="str">
        <f t="shared" si="6"/>
        <v/>
      </c>
      <c r="L208" s="333" t="str">
        <f t="shared" si="6"/>
        <v/>
      </c>
      <c r="M208" s="927" t="str">
        <f t="shared" si="6"/>
        <v/>
      </c>
      <c r="N208" s="933" t="str">
        <f>IF(ISNUMBER(N189),N189,"")</f>
        <v/>
      </c>
      <c r="O208" s="7"/>
      <c r="P208" s="8"/>
      <c r="R208" s="278" t="str">
        <f>IF(COUNT(S208:X208)&gt;0,AVERAGE(S208:X208),"")</f>
        <v/>
      </c>
      <c r="S208" s="165" t="str">
        <f t="shared" ref="S208:W210" si="7">IF(I$393,IF(ISNUMBER(I208),I208,""),"")</f>
        <v/>
      </c>
      <c r="T208" s="116" t="str">
        <f t="shared" si="7"/>
        <v/>
      </c>
      <c r="U208" s="116" t="str">
        <f t="shared" si="7"/>
        <v/>
      </c>
      <c r="V208" s="116" t="str">
        <f t="shared" si="7"/>
        <v/>
      </c>
      <c r="W208" s="116" t="str">
        <f t="shared" si="7"/>
        <v/>
      </c>
      <c r="X208" s="117" t="str">
        <f>IF(N$393,IF(ISNUMBER(N208),N208,""),"")</f>
        <v/>
      </c>
    </row>
    <row r="209" spans="2:24" x14ac:dyDescent="0.2">
      <c r="B209" s="20"/>
      <c r="C209" s="20"/>
      <c r="D209" s="20"/>
      <c r="E209" s="1613" t="str">
        <f>Translations!$B$1028</f>
        <v>Etylen</v>
      </c>
      <c r="F209" s="1613"/>
      <c r="G209" s="50">
        <v>0.24</v>
      </c>
      <c r="H209" s="50" t="str">
        <f>EUconst_tpa</f>
        <v>t / rok</v>
      </c>
      <c r="I209" s="295" t="str">
        <f t="shared" si="6"/>
        <v/>
      </c>
      <c r="J209" s="295" t="str">
        <f t="shared" si="6"/>
        <v/>
      </c>
      <c r="K209" s="295" t="str">
        <f t="shared" si="6"/>
        <v/>
      </c>
      <c r="L209" s="295" t="str">
        <f t="shared" si="6"/>
        <v/>
      </c>
      <c r="M209" s="928" t="str">
        <f t="shared" si="6"/>
        <v/>
      </c>
      <c r="N209" s="934" t="str">
        <f>IF(ISNUMBER(N190),N190,"")</f>
        <v/>
      </c>
      <c r="O209" s="7"/>
      <c r="P209" s="8"/>
      <c r="R209" s="278" t="str">
        <f>IF(COUNT(S209:X209)&gt;0,AVERAGE(S209:X209),"")</f>
        <v/>
      </c>
      <c r="S209" s="165" t="str">
        <f t="shared" si="7"/>
        <v/>
      </c>
      <c r="T209" s="116" t="str">
        <f t="shared" si="7"/>
        <v/>
      </c>
      <c r="U209" s="116" t="str">
        <f t="shared" si="7"/>
        <v/>
      </c>
      <c r="V209" s="116" t="str">
        <f t="shared" si="7"/>
        <v/>
      </c>
      <c r="W209" s="116" t="str">
        <f t="shared" si="7"/>
        <v/>
      </c>
      <c r="X209" s="117" t="str">
        <f>IF(N$393,IF(ISNUMBER(N209),N209,""),"")</f>
        <v/>
      </c>
    </row>
    <row r="210" spans="2:24" ht="13.5" thickBot="1" x14ac:dyDescent="0.25">
      <c r="B210" s="20"/>
      <c r="C210" s="20"/>
      <c r="D210" s="20"/>
      <c r="E210" s="1615" t="str">
        <f>Translations!$B$1029</f>
        <v>Inne HVC</v>
      </c>
      <c r="F210" s="1615"/>
      <c r="G210" s="30">
        <v>0.16</v>
      </c>
      <c r="H210" s="30" t="str">
        <f>EUconst_tpa</f>
        <v>t / rok</v>
      </c>
      <c r="I210" s="319" t="str">
        <f t="shared" si="6"/>
        <v/>
      </c>
      <c r="J210" s="319" t="str">
        <f t="shared" si="6"/>
        <v/>
      </c>
      <c r="K210" s="319" t="str">
        <f t="shared" si="6"/>
        <v/>
      </c>
      <c r="L210" s="319" t="str">
        <f t="shared" si="6"/>
        <v/>
      </c>
      <c r="M210" s="929" t="str">
        <f t="shared" si="6"/>
        <v/>
      </c>
      <c r="N210" s="935" t="str">
        <f>IF(ISNUMBER(N191),N191,"")</f>
        <v/>
      </c>
      <c r="O210" s="7"/>
      <c r="P210" s="8"/>
      <c r="R210" s="166" t="str">
        <f>IF(COUNT(S210:X210)&gt;0,AVERAGE(S210:X210),"")</f>
        <v/>
      </c>
      <c r="S210" s="172" t="str">
        <f t="shared" si="7"/>
        <v/>
      </c>
      <c r="T210" s="119" t="str">
        <f t="shared" si="7"/>
        <v/>
      </c>
      <c r="U210" s="119" t="str">
        <f t="shared" si="7"/>
        <v/>
      </c>
      <c r="V210" s="119" t="str">
        <f t="shared" si="7"/>
        <v/>
      </c>
      <c r="W210" s="119" t="str">
        <f t="shared" si="7"/>
        <v/>
      </c>
      <c r="X210" s="120" t="str">
        <f>IF(N$393,IF(ISNUMBER(N210),N210,""),"")</f>
        <v/>
      </c>
    </row>
    <row r="211" spans="2:24" ht="5.0999999999999996" customHeight="1" x14ac:dyDescent="0.2">
      <c r="B211" s="3"/>
      <c r="C211" s="3"/>
      <c r="D211" s="3"/>
      <c r="E211" s="3"/>
      <c r="F211" s="3"/>
      <c r="G211" s="3"/>
      <c r="H211" s="3"/>
      <c r="I211" s="3"/>
      <c r="J211" s="3"/>
      <c r="K211" s="3"/>
      <c r="L211" s="3"/>
      <c r="M211" s="7"/>
      <c r="N211" s="7"/>
      <c r="O211" s="7"/>
      <c r="P211" s="8"/>
    </row>
    <row r="212" spans="2:24" x14ac:dyDescent="0.2">
      <c r="B212" s="3"/>
      <c r="C212" s="3"/>
      <c r="D212" s="14" t="s">
        <v>353</v>
      </c>
      <c r="E212" s="1375" t="str">
        <f>Translations!$B$1041</f>
        <v>Wynik: Ilość, którą należy dodać do całkowitego wstępnego przydziału uprawnień dla podinstalacji krakingu parowego:</v>
      </c>
      <c r="F212" s="1370"/>
      <c r="G212" s="1370"/>
      <c r="H212" s="1370"/>
      <c r="I212" s="1370"/>
      <c r="J212" s="1370"/>
      <c r="K212" s="1370"/>
      <c r="L212" s="1370"/>
      <c r="M212" s="1370"/>
      <c r="N212" s="1370"/>
      <c r="O212" s="7"/>
      <c r="P212" s="8"/>
    </row>
    <row r="213" spans="2:24" x14ac:dyDescent="0.2">
      <c r="B213" s="3"/>
      <c r="C213" s="3"/>
      <c r="D213" s="16"/>
      <c r="E213" s="1408" t="str">
        <f>Translations!$B$1042</f>
        <v>Obliczenie jest dokonywane według wzoru podanego w art. 19 FAR.</v>
      </c>
      <c r="F213" s="1370"/>
      <c r="G213" s="1370"/>
      <c r="H213" s="1370"/>
      <c r="I213" s="1370"/>
      <c r="J213" s="1370"/>
      <c r="K213" s="1370"/>
      <c r="L213" s="1370"/>
      <c r="M213" s="1370"/>
      <c r="N213" s="1370"/>
      <c r="O213" s="7"/>
      <c r="P213" s="8"/>
    </row>
    <row r="214" spans="2:24" ht="13.5" thickBot="1" x14ac:dyDescent="0.25">
      <c r="B214" s="20"/>
      <c r="C214" s="20"/>
      <c r="D214" s="14"/>
      <c r="E214" s="47"/>
      <c r="F214" s="22"/>
      <c r="G214" s="22"/>
      <c r="H214" s="34" t="str">
        <f>EUconst_Unit</f>
        <v>Jednostka</v>
      </c>
      <c r="I214" s="36"/>
      <c r="J214" s="44"/>
      <c r="K214" s="44"/>
      <c r="L214" s="44"/>
      <c r="M214" s="44"/>
      <c r="N214" s="44"/>
      <c r="O214" s="7"/>
      <c r="P214" s="2" t="s">
        <v>237</v>
      </c>
      <c r="S214" s="116">
        <f t="shared" ref="S214:X214" si="8">S207</f>
        <v>2014</v>
      </c>
      <c r="T214" s="116">
        <f t="shared" si="8"/>
        <v>2015</v>
      </c>
      <c r="U214" s="116">
        <f t="shared" si="8"/>
        <v>2016</v>
      </c>
      <c r="V214" s="116">
        <f t="shared" si="8"/>
        <v>2017</v>
      </c>
      <c r="W214" s="116">
        <f t="shared" si="8"/>
        <v>2018</v>
      </c>
      <c r="X214" s="116" t="str">
        <f t="shared" si="8"/>
        <v/>
      </c>
    </row>
    <row r="215" spans="2:24" ht="13.5" thickBot="1" x14ac:dyDescent="0.25">
      <c r="B215" s="20"/>
      <c r="C215" s="20"/>
      <c r="D215" s="20"/>
      <c r="E215" s="1612" t="str">
        <f>Translations!$B$1043</f>
        <v>Ilość na potrzeby korekty przydziału:</v>
      </c>
      <c r="F215" s="1612"/>
      <c r="G215" s="1612"/>
      <c r="H215" s="48" t="str">
        <f>EUconst_Allowances</f>
        <v>uprawnienia</v>
      </c>
      <c r="I215" s="294" t="str">
        <f>IF(COUNT(I208:N210)&gt;0,SUMPRODUCT(R208:R210,G208:G210),EUconst_NA)</f>
        <v>Nie dotyczy</v>
      </c>
      <c r="J215" s="20"/>
      <c r="K215" s="20"/>
      <c r="L215" s="20"/>
      <c r="M215" s="20"/>
      <c r="N215" s="20"/>
      <c r="O215" s="7"/>
      <c r="P215" s="151" t="str">
        <f>EUconst_CNTR_HVC</f>
        <v>HVC_</v>
      </c>
      <c r="S215" s="116" t="str">
        <f t="shared" ref="S215:X215" si="9">IF(COUNT(I208:I210)&gt;0,SUMPRODUCT($G$208:$G$210,I208:I210),"")</f>
        <v/>
      </c>
      <c r="T215" s="116" t="str">
        <f t="shared" si="9"/>
        <v/>
      </c>
      <c r="U215" s="116" t="str">
        <f t="shared" si="9"/>
        <v/>
      </c>
      <c r="V215" s="116" t="str">
        <f t="shared" si="9"/>
        <v/>
      </c>
      <c r="W215" s="116" t="str">
        <f t="shared" si="9"/>
        <v/>
      </c>
      <c r="X215" s="116" t="str">
        <f t="shared" si="9"/>
        <v/>
      </c>
    </row>
    <row r="216" spans="2:24" ht="5.0999999999999996" customHeight="1" x14ac:dyDescent="0.2">
      <c r="B216" s="3"/>
      <c r="C216" s="3"/>
      <c r="D216" s="3"/>
      <c r="E216" s="3"/>
      <c r="F216" s="3"/>
      <c r="G216" s="3"/>
      <c r="H216" s="3"/>
      <c r="I216" s="3"/>
      <c r="J216" s="3"/>
      <c r="K216" s="3"/>
      <c r="L216" s="3"/>
      <c r="M216" s="7"/>
      <c r="N216" s="7"/>
      <c r="O216" s="7"/>
      <c r="P216" s="8"/>
    </row>
    <row r="217" spans="2:24" x14ac:dyDescent="0.2">
      <c r="B217" s="3"/>
      <c r="C217" s="3"/>
      <c r="D217" s="3"/>
      <c r="E217" s="1916" t="str">
        <f>IF(L174=EUconst_Relevant,HYPERLINK(Q217,EUconst_MsgBackToSheetF),"")</f>
        <v/>
      </c>
      <c r="F217" s="1917"/>
      <c r="G217" s="1917"/>
      <c r="H217" s="1917"/>
      <c r="I217" s="1917"/>
      <c r="J217" s="1917"/>
      <c r="K217" s="1917"/>
      <c r="L217" s="1917"/>
      <c r="M217" s="1917"/>
      <c r="N217" s="1918"/>
      <c r="O217" s="7"/>
      <c r="P217" s="371" t="s">
        <v>33</v>
      </c>
      <c r="Q217" s="116" t="str">
        <f>Q176</f>
        <v/>
      </c>
    </row>
    <row r="218" spans="2:24" x14ac:dyDescent="0.2">
      <c r="B218" s="20"/>
      <c r="C218" s="20"/>
      <c r="D218" s="20"/>
      <c r="E218" s="20"/>
      <c r="F218" s="20"/>
      <c r="G218" s="20"/>
      <c r="H218" s="20"/>
      <c r="I218" s="20"/>
      <c r="J218" s="20"/>
      <c r="K218" s="20"/>
      <c r="L218" s="20"/>
      <c r="M218" s="20"/>
      <c r="N218" s="20"/>
      <c r="O218" s="7"/>
    </row>
    <row r="219" spans="2:24" ht="15.75" x14ac:dyDescent="0.25">
      <c r="B219" s="3"/>
      <c r="C219" s="12" t="s">
        <v>253</v>
      </c>
      <c r="D219" s="1384" t="str">
        <f>Translations!$B$1044</f>
        <v>CWT (Związki aromatyczne)</v>
      </c>
      <c r="E219" s="1384"/>
      <c r="F219" s="1384"/>
      <c r="G219" s="1384"/>
      <c r="H219" s="1384"/>
      <c r="I219" s="1384"/>
      <c r="J219" s="1384"/>
      <c r="K219" s="1384"/>
      <c r="L219" s="1384"/>
      <c r="M219" s="1384"/>
      <c r="N219" s="1384"/>
      <c r="O219" s="7"/>
      <c r="P219" s="8"/>
    </row>
    <row r="220" spans="2:24" ht="5.0999999999999996" customHeight="1" x14ac:dyDescent="0.2">
      <c r="B220" s="3"/>
      <c r="C220" s="3"/>
      <c r="D220" s="3"/>
      <c r="E220" s="3"/>
      <c r="F220" s="3"/>
      <c r="G220" s="3"/>
      <c r="H220" s="3"/>
      <c r="I220" s="3"/>
      <c r="J220" s="3"/>
      <c r="K220" s="3"/>
      <c r="L220" s="3"/>
      <c r="M220" s="7"/>
      <c r="N220" s="7"/>
      <c r="O220" s="7"/>
      <c r="P220" s="8"/>
    </row>
    <row r="221" spans="2:24" ht="15" x14ac:dyDescent="0.25">
      <c r="B221" s="3"/>
      <c r="C221" s="18"/>
      <c r="D221" s="1439" t="str">
        <f>Translations!$B$1045</f>
        <v>Narzędzie do obliczania historycznych poziomów działalności dla podinstalacji związków aromatycznych</v>
      </c>
      <c r="E221" s="1370"/>
      <c r="F221" s="1370"/>
      <c r="G221" s="1370"/>
      <c r="H221" s="1370"/>
      <c r="I221" s="1370"/>
      <c r="J221" s="1370"/>
      <c r="K221" s="1370"/>
      <c r="L221" s="1370"/>
      <c r="M221" s="1370"/>
      <c r="N221" s="1370"/>
      <c r="O221" s="7"/>
      <c r="P221" s="8"/>
    </row>
    <row r="222" spans="2:24" ht="5.0999999999999996" customHeight="1" x14ac:dyDescent="0.2">
      <c r="B222" s="3"/>
      <c r="C222" s="3"/>
      <c r="D222" s="3"/>
      <c r="E222" s="3"/>
      <c r="F222" s="3"/>
      <c r="G222" s="3"/>
      <c r="H222" s="3"/>
      <c r="I222" s="3"/>
      <c r="J222" s="3"/>
      <c r="K222" s="3"/>
      <c r="L222" s="3"/>
      <c r="M222" s="7"/>
      <c r="N222" s="7"/>
      <c r="O222" s="7"/>
      <c r="P222" s="8"/>
    </row>
    <row r="223" spans="2:24" x14ac:dyDescent="0.2">
      <c r="B223" s="3"/>
      <c r="C223" s="3"/>
      <c r="D223" s="16"/>
      <c r="E223" s="1408" t="str">
        <f>Translations!$B$1046</f>
        <v>Narzędzie to pomaga określić historyczne poziomy działalności dla wskaźnika dotyczącego związków aromatycznych (pkt 5 załącznika III do FAR).</v>
      </c>
      <c r="F223" s="1370"/>
      <c r="G223" s="1370"/>
      <c r="H223" s="1370"/>
      <c r="I223" s="1370"/>
      <c r="J223" s="1370"/>
      <c r="K223" s="1370"/>
      <c r="L223" s="1370"/>
      <c r="M223" s="1370"/>
      <c r="N223" s="1370"/>
      <c r="O223" s="7"/>
      <c r="P223" s="8"/>
    </row>
    <row r="224" spans="2:24" x14ac:dyDescent="0.2">
      <c r="B224" s="3"/>
      <c r="C224" s="3"/>
      <c r="D224" s="16"/>
      <c r="E224" s="1408" t="str">
        <f>Translations!$B$1047</f>
        <v>W przypadku wskaźnika dotyczącego rafinerii, który również wykorzystuje CWT, proszę użyć poniższego specjalnego narzędzia CWT dla rafinerii (część I niniejszego arkusza).</v>
      </c>
      <c r="F224" s="1370"/>
      <c r="G224" s="1370"/>
      <c r="H224" s="1370"/>
      <c r="I224" s="1370"/>
      <c r="J224" s="1370"/>
      <c r="K224" s="1370"/>
      <c r="L224" s="1370"/>
      <c r="M224" s="1370"/>
      <c r="N224" s="1370"/>
      <c r="O224" s="7"/>
      <c r="P224" s="8"/>
    </row>
    <row r="225" spans="2:22" x14ac:dyDescent="0.2">
      <c r="B225" s="3"/>
      <c r="C225" s="3"/>
      <c r="D225" s="16"/>
      <c r="E225" s="1408" t="str">
        <f>Translations!$B$907</f>
        <v>Wynik zastosowania tego narzędzia jest automatycznie kopiowany do arkusza „F_ProductBM”, wiersz „a) ppkt (ii)” odpowiedniej podinstalacji.</v>
      </c>
      <c r="F225" s="1370"/>
      <c r="G225" s="1370"/>
      <c r="H225" s="1370"/>
      <c r="I225" s="1370"/>
      <c r="J225" s="1370"/>
      <c r="K225" s="1370"/>
      <c r="L225" s="1370"/>
      <c r="M225" s="1370"/>
      <c r="N225" s="1370"/>
      <c r="O225" s="7"/>
      <c r="P225" s="8"/>
    </row>
    <row r="226" spans="2:22" ht="5.0999999999999996" customHeight="1" x14ac:dyDescent="0.2">
      <c r="B226" s="3"/>
      <c r="C226" s="3"/>
      <c r="D226" s="3"/>
      <c r="E226" s="3"/>
      <c r="F226" s="3"/>
      <c r="G226" s="3"/>
      <c r="H226" s="3"/>
      <c r="I226" s="3"/>
      <c r="J226" s="3"/>
      <c r="K226" s="3"/>
      <c r="L226" s="3"/>
      <c r="M226" s="7"/>
      <c r="N226" s="7"/>
      <c r="O226" s="7"/>
      <c r="P226" s="8"/>
    </row>
    <row r="227" spans="2:22" ht="15" x14ac:dyDescent="0.25">
      <c r="B227" s="3"/>
      <c r="C227" s="3"/>
      <c r="D227" s="14" t="s">
        <v>173</v>
      </c>
      <c r="E227" s="1375" t="str">
        <f>Translations!$B$908</f>
        <v>Zastosowanie tego narzędzia w Państwa instalacji:</v>
      </c>
      <c r="F227" s="1375"/>
      <c r="G227" s="1375"/>
      <c r="H227" s="1375"/>
      <c r="I227" s="1375"/>
      <c r="J227" s="1375"/>
      <c r="K227" s="1637"/>
      <c r="L227" s="1913" t="str">
        <f>IF(CNTR_ExistSubInstEntries,IF(COUNTIF(CNTR_SubInstListNames,INDEX(EUconst_BMlistNames,Q227))&gt;0,EUconst_Relevant,EUconst_NotRelevant),"")</f>
        <v>nie dotyczy</v>
      </c>
      <c r="M227" s="1914"/>
      <c r="N227" s="1915"/>
      <c r="O227" s="7"/>
      <c r="P227" s="371" t="s">
        <v>34</v>
      </c>
      <c r="Q227" s="350">
        <v>43</v>
      </c>
    </row>
    <row r="228" spans="2:22" x14ac:dyDescent="0.2">
      <c r="B228" s="3"/>
      <c r="C228" s="3"/>
      <c r="D228" s="16"/>
      <c r="E228" s="1376" t="str">
        <f>Translations!$B$909</f>
        <v>Ten komunikat jest automatycznie generowany na podstawie Państwa wpisów w arkuszu „A_InstallationData” część A.III.1.</v>
      </c>
      <c r="F228" s="1377"/>
      <c r="G228" s="1377"/>
      <c r="H228" s="1377"/>
      <c r="I228" s="1377"/>
      <c r="J228" s="1377"/>
      <c r="K228" s="1377"/>
      <c r="L228" s="1377"/>
      <c r="M228" s="1377"/>
      <c r="N228" s="1377"/>
      <c r="O228" s="7"/>
      <c r="P228" s="8"/>
    </row>
    <row r="229" spans="2:22" x14ac:dyDescent="0.2">
      <c r="B229" s="3"/>
      <c r="C229" s="3"/>
      <c r="D229" s="3"/>
      <c r="E229" s="1916" t="str">
        <f>IF(L227=EUconst_Relevant,HYPERLINK(Q229,EUconst_MsgBackToSheetF),"")</f>
        <v/>
      </c>
      <c r="F229" s="1917"/>
      <c r="G229" s="1917"/>
      <c r="H229" s="1917"/>
      <c r="I229" s="1917"/>
      <c r="J229" s="1917"/>
      <c r="K229" s="1917"/>
      <c r="L229" s="1917"/>
      <c r="M229" s="1917"/>
      <c r="N229" s="1918"/>
      <c r="O229" s="7"/>
      <c r="P229" s="371" t="s">
        <v>33</v>
      </c>
      <c r="Q229" s="116" t="str">
        <f>IF(ISNUMBER(MATCH(Q227,CNTR_SubInstListBMnumbers,0)),"#JUMP_F"&amp;MATCH(Q227,CNTR_SubInstListBMnumbers,0),"")</f>
        <v/>
      </c>
    </row>
    <row r="230" spans="2:22" ht="5.0999999999999996" customHeight="1" x14ac:dyDescent="0.2">
      <c r="B230" s="3"/>
      <c r="C230" s="3"/>
      <c r="D230" s="3"/>
      <c r="E230" s="3"/>
      <c r="F230" s="3"/>
      <c r="G230" s="3"/>
      <c r="H230" s="3"/>
      <c r="I230" s="3"/>
      <c r="J230" s="3"/>
      <c r="K230" s="3"/>
      <c r="L230" s="3"/>
      <c r="M230" s="7"/>
      <c r="N230" s="7"/>
      <c r="O230" s="7"/>
      <c r="P230" s="8"/>
    </row>
    <row r="231" spans="2:22" x14ac:dyDescent="0.2">
      <c r="B231" s="3"/>
      <c r="C231" s="3"/>
      <c r="D231" s="14" t="s">
        <v>353</v>
      </c>
      <c r="E231" s="1375" t="str">
        <f>Translations!$B$910</f>
        <v>Dane dotyczące wielkości przerobu w CWT</v>
      </c>
      <c r="F231" s="1370"/>
      <c r="G231" s="1370"/>
      <c r="H231" s="1370"/>
      <c r="I231" s="1370"/>
      <c r="J231" s="1370"/>
      <c r="K231" s="1370"/>
      <c r="L231" s="1370"/>
      <c r="M231" s="1370"/>
      <c r="N231" s="1370"/>
      <c r="O231" s="7"/>
      <c r="P231" s="8"/>
    </row>
    <row r="232" spans="2:22" x14ac:dyDescent="0.2">
      <c r="B232" s="3"/>
      <c r="C232" s="3"/>
      <c r="D232" s="16"/>
      <c r="E232" s="1408" t="str">
        <f>Translations!$B$911</f>
        <v>W tym miejscu należy podać dane dotyczące rocznej wielkości przerobu poszczególnych funkcji CWT.</v>
      </c>
      <c r="F232" s="1370"/>
      <c r="G232" s="1370"/>
      <c r="H232" s="1370"/>
      <c r="I232" s="1370"/>
      <c r="J232" s="1370"/>
      <c r="K232" s="1370"/>
      <c r="L232" s="1370"/>
      <c r="M232" s="1370"/>
      <c r="N232" s="1370"/>
      <c r="O232" s="7"/>
      <c r="P232" s="8"/>
    </row>
    <row r="233" spans="2:22" x14ac:dyDescent="0.2">
      <c r="B233" s="3"/>
      <c r="C233" s="3"/>
      <c r="D233" s="16"/>
      <c r="E233" s="1408" t="str">
        <f>Translations!$B$1048</f>
        <v>Definicja i granice poszczególnych funkcji CWT są podane w pkt 2 załącznika II do FAR.</v>
      </c>
      <c r="F233" s="1370"/>
      <c r="G233" s="1370"/>
      <c r="H233" s="1370"/>
      <c r="I233" s="1370"/>
      <c r="J233" s="1370"/>
      <c r="K233" s="1370"/>
      <c r="L233" s="1370"/>
      <c r="M233" s="1370"/>
      <c r="N233" s="1370"/>
      <c r="O233" s="7"/>
      <c r="P233" s="8"/>
    </row>
    <row r="234" spans="2:22" x14ac:dyDescent="0.2">
      <c r="B234" s="3"/>
      <c r="C234" s="3"/>
      <c r="D234" s="16"/>
      <c r="E234" s="1408" t="str">
        <f>Translations!$B$913</f>
        <v>W odniesieniu do podstawy stosuje się następujące skróty:</v>
      </c>
      <c r="F234" s="1370"/>
      <c r="G234" s="1370"/>
      <c r="H234" s="1370"/>
      <c r="I234" s="1370"/>
      <c r="J234" s="1370"/>
      <c r="K234" s="1370"/>
      <c r="L234" s="1370"/>
      <c r="M234" s="1370"/>
      <c r="N234" s="1370"/>
      <c r="O234" s="7"/>
      <c r="P234" s="8"/>
    </row>
    <row r="235" spans="2:22" x14ac:dyDescent="0.2">
      <c r="B235" s="3"/>
      <c r="C235" s="3"/>
      <c r="D235" s="16"/>
      <c r="E235" s="135" t="s">
        <v>98</v>
      </c>
      <c r="F235" s="1408" t="str">
        <f>Translations!$B$914</f>
        <v>Świeży surowiec zasilający netto</v>
      </c>
      <c r="G235" s="1370"/>
      <c r="H235" s="1370"/>
      <c r="I235" s="1370"/>
      <c r="J235" s="1370"/>
      <c r="K235" s="1370"/>
      <c r="L235" s="1370"/>
      <c r="M235" s="1370"/>
      <c r="N235" s="1370"/>
      <c r="O235" s="7"/>
      <c r="P235" s="8"/>
    </row>
    <row r="236" spans="2:22" x14ac:dyDescent="0.2">
      <c r="B236" s="3"/>
      <c r="C236" s="3"/>
      <c r="D236" s="16"/>
      <c r="E236" s="135" t="s">
        <v>154</v>
      </c>
      <c r="F236" s="1408" t="str">
        <f>Translations!$B$916</f>
        <v>Produkt</v>
      </c>
      <c r="G236" s="1370"/>
      <c r="H236" s="1370"/>
      <c r="I236" s="1370"/>
      <c r="J236" s="1370"/>
      <c r="K236" s="1370"/>
      <c r="L236" s="1370"/>
      <c r="M236" s="1370"/>
      <c r="N236" s="1370"/>
      <c r="O236" s="7"/>
      <c r="P236" s="8"/>
    </row>
    <row r="237" spans="2:22" x14ac:dyDescent="0.2">
      <c r="B237" s="3"/>
      <c r="C237" s="3"/>
      <c r="D237" s="17"/>
      <c r="E237" s="1448" t="str">
        <f>Translations!$B$918</f>
        <v>Ważna uwaga: Zgodnie z załącznikiem II do FAR jednostkami, które należy podać, są wielkości przerobu wyrażone w kilotonach.</v>
      </c>
      <c r="F237" s="1370"/>
      <c r="G237" s="1370"/>
      <c r="H237" s="1370"/>
      <c r="I237" s="1370"/>
      <c r="J237" s="1370"/>
      <c r="K237" s="1370"/>
      <c r="L237" s="1370"/>
      <c r="M237" s="1370"/>
      <c r="N237" s="1370"/>
      <c r="O237" s="7"/>
      <c r="P237" s="8"/>
      <c r="V237" s="422" t="s">
        <v>606</v>
      </c>
    </row>
    <row r="238" spans="2:22" ht="5.0999999999999996" customHeight="1" thickBot="1" x14ac:dyDescent="0.25">
      <c r="B238" s="3"/>
      <c r="C238" s="3"/>
      <c r="D238" s="3"/>
      <c r="E238" s="3"/>
      <c r="F238" s="3"/>
      <c r="G238" s="3"/>
      <c r="H238" s="3"/>
      <c r="I238" s="3"/>
      <c r="J238" s="3"/>
      <c r="K238" s="3"/>
      <c r="L238" s="3"/>
      <c r="M238" s="7"/>
      <c r="N238" s="7"/>
      <c r="O238" s="7"/>
      <c r="P238" s="8"/>
    </row>
    <row r="239" spans="2:22" x14ac:dyDescent="0.2">
      <c r="B239" s="20"/>
      <c r="C239" s="20"/>
      <c r="D239" s="20"/>
      <c r="E239" s="1609" t="str">
        <f>Translations!$B$919</f>
        <v>Funkcja CWT</v>
      </c>
      <c r="F239" s="1609"/>
      <c r="G239" s="47" t="str">
        <f>Translations!$B$920</f>
        <v>Podstawa (kt/a)</v>
      </c>
      <c r="H239" s="132" t="str">
        <f>Translations!$B$921</f>
        <v>Współczynnik CWT</v>
      </c>
      <c r="I239" s="432">
        <f>I$391</f>
        <v>2014</v>
      </c>
      <c r="J239" s="432">
        <f>J$391</f>
        <v>2015</v>
      </c>
      <c r="K239" s="432">
        <f>K$391</f>
        <v>2016</v>
      </c>
      <c r="L239" s="432">
        <f>L$391</f>
        <v>2017</v>
      </c>
      <c r="M239" s="432">
        <f>M$391</f>
        <v>2018</v>
      </c>
      <c r="N239" s="888" t="str">
        <f>IF(L227&lt;&gt;EUconst_Relevant,"",IF(T239,YEAR(INDEX(CNTR_SubInstStartDate,MATCH(Q227,CNTR_SubInstListBMnumbers,0)))+1,""))</f>
        <v/>
      </c>
      <c r="O239" s="7"/>
      <c r="S239" s="371" t="s">
        <v>598</v>
      </c>
      <c r="T239" s="438" t="str">
        <f>IF(L227&lt;&gt;EUconst_Relevant,"",INDEX(CNTR_SubInstLess1Year,MATCH(Q227,CNTR_SubInstListBMnumbers,0)))</f>
        <v/>
      </c>
      <c r="V239" s="714" t="b">
        <f>IF(CNTR_ExistSubInstEntries,IF(L227=EUconst_Relevant,NOT(T239),TRUE),FALSE)</f>
        <v>1</v>
      </c>
    </row>
    <row r="240" spans="2:22" ht="25.5" customHeight="1" x14ac:dyDescent="0.2">
      <c r="B240" s="20"/>
      <c r="C240" s="20"/>
      <c r="D240" s="20"/>
      <c r="E240" s="1613" t="str">
        <f>Translations!$B$1049</f>
        <v>Hydrorafinator do głębokiej rafinacji benzyny ciężkiej / oleju napędowego</v>
      </c>
      <c r="F240" s="1613"/>
      <c r="G240" s="28" t="s">
        <v>98</v>
      </c>
      <c r="H240" s="133">
        <v>1.1000000000000001</v>
      </c>
      <c r="I240" s="293"/>
      <c r="J240" s="293"/>
      <c r="K240" s="293"/>
      <c r="L240" s="293"/>
      <c r="M240" s="293"/>
      <c r="N240" s="923"/>
      <c r="O240" s="7"/>
      <c r="V240" s="715" t="b">
        <f>V239</f>
        <v>1</v>
      </c>
    </row>
    <row r="241" spans="2:22" x14ac:dyDescent="0.2">
      <c r="B241" s="20"/>
      <c r="C241" s="20"/>
      <c r="D241" s="20"/>
      <c r="E241" s="1613" t="str">
        <f>Translations!$B$949</f>
        <v>Ekstrakcja rozpuszczalnikowa związków aromatycznych</v>
      </c>
      <c r="F241" s="1613"/>
      <c r="G241" s="28" t="s">
        <v>98</v>
      </c>
      <c r="H241" s="133">
        <v>5.25</v>
      </c>
      <c r="I241" s="293"/>
      <c r="J241" s="293"/>
      <c r="K241" s="293"/>
      <c r="L241" s="293"/>
      <c r="M241" s="293"/>
      <c r="N241" s="921"/>
      <c r="O241" s="7"/>
      <c r="V241" s="715" t="b">
        <f t="shared" ref="V241:V247" si="10">V240</f>
        <v>1</v>
      </c>
    </row>
    <row r="242" spans="2:22" x14ac:dyDescent="0.2">
      <c r="B242" s="20"/>
      <c r="C242" s="20"/>
      <c r="D242" s="20"/>
      <c r="E242" s="1613" t="str">
        <f>Translations!$B$951</f>
        <v>TDP/TDA</v>
      </c>
      <c r="F242" s="1613"/>
      <c r="G242" s="28" t="s">
        <v>98</v>
      </c>
      <c r="H242" s="133">
        <v>1.85</v>
      </c>
      <c r="I242" s="293"/>
      <c r="J242" s="293"/>
      <c r="K242" s="293"/>
      <c r="L242" s="293"/>
      <c r="M242" s="293"/>
      <c r="N242" s="921"/>
      <c r="O242" s="7"/>
      <c r="V242" s="715" t="b">
        <f t="shared" si="10"/>
        <v>1</v>
      </c>
    </row>
    <row r="243" spans="2:22" x14ac:dyDescent="0.2">
      <c r="B243" s="20"/>
      <c r="C243" s="20"/>
      <c r="D243" s="20"/>
      <c r="E243" s="1613" t="str">
        <f>Translations!$B$950</f>
        <v>Hydrodealkilacja</v>
      </c>
      <c r="F243" s="1613"/>
      <c r="G243" s="28" t="s">
        <v>98</v>
      </c>
      <c r="H243" s="133">
        <v>2.4500000000000002</v>
      </c>
      <c r="I243" s="293"/>
      <c r="J243" s="293"/>
      <c r="K243" s="293"/>
      <c r="L243" s="293"/>
      <c r="M243" s="293"/>
      <c r="N243" s="921"/>
      <c r="O243" s="7"/>
      <c r="V243" s="715" t="b">
        <f t="shared" si="10"/>
        <v>1</v>
      </c>
    </row>
    <row r="244" spans="2:22" x14ac:dyDescent="0.2">
      <c r="B244" s="20"/>
      <c r="C244" s="20"/>
      <c r="D244" s="20"/>
      <c r="E244" s="1613" t="str">
        <f>Translations!$B$953</f>
        <v>Izomeryzacja ksylenu</v>
      </c>
      <c r="F244" s="1613"/>
      <c r="G244" s="28" t="s">
        <v>98</v>
      </c>
      <c r="H244" s="133">
        <v>1.85</v>
      </c>
      <c r="I244" s="293"/>
      <c r="J244" s="293"/>
      <c r="K244" s="293"/>
      <c r="L244" s="293"/>
      <c r="M244" s="293"/>
      <c r="N244" s="921"/>
      <c r="O244" s="7"/>
      <c r="V244" s="715" t="b">
        <f t="shared" si="10"/>
        <v>1</v>
      </c>
    </row>
    <row r="245" spans="2:22" x14ac:dyDescent="0.2">
      <c r="B245" s="20"/>
      <c r="C245" s="20"/>
      <c r="D245" s="20"/>
      <c r="E245" s="1613" t="str">
        <f>Translations!$B$954</f>
        <v>Produkcja paraksylenu</v>
      </c>
      <c r="F245" s="1613"/>
      <c r="G245" s="28" t="s">
        <v>154</v>
      </c>
      <c r="H245" s="133">
        <v>6.4</v>
      </c>
      <c r="I245" s="293"/>
      <c r="J245" s="293"/>
      <c r="K245" s="293"/>
      <c r="L245" s="293"/>
      <c r="M245" s="293"/>
      <c r="N245" s="921"/>
      <c r="O245" s="7"/>
      <c r="V245" s="715" t="b">
        <f t="shared" si="10"/>
        <v>1</v>
      </c>
    </row>
    <row r="246" spans="2:22" x14ac:dyDescent="0.2">
      <c r="B246" s="20"/>
      <c r="C246" s="20"/>
      <c r="D246" s="20"/>
      <c r="E246" s="1613" t="str">
        <f>Translations!$B$952</f>
        <v>Produkcja cykloheksanu</v>
      </c>
      <c r="F246" s="1613"/>
      <c r="G246" s="28" t="s">
        <v>154</v>
      </c>
      <c r="H246" s="133">
        <v>3</v>
      </c>
      <c r="I246" s="293"/>
      <c r="J246" s="293"/>
      <c r="K246" s="293"/>
      <c r="L246" s="293"/>
      <c r="M246" s="293"/>
      <c r="N246" s="921"/>
      <c r="O246" s="7"/>
      <c r="V246" s="715" t="b">
        <f t="shared" si="10"/>
        <v>1</v>
      </c>
    </row>
    <row r="247" spans="2:22" ht="13.5" thickBot="1" x14ac:dyDescent="0.25">
      <c r="B247" s="20"/>
      <c r="C247" s="20"/>
      <c r="D247" s="20"/>
      <c r="E247" s="1615" t="str">
        <f>Translations!$B$959</f>
        <v>Produkcja kumenu</v>
      </c>
      <c r="F247" s="1615"/>
      <c r="G247" s="30" t="s">
        <v>154</v>
      </c>
      <c r="H247" s="134">
        <v>5</v>
      </c>
      <c r="I247" s="292"/>
      <c r="J247" s="292"/>
      <c r="K247" s="292"/>
      <c r="L247" s="292"/>
      <c r="M247" s="292"/>
      <c r="N247" s="922"/>
      <c r="O247" s="7"/>
      <c r="V247" s="716" t="b">
        <f t="shared" si="10"/>
        <v>1</v>
      </c>
    </row>
    <row r="248" spans="2:22" ht="5.0999999999999996" customHeight="1" x14ac:dyDescent="0.2">
      <c r="B248" s="3"/>
      <c r="C248" s="3"/>
      <c r="D248" s="3"/>
      <c r="E248" s="3"/>
      <c r="F248" s="3"/>
      <c r="G248" s="3"/>
      <c r="H248" s="3"/>
      <c r="I248" s="3"/>
      <c r="J248" s="3"/>
      <c r="K248" s="3"/>
      <c r="L248" s="3"/>
      <c r="M248" s="7"/>
      <c r="N248" s="20"/>
      <c r="O248" s="7"/>
      <c r="P248" s="8"/>
    </row>
    <row r="249" spans="2:22" x14ac:dyDescent="0.2">
      <c r="B249" s="3"/>
      <c r="C249" s="3"/>
      <c r="D249" s="14" t="s">
        <v>11</v>
      </c>
      <c r="E249" s="1375" t="str">
        <f>Translations!$B$1050</f>
        <v>Wynik: Poziomy działalności dla wskaźnika dotyczącego związków aromatycznych wyrażone w CWT</v>
      </c>
      <c r="F249" s="1370"/>
      <c r="G249" s="1370"/>
      <c r="H249" s="1370"/>
      <c r="I249" s="1370"/>
      <c r="J249" s="1370"/>
      <c r="K249" s="1370"/>
      <c r="L249" s="1370"/>
      <c r="M249" s="1370"/>
      <c r="N249" s="1370"/>
      <c r="O249" s="7"/>
      <c r="P249" s="8"/>
    </row>
    <row r="250" spans="2:22" ht="25.5" customHeight="1" x14ac:dyDescent="0.2">
      <c r="B250" s="3"/>
      <c r="C250" s="3"/>
      <c r="D250" s="16"/>
      <c r="E250" s="1408" t="str">
        <f>Translations!$B$1051</f>
        <v>W tym miejscu poziom działalności dotyczący związków aromatycznych jest obliczany według wzoru podanego w pkt 5 załącznika III do FAR (przed określeniem średniej wartości).</v>
      </c>
      <c r="F250" s="1370"/>
      <c r="G250" s="1370"/>
      <c r="H250" s="1370"/>
      <c r="I250" s="1370"/>
      <c r="J250" s="1370"/>
      <c r="K250" s="1370"/>
      <c r="L250" s="1370"/>
      <c r="M250" s="1370"/>
      <c r="N250" s="1370"/>
      <c r="O250" s="7"/>
      <c r="P250" s="8"/>
    </row>
    <row r="251" spans="2:22" x14ac:dyDescent="0.2">
      <c r="B251" s="3"/>
      <c r="C251" s="3"/>
      <c r="D251" s="16"/>
      <c r="E251" s="1448" t="str">
        <f>Translations!$B$1052</f>
        <v>Ważna uwaga: Dane należy podawać w kilotonach, ale wskaźnik jest wyrażany w t CO2/CWT, przy czym CWT jest wyrażona w tonach.</v>
      </c>
      <c r="F251" s="1370"/>
      <c r="G251" s="1370"/>
      <c r="H251" s="1370"/>
      <c r="I251" s="1370"/>
      <c r="J251" s="1370"/>
      <c r="K251" s="1370"/>
      <c r="L251" s="1370"/>
      <c r="M251" s="1370"/>
      <c r="N251" s="1370"/>
      <c r="O251" s="7"/>
      <c r="P251" s="8"/>
    </row>
    <row r="252" spans="2:22" x14ac:dyDescent="0.2">
      <c r="B252" s="3"/>
      <c r="C252" s="3"/>
      <c r="D252" s="16"/>
      <c r="E252" s="1448" t="str">
        <f>Translations!$B$1053</f>
        <v>W związku z tym poniższe wyniki mnoży się przez 1000, co nie jest wyraźnie wskazane w pkt 5 załącznika III do FAR.</v>
      </c>
      <c r="F252" s="1370"/>
      <c r="G252" s="1370"/>
      <c r="H252" s="1370"/>
      <c r="I252" s="1370"/>
      <c r="J252" s="1370"/>
      <c r="K252" s="1370"/>
      <c r="L252" s="1370"/>
      <c r="M252" s="1370"/>
      <c r="N252" s="1370"/>
      <c r="O252" s="7"/>
      <c r="P252" s="8"/>
    </row>
    <row r="253" spans="2:22" ht="13.5" thickBot="1" x14ac:dyDescent="0.25">
      <c r="B253" s="3"/>
      <c r="C253" s="3"/>
      <c r="D253" s="16"/>
      <c r="E253" s="1408" t="str">
        <f>Translations!$B$982</f>
        <v>Wynik zastosowania tego narzędzia jest wykorzystywany w arkuszu „F_ProductBM” wiersz „a) lit. (ii)” odpowiedniej podinstalacji, na którego podstawie obliczana jest średnia.</v>
      </c>
      <c r="F253" s="1370"/>
      <c r="G253" s="1370"/>
      <c r="H253" s="1370"/>
      <c r="I253" s="1370"/>
      <c r="J253" s="1370"/>
      <c r="K253" s="1370"/>
      <c r="L253" s="1370"/>
      <c r="M253" s="1370"/>
      <c r="N253" s="1370"/>
      <c r="O253" s="7"/>
      <c r="P253" s="8"/>
    </row>
    <row r="254" spans="2:22" x14ac:dyDescent="0.2">
      <c r="B254" s="20"/>
      <c r="C254" s="20"/>
      <c r="D254" s="14"/>
      <c r="E254" s="22"/>
      <c r="F254" s="22"/>
      <c r="G254" s="22"/>
      <c r="H254" s="34" t="str">
        <f>EUconst_Unit</f>
        <v>Jednostka</v>
      </c>
      <c r="I254" s="432">
        <f>I$391</f>
        <v>2014</v>
      </c>
      <c r="J254" s="432">
        <f>J$391</f>
        <v>2015</v>
      </c>
      <c r="K254" s="432">
        <f>K$391</f>
        <v>2016</v>
      </c>
      <c r="L254" s="432">
        <f>L$391</f>
        <v>2017</v>
      </c>
      <c r="M254" s="914">
        <f>M$391</f>
        <v>2018</v>
      </c>
      <c r="N254" s="888" t="str">
        <f>N239</f>
        <v/>
      </c>
      <c r="O254" s="7"/>
      <c r="V254" s="179" t="b">
        <f>V247</f>
        <v>1</v>
      </c>
    </row>
    <row r="255" spans="2:22" ht="25.5" customHeight="1" thickBot="1" x14ac:dyDescent="0.25">
      <c r="B255" s="20"/>
      <c r="C255" s="20"/>
      <c r="D255" s="20"/>
      <c r="E255" s="1611" t="str">
        <f>Translations!$B$1054</f>
        <v>Poziom działalności dotyczący związków aromatycznych</v>
      </c>
      <c r="F255" s="1611"/>
      <c r="G255" s="1611"/>
      <c r="H255" s="138" t="str">
        <f>EUconst_CWTpa</f>
        <v>CWT / rok</v>
      </c>
      <c r="I255" s="321" t="str">
        <f t="shared" ref="I255:N255" si="11">IF(COUNT(I240:I247)&gt;0,1000*SUMPRODUCT($H240:$H247,I240:I247),"")</f>
        <v/>
      </c>
      <c r="J255" s="321" t="str">
        <f t="shared" si="11"/>
        <v/>
      </c>
      <c r="K255" s="321" t="str">
        <f t="shared" si="11"/>
        <v/>
      </c>
      <c r="L255" s="321" t="str">
        <f t="shared" si="11"/>
        <v/>
      </c>
      <c r="M255" s="887" t="str">
        <f t="shared" si="11"/>
        <v/>
      </c>
      <c r="N255" s="890" t="str">
        <f t="shared" si="11"/>
        <v/>
      </c>
      <c r="O255" s="7"/>
      <c r="P255" s="116" t="str">
        <f>IF(L227=EUconst_Relevant,EUconst_CNTR_HALspecial &amp; INDEX(EUconst_BMlistNames,Q227),"")</f>
        <v/>
      </c>
      <c r="V255" s="168" t="b">
        <f>V254</f>
        <v>1</v>
      </c>
    </row>
    <row r="256" spans="2:22" ht="5.0999999999999996" customHeight="1" x14ac:dyDescent="0.2">
      <c r="B256" s="3"/>
      <c r="C256" s="3"/>
      <c r="D256" s="3"/>
      <c r="E256" s="3"/>
      <c r="F256" s="3"/>
      <c r="G256" s="3"/>
      <c r="H256" s="3"/>
      <c r="I256" s="3"/>
      <c r="J256" s="3"/>
      <c r="K256" s="3"/>
      <c r="L256" s="3"/>
      <c r="M256" s="7"/>
      <c r="N256" s="7"/>
      <c r="O256" s="7"/>
      <c r="P256" s="8"/>
    </row>
    <row r="257" spans="2:17" x14ac:dyDescent="0.2">
      <c r="B257" s="3"/>
      <c r="C257" s="3"/>
      <c r="D257" s="3"/>
      <c r="E257" s="1916" t="str">
        <f>IF(L227=EUconst_Relevant,HYPERLINK(Q257,EUconst_MsgBackToSheetF),"")</f>
        <v/>
      </c>
      <c r="F257" s="1917"/>
      <c r="G257" s="1917"/>
      <c r="H257" s="1917"/>
      <c r="I257" s="1917"/>
      <c r="J257" s="1917"/>
      <c r="K257" s="1917"/>
      <c r="L257" s="1917"/>
      <c r="M257" s="1917"/>
      <c r="N257" s="1918"/>
      <c r="O257" s="7"/>
      <c r="P257" s="371" t="s">
        <v>33</v>
      </c>
      <c r="Q257" s="116" t="str">
        <f>Q229</f>
        <v/>
      </c>
    </row>
    <row r="258" spans="2:17" x14ac:dyDescent="0.2">
      <c r="B258" s="20"/>
      <c r="C258" s="20"/>
      <c r="D258" s="20"/>
      <c r="E258" s="20"/>
      <c r="F258" s="20"/>
      <c r="G258" s="20"/>
      <c r="H258" s="20"/>
      <c r="I258" s="20"/>
      <c r="J258" s="20"/>
      <c r="K258" s="20"/>
      <c r="L258" s="20"/>
      <c r="M258" s="20"/>
      <c r="N258" s="20"/>
      <c r="O258" s="7"/>
    </row>
    <row r="259" spans="2:17" ht="15.75" x14ac:dyDescent="0.25">
      <c r="B259" s="3"/>
      <c r="C259" s="12" t="s">
        <v>14</v>
      </c>
      <c r="D259" s="1384" t="str">
        <f>Translations!$B$1027</f>
        <v>Wodór</v>
      </c>
      <c r="E259" s="1384"/>
      <c r="F259" s="1384"/>
      <c r="G259" s="1384"/>
      <c r="H259" s="1384"/>
      <c r="I259" s="1384"/>
      <c r="J259" s="1384"/>
      <c r="K259" s="1384"/>
      <c r="L259" s="1384"/>
      <c r="M259" s="1384"/>
      <c r="N259" s="1384"/>
      <c r="O259" s="7"/>
      <c r="P259" s="8"/>
    </row>
    <row r="260" spans="2:17" ht="5.0999999999999996" customHeight="1" x14ac:dyDescent="0.2">
      <c r="B260" s="3"/>
      <c r="C260" s="3"/>
      <c r="D260" s="3"/>
      <c r="E260" s="3"/>
      <c r="F260" s="3"/>
      <c r="G260" s="3"/>
      <c r="H260" s="3"/>
      <c r="I260" s="3"/>
      <c r="J260" s="3"/>
      <c r="K260" s="3"/>
      <c r="L260" s="3"/>
      <c r="M260" s="7"/>
      <c r="N260" s="7"/>
      <c r="O260" s="7"/>
      <c r="P260" s="8"/>
    </row>
    <row r="261" spans="2:17" ht="15" x14ac:dyDescent="0.25">
      <c r="B261" s="3"/>
      <c r="C261" s="18"/>
      <c r="D261" s="1439" t="str">
        <f>Translations!$B$1055</f>
        <v>Narzędzie do obliczania historycznych poziomów działalności dla podinstalacji wodoru</v>
      </c>
      <c r="E261" s="1370"/>
      <c r="F261" s="1370"/>
      <c r="G261" s="1370"/>
      <c r="H261" s="1370"/>
      <c r="I261" s="1370"/>
      <c r="J261" s="1370"/>
      <c r="K261" s="1370"/>
      <c r="L261" s="1370"/>
      <c r="M261" s="1370"/>
      <c r="N261" s="1370"/>
      <c r="O261" s="7"/>
      <c r="P261" s="8"/>
    </row>
    <row r="262" spans="2:17" ht="5.0999999999999996" customHeight="1" x14ac:dyDescent="0.2">
      <c r="B262" s="3"/>
      <c r="C262" s="3"/>
      <c r="D262" s="3"/>
      <c r="E262" s="3"/>
      <c r="F262" s="3"/>
      <c r="G262" s="3"/>
      <c r="H262" s="3"/>
      <c r="I262" s="3"/>
      <c r="J262" s="3"/>
      <c r="K262" s="3"/>
      <c r="L262" s="3"/>
      <c r="M262" s="7"/>
      <c r="N262" s="7"/>
      <c r="O262" s="7"/>
      <c r="P262" s="8"/>
    </row>
    <row r="263" spans="2:17" x14ac:dyDescent="0.2">
      <c r="B263" s="3"/>
      <c r="C263" s="3"/>
      <c r="D263" s="16"/>
      <c r="E263" s="1408" t="str">
        <f>Translations!$B$1056</f>
        <v>Narzędzie to pomaga określić historyczne poziomy działalności dla wskaźnika dotyczącego wodoru (pkt 6 załącznika III do FAR).</v>
      </c>
      <c r="F263" s="1370"/>
      <c r="G263" s="1370"/>
      <c r="H263" s="1370"/>
      <c r="I263" s="1370"/>
      <c r="J263" s="1370"/>
      <c r="K263" s="1370"/>
      <c r="L263" s="1370"/>
      <c r="M263" s="1370"/>
      <c r="N263" s="1370"/>
      <c r="O263" s="7"/>
      <c r="P263" s="8"/>
    </row>
    <row r="264" spans="2:17" x14ac:dyDescent="0.2">
      <c r="B264" s="3"/>
      <c r="C264" s="3"/>
      <c r="D264" s="16"/>
      <c r="E264" s="1408" t="str">
        <f>Translations!$B$907</f>
        <v>Wynik zastosowania tego narzędzia jest automatycznie kopiowany do arkusza „F_ProductBM”, wiersz „a) ppkt (ii)” odpowiedniej podinstalacji.</v>
      </c>
      <c r="F264" s="1370"/>
      <c r="G264" s="1370"/>
      <c r="H264" s="1370"/>
      <c r="I264" s="1370"/>
      <c r="J264" s="1370"/>
      <c r="K264" s="1370"/>
      <c r="L264" s="1370"/>
      <c r="M264" s="1370"/>
      <c r="N264" s="1370"/>
      <c r="O264" s="7"/>
      <c r="P264" s="8"/>
    </row>
    <row r="265" spans="2:17" x14ac:dyDescent="0.2">
      <c r="B265" s="3"/>
      <c r="C265" s="3"/>
      <c r="D265" s="16"/>
      <c r="E265" s="1448" t="str">
        <f>Translations!$B$1057</f>
        <v>Proszę zwrócić uwagę, że wartości procentowe dotyczące zawartości wodoru powinny być wyrażone w Vol-%.</v>
      </c>
      <c r="F265" s="1370"/>
      <c r="G265" s="1370"/>
      <c r="H265" s="1370"/>
      <c r="I265" s="1370"/>
      <c r="J265" s="1370"/>
      <c r="K265" s="1370"/>
      <c r="L265" s="1370"/>
      <c r="M265" s="1370"/>
      <c r="N265" s="1370"/>
      <c r="O265" s="7"/>
      <c r="P265" s="8"/>
    </row>
    <row r="266" spans="2:17" ht="5.0999999999999996" customHeight="1" x14ac:dyDescent="0.2">
      <c r="B266" s="3"/>
      <c r="C266" s="3"/>
      <c r="D266" s="3"/>
      <c r="E266" s="3"/>
      <c r="F266" s="3"/>
      <c r="G266" s="3"/>
      <c r="H266" s="3"/>
      <c r="I266" s="3"/>
      <c r="J266" s="3"/>
      <c r="K266" s="3"/>
      <c r="L266" s="3"/>
      <c r="M266" s="7"/>
      <c r="N266" s="7"/>
      <c r="O266" s="7"/>
      <c r="P266" s="8"/>
    </row>
    <row r="267" spans="2:17" ht="15" x14ac:dyDescent="0.25">
      <c r="B267" s="3"/>
      <c r="C267" s="3"/>
      <c r="D267" s="14" t="s">
        <v>173</v>
      </c>
      <c r="E267" s="1375" t="str">
        <f>Translations!$B$908</f>
        <v>Zastosowanie tego narzędzia w Państwa instalacji:</v>
      </c>
      <c r="F267" s="1375"/>
      <c r="G267" s="1375"/>
      <c r="H267" s="1375"/>
      <c r="I267" s="1375"/>
      <c r="J267" s="1375"/>
      <c r="K267" s="1637"/>
      <c r="L267" s="1913" t="str">
        <f>IF(CNTR_ExistSubInstEntries,IF(COUNTIF(CNTR_SubInstListNames,INDEX(EUconst_BMlistNames,Q267))&gt;0,EUconst_Relevant,EUconst_NotRelevant),"")</f>
        <v>nie dotyczy</v>
      </c>
      <c r="M267" s="1914"/>
      <c r="N267" s="1915"/>
      <c r="O267" s="7"/>
      <c r="P267" s="371" t="s">
        <v>34</v>
      </c>
      <c r="Q267" s="350">
        <v>50</v>
      </c>
    </row>
    <row r="268" spans="2:17" x14ac:dyDescent="0.2">
      <c r="B268" s="3"/>
      <c r="C268" s="3"/>
      <c r="D268" s="16"/>
      <c r="E268" s="1376" t="str">
        <f>Translations!$B$909</f>
        <v>Ten komunikat jest automatycznie generowany na podstawie Państwa wpisów w arkuszu „A_InstallationData” część A.III.1.</v>
      </c>
      <c r="F268" s="1377"/>
      <c r="G268" s="1377"/>
      <c r="H268" s="1377"/>
      <c r="I268" s="1377"/>
      <c r="J268" s="1377"/>
      <c r="K268" s="1377"/>
      <c r="L268" s="1377"/>
      <c r="M268" s="1377"/>
      <c r="N268" s="1377"/>
      <c r="O268" s="7"/>
      <c r="P268" s="8"/>
    </row>
    <row r="269" spans="2:17" x14ac:dyDescent="0.2">
      <c r="B269" s="3"/>
      <c r="C269" s="3"/>
      <c r="D269" s="3"/>
      <c r="E269" s="1916" t="str">
        <f>IF(L267=EUconst_Relevant,HYPERLINK(Q269,EUconst_MsgBackToSheetF),"")</f>
        <v/>
      </c>
      <c r="F269" s="1917"/>
      <c r="G269" s="1917"/>
      <c r="H269" s="1917"/>
      <c r="I269" s="1917"/>
      <c r="J269" s="1917"/>
      <c r="K269" s="1917"/>
      <c r="L269" s="1917"/>
      <c r="M269" s="1917"/>
      <c r="N269" s="1918"/>
      <c r="O269" s="7"/>
      <c r="P269" s="371" t="s">
        <v>33</v>
      </c>
      <c r="Q269" s="116" t="str">
        <f>IF(ISNUMBER(MATCH(Q267,CNTR_SubInstListBMnumbers,0)),"#JUMP_F"&amp;MATCH(Q267,CNTR_SubInstListBMnumbers,0),"")</f>
        <v/>
      </c>
    </row>
    <row r="270" spans="2:17" ht="5.0999999999999996" customHeight="1" x14ac:dyDescent="0.2">
      <c r="B270" s="3"/>
      <c r="C270" s="3"/>
      <c r="D270" s="3"/>
      <c r="E270" s="3"/>
      <c r="F270" s="3"/>
      <c r="G270" s="3"/>
      <c r="H270" s="3"/>
      <c r="I270" s="3"/>
      <c r="J270" s="3"/>
      <c r="K270" s="3"/>
      <c r="L270" s="3"/>
      <c r="M270" s="7"/>
      <c r="N270" s="7"/>
      <c r="O270" s="7"/>
      <c r="P270" s="8"/>
    </row>
    <row r="271" spans="2:17" x14ac:dyDescent="0.2">
      <c r="B271" s="3"/>
      <c r="C271" s="3"/>
      <c r="D271" s="14" t="s">
        <v>353</v>
      </c>
      <c r="E271" s="1375" t="str">
        <f>Translations!$B$1058</f>
        <v>Wielkość łącznej produkcji wodoru (nieskorygowana)</v>
      </c>
      <c r="F271" s="1370"/>
      <c r="G271" s="1370"/>
      <c r="H271" s="1370"/>
      <c r="I271" s="1370"/>
      <c r="J271" s="1370"/>
      <c r="K271" s="1370"/>
      <c r="L271" s="1370"/>
      <c r="M271" s="1370"/>
      <c r="N271" s="1370"/>
      <c r="O271" s="7"/>
      <c r="P271" s="8"/>
    </row>
    <row r="272" spans="2:17" x14ac:dyDescent="0.2">
      <c r="B272" s="3"/>
      <c r="C272" s="3"/>
      <c r="D272" s="16"/>
      <c r="E272" s="1408" t="str">
        <f>Translations!$B$1059</f>
        <v>W tym miejscu proszę podać dane dotyczące rocznej produkcji wodoru odnoszące się do historycznej zawartości wodoru w poszczególnych latach okresu odniesienia.</v>
      </c>
      <c r="F272" s="1370"/>
      <c r="G272" s="1370"/>
      <c r="H272" s="1370"/>
      <c r="I272" s="1370"/>
      <c r="J272" s="1370"/>
      <c r="K272" s="1370"/>
      <c r="L272" s="1370"/>
      <c r="M272" s="1370"/>
      <c r="N272" s="1370"/>
      <c r="O272" s="7"/>
      <c r="P272" s="8"/>
    </row>
    <row r="273" spans="2:22" ht="13.5" thickBot="1" x14ac:dyDescent="0.25">
      <c r="B273" s="3"/>
      <c r="C273" s="3"/>
      <c r="D273" s="16"/>
      <c r="E273" s="1448" t="str">
        <f>Translations!$B$1060</f>
        <v>Ze względu na bardzo duże wartości w przypadku stosowania jednostki m3, liczby należy podawać w 1000 Nm3 (normalne metry sześcienne w odniesieniu do 0°C i 101,325 kPa).</v>
      </c>
      <c r="F273" s="1370"/>
      <c r="G273" s="1370"/>
      <c r="H273" s="1370"/>
      <c r="I273" s="1370"/>
      <c r="J273" s="1370"/>
      <c r="K273" s="1370"/>
      <c r="L273" s="1370"/>
      <c r="M273" s="1370"/>
      <c r="N273" s="1370"/>
      <c r="O273" s="7"/>
      <c r="P273" s="8"/>
      <c r="V273" s="422" t="s">
        <v>606</v>
      </c>
    </row>
    <row r="274" spans="2:22" x14ac:dyDescent="0.2">
      <c r="B274" s="20"/>
      <c r="C274" s="20"/>
      <c r="D274" s="14"/>
      <c r="E274" s="25"/>
      <c r="F274" s="22"/>
      <c r="G274" s="22"/>
      <c r="H274" s="34" t="str">
        <f>EUconst_Unit</f>
        <v>Jednostka</v>
      </c>
      <c r="I274" s="432">
        <f>I$391</f>
        <v>2014</v>
      </c>
      <c r="J274" s="432">
        <f>J$391</f>
        <v>2015</v>
      </c>
      <c r="K274" s="432">
        <f>K$391</f>
        <v>2016</v>
      </c>
      <c r="L274" s="432">
        <f>L$391</f>
        <v>2017</v>
      </c>
      <c r="M274" s="914">
        <f>M$391</f>
        <v>2018</v>
      </c>
      <c r="N274" s="888" t="str">
        <f>IF(L267&lt;&gt;EUconst_Relevant,"",IF(T274,YEAR(INDEX(CNTR_SubInstStartDate,MATCH(Q267,CNTR_SubInstListBMnumbers,0)))+1,""))</f>
        <v/>
      </c>
      <c r="O274" s="7"/>
      <c r="S274" s="371" t="s">
        <v>598</v>
      </c>
      <c r="T274" s="438" t="str">
        <f>IF(L267&lt;&gt;EUconst_Relevant,"",INDEX(CNTR_SubInstLess1Year,MATCH(Q267,CNTR_SubInstListBMnumbers,0)))</f>
        <v/>
      </c>
      <c r="V274" s="714" t="b">
        <f>IF(CNTR_ExistSubInstEntries,IF(L267=EUconst_Relevant,NOT(T274),TRUE),FALSE)</f>
        <v>1</v>
      </c>
    </row>
    <row r="275" spans="2:22" ht="13.5" thickBot="1" x14ac:dyDescent="0.25">
      <c r="B275" s="20"/>
      <c r="C275" s="20"/>
      <c r="D275" s="20"/>
      <c r="E275" s="1612" t="str">
        <f>Translations!$B$1061</f>
        <v>Łączna produkcja wodoru</v>
      </c>
      <c r="F275" s="1612"/>
      <c r="G275" s="1612"/>
      <c r="H275" s="48" t="str">
        <f>EUconst_kNm3pa</f>
        <v>1000Nm3/rok</v>
      </c>
      <c r="I275" s="313"/>
      <c r="J275" s="313"/>
      <c r="K275" s="313"/>
      <c r="L275" s="313"/>
      <c r="M275" s="899"/>
      <c r="N275" s="902"/>
      <c r="O275" s="7"/>
      <c r="V275" s="688" t="b">
        <f>V274</f>
        <v>1</v>
      </c>
    </row>
    <row r="276" spans="2:22" ht="5.0999999999999996" customHeight="1" x14ac:dyDescent="0.2">
      <c r="B276" s="3"/>
      <c r="C276" s="3"/>
      <c r="D276" s="3"/>
      <c r="E276" s="3"/>
      <c r="F276" s="3"/>
      <c r="G276" s="3"/>
      <c r="H276" s="3"/>
      <c r="I276" s="3"/>
      <c r="J276" s="3"/>
      <c r="K276" s="3"/>
      <c r="L276" s="3"/>
      <c r="M276" s="7"/>
      <c r="N276" s="7"/>
      <c r="O276" s="7"/>
      <c r="P276" s="8"/>
    </row>
    <row r="277" spans="2:22" x14ac:dyDescent="0.2">
      <c r="B277" s="3"/>
      <c r="C277" s="3"/>
      <c r="D277" s="14" t="s">
        <v>11</v>
      </c>
      <c r="E277" s="1375" t="str">
        <f>Translations!$B$1062</f>
        <v>Ułamek objętościowy produkcji wodoru VF (H2)</v>
      </c>
      <c r="F277" s="1370"/>
      <c r="G277" s="1370"/>
      <c r="H277" s="1370"/>
      <c r="I277" s="1370"/>
      <c r="J277" s="1370"/>
      <c r="K277" s="1370"/>
      <c r="L277" s="1370"/>
      <c r="M277" s="1370"/>
      <c r="N277" s="1370"/>
      <c r="O277" s="7"/>
      <c r="P277" s="8"/>
    </row>
    <row r="278" spans="2:22" x14ac:dyDescent="0.2">
      <c r="B278" s="3"/>
      <c r="C278" s="3"/>
      <c r="D278" s="16"/>
      <c r="E278" s="1408" t="str">
        <f>Translations!$B$1063</f>
        <v>W tym miejscu proszę podać historyczny ułamek objętościowy produkcji czystego wodoru w poszczególnych latach okresu odniesienia. Wartość ta jest wartością bezwymiarową.</v>
      </c>
      <c r="F278" s="1370"/>
      <c r="G278" s="1370"/>
      <c r="H278" s="1370"/>
      <c r="I278" s="1370"/>
      <c r="J278" s="1370"/>
      <c r="K278" s="1370"/>
      <c r="L278" s="1370"/>
      <c r="M278" s="1370"/>
      <c r="N278" s="1370"/>
      <c r="O278" s="7"/>
      <c r="P278" s="8"/>
    </row>
    <row r="279" spans="2:22" ht="13.5" thickBot="1" x14ac:dyDescent="0.25">
      <c r="B279" s="3"/>
      <c r="C279" s="3"/>
      <c r="D279" s="16"/>
      <c r="E279" s="1408" t="str">
        <f>Translations!$B$1064</f>
        <v xml:space="preserve">Mogą Państwo wpisać 95% jako „0,95” albo jako „95%”. </v>
      </c>
      <c r="F279" s="1370"/>
      <c r="G279" s="1370"/>
      <c r="H279" s="1370"/>
      <c r="I279" s="1370"/>
      <c r="J279" s="1370"/>
      <c r="K279" s="1370"/>
      <c r="L279" s="1370"/>
      <c r="M279" s="1370"/>
      <c r="N279" s="1370"/>
      <c r="O279" s="7"/>
      <c r="P279" s="8"/>
    </row>
    <row r="280" spans="2:22" x14ac:dyDescent="0.2">
      <c r="B280" s="20"/>
      <c r="C280" s="20"/>
      <c r="D280" s="14"/>
      <c r="E280" s="25"/>
      <c r="F280" s="22"/>
      <c r="G280" s="22"/>
      <c r="H280" s="34" t="str">
        <f>EUconst_Unit</f>
        <v>Jednostka</v>
      </c>
      <c r="I280" s="432">
        <f>I$391</f>
        <v>2014</v>
      </c>
      <c r="J280" s="432">
        <f>J$391</f>
        <v>2015</v>
      </c>
      <c r="K280" s="432">
        <f>K$391</f>
        <v>2016</v>
      </c>
      <c r="L280" s="432">
        <f>L$391</f>
        <v>2017</v>
      </c>
      <c r="M280" s="914">
        <f>M$391</f>
        <v>2018</v>
      </c>
      <c r="N280" s="888" t="str">
        <f>N274</f>
        <v/>
      </c>
      <c r="O280" s="7"/>
      <c r="V280" s="179" t="b">
        <f>V275</f>
        <v>1</v>
      </c>
    </row>
    <row r="281" spans="2:22" ht="13.5" thickBot="1" x14ac:dyDescent="0.25">
      <c r="B281" s="20"/>
      <c r="C281" s="20"/>
      <c r="D281" s="20"/>
      <c r="E281" s="1612" t="str">
        <f>Translations!$B$1065</f>
        <v>Ułamek objętościowy produkcji wodoru</v>
      </c>
      <c r="F281" s="1612"/>
      <c r="G281" s="1612"/>
      <c r="H281" s="126" t="s">
        <v>408</v>
      </c>
      <c r="I281" s="291"/>
      <c r="J281" s="291"/>
      <c r="K281" s="291"/>
      <c r="L281" s="291"/>
      <c r="M281" s="939"/>
      <c r="N281" s="941"/>
      <c r="O281" s="7"/>
      <c r="V281" s="168" t="b">
        <f>V280</f>
        <v>1</v>
      </c>
    </row>
    <row r="282" spans="2:22" ht="5.0999999999999996" customHeight="1" x14ac:dyDescent="0.2">
      <c r="B282" s="3"/>
      <c r="C282" s="3"/>
      <c r="D282" s="3"/>
      <c r="E282" s="3"/>
      <c r="F282" s="3"/>
      <c r="G282" s="3"/>
      <c r="H282" s="3"/>
      <c r="I282" s="3"/>
      <c r="J282" s="3"/>
      <c r="K282" s="3"/>
      <c r="L282" s="3"/>
      <c r="M282" s="7"/>
      <c r="N282" s="7"/>
      <c r="O282" s="7"/>
      <c r="P282" s="8"/>
    </row>
    <row r="283" spans="2:22" x14ac:dyDescent="0.2">
      <c r="B283" s="3"/>
      <c r="C283" s="3"/>
      <c r="D283" s="14" t="s">
        <v>356</v>
      </c>
      <c r="E283" s="1375" t="str">
        <f>Translations!$B$1066</f>
        <v>Wynik: Poziomy działalności dla wodoru, wyrażone w tonach 100% H2</v>
      </c>
      <c r="F283" s="1370"/>
      <c r="G283" s="1370"/>
      <c r="H283" s="1370"/>
      <c r="I283" s="1370"/>
      <c r="J283" s="1370"/>
      <c r="K283" s="1370"/>
      <c r="L283" s="1370"/>
      <c r="M283" s="1370"/>
      <c r="N283" s="1370"/>
      <c r="O283" s="7"/>
      <c r="P283" s="8"/>
    </row>
    <row r="284" spans="2:22" x14ac:dyDescent="0.2">
      <c r="B284" s="3"/>
      <c r="C284" s="3"/>
      <c r="D284" s="16"/>
      <c r="E284" s="1408" t="str">
        <f>Translations!$B$1067</f>
        <v>W tym miejscu skorygowany poziom działalności (100% wodoru) jest obliczany według wzoru podanego w pkt 6 załącznika III do FAR (przed określeniem średniej wartości).</v>
      </c>
      <c r="F284" s="1370"/>
      <c r="G284" s="1370"/>
      <c r="H284" s="1370"/>
      <c r="I284" s="1370"/>
      <c r="J284" s="1370"/>
      <c r="K284" s="1370"/>
      <c r="L284" s="1370"/>
      <c r="M284" s="1370"/>
      <c r="N284" s="1370"/>
      <c r="O284" s="7"/>
      <c r="P284" s="8"/>
    </row>
    <row r="285" spans="2:22" x14ac:dyDescent="0.2">
      <c r="B285" s="3"/>
      <c r="C285" s="3"/>
      <c r="D285" s="16"/>
      <c r="E285" s="1408" t="str">
        <f>Translations!$B$1068</f>
        <v>Jeśli w wyniku zastosowania wzoru otrzymano wartość ujemną, należy ją zamienić na zero.</v>
      </c>
      <c r="F285" s="1370"/>
      <c r="G285" s="1370"/>
      <c r="H285" s="1370"/>
      <c r="I285" s="1370"/>
      <c r="J285" s="1370"/>
      <c r="K285" s="1370"/>
      <c r="L285" s="1370"/>
      <c r="M285" s="1370"/>
      <c r="N285" s="1370"/>
      <c r="O285" s="7"/>
      <c r="P285" s="8"/>
    </row>
    <row r="286" spans="2:22" ht="13.5" thickBot="1" x14ac:dyDescent="0.25">
      <c r="B286" s="3"/>
      <c r="C286" s="3"/>
      <c r="D286" s="16"/>
      <c r="E286" s="1408" t="str">
        <f>Translations!$B$982</f>
        <v>Wynik zastosowania tego narzędzia jest wykorzystywany w arkuszu „F_ProductBM” wiersz „a) lit. (ii)” odpowiedniej podinstalacji, na którego podstawie obliczana jest średnia.</v>
      </c>
      <c r="F286" s="1370"/>
      <c r="G286" s="1370"/>
      <c r="H286" s="1370"/>
      <c r="I286" s="1370"/>
      <c r="J286" s="1370"/>
      <c r="K286" s="1370"/>
      <c r="L286" s="1370"/>
      <c r="M286" s="1370"/>
      <c r="N286" s="1370"/>
      <c r="O286" s="7"/>
      <c r="P286" s="8"/>
    </row>
    <row r="287" spans="2:22" x14ac:dyDescent="0.2">
      <c r="B287" s="20"/>
      <c r="C287" s="20"/>
      <c r="D287" s="14"/>
      <c r="E287" s="22"/>
      <c r="F287" s="22"/>
      <c r="G287" s="22"/>
      <c r="H287" s="34" t="str">
        <f>EUconst_Unit</f>
        <v>Jednostka</v>
      </c>
      <c r="I287" s="432">
        <f>I$391</f>
        <v>2014</v>
      </c>
      <c r="J287" s="432">
        <f>J$391</f>
        <v>2015</v>
      </c>
      <c r="K287" s="432">
        <f>K$391</f>
        <v>2016</v>
      </c>
      <c r="L287" s="432">
        <f>L$391</f>
        <v>2017</v>
      </c>
      <c r="M287" s="914">
        <f>M$391</f>
        <v>2018</v>
      </c>
      <c r="N287" s="888" t="str">
        <f>N280</f>
        <v/>
      </c>
      <c r="O287" s="7"/>
      <c r="V287" s="179" t="b">
        <f>V281</f>
        <v>1</v>
      </c>
    </row>
    <row r="288" spans="2:22" ht="13.5" thickBot="1" x14ac:dyDescent="0.25">
      <c r="B288" s="20"/>
      <c r="C288" s="20"/>
      <c r="D288" s="20"/>
      <c r="E288" s="1612" t="str">
        <f>Translations!$B$1069</f>
        <v>Wodór (jako 100% czystego H2)</v>
      </c>
      <c r="F288" s="1612"/>
      <c r="G288" s="1612"/>
      <c r="H288" s="48" t="str">
        <f>EUconst_tpa</f>
        <v>t / rok</v>
      </c>
      <c r="I288" s="311" t="str">
        <f t="shared" ref="I288:N288" si="12">IF(AND(ISNUMBER(I275),ISNUMBER(I281)),IF((I275*0.08987*(1-(1-I281)/0.4027)&gt;0),I275*0.08987*(1-(1-I281)/0.4027),0),"")</f>
        <v/>
      </c>
      <c r="J288" s="311" t="str">
        <f t="shared" si="12"/>
        <v/>
      </c>
      <c r="K288" s="311" t="str">
        <f t="shared" si="12"/>
        <v/>
      </c>
      <c r="L288" s="311" t="str">
        <f t="shared" si="12"/>
        <v/>
      </c>
      <c r="M288" s="940" t="str">
        <f t="shared" si="12"/>
        <v/>
      </c>
      <c r="N288" s="942" t="str">
        <f t="shared" si="12"/>
        <v/>
      </c>
      <c r="O288" s="7"/>
      <c r="P288" s="116" t="str">
        <f>IF(L267=EUconst_Relevant,EUconst_CNTR_HALspecial &amp; INDEX(EUconst_BMlistNames,Q267),"")</f>
        <v/>
      </c>
      <c r="V288" s="168" t="b">
        <f>V287</f>
        <v>1</v>
      </c>
    </row>
    <row r="289" spans="2:17" ht="5.0999999999999996" customHeight="1" x14ac:dyDescent="0.2">
      <c r="B289" s="3"/>
      <c r="C289" s="3"/>
      <c r="D289" s="3"/>
      <c r="E289" s="3"/>
      <c r="F289" s="3"/>
      <c r="G289" s="3"/>
      <c r="H289" s="3"/>
      <c r="I289" s="3"/>
      <c r="J289" s="3"/>
      <c r="K289" s="3"/>
      <c r="L289" s="3"/>
      <c r="M289" s="7"/>
      <c r="N289" s="7"/>
      <c r="O289" s="7"/>
      <c r="P289" s="8"/>
    </row>
    <row r="290" spans="2:17" x14ac:dyDescent="0.2">
      <c r="B290" s="3"/>
      <c r="C290" s="3"/>
      <c r="D290" s="3"/>
      <c r="E290" s="1916" t="str">
        <f>IF(L267=EUconst_Relevant,HYPERLINK(Q290,EUconst_MsgBackToSheetF),"")</f>
        <v/>
      </c>
      <c r="F290" s="1917"/>
      <c r="G290" s="1917"/>
      <c r="H290" s="1917"/>
      <c r="I290" s="1917"/>
      <c r="J290" s="1917"/>
      <c r="K290" s="1917"/>
      <c r="L290" s="1917"/>
      <c r="M290" s="1917"/>
      <c r="N290" s="1918"/>
      <c r="O290" s="7"/>
      <c r="P290" s="371" t="s">
        <v>33</v>
      </c>
      <c r="Q290" s="116" t="str">
        <f>Q269</f>
        <v/>
      </c>
    </row>
    <row r="291" spans="2:17" x14ac:dyDescent="0.2">
      <c r="B291" s="20"/>
      <c r="C291" s="20"/>
      <c r="D291" s="20"/>
      <c r="E291" s="20"/>
      <c r="F291" s="20"/>
      <c r="G291" s="20"/>
      <c r="H291" s="20"/>
      <c r="I291" s="20"/>
      <c r="J291" s="20"/>
      <c r="K291" s="20"/>
      <c r="L291" s="20"/>
      <c r="M291" s="20"/>
      <c r="N291" s="20"/>
      <c r="O291" s="7"/>
    </row>
    <row r="292" spans="2:17" ht="15.75" x14ac:dyDescent="0.25">
      <c r="B292" s="3"/>
      <c r="C292" s="12" t="s">
        <v>382</v>
      </c>
      <c r="D292" s="1384" t="str">
        <f>Translations!$B$1070</f>
        <v>Gaz syntezowy</v>
      </c>
      <c r="E292" s="1384"/>
      <c r="F292" s="1384"/>
      <c r="G292" s="1384"/>
      <c r="H292" s="1384"/>
      <c r="I292" s="1384"/>
      <c r="J292" s="1384"/>
      <c r="K292" s="1384"/>
      <c r="L292" s="1384"/>
      <c r="M292" s="1384"/>
      <c r="N292" s="1384"/>
      <c r="O292" s="7"/>
      <c r="P292" s="8"/>
    </row>
    <row r="293" spans="2:17" ht="5.0999999999999996" customHeight="1" x14ac:dyDescent="0.2">
      <c r="B293" s="3"/>
      <c r="C293" s="3"/>
      <c r="D293" s="3"/>
      <c r="E293" s="3"/>
      <c r="F293" s="3"/>
      <c r="G293" s="3"/>
      <c r="H293" s="3"/>
      <c r="I293" s="3"/>
      <c r="J293" s="3"/>
      <c r="K293" s="3"/>
      <c r="L293" s="3"/>
      <c r="M293" s="7"/>
      <c r="N293" s="7"/>
      <c r="O293" s="7"/>
      <c r="P293" s="8"/>
    </row>
    <row r="294" spans="2:17" ht="15" x14ac:dyDescent="0.25">
      <c r="B294" s="3"/>
      <c r="C294" s="18"/>
      <c r="D294" s="1439" t="str">
        <f>Translations!$B$1071</f>
        <v>Narzędzie do obliczania historycznych poziomów działalności dla podinstalacji gazu syntezowego</v>
      </c>
      <c r="E294" s="1370"/>
      <c r="F294" s="1370"/>
      <c r="G294" s="1370"/>
      <c r="H294" s="1370"/>
      <c r="I294" s="1370"/>
      <c r="J294" s="1370"/>
      <c r="K294" s="1370"/>
      <c r="L294" s="1370"/>
      <c r="M294" s="1370"/>
      <c r="N294" s="1370"/>
      <c r="O294" s="7"/>
      <c r="P294" s="8"/>
    </row>
    <row r="295" spans="2:17" ht="5.0999999999999996" customHeight="1" x14ac:dyDescent="0.2">
      <c r="B295" s="3"/>
      <c r="C295" s="3"/>
      <c r="D295" s="3"/>
      <c r="E295" s="3"/>
      <c r="F295" s="3"/>
      <c r="G295" s="3"/>
      <c r="H295" s="3"/>
      <c r="I295" s="3"/>
      <c r="J295" s="3"/>
      <c r="K295" s="3"/>
      <c r="L295" s="3"/>
      <c r="M295" s="7"/>
      <c r="N295" s="7"/>
      <c r="O295" s="7"/>
      <c r="P295" s="8"/>
    </row>
    <row r="296" spans="2:17" x14ac:dyDescent="0.2">
      <c r="B296" s="3"/>
      <c r="C296" s="3"/>
      <c r="D296" s="16"/>
      <c r="E296" s="1408" t="str">
        <f>Translations!$B$1072</f>
        <v>Narzędzie to pomaga określić historyczne poziomy działalności dla wskaźnika dotyczącego gazu syntezowego (pkt 7 załącznika III do FAR).</v>
      </c>
      <c r="F296" s="1370"/>
      <c r="G296" s="1370"/>
      <c r="H296" s="1370"/>
      <c r="I296" s="1370"/>
      <c r="J296" s="1370"/>
      <c r="K296" s="1370"/>
      <c r="L296" s="1370"/>
      <c r="M296" s="1370"/>
      <c r="N296" s="1370"/>
      <c r="O296" s="7"/>
      <c r="P296" s="8"/>
    </row>
    <row r="297" spans="2:17" x14ac:dyDescent="0.2">
      <c r="B297" s="3"/>
      <c r="C297" s="3"/>
      <c r="D297" s="16"/>
      <c r="E297" s="1408" t="str">
        <f>Translations!$B$907</f>
        <v>Wynik zastosowania tego narzędzia jest automatycznie kopiowany do arkusza „F_ProductBM”, wiersz „a) ppkt (ii)” odpowiedniej podinstalacji.</v>
      </c>
      <c r="F297" s="1370"/>
      <c r="G297" s="1370"/>
      <c r="H297" s="1370"/>
      <c r="I297" s="1370"/>
      <c r="J297" s="1370"/>
      <c r="K297" s="1370"/>
      <c r="L297" s="1370"/>
      <c r="M297" s="1370"/>
      <c r="N297" s="1370"/>
      <c r="O297" s="7"/>
      <c r="P297" s="8"/>
    </row>
    <row r="298" spans="2:17" x14ac:dyDescent="0.2">
      <c r="B298" s="3"/>
      <c r="C298" s="3"/>
      <c r="D298" s="16"/>
      <c r="E298" s="1448" t="str">
        <f>Translations!$B$1073</f>
        <v>Należy zwrócić uwagę, że wartości procentowe dotyczące zawartości wodoru powinny być wyrażone w Vol-%.</v>
      </c>
      <c r="F298" s="1370"/>
      <c r="G298" s="1370"/>
      <c r="H298" s="1370"/>
      <c r="I298" s="1370"/>
      <c r="J298" s="1370"/>
      <c r="K298" s="1370"/>
      <c r="L298" s="1370"/>
      <c r="M298" s="1370"/>
      <c r="N298" s="1370"/>
      <c r="O298" s="7"/>
      <c r="P298" s="8"/>
    </row>
    <row r="299" spans="2:17" ht="5.0999999999999996" customHeight="1" x14ac:dyDescent="0.2">
      <c r="B299" s="3"/>
      <c r="C299" s="3"/>
      <c r="D299" s="3"/>
      <c r="E299" s="3"/>
      <c r="F299" s="3"/>
      <c r="G299" s="3"/>
      <c r="H299" s="3"/>
      <c r="I299" s="3"/>
      <c r="J299" s="3"/>
      <c r="K299" s="3"/>
      <c r="L299" s="3"/>
      <c r="M299" s="7"/>
      <c r="N299" s="7"/>
      <c r="O299" s="7"/>
      <c r="P299" s="8"/>
    </row>
    <row r="300" spans="2:17" ht="15" x14ac:dyDescent="0.25">
      <c r="B300" s="3"/>
      <c r="C300" s="3"/>
      <c r="D300" s="14" t="s">
        <v>173</v>
      </c>
      <c r="E300" s="1375" t="str">
        <f>Translations!$B$908</f>
        <v>Zastosowanie tego narzędzia w Państwa instalacji:</v>
      </c>
      <c r="F300" s="1375"/>
      <c r="G300" s="1375"/>
      <c r="H300" s="1375"/>
      <c r="I300" s="1375"/>
      <c r="J300" s="1375"/>
      <c r="K300" s="1637"/>
      <c r="L300" s="1913" t="str">
        <f>IF(CNTR_ExistSubInstEntries,IF(COUNTIF(CNTR_SubInstListNames,INDEX(EUconst_BMlistNames,Q300))&gt;0,EUconst_Relevant,EUconst_NotRelevant),"")</f>
        <v>nie dotyczy</v>
      </c>
      <c r="M300" s="1914"/>
      <c r="N300" s="1915"/>
      <c r="O300" s="7"/>
      <c r="P300" s="371" t="s">
        <v>34</v>
      </c>
      <c r="Q300" s="350">
        <v>51</v>
      </c>
    </row>
    <row r="301" spans="2:17" x14ac:dyDescent="0.2">
      <c r="B301" s="3"/>
      <c r="C301" s="3"/>
      <c r="D301" s="16"/>
      <c r="E301" s="1376" t="str">
        <f>Translations!$B$909</f>
        <v>Ten komunikat jest automatycznie generowany na podstawie Państwa wpisów w arkuszu „A_InstallationData” część A.III.1.</v>
      </c>
      <c r="F301" s="1377"/>
      <c r="G301" s="1377"/>
      <c r="H301" s="1377"/>
      <c r="I301" s="1377"/>
      <c r="J301" s="1377"/>
      <c r="K301" s="1377"/>
      <c r="L301" s="1377"/>
      <c r="M301" s="1377"/>
      <c r="N301" s="1377"/>
      <c r="O301" s="7"/>
      <c r="P301" s="8"/>
    </row>
    <row r="302" spans="2:17" x14ac:dyDescent="0.2">
      <c r="B302" s="3"/>
      <c r="C302" s="3"/>
      <c r="D302" s="3"/>
      <c r="E302" s="1916" t="str">
        <f>IF(L300=EUconst_Relevant,HYPERLINK(Q302,EUconst_MsgBackToSheetF),"")</f>
        <v/>
      </c>
      <c r="F302" s="1917"/>
      <c r="G302" s="1917"/>
      <c r="H302" s="1917"/>
      <c r="I302" s="1917"/>
      <c r="J302" s="1917"/>
      <c r="K302" s="1917"/>
      <c r="L302" s="1917"/>
      <c r="M302" s="1917"/>
      <c r="N302" s="1918"/>
      <c r="O302" s="7"/>
      <c r="P302" s="371" t="s">
        <v>33</v>
      </c>
      <c r="Q302" s="116" t="str">
        <f>IF(ISNUMBER(MATCH(Q300,CNTR_SubInstListBMnumbers,0)),"#JUMP_F"&amp;MATCH(Q300,CNTR_SubInstListBMnumbers,0),"")</f>
        <v/>
      </c>
    </row>
    <row r="303" spans="2:17" ht="5.0999999999999996" customHeight="1" x14ac:dyDescent="0.2">
      <c r="B303" s="3"/>
      <c r="C303" s="3"/>
      <c r="D303" s="3"/>
      <c r="E303" s="3"/>
      <c r="F303" s="3"/>
      <c r="G303" s="3"/>
      <c r="H303" s="3"/>
      <c r="I303" s="3"/>
      <c r="J303" s="3"/>
      <c r="K303" s="3"/>
      <c r="L303" s="3"/>
      <c r="M303" s="7"/>
      <c r="N303" s="7"/>
      <c r="O303" s="7"/>
      <c r="P303" s="8"/>
    </row>
    <row r="304" spans="2:17" x14ac:dyDescent="0.2">
      <c r="B304" s="3"/>
      <c r="C304" s="3"/>
      <c r="D304" s="14" t="s">
        <v>353</v>
      </c>
      <c r="E304" s="1375" t="str">
        <f>Translations!$B$1074</f>
        <v>Wielkość łącznej produkcji gazu syntezowego (nieskorygowana)</v>
      </c>
      <c r="F304" s="1370"/>
      <c r="G304" s="1370"/>
      <c r="H304" s="1370"/>
      <c r="I304" s="1370"/>
      <c r="J304" s="1370"/>
      <c r="K304" s="1370"/>
      <c r="L304" s="1370"/>
      <c r="M304" s="1370"/>
      <c r="N304" s="1370"/>
      <c r="O304" s="7"/>
      <c r="P304" s="8"/>
    </row>
    <row r="305" spans="2:22" ht="12.75" customHeight="1" x14ac:dyDescent="0.2">
      <c r="B305" s="3"/>
      <c r="C305" s="3"/>
      <c r="D305" s="16"/>
      <c r="E305" s="1408" t="str">
        <f>Translations!$B$1075</f>
        <v>W tym miejscu proszę podać dane dotyczące rocznej produkcji gazu syntezowego odnoszące się do historycznej zawartości wodoru w poszczególnych latach okresu odniesienia.</v>
      </c>
      <c r="F305" s="1370"/>
      <c r="G305" s="1370"/>
      <c r="H305" s="1370"/>
      <c r="I305" s="1370"/>
      <c r="J305" s="1370"/>
      <c r="K305" s="1370"/>
      <c r="L305" s="1370"/>
      <c r="M305" s="1370"/>
      <c r="N305" s="1370"/>
      <c r="O305" s="7"/>
      <c r="P305" s="8"/>
    </row>
    <row r="306" spans="2:22" ht="13.5" thickBot="1" x14ac:dyDescent="0.25">
      <c r="B306" s="3"/>
      <c r="C306" s="3"/>
      <c r="D306" s="16"/>
      <c r="E306" s="1448" t="str">
        <f>Translations!$B$1060</f>
        <v>Ze względu na bardzo duże wartości w przypadku stosowania jednostki m3, liczby należy podawać w 1000 Nm3 (normalne metry sześcienne w odniesieniu do 0°C i 101,325 kPa).</v>
      </c>
      <c r="F306" s="1370"/>
      <c r="G306" s="1370"/>
      <c r="H306" s="1370"/>
      <c r="I306" s="1370"/>
      <c r="J306" s="1370"/>
      <c r="K306" s="1370"/>
      <c r="L306" s="1370"/>
      <c r="M306" s="1370"/>
      <c r="N306" s="1370"/>
      <c r="O306" s="7"/>
      <c r="P306" s="8"/>
      <c r="V306" s="422" t="s">
        <v>606</v>
      </c>
    </row>
    <row r="307" spans="2:22" x14ac:dyDescent="0.2">
      <c r="B307" s="20"/>
      <c r="C307" s="20"/>
      <c r="D307" s="14"/>
      <c r="E307" s="25"/>
      <c r="F307" s="22"/>
      <c r="G307" s="22"/>
      <c r="H307" s="34" t="str">
        <f>EUconst_Unit</f>
        <v>Jednostka</v>
      </c>
      <c r="I307" s="432">
        <f>I$391</f>
        <v>2014</v>
      </c>
      <c r="J307" s="432">
        <f>J$391</f>
        <v>2015</v>
      </c>
      <c r="K307" s="432">
        <f>K$391</f>
        <v>2016</v>
      </c>
      <c r="L307" s="432">
        <f>L$391</f>
        <v>2017</v>
      </c>
      <c r="M307" s="914">
        <f>M$391</f>
        <v>2018</v>
      </c>
      <c r="N307" s="888" t="str">
        <f>IF(L300&lt;&gt;EUconst_Relevant,"",IF(T307,YEAR(INDEX(CNTR_SubInstStartDate,MATCH(Q300,CNTR_SubInstListBMnumbers,0)))+1,""))</f>
        <v/>
      </c>
      <c r="O307" s="7"/>
      <c r="S307" s="371" t="s">
        <v>598</v>
      </c>
      <c r="T307" s="438" t="str">
        <f>IF(L300&lt;&gt;EUconst_Relevant,"",INDEX(CNTR_SubInstLess1Year,MATCH(Q300,CNTR_SubInstListBMnumbers,0)))</f>
        <v/>
      </c>
      <c r="V307" s="714" t="b">
        <f>IF(CNTR_ExistSubInstEntries,IF(L300=EUconst_Relevant,NOT(T307),TRUE),FALSE)</f>
        <v>1</v>
      </c>
    </row>
    <row r="308" spans="2:22" ht="13.5" thickBot="1" x14ac:dyDescent="0.25">
      <c r="B308" s="20"/>
      <c r="C308" s="20"/>
      <c r="D308" s="20"/>
      <c r="E308" s="1612" t="str">
        <f>Translations!$B$1076</f>
        <v>Łączna produkcja gazu syntezowego</v>
      </c>
      <c r="F308" s="1612"/>
      <c r="G308" s="1612"/>
      <c r="H308" s="48" t="str">
        <f>EUconst_kNm3pa</f>
        <v>1000Nm3/rok</v>
      </c>
      <c r="I308" s="313"/>
      <c r="J308" s="313"/>
      <c r="K308" s="313"/>
      <c r="L308" s="313"/>
      <c r="M308" s="899"/>
      <c r="N308" s="902"/>
      <c r="O308" s="7"/>
      <c r="V308" s="168" t="b">
        <f>V307</f>
        <v>1</v>
      </c>
    </row>
    <row r="309" spans="2:22" ht="5.0999999999999996" customHeight="1" x14ac:dyDescent="0.2">
      <c r="B309" s="3"/>
      <c r="C309" s="3"/>
      <c r="D309" s="3"/>
      <c r="E309" s="3"/>
      <c r="F309" s="3"/>
      <c r="G309" s="3"/>
      <c r="H309" s="3"/>
      <c r="I309" s="3"/>
      <c r="J309" s="3"/>
      <c r="K309" s="3"/>
      <c r="L309" s="3"/>
      <c r="M309" s="7"/>
      <c r="N309" s="7"/>
      <c r="O309" s="7"/>
      <c r="P309" s="8"/>
    </row>
    <row r="310" spans="2:22" x14ac:dyDescent="0.2">
      <c r="B310" s="3"/>
      <c r="C310" s="3"/>
      <c r="D310" s="14" t="s">
        <v>11</v>
      </c>
      <c r="E310" s="1375" t="str">
        <f>Translations!$B$1062</f>
        <v>Ułamek objętościowy produkcji wodoru VF (H2)</v>
      </c>
      <c r="F310" s="1370"/>
      <c r="G310" s="1370"/>
      <c r="H310" s="1370"/>
      <c r="I310" s="1370"/>
      <c r="J310" s="1370"/>
      <c r="K310" s="1370"/>
      <c r="L310" s="1370"/>
      <c r="M310" s="1370"/>
      <c r="N310" s="1370"/>
      <c r="O310" s="7"/>
      <c r="P310" s="8"/>
    </row>
    <row r="311" spans="2:22" x14ac:dyDescent="0.2">
      <c r="B311" s="3"/>
      <c r="C311" s="3"/>
      <c r="D311" s="16"/>
      <c r="E311" s="1408" t="str">
        <f>Translations!$B$1063</f>
        <v>W tym miejscu proszę podać historyczny ułamek objętościowy produkcji czystego wodoru w poszczególnych latach okresu odniesienia. Wartość ta jest wartością bezwymiarową.</v>
      </c>
      <c r="F311" s="1370"/>
      <c r="G311" s="1370"/>
      <c r="H311" s="1370"/>
      <c r="I311" s="1370"/>
      <c r="J311" s="1370"/>
      <c r="K311" s="1370"/>
      <c r="L311" s="1370"/>
      <c r="M311" s="1370"/>
      <c r="N311" s="1370"/>
      <c r="O311" s="7"/>
      <c r="P311" s="8"/>
    </row>
    <row r="312" spans="2:22" ht="13.5" thickBot="1" x14ac:dyDescent="0.25">
      <c r="B312" s="3"/>
      <c r="C312" s="3"/>
      <c r="D312" s="16"/>
      <c r="E312" s="1408" t="str">
        <f>Translations!$B$1077</f>
        <v xml:space="preserve">Mogą Państwo wpisać 50% jako „0,50” albo jako „50%”. </v>
      </c>
      <c r="F312" s="1370"/>
      <c r="G312" s="1370"/>
      <c r="H312" s="1370"/>
      <c r="I312" s="1370"/>
      <c r="J312" s="1370"/>
      <c r="K312" s="1370"/>
      <c r="L312" s="1370"/>
      <c r="M312" s="1370"/>
      <c r="N312" s="1370"/>
      <c r="O312" s="7"/>
      <c r="P312" s="8"/>
    </row>
    <row r="313" spans="2:22" x14ac:dyDescent="0.2">
      <c r="B313" s="20"/>
      <c r="C313" s="20"/>
      <c r="D313" s="14"/>
      <c r="E313" s="25"/>
      <c r="F313" s="22"/>
      <c r="G313" s="22"/>
      <c r="H313" s="34" t="str">
        <f>EUconst_Unit</f>
        <v>Jednostka</v>
      </c>
      <c r="I313" s="432">
        <f>I$391</f>
        <v>2014</v>
      </c>
      <c r="J313" s="432">
        <f>J$391</f>
        <v>2015</v>
      </c>
      <c r="K313" s="432">
        <f>K$391</f>
        <v>2016</v>
      </c>
      <c r="L313" s="432">
        <f>L$391</f>
        <v>2017</v>
      </c>
      <c r="M313" s="914">
        <f>M$391</f>
        <v>2018</v>
      </c>
      <c r="N313" s="888" t="str">
        <f>IF(L306&lt;&gt;EUconst_Relevant,"",IF(T313,YEAR(INDEX(CNTR_SubInstStartDate,MATCH(Q306,CNTR_SubInstListBMnumbers,0)))+1,""))</f>
        <v/>
      </c>
      <c r="O313" s="7"/>
      <c r="V313" s="179" t="b">
        <f>V308</f>
        <v>1</v>
      </c>
    </row>
    <row r="314" spans="2:22" ht="13.5" thickBot="1" x14ac:dyDescent="0.25">
      <c r="B314" s="20"/>
      <c r="C314" s="20"/>
      <c r="D314" s="20"/>
      <c r="E314" s="1612" t="str">
        <f>Translations!$B$1065</f>
        <v>Ułamek objętościowy produkcji wodoru</v>
      </c>
      <c r="F314" s="1612"/>
      <c r="G314" s="1612"/>
      <c r="H314" s="126" t="s">
        <v>408</v>
      </c>
      <c r="I314" s="291"/>
      <c r="J314" s="291"/>
      <c r="K314" s="291"/>
      <c r="L314" s="291"/>
      <c r="M314" s="939"/>
      <c r="N314" s="941"/>
      <c r="O314" s="7"/>
      <c r="V314" s="168" t="b">
        <f>V313</f>
        <v>1</v>
      </c>
    </row>
    <row r="315" spans="2:22" ht="5.0999999999999996" customHeight="1" x14ac:dyDescent="0.2">
      <c r="B315" s="3"/>
      <c r="C315" s="3"/>
      <c r="D315" s="3"/>
      <c r="E315" s="3"/>
      <c r="F315" s="3"/>
      <c r="G315" s="3"/>
      <c r="H315" s="3"/>
      <c r="I315" s="3"/>
      <c r="J315" s="3"/>
      <c r="K315" s="3"/>
      <c r="L315" s="3"/>
      <c r="M315" s="7"/>
      <c r="N315" s="7"/>
      <c r="O315" s="7"/>
      <c r="P315" s="8"/>
    </row>
    <row r="316" spans="2:22" x14ac:dyDescent="0.2">
      <c r="B316" s="3"/>
      <c r="C316" s="3"/>
      <c r="D316" s="14" t="s">
        <v>356</v>
      </c>
      <c r="E316" s="1375" t="str">
        <f>Translations!$B$1078</f>
        <v>Wynik: Poziomy działalności dla gazu syntezowego, wyrażone w tonach z 47-proc. zawartością wodoru</v>
      </c>
      <c r="F316" s="1370"/>
      <c r="G316" s="1370"/>
      <c r="H316" s="1370"/>
      <c r="I316" s="1370"/>
      <c r="J316" s="1370"/>
      <c r="K316" s="1370"/>
      <c r="L316" s="1370"/>
      <c r="M316" s="1370"/>
      <c r="N316" s="1370"/>
      <c r="O316" s="7"/>
      <c r="P316" s="8"/>
    </row>
    <row r="317" spans="2:22" ht="25.5" customHeight="1" x14ac:dyDescent="0.2">
      <c r="B317" s="3"/>
      <c r="C317" s="3"/>
      <c r="D317" s="16"/>
      <c r="E317" s="1408" t="str">
        <f>Translations!$B$1079</f>
        <v>W tym miejscu skorygowany poziom działalności (w stosunku do 47% H2) jest obliczany według wzoru podanego w pkt 7 załącznika III do FAR (przed określeniem średniej wartości).</v>
      </c>
      <c r="F317" s="1370"/>
      <c r="G317" s="1370"/>
      <c r="H317" s="1370"/>
      <c r="I317" s="1370"/>
      <c r="J317" s="1370"/>
      <c r="K317" s="1370"/>
      <c r="L317" s="1370"/>
      <c r="M317" s="1370"/>
      <c r="N317" s="1370"/>
      <c r="O317" s="7"/>
      <c r="P317" s="8"/>
    </row>
    <row r="318" spans="2:22" x14ac:dyDescent="0.2">
      <c r="B318" s="3"/>
      <c r="C318" s="3"/>
      <c r="D318" s="16"/>
      <c r="E318" s="1408" t="str">
        <f>Translations!$B$1068</f>
        <v>Jeśli w wyniku zastosowania wzoru otrzymano wartość ujemną, należy ją zamienić na zero.</v>
      </c>
      <c r="F318" s="1370"/>
      <c r="G318" s="1370"/>
      <c r="H318" s="1370"/>
      <c r="I318" s="1370"/>
      <c r="J318" s="1370"/>
      <c r="K318" s="1370"/>
      <c r="L318" s="1370"/>
      <c r="M318" s="1370"/>
      <c r="N318" s="1370"/>
      <c r="O318" s="7"/>
      <c r="P318" s="8"/>
    </row>
    <row r="319" spans="2:22" ht="13.5" thickBot="1" x14ac:dyDescent="0.25">
      <c r="B319" s="3"/>
      <c r="C319" s="3"/>
      <c r="D319" s="16"/>
      <c r="E319" s="1408" t="str">
        <f>Translations!$B$982</f>
        <v>Wynik zastosowania tego narzędzia jest wykorzystywany w arkuszu „F_ProductBM” wiersz „a) lit. (ii)” odpowiedniej podinstalacji, na którego podstawie obliczana jest średnia.</v>
      </c>
      <c r="F319" s="1370"/>
      <c r="G319" s="1370"/>
      <c r="H319" s="1370"/>
      <c r="I319" s="1370"/>
      <c r="J319" s="1370"/>
      <c r="K319" s="1370"/>
      <c r="L319" s="1370"/>
      <c r="M319" s="1370"/>
      <c r="N319" s="1370"/>
      <c r="O319" s="7"/>
      <c r="P319" s="8"/>
    </row>
    <row r="320" spans="2:22" x14ac:dyDescent="0.2">
      <c r="B320" s="20"/>
      <c r="C320" s="20"/>
      <c r="D320" s="14"/>
      <c r="E320" s="22"/>
      <c r="F320" s="22"/>
      <c r="G320" s="22"/>
      <c r="H320" s="34" t="str">
        <f>EUconst_Unit</f>
        <v>Jednostka</v>
      </c>
      <c r="I320" s="432">
        <f>I$391</f>
        <v>2014</v>
      </c>
      <c r="J320" s="432">
        <f>J$391</f>
        <v>2015</v>
      </c>
      <c r="K320" s="432">
        <f>K$391</f>
        <v>2016</v>
      </c>
      <c r="L320" s="432">
        <f>L$391</f>
        <v>2017</v>
      </c>
      <c r="M320" s="914">
        <f>M$391</f>
        <v>2018</v>
      </c>
      <c r="N320" s="888" t="str">
        <f>IF(L313&lt;&gt;EUconst_Relevant,"",IF(T320,YEAR(INDEX(CNTR_SubInstStartDate,MATCH(Q313,CNTR_SubInstListBMnumbers,0)))+1,""))</f>
        <v/>
      </c>
      <c r="O320" s="7"/>
      <c r="V320" s="179" t="b">
        <f>V314</f>
        <v>1</v>
      </c>
    </row>
    <row r="321" spans="2:22" ht="13.5" thickBot="1" x14ac:dyDescent="0.25">
      <c r="B321" s="20"/>
      <c r="C321" s="20"/>
      <c r="D321" s="20"/>
      <c r="E321" s="1612" t="str">
        <f>Translations!$B$1080</f>
        <v>Gaz syntezowy (47-proc. zawartość H2)</v>
      </c>
      <c r="F321" s="1612"/>
      <c r="G321" s="1612"/>
      <c r="H321" s="48" t="str">
        <f>EUconst_tpa</f>
        <v>t / rok</v>
      </c>
      <c r="I321" s="311" t="str">
        <f t="shared" ref="I321:N321" si="13">IF(AND(ISNUMBER(I308),ISNUMBER(I314)),IF((I308*0.7047*(1-(0.47-I314)/0.0863))&gt;0,I308*0.7047*(1-(0.47-I314)/0.0863),0),"")</f>
        <v/>
      </c>
      <c r="J321" s="311" t="str">
        <f t="shared" si="13"/>
        <v/>
      </c>
      <c r="K321" s="311" t="str">
        <f t="shared" si="13"/>
        <v/>
      </c>
      <c r="L321" s="311" t="str">
        <f t="shared" si="13"/>
        <v/>
      </c>
      <c r="M321" s="940" t="str">
        <f t="shared" si="13"/>
        <v/>
      </c>
      <c r="N321" s="942" t="str">
        <f t="shared" si="13"/>
        <v/>
      </c>
      <c r="O321" s="7"/>
      <c r="P321" s="116" t="str">
        <f>IF(L300=EUconst_Relevant,EUconst_CNTR_HALspecial &amp; INDEX(EUconst_BMlistNames,Q300),"")</f>
        <v/>
      </c>
      <c r="V321" s="168" t="b">
        <f>V320</f>
        <v>1</v>
      </c>
    </row>
    <row r="322" spans="2:22" ht="5.0999999999999996" customHeight="1" x14ac:dyDescent="0.2">
      <c r="B322" s="3"/>
      <c r="C322" s="3"/>
      <c r="D322" s="3"/>
      <c r="E322" s="3"/>
      <c r="F322" s="3"/>
      <c r="G322" s="3"/>
      <c r="H322" s="3"/>
      <c r="I322" s="3"/>
      <c r="J322" s="3"/>
      <c r="K322" s="3"/>
      <c r="L322" s="3"/>
      <c r="M322" s="7"/>
      <c r="N322" s="7"/>
      <c r="O322" s="7"/>
      <c r="P322" s="8"/>
    </row>
    <row r="323" spans="2:22" x14ac:dyDescent="0.2">
      <c r="B323" s="3"/>
      <c r="C323" s="3"/>
      <c r="D323" s="3"/>
      <c r="E323" s="1916" t="str">
        <f>IF(L300=EUconst_Relevant,HYPERLINK(Q323,EUconst_MsgBackToSheetF),"")</f>
        <v/>
      </c>
      <c r="F323" s="1917"/>
      <c r="G323" s="1917"/>
      <c r="H323" s="1917"/>
      <c r="I323" s="1917"/>
      <c r="J323" s="1917"/>
      <c r="K323" s="1917"/>
      <c r="L323" s="1917"/>
      <c r="M323" s="1917"/>
      <c r="N323" s="1918"/>
      <c r="O323" s="7"/>
      <c r="P323" s="371" t="s">
        <v>33</v>
      </c>
      <c r="Q323" s="116" t="str">
        <f>Q302</f>
        <v/>
      </c>
    </row>
    <row r="324" spans="2:22" x14ac:dyDescent="0.2">
      <c r="B324" s="20"/>
      <c r="C324" s="20"/>
      <c r="D324" s="20"/>
      <c r="E324" s="20"/>
      <c r="F324" s="20"/>
      <c r="G324" s="20"/>
      <c r="H324" s="20"/>
      <c r="I324" s="20"/>
      <c r="J324" s="20"/>
      <c r="K324" s="20"/>
      <c r="L324" s="20"/>
      <c r="M324" s="20"/>
      <c r="N324" s="20"/>
      <c r="O324" s="7"/>
    </row>
    <row r="325" spans="2:22" ht="15.75" x14ac:dyDescent="0.25">
      <c r="B325" s="3"/>
      <c r="C325" s="12" t="s">
        <v>383</v>
      </c>
      <c r="D325" s="1384" t="str">
        <f>Translations!$B$1081</f>
        <v>Tlenek etylenu / glikole etylenowe</v>
      </c>
      <c r="E325" s="1384"/>
      <c r="F325" s="1384"/>
      <c r="G325" s="1384"/>
      <c r="H325" s="1384"/>
      <c r="I325" s="1384"/>
      <c r="J325" s="1384"/>
      <c r="K325" s="1384"/>
      <c r="L325" s="1384"/>
      <c r="M325" s="1384"/>
      <c r="N325" s="1384"/>
      <c r="O325" s="7"/>
      <c r="P325" s="8"/>
    </row>
    <row r="326" spans="2:22" ht="5.0999999999999996" customHeight="1" x14ac:dyDescent="0.2">
      <c r="B326" s="3"/>
      <c r="C326" s="3"/>
      <c r="D326" s="3"/>
      <c r="E326" s="3"/>
      <c r="F326" s="3"/>
      <c r="G326" s="3"/>
      <c r="H326" s="3"/>
      <c r="I326" s="3"/>
      <c r="J326" s="3"/>
      <c r="K326" s="3"/>
      <c r="L326" s="3"/>
      <c r="M326" s="7"/>
      <c r="N326" s="7"/>
      <c r="O326" s="7"/>
      <c r="P326" s="8"/>
    </row>
    <row r="327" spans="2:22" ht="15" x14ac:dyDescent="0.25">
      <c r="B327" s="3"/>
      <c r="C327" s="18"/>
      <c r="D327" s="1439" t="str">
        <f>Translations!$B$1082</f>
        <v>Narzędzie do obliczania historycznych poziomów działalności dla podinstalacji tlenku etylenu / glikoli etylenowych</v>
      </c>
      <c r="E327" s="1370"/>
      <c r="F327" s="1370"/>
      <c r="G327" s="1370"/>
      <c r="H327" s="1370"/>
      <c r="I327" s="1370"/>
      <c r="J327" s="1370"/>
      <c r="K327" s="1370"/>
      <c r="L327" s="1370"/>
      <c r="M327" s="1370"/>
      <c r="N327" s="1370"/>
      <c r="O327" s="7"/>
      <c r="P327" s="8"/>
    </row>
    <row r="328" spans="2:22" ht="5.0999999999999996" customHeight="1" x14ac:dyDescent="0.2">
      <c r="B328" s="3"/>
      <c r="C328" s="3"/>
      <c r="D328" s="3"/>
      <c r="E328" s="3"/>
      <c r="F328" s="3"/>
      <c r="G328" s="3"/>
      <c r="H328" s="3"/>
      <c r="I328" s="3"/>
      <c r="J328" s="3"/>
      <c r="K328" s="3"/>
      <c r="L328" s="3"/>
      <c r="M328" s="7"/>
      <c r="N328" s="7"/>
      <c r="O328" s="7"/>
      <c r="P328" s="8"/>
    </row>
    <row r="329" spans="2:22" x14ac:dyDescent="0.2">
      <c r="B329" s="3"/>
      <c r="C329" s="3"/>
      <c r="D329" s="16"/>
      <c r="E329" s="1408" t="str">
        <f>Translations!$B$1083</f>
        <v>Narzędzie to pomaga określić historyczne poziomy działalności dla wskaźnika dotyczącego tlenku etylenu / glikoli etylenowych (pkt 8 załącznika III do FAR).</v>
      </c>
      <c r="F329" s="1370"/>
      <c r="G329" s="1370"/>
      <c r="H329" s="1370"/>
      <c r="I329" s="1370"/>
      <c r="J329" s="1370"/>
      <c r="K329" s="1370"/>
      <c r="L329" s="1370"/>
      <c r="M329" s="1370"/>
      <c r="N329" s="1370"/>
      <c r="O329" s="7"/>
      <c r="P329" s="8"/>
    </row>
    <row r="330" spans="2:22" x14ac:dyDescent="0.2">
      <c r="B330" s="3"/>
      <c r="C330" s="3"/>
      <c r="D330" s="16"/>
      <c r="E330" s="1408" t="str">
        <f>Translations!$B$907</f>
        <v>Wynik zastosowania tego narzędzia jest automatycznie kopiowany do arkusza „F_ProductBM”, wiersz „a) ppkt (ii)” odpowiedniej podinstalacji.</v>
      </c>
      <c r="F330" s="1370"/>
      <c r="G330" s="1370"/>
      <c r="H330" s="1370"/>
      <c r="I330" s="1370"/>
      <c r="J330" s="1370"/>
      <c r="K330" s="1370"/>
      <c r="L330" s="1370"/>
      <c r="M330" s="1370"/>
      <c r="N330" s="1370"/>
      <c r="O330" s="7"/>
      <c r="P330" s="8"/>
    </row>
    <row r="331" spans="2:22" ht="5.0999999999999996" customHeight="1" x14ac:dyDescent="0.2">
      <c r="B331" s="3"/>
      <c r="C331" s="3"/>
      <c r="D331" s="3"/>
      <c r="E331" s="3"/>
      <c r="F331" s="3"/>
      <c r="G331" s="3"/>
      <c r="H331" s="3"/>
      <c r="I331" s="3"/>
      <c r="J331" s="3"/>
      <c r="K331" s="3"/>
      <c r="L331" s="3"/>
      <c r="M331" s="7"/>
      <c r="N331" s="7"/>
      <c r="O331" s="7"/>
      <c r="P331" s="8"/>
    </row>
    <row r="332" spans="2:22" ht="15" x14ac:dyDescent="0.25">
      <c r="B332" s="3"/>
      <c r="C332" s="3"/>
      <c r="D332" s="14" t="s">
        <v>173</v>
      </c>
      <c r="E332" s="1375" t="str">
        <f>Translations!$B$908</f>
        <v>Zastosowanie tego narzędzia w Państwa instalacji:</v>
      </c>
      <c r="F332" s="1375"/>
      <c r="G332" s="1375"/>
      <c r="H332" s="1375"/>
      <c r="I332" s="1375"/>
      <c r="J332" s="1375"/>
      <c r="K332" s="1637"/>
      <c r="L332" s="1913" t="str">
        <f>IF(CNTR_ExistSubInstEntries,IF(COUNTIF(CNTR_SubInstListNames,INDEX(EUconst_BMlistNames,Q332))&gt;0,EUconst_Relevant,EUconst_NotRelevant),"")</f>
        <v>nie dotyczy</v>
      </c>
      <c r="M332" s="1914"/>
      <c r="N332" s="1915"/>
      <c r="O332" s="7"/>
      <c r="P332" s="371" t="s">
        <v>34</v>
      </c>
      <c r="Q332" s="350">
        <v>46</v>
      </c>
    </row>
    <row r="333" spans="2:22" x14ac:dyDescent="0.2">
      <c r="B333" s="3"/>
      <c r="C333" s="3"/>
      <c r="D333" s="16"/>
      <c r="E333" s="1376" t="str">
        <f>Translations!$B$909</f>
        <v>Ten komunikat jest automatycznie generowany na podstawie Państwa wpisów w arkuszu „A_InstallationData” część A.III.1.</v>
      </c>
      <c r="F333" s="1377"/>
      <c r="G333" s="1377"/>
      <c r="H333" s="1377"/>
      <c r="I333" s="1377"/>
      <c r="J333" s="1377"/>
      <c r="K333" s="1377"/>
      <c r="L333" s="1377"/>
      <c r="M333" s="1377"/>
      <c r="N333" s="1377"/>
      <c r="O333" s="7"/>
      <c r="P333" s="8"/>
    </row>
    <row r="334" spans="2:22" x14ac:dyDescent="0.2">
      <c r="B334" s="3"/>
      <c r="C334" s="3"/>
      <c r="D334" s="3"/>
      <c r="E334" s="1916" t="str">
        <f>IF(L332=EUconst_Relevant,HYPERLINK(Q334,EUconst_MsgBackToSheetF),"")</f>
        <v/>
      </c>
      <c r="F334" s="1917"/>
      <c r="G334" s="1917"/>
      <c r="H334" s="1917"/>
      <c r="I334" s="1917"/>
      <c r="J334" s="1917"/>
      <c r="K334" s="1917"/>
      <c r="L334" s="1917"/>
      <c r="M334" s="1917"/>
      <c r="N334" s="1918"/>
      <c r="O334" s="7"/>
      <c r="P334" s="371" t="s">
        <v>33</v>
      </c>
      <c r="Q334" s="116" t="str">
        <f>IF(ISNUMBER(MATCH(Q332,CNTR_SubInstListBMnumbers,0)),"#JUMP_F"&amp;MATCH(Q332,CNTR_SubInstListBMnumbers,0),"")</f>
        <v/>
      </c>
    </row>
    <row r="335" spans="2:22" ht="5.0999999999999996" customHeight="1" x14ac:dyDescent="0.2">
      <c r="B335" s="3"/>
      <c r="C335" s="3"/>
      <c r="D335" s="3"/>
      <c r="E335" s="3"/>
      <c r="F335" s="3"/>
      <c r="G335" s="3"/>
      <c r="H335" s="3"/>
      <c r="I335" s="3"/>
      <c r="J335" s="3"/>
      <c r="K335" s="3"/>
      <c r="L335" s="3"/>
      <c r="M335" s="7"/>
      <c r="N335" s="7"/>
      <c r="O335" s="7"/>
      <c r="P335" s="8"/>
    </row>
    <row r="336" spans="2:22" x14ac:dyDescent="0.2">
      <c r="B336" s="3"/>
      <c r="C336" s="3"/>
      <c r="D336" s="14" t="s">
        <v>353</v>
      </c>
      <c r="E336" s="1375" t="str">
        <f>Translations!$B$1084</f>
        <v>Dane dotyczące produkcji tlenku etylenu i glikoli etylenowych:</v>
      </c>
      <c r="F336" s="1370"/>
      <c r="G336" s="1370"/>
      <c r="H336" s="1370"/>
      <c r="I336" s="1370"/>
      <c r="J336" s="1370"/>
      <c r="K336" s="1370"/>
      <c r="L336" s="1370"/>
      <c r="M336" s="1370"/>
      <c r="N336" s="1370"/>
      <c r="O336" s="7"/>
      <c r="P336" s="8"/>
    </row>
    <row r="337" spans="2:22" x14ac:dyDescent="0.2">
      <c r="B337" s="3"/>
      <c r="C337" s="3"/>
      <c r="D337" s="16"/>
      <c r="E337" s="1408" t="str">
        <f>Translations!$B$1085</f>
        <v>W tym miejscu proszę podać dane dotyczące rocznej produkcji różnych produktów objętych tym wskaźnikiem w poszczególnych latach okresu odniesienia.</v>
      </c>
      <c r="F337" s="1370"/>
      <c r="G337" s="1370"/>
      <c r="H337" s="1370"/>
      <c r="I337" s="1370"/>
      <c r="J337" s="1370"/>
      <c r="K337" s="1370"/>
      <c r="L337" s="1370"/>
      <c r="M337" s="1370"/>
      <c r="N337" s="1370"/>
      <c r="O337" s="7"/>
      <c r="P337" s="8"/>
    </row>
    <row r="338" spans="2:22" ht="13.5" thickBot="1" x14ac:dyDescent="0.25">
      <c r="B338" s="3"/>
      <c r="C338" s="3"/>
      <c r="D338" s="16"/>
      <c r="E338" s="1408" t="str">
        <f>Translations!$B$1086</f>
        <v>Tabela przedstawia również wartości CF(EOE) wykorzystywane do obliczeń. CF(EOE) to współczynnik konwersji dla każdej substancji w stosunku do tlenku etylenu.</v>
      </c>
      <c r="F338" s="1370"/>
      <c r="G338" s="1370"/>
      <c r="H338" s="1370"/>
      <c r="I338" s="1370"/>
      <c r="J338" s="1370"/>
      <c r="K338" s="1370"/>
      <c r="L338" s="1370"/>
      <c r="M338" s="1370"/>
      <c r="N338" s="1370"/>
      <c r="O338" s="7"/>
      <c r="P338" s="8"/>
    </row>
    <row r="339" spans="2:22" x14ac:dyDescent="0.2">
      <c r="B339" s="20"/>
      <c r="C339" s="20"/>
      <c r="D339" s="14"/>
      <c r="E339" s="25"/>
      <c r="F339" s="22"/>
      <c r="G339" s="127" t="s">
        <v>336</v>
      </c>
      <c r="H339" s="34" t="str">
        <f>EUconst_Unit</f>
        <v>Jednostka</v>
      </c>
      <c r="I339" s="432">
        <f>I$391</f>
        <v>2014</v>
      </c>
      <c r="J339" s="432">
        <f>J$391</f>
        <v>2015</v>
      </c>
      <c r="K339" s="432">
        <f>K$391</f>
        <v>2016</v>
      </c>
      <c r="L339" s="432">
        <f>L$391</f>
        <v>2017</v>
      </c>
      <c r="M339" s="914">
        <f>M$391</f>
        <v>2018</v>
      </c>
      <c r="N339" s="888" t="str">
        <f>IF(L332&lt;&gt;EUconst_Relevant,"",IF(T339,YEAR(INDEX(CNTR_SubInstStartDate,MATCH(Q332,CNTR_SubInstListBMnumbers,0)))+1,""))</f>
        <v/>
      </c>
      <c r="O339" s="7"/>
      <c r="S339" s="371" t="s">
        <v>598</v>
      </c>
      <c r="T339" s="438" t="str">
        <f>IF(L332&lt;&gt;EUconst_Relevant,"",INDEX(CNTR_SubInstLess1Year,MATCH(Q332,CNTR_SubInstListBMnumbers,0)))</f>
        <v/>
      </c>
      <c r="V339" s="714" t="b">
        <f>IF(CNTR_ExistSubInstEntries,IF(L332=EUconst_Relevant,NOT(T339),TRUE),FALSE)</f>
        <v>1</v>
      </c>
    </row>
    <row r="340" spans="2:22" x14ac:dyDescent="0.2">
      <c r="B340" s="20"/>
      <c r="C340" s="20"/>
      <c r="D340" s="20"/>
      <c r="E340" s="1618" t="str">
        <f>Translations!$B$1087</f>
        <v>Tlenek etylenu</v>
      </c>
      <c r="F340" s="1922"/>
      <c r="G340" s="128">
        <v>1</v>
      </c>
      <c r="H340" s="27" t="str">
        <f>EUconst_tpa</f>
        <v>t / rok</v>
      </c>
      <c r="I340" s="306"/>
      <c r="J340" s="306"/>
      <c r="K340" s="306"/>
      <c r="L340" s="306"/>
      <c r="M340" s="943"/>
      <c r="N340" s="947"/>
      <c r="O340" s="7"/>
      <c r="V340" s="345" t="b">
        <f>V339</f>
        <v>1</v>
      </c>
    </row>
    <row r="341" spans="2:22" x14ac:dyDescent="0.2">
      <c r="B341" s="20"/>
      <c r="C341" s="20"/>
      <c r="D341" s="20"/>
      <c r="E341" s="1613" t="str">
        <f>Translations!$B$1088</f>
        <v>Glikol etylenowy</v>
      </c>
      <c r="F341" s="1923"/>
      <c r="G341" s="129">
        <v>0.71</v>
      </c>
      <c r="H341" s="28" t="str">
        <f>EUconst_tpa</f>
        <v>t / rok</v>
      </c>
      <c r="I341" s="290"/>
      <c r="J341" s="290"/>
      <c r="K341" s="290"/>
      <c r="L341" s="290"/>
      <c r="M341" s="944"/>
      <c r="N341" s="948"/>
      <c r="O341" s="7"/>
      <c r="V341" s="345" t="b">
        <f>V340</f>
        <v>1</v>
      </c>
    </row>
    <row r="342" spans="2:22" x14ac:dyDescent="0.2">
      <c r="B342" s="20"/>
      <c r="C342" s="20"/>
      <c r="D342" s="20"/>
      <c r="E342" s="1613" t="str">
        <f>Translations!$B$1089</f>
        <v>Glikol dietylenowy</v>
      </c>
      <c r="F342" s="1923"/>
      <c r="G342" s="129">
        <v>0.83</v>
      </c>
      <c r="H342" s="28" t="str">
        <f>EUconst_tpa</f>
        <v>t / rok</v>
      </c>
      <c r="I342" s="290"/>
      <c r="J342" s="290"/>
      <c r="K342" s="290"/>
      <c r="L342" s="290"/>
      <c r="M342" s="944"/>
      <c r="N342" s="948"/>
      <c r="O342" s="7"/>
      <c r="V342" s="345" t="b">
        <f>V341</f>
        <v>1</v>
      </c>
    </row>
    <row r="343" spans="2:22" x14ac:dyDescent="0.2">
      <c r="B343" s="20"/>
      <c r="C343" s="20"/>
      <c r="D343" s="20"/>
      <c r="E343" s="1615" t="str">
        <f>Translations!$B$1090</f>
        <v>Glikol trietylenowy</v>
      </c>
      <c r="F343" s="1921"/>
      <c r="G343" s="130">
        <v>0.88</v>
      </c>
      <c r="H343" s="30" t="str">
        <f>EUconst_tpa</f>
        <v>t / rok</v>
      </c>
      <c r="I343" s="289"/>
      <c r="J343" s="289"/>
      <c r="K343" s="289"/>
      <c r="L343" s="289"/>
      <c r="M343" s="945"/>
      <c r="N343" s="949"/>
      <c r="O343" s="7"/>
      <c r="V343" s="345" t="b">
        <f>V342</f>
        <v>1</v>
      </c>
    </row>
    <row r="344" spans="2:22" ht="13.5" thickBot="1" x14ac:dyDescent="0.25">
      <c r="B344" s="20"/>
      <c r="C344" s="20"/>
      <c r="D344" s="20"/>
      <c r="E344" s="1612" t="str">
        <f>Translations!$B$1091</f>
        <v>Suma produktów</v>
      </c>
      <c r="F344" s="1612"/>
      <c r="G344" s="1612"/>
      <c r="H344" s="30" t="str">
        <f>EUconst_tpa</f>
        <v>t / rok</v>
      </c>
      <c r="I344" s="305" t="str">
        <f t="shared" ref="I344:N344" si="14">IF(COUNT(I340:I343)&gt;0,SUM(I340:I343),"")</f>
        <v/>
      </c>
      <c r="J344" s="305" t="str">
        <f t="shared" si="14"/>
        <v/>
      </c>
      <c r="K344" s="305" t="str">
        <f t="shared" si="14"/>
        <v/>
      </c>
      <c r="L344" s="305" t="str">
        <f t="shared" si="14"/>
        <v/>
      </c>
      <c r="M344" s="946" t="str">
        <f t="shared" si="14"/>
        <v/>
      </c>
      <c r="N344" s="950" t="str">
        <f t="shared" si="14"/>
        <v/>
      </c>
      <c r="O344" s="7"/>
      <c r="V344" s="168" t="b">
        <f>V343</f>
        <v>1</v>
      </c>
    </row>
    <row r="345" spans="2:22" ht="5.0999999999999996" customHeight="1" x14ac:dyDescent="0.2">
      <c r="B345" s="3"/>
      <c r="C345" s="3"/>
      <c r="D345" s="3"/>
      <c r="E345" s="3"/>
      <c r="F345" s="3"/>
      <c r="G345" s="3"/>
      <c r="H345" s="3"/>
      <c r="I345" s="3"/>
      <c r="J345" s="3"/>
      <c r="K345" s="3"/>
      <c r="L345" s="3"/>
      <c r="M345" s="7"/>
      <c r="N345" s="7"/>
      <c r="O345" s="7"/>
      <c r="P345" s="8"/>
    </row>
    <row r="346" spans="2:22" x14ac:dyDescent="0.2">
      <c r="B346" s="3"/>
      <c r="C346" s="3"/>
      <c r="D346" s="14" t="s">
        <v>11</v>
      </c>
      <c r="E346" s="1375" t="str">
        <f>Translations!$B$1092</f>
        <v>Wynik: Poziomy działalności dla podinstalacji objętych wskaźnikiem emisyjności dla produktów tlenku etylenu / glikoli etylenowych:</v>
      </c>
      <c r="F346" s="1370"/>
      <c r="G346" s="1370"/>
      <c r="H346" s="1370"/>
      <c r="I346" s="1370"/>
      <c r="J346" s="1370"/>
      <c r="K346" s="1370"/>
      <c r="L346" s="1370"/>
      <c r="M346" s="1370"/>
      <c r="N346" s="1370"/>
      <c r="O346" s="7"/>
      <c r="P346" s="8"/>
    </row>
    <row r="347" spans="2:22" x14ac:dyDescent="0.2">
      <c r="B347" s="3"/>
      <c r="C347" s="3"/>
      <c r="D347" s="16"/>
      <c r="E347" s="1408" t="str">
        <f>Translations!$B$1093</f>
        <v>Historyczny poziom działalności wyrażony w tonach ekwiwalentów tlenku etylenu jest obliczany według wzoru podanego w pkt 8 załącznika III do FAR.</v>
      </c>
      <c r="F347" s="1370"/>
      <c r="G347" s="1370"/>
      <c r="H347" s="1370"/>
      <c r="I347" s="1370"/>
      <c r="J347" s="1370"/>
      <c r="K347" s="1370"/>
      <c r="L347" s="1370"/>
      <c r="M347" s="1370"/>
      <c r="N347" s="1370"/>
      <c r="O347" s="7"/>
      <c r="P347" s="8"/>
    </row>
    <row r="348" spans="2:22" ht="13.5" thickBot="1" x14ac:dyDescent="0.25">
      <c r="B348" s="3"/>
      <c r="C348" s="3"/>
      <c r="D348" s="16"/>
      <c r="E348" s="1408" t="str">
        <f>Translations!$B$982</f>
        <v>Wynik zastosowania tego narzędzia jest wykorzystywany w arkuszu „F_ProductBM” wiersz „a) lit. (ii)” odpowiedniej podinstalacji, na którego podstawie obliczana jest średnia.</v>
      </c>
      <c r="F348" s="1370"/>
      <c r="G348" s="1370"/>
      <c r="H348" s="1370"/>
      <c r="I348" s="1370"/>
      <c r="J348" s="1370"/>
      <c r="K348" s="1370"/>
      <c r="L348" s="1370"/>
      <c r="M348" s="1370"/>
      <c r="N348" s="1370"/>
      <c r="O348" s="7"/>
      <c r="P348" s="8"/>
    </row>
    <row r="349" spans="2:22" x14ac:dyDescent="0.2">
      <c r="B349" s="20"/>
      <c r="C349" s="20"/>
      <c r="D349" s="14"/>
      <c r="E349" s="22"/>
      <c r="F349" s="22"/>
      <c r="G349" s="22"/>
      <c r="H349" s="34" t="str">
        <f>EUconst_Unit</f>
        <v>Jednostka</v>
      </c>
      <c r="I349" s="432">
        <f>I$391</f>
        <v>2014</v>
      </c>
      <c r="J349" s="432">
        <f>J$391</f>
        <v>2015</v>
      </c>
      <c r="K349" s="432">
        <f>K$391</f>
        <v>2016</v>
      </c>
      <c r="L349" s="432">
        <f>L$391</f>
        <v>2017</v>
      </c>
      <c r="M349" s="914">
        <f>M$391</f>
        <v>2018</v>
      </c>
      <c r="N349" s="888" t="str">
        <f>N339</f>
        <v/>
      </c>
      <c r="O349" s="7"/>
      <c r="V349" s="179" t="b">
        <f>V344</f>
        <v>1</v>
      </c>
    </row>
    <row r="350" spans="2:22" ht="13.5" thickBot="1" x14ac:dyDescent="0.25">
      <c r="B350" s="20"/>
      <c r="C350" s="20"/>
      <c r="D350" s="20"/>
      <c r="E350" s="1612" t="str">
        <f>Translations!$B$1094</f>
        <v>Ekwiwalenty tlenku etylenu łącznie</v>
      </c>
      <c r="F350" s="1612"/>
      <c r="G350" s="1612"/>
      <c r="H350" s="48" t="str">
        <f>EUconst_tpa</f>
        <v>t / rok</v>
      </c>
      <c r="I350" s="321" t="str">
        <f t="shared" ref="I350:N350" si="15">IF(ISNUMBER(I344),SUMPRODUCT($G$340:$G$343,I340:I343),"")</f>
        <v/>
      </c>
      <c r="J350" s="321" t="str">
        <f t="shared" si="15"/>
        <v/>
      </c>
      <c r="K350" s="321" t="str">
        <f t="shared" si="15"/>
        <v/>
      </c>
      <c r="L350" s="321" t="str">
        <f t="shared" si="15"/>
        <v/>
      </c>
      <c r="M350" s="887" t="str">
        <f t="shared" si="15"/>
        <v/>
      </c>
      <c r="N350" s="890" t="str">
        <f t="shared" si="15"/>
        <v/>
      </c>
      <c r="O350" s="7"/>
      <c r="P350" s="116" t="str">
        <f>IF(L332=EUconst_Relevant,EUconst_CNTR_HALspecial &amp; INDEX(EUconst_BMlistNames,Q332),"")</f>
        <v/>
      </c>
      <c r="V350" s="168" t="b">
        <f>V349</f>
        <v>1</v>
      </c>
    </row>
    <row r="351" spans="2:22" ht="5.0999999999999996" customHeight="1" x14ac:dyDescent="0.2">
      <c r="B351" s="3"/>
      <c r="C351" s="3"/>
      <c r="D351" s="3"/>
      <c r="E351" s="3"/>
      <c r="F351" s="3"/>
      <c r="G351" s="3"/>
      <c r="H351" s="3"/>
      <c r="I351" s="3"/>
      <c r="J351" s="3"/>
      <c r="K351" s="3"/>
      <c r="L351" s="3"/>
      <c r="M351" s="7"/>
      <c r="N351" s="7"/>
      <c r="O351" s="7"/>
      <c r="P351" s="8"/>
    </row>
    <row r="352" spans="2:22" x14ac:dyDescent="0.2">
      <c r="B352" s="3"/>
      <c r="C352" s="3"/>
      <c r="D352" s="3"/>
      <c r="E352" s="1916" t="str">
        <f>IF(L332=EUconst_Relevant,HYPERLINK(Q352,EUconst_MsgBackToSheetF),"")</f>
        <v/>
      </c>
      <c r="F352" s="1917"/>
      <c r="G352" s="1917"/>
      <c r="H352" s="1917"/>
      <c r="I352" s="1917"/>
      <c r="J352" s="1917"/>
      <c r="K352" s="1917"/>
      <c r="L352" s="1917"/>
      <c r="M352" s="1917"/>
      <c r="N352" s="1918"/>
      <c r="O352" s="7"/>
      <c r="P352" s="371" t="s">
        <v>33</v>
      </c>
      <c r="Q352" s="116" t="str">
        <f>Q334</f>
        <v/>
      </c>
    </row>
    <row r="353" spans="2:17" x14ac:dyDescent="0.2">
      <c r="B353" s="20"/>
      <c r="C353" s="20"/>
      <c r="D353" s="20"/>
      <c r="E353" s="20"/>
      <c r="F353" s="20"/>
      <c r="G353" s="20"/>
      <c r="H353" s="20"/>
      <c r="I353" s="20"/>
      <c r="J353" s="20"/>
      <c r="K353" s="20"/>
      <c r="L353" s="20"/>
      <c r="M353" s="20"/>
      <c r="N353" s="20"/>
      <c r="O353" s="7"/>
    </row>
    <row r="354" spans="2:17" ht="15.75" x14ac:dyDescent="0.25">
      <c r="B354" s="3"/>
      <c r="C354" s="12" t="s">
        <v>77</v>
      </c>
      <c r="D354" s="1384" t="str">
        <f>Translations!$B$1095</f>
        <v>Monomer chlorku winylu (VCM)</v>
      </c>
      <c r="E354" s="1384"/>
      <c r="F354" s="1384"/>
      <c r="G354" s="1384"/>
      <c r="H354" s="1384"/>
      <c r="I354" s="1384"/>
      <c r="J354" s="1384"/>
      <c r="K354" s="1384"/>
      <c r="L354" s="1384"/>
      <c r="M354" s="1384"/>
      <c r="N354" s="1384"/>
      <c r="O354" s="7"/>
      <c r="P354" s="8"/>
    </row>
    <row r="355" spans="2:17" ht="5.0999999999999996" customHeight="1" x14ac:dyDescent="0.2">
      <c r="B355" s="3"/>
      <c r="C355" s="3"/>
      <c r="D355" s="3"/>
      <c r="E355" s="3"/>
      <c r="F355" s="3"/>
      <c r="G355" s="3"/>
      <c r="H355" s="3"/>
      <c r="I355" s="3"/>
      <c r="J355" s="3"/>
      <c r="K355" s="3"/>
      <c r="L355" s="3"/>
      <c r="M355" s="7"/>
      <c r="N355" s="7"/>
      <c r="O355" s="7"/>
      <c r="P355" s="8"/>
    </row>
    <row r="356" spans="2:17" ht="15" x14ac:dyDescent="0.25">
      <c r="B356" s="3"/>
      <c r="C356" s="18"/>
      <c r="D356" s="1439" t="str">
        <f>Translations!$B$1096</f>
        <v>Narzędzie dotyczące monomeru chlorku winylu: Wstępny przydział (art. 20 FAR)</v>
      </c>
      <c r="E356" s="1370"/>
      <c r="F356" s="1370"/>
      <c r="G356" s="1370"/>
      <c r="H356" s="1370"/>
      <c r="I356" s="1370"/>
      <c r="J356" s="1370"/>
      <c r="K356" s="1370"/>
      <c r="L356" s="1370"/>
      <c r="M356" s="1370"/>
      <c r="N356" s="1370"/>
      <c r="O356" s="7"/>
      <c r="P356" s="8"/>
    </row>
    <row r="357" spans="2:17" ht="5.0999999999999996" customHeight="1" x14ac:dyDescent="0.2">
      <c r="B357" s="3"/>
      <c r="C357" s="3"/>
      <c r="D357" s="3"/>
      <c r="E357" s="3"/>
      <c r="F357" s="3"/>
      <c r="G357" s="3"/>
      <c r="H357" s="3"/>
      <c r="I357" s="3"/>
      <c r="J357" s="3"/>
      <c r="K357" s="3"/>
      <c r="L357" s="3"/>
      <c r="M357" s="7"/>
      <c r="N357" s="7"/>
      <c r="O357" s="7"/>
      <c r="P357" s="8"/>
    </row>
    <row r="358" spans="2:17" x14ac:dyDescent="0.2">
      <c r="B358" s="3"/>
      <c r="C358" s="3"/>
      <c r="D358" s="16"/>
      <c r="E358" s="1408" t="str">
        <f>Translations!$B$1097</f>
        <v>Narzędzie to pomaga w określeniu wstępnego przydziału uprawnień przydzielanych podinstalacji monomeru chlorku winylu („VCM”) (art. 20 FAR).</v>
      </c>
      <c r="F358" s="1370"/>
      <c r="G358" s="1370"/>
      <c r="H358" s="1370"/>
      <c r="I358" s="1370"/>
      <c r="J358" s="1370"/>
      <c r="K358" s="1370"/>
      <c r="L358" s="1370"/>
      <c r="M358" s="1370"/>
      <c r="N358" s="1370"/>
      <c r="O358" s="7"/>
      <c r="P358" s="8"/>
    </row>
    <row r="359" spans="2:17" x14ac:dyDescent="0.2">
      <c r="B359" s="3"/>
      <c r="C359" s="3"/>
      <c r="D359" s="16"/>
      <c r="E359" s="1408" t="str">
        <f>Translations!$B$1098</f>
        <v>Wymagane są następujące dane:</v>
      </c>
      <c r="F359" s="1370"/>
      <c r="G359" s="1370"/>
      <c r="H359" s="1370"/>
      <c r="I359" s="1370"/>
      <c r="J359" s="1370"/>
      <c r="K359" s="1370"/>
      <c r="L359" s="1370"/>
      <c r="M359" s="1370"/>
      <c r="N359" s="1370"/>
      <c r="O359" s="7"/>
      <c r="P359" s="8"/>
    </row>
    <row r="360" spans="2:17" x14ac:dyDescent="0.2">
      <c r="B360" s="3"/>
      <c r="C360" s="3"/>
      <c r="D360" s="16"/>
      <c r="E360" s="123" t="s">
        <v>408</v>
      </c>
      <c r="F360" s="1408" t="str">
        <f>Translations!$B$1099</f>
        <v>poziomy działalności zgodnie z danymi w arkuszu „ProductBM” lit. a), w zakresie odpowiedniej podinstalacji;</v>
      </c>
      <c r="G360" s="1370"/>
      <c r="H360" s="1370"/>
      <c r="I360" s="1370"/>
      <c r="J360" s="1370"/>
      <c r="K360" s="1370"/>
      <c r="L360" s="1370"/>
      <c r="M360" s="1370"/>
      <c r="N360" s="1370"/>
      <c r="O360" s="7"/>
      <c r="P360" s="8"/>
    </row>
    <row r="361" spans="2:17" x14ac:dyDescent="0.2">
      <c r="B361" s="3"/>
      <c r="C361" s="3"/>
      <c r="D361" s="16"/>
      <c r="E361" s="123" t="s">
        <v>408</v>
      </c>
      <c r="F361" s="1408" t="str">
        <f>Translations!$B$1100</f>
        <v>emisje bezpośrednie przypisane do tej podinstalacji;</v>
      </c>
      <c r="G361" s="1370"/>
      <c r="H361" s="1370"/>
      <c r="I361" s="1370"/>
      <c r="J361" s="1370"/>
      <c r="K361" s="1370"/>
      <c r="L361" s="1370"/>
      <c r="M361" s="1370"/>
      <c r="N361" s="1370"/>
      <c r="O361" s="7"/>
      <c r="P361" s="8"/>
    </row>
    <row r="362" spans="2:17" x14ac:dyDescent="0.2">
      <c r="B362" s="3"/>
      <c r="C362" s="3"/>
      <c r="D362" s="16"/>
      <c r="E362" s="123" t="s">
        <v>408</v>
      </c>
      <c r="F362" s="1408" t="str">
        <f>Translations!$B$1101</f>
        <v>ilość mierzalnego ciepła netto wprowadzonego przez tę podinstalację z innych instalacji objętych systemem EU ETS;</v>
      </c>
      <c r="G362" s="1370"/>
      <c r="H362" s="1370"/>
      <c r="I362" s="1370"/>
      <c r="J362" s="1370"/>
      <c r="K362" s="1370"/>
      <c r="L362" s="1370"/>
      <c r="M362" s="1370"/>
      <c r="N362" s="1370"/>
      <c r="O362" s="7"/>
      <c r="P362" s="8"/>
    </row>
    <row r="363" spans="2:17" ht="12.75" customHeight="1" x14ac:dyDescent="0.2">
      <c r="B363" s="3"/>
      <c r="C363" s="3"/>
      <c r="D363" s="16"/>
      <c r="E363" s="123" t="s">
        <v>408</v>
      </c>
      <c r="F363" s="1408" t="str">
        <f>Translations!$B$1102</f>
        <v>emisje związane z produkcją wodoru: tj. historyczne zużycie ciepła ze spalania wodoru pomnożone przez wskaźnik emisyjności oparty na cieple.</v>
      </c>
      <c r="G363" s="1408"/>
      <c r="H363" s="1408"/>
      <c r="I363" s="1408"/>
      <c r="J363" s="1408"/>
      <c r="K363" s="1408"/>
      <c r="L363" s="1408"/>
      <c r="M363" s="1408"/>
      <c r="N363" s="1408"/>
      <c r="O363" s="7"/>
      <c r="P363" s="8"/>
    </row>
    <row r="364" spans="2:17" ht="5.0999999999999996" customHeight="1" x14ac:dyDescent="0.2">
      <c r="B364" s="3"/>
      <c r="C364" s="3"/>
      <c r="D364" s="3"/>
      <c r="E364" s="3"/>
      <c r="F364" s="3"/>
      <c r="G364" s="3"/>
      <c r="H364" s="3"/>
      <c r="I364" s="3"/>
      <c r="J364" s="3"/>
      <c r="K364" s="3"/>
      <c r="L364" s="3"/>
      <c r="M364" s="7"/>
      <c r="N364" s="7"/>
      <c r="O364" s="7"/>
      <c r="P364" s="8"/>
    </row>
    <row r="365" spans="2:17" ht="15" x14ac:dyDescent="0.25">
      <c r="B365" s="3"/>
      <c r="C365" s="3"/>
      <c r="D365" s="14" t="s">
        <v>173</v>
      </c>
      <c r="E365" s="1375" t="str">
        <f>Translations!$B$908</f>
        <v>Zastosowanie tego narzędzia w Państwa instalacji:</v>
      </c>
      <c r="F365" s="1375"/>
      <c r="G365" s="1375"/>
      <c r="H365" s="1375"/>
      <c r="I365" s="1375"/>
      <c r="J365" s="1375"/>
      <c r="K365" s="1637"/>
      <c r="L365" s="1913" t="str">
        <f>IF(CNTR_ExistSubInstEntries,IF(COUNTIF(CNTR_SubInstListNames,INDEX(EUconst_BMlistNames,Q365))&gt;0,EUconst_Relevant,EUconst_NotRelevant),"")</f>
        <v>nie dotyczy</v>
      </c>
      <c r="M365" s="1914"/>
      <c r="N365" s="1915"/>
      <c r="O365" s="7"/>
      <c r="P365" s="371" t="s">
        <v>34</v>
      </c>
      <c r="Q365" s="350">
        <v>47</v>
      </c>
    </row>
    <row r="366" spans="2:17" x14ac:dyDescent="0.2">
      <c r="B366" s="3"/>
      <c r="C366" s="3"/>
      <c r="D366" s="16"/>
      <c r="E366" s="1376" t="str">
        <f>Translations!$B$909</f>
        <v>Ten komunikat jest automatycznie generowany na podstawie Państwa wpisów w arkuszu „A_InstallationData” część A.III.1.</v>
      </c>
      <c r="F366" s="1377"/>
      <c r="G366" s="1377"/>
      <c r="H366" s="1377"/>
      <c r="I366" s="1377"/>
      <c r="J366" s="1377"/>
      <c r="K366" s="1377"/>
      <c r="L366" s="1377"/>
      <c r="M366" s="1377"/>
      <c r="N366" s="1377"/>
      <c r="O366" s="7"/>
      <c r="P366" s="8"/>
    </row>
    <row r="367" spans="2:17" x14ac:dyDescent="0.2">
      <c r="B367" s="3"/>
      <c r="C367" s="3"/>
      <c r="D367" s="3"/>
      <c r="E367" s="1916" t="str">
        <f>IF(L365=EUconst_Relevant,HYPERLINK(Q367,EUconst_MsgBackToSheetF),"")</f>
        <v/>
      </c>
      <c r="F367" s="1917"/>
      <c r="G367" s="1917"/>
      <c r="H367" s="1917"/>
      <c r="I367" s="1917"/>
      <c r="J367" s="1917"/>
      <c r="K367" s="1917"/>
      <c r="L367" s="1917"/>
      <c r="M367" s="1917"/>
      <c r="N367" s="1918"/>
      <c r="O367" s="7"/>
      <c r="P367" s="371" t="s">
        <v>33</v>
      </c>
      <c r="Q367" s="116" t="str">
        <f>IF(ISNUMBER(MATCH(Q365,CNTR_SubInstListBMnumbers,0)),"#JUMP_F"&amp;MATCH(Q365,CNTR_SubInstListBMnumbers,0),"")</f>
        <v/>
      </c>
    </row>
    <row r="368" spans="2:17" ht="5.0999999999999996" customHeight="1" x14ac:dyDescent="0.2">
      <c r="B368" s="3"/>
      <c r="C368" s="3"/>
      <c r="D368" s="3"/>
      <c r="E368" s="3"/>
      <c r="F368" s="3"/>
      <c r="G368" s="3"/>
      <c r="H368" s="3"/>
      <c r="I368" s="3"/>
      <c r="J368" s="3"/>
      <c r="K368" s="3"/>
      <c r="L368" s="3"/>
      <c r="M368" s="7"/>
      <c r="N368" s="7"/>
      <c r="O368" s="7"/>
      <c r="P368" s="8"/>
    </row>
    <row r="369" spans="1:24" x14ac:dyDescent="0.2">
      <c r="B369" s="20"/>
      <c r="C369" s="20"/>
      <c r="D369" s="14" t="s">
        <v>353</v>
      </c>
      <c r="E369" s="1375" t="str">
        <f>Translations!$B$1103</f>
        <v>Dane dotyczące emisji:</v>
      </c>
      <c r="F369" s="1370"/>
      <c r="G369" s="1370"/>
      <c r="H369" s="1370"/>
      <c r="I369" s="1370"/>
      <c r="J369" s="1370"/>
      <c r="K369" s="1370"/>
      <c r="L369" s="1370"/>
      <c r="M369" s="1370"/>
      <c r="N369" s="1370"/>
      <c r="O369" s="7"/>
    </row>
    <row r="370" spans="1:24" ht="13.5" thickBot="1" x14ac:dyDescent="0.25">
      <c r="B370" s="3"/>
      <c r="C370" s="3"/>
      <c r="D370" s="16"/>
      <c r="E370" s="1408" t="str">
        <f>Translations!$B$1104</f>
        <v>W tym miejscu proszę podać niezbędne dane określone powyżej.</v>
      </c>
      <c r="F370" s="1370"/>
      <c r="G370" s="1370"/>
      <c r="H370" s="1370"/>
      <c r="I370" s="1370"/>
      <c r="J370" s="1370"/>
      <c r="K370" s="1370"/>
      <c r="L370" s="1370"/>
      <c r="M370" s="1370"/>
      <c r="N370" s="1370"/>
      <c r="O370" s="7"/>
      <c r="P370" s="8"/>
      <c r="V370" s="422" t="s">
        <v>606</v>
      </c>
    </row>
    <row r="371" spans="1:24" ht="13.5" thickBot="1" x14ac:dyDescent="0.25">
      <c r="B371" s="20"/>
      <c r="C371" s="20"/>
      <c r="D371" s="14"/>
      <c r="E371" s="1430" t="str">
        <f>Translations!$B$686</f>
        <v>Parametr</v>
      </c>
      <c r="F371" s="1377"/>
      <c r="G371" s="1377"/>
      <c r="H371" s="34" t="str">
        <f>EUconst_Unit</f>
        <v>Jednostka</v>
      </c>
      <c r="I371" s="396">
        <f>I$391</f>
        <v>2014</v>
      </c>
      <c r="J371" s="396">
        <f>J$391</f>
        <v>2015</v>
      </c>
      <c r="K371" s="396">
        <f>K$391</f>
        <v>2016</v>
      </c>
      <c r="L371" s="396">
        <f>L$391</f>
        <v>2017</v>
      </c>
      <c r="M371" s="421">
        <f>M$391</f>
        <v>2018</v>
      </c>
      <c r="N371" s="888" t="str">
        <f>IF(L365&lt;&gt;EUconst_Relevant,"",IF(T371,YEAR(INDEX(CNTR_SubInstStartDate,MATCH(Q365,CNTR_SubInstListBMnumbers,0)))+1,""))</f>
        <v/>
      </c>
      <c r="O371" s="7"/>
      <c r="S371" s="371" t="s">
        <v>598</v>
      </c>
      <c r="T371" s="438" t="str">
        <f>IF(L365&lt;&gt;EUconst_Relevant,"",INDEX(CNTR_SubInstLess1Year,MATCH(Q365,CNTR_SubInstListBMnumbers,0)))</f>
        <v/>
      </c>
      <c r="V371" s="951" t="b">
        <f>IF(CNTR_ExistSubInstEntries,IF(L365=EUconst_Relevant,NOT(T371),TRUE),FALSE)</f>
        <v>1</v>
      </c>
    </row>
    <row r="372" spans="1:24" x14ac:dyDescent="0.2">
      <c r="B372" s="20"/>
      <c r="C372" s="20"/>
      <c r="D372" s="20"/>
      <c r="E372" s="1618" t="str">
        <f>Translations!$B$687</f>
        <v>Emisje bezpośrednie</v>
      </c>
      <c r="F372" s="1618"/>
      <c r="G372" s="1618"/>
      <c r="H372" s="37" t="str">
        <f>EUconst_tCO2pa</f>
        <v>t CO2 / rok</v>
      </c>
      <c r="I372" s="331"/>
      <c r="J372" s="331"/>
      <c r="K372" s="331"/>
      <c r="L372" s="331"/>
      <c r="M372" s="605"/>
      <c r="N372" s="936"/>
      <c r="O372" s="7"/>
      <c r="P372" s="351" t="str">
        <f>EUconst_CNTR_Emissions &amp; INDEX(EUconst_BMlistNames,Q365)</f>
        <v>DirEmissions_Monomer chlorku winylu</v>
      </c>
    </row>
    <row r="373" spans="1:24" x14ac:dyDescent="0.2">
      <c r="B373" s="20"/>
      <c r="C373" s="20"/>
      <c r="D373" s="20"/>
      <c r="E373" s="1613" t="str">
        <f>Translations!$B$1105</f>
        <v>Mierzalne ciepło wprowadzone netto</v>
      </c>
      <c r="F373" s="1613"/>
      <c r="G373" s="1613"/>
      <c r="H373" s="38" t="str">
        <f>EUconst_TJpa</f>
        <v>TJ / rok</v>
      </c>
      <c r="I373" s="865" t="str">
        <f>IF($L365=EUconst_Relevant,INDEX(F_ProductBM!I:I,MATCH($P373,F_ProductBM!$P:$P,0)),"")</f>
        <v/>
      </c>
      <c r="J373" s="865" t="str">
        <f>IF($L365=EUconst_Relevant,INDEX(F_ProductBM!J:J,MATCH($P373,F_ProductBM!$P:$P,0)),"")</f>
        <v/>
      </c>
      <c r="K373" s="865" t="str">
        <f>IF($L365=EUconst_Relevant,INDEX(F_ProductBM!K:K,MATCH($P373,F_ProductBM!$P:$P,0)),"")</f>
        <v/>
      </c>
      <c r="L373" s="865" t="str">
        <f>IF($L365=EUconst_Relevant,INDEX(F_ProductBM!L:L,MATCH($P373,F_ProductBM!$P:$P,0)),"")</f>
        <v/>
      </c>
      <c r="M373" s="952" t="str">
        <f>IF($L365=EUconst_Relevant,INDEX(F_ProductBM!M:M,MATCH($P373,F_ProductBM!$P:$P,0)),"")</f>
        <v/>
      </c>
      <c r="N373" s="953"/>
      <c r="O373" s="7"/>
      <c r="P373" s="351" t="str">
        <f>EUconst_CNTR_HeatImport&amp;INDEX(EUconst_BMlistNames,Q365)</f>
        <v>HeatIm_Monomer chlorku winylu</v>
      </c>
      <c r="R373" s="2" t="s">
        <v>67</v>
      </c>
    </row>
    <row r="374" spans="1:24" x14ac:dyDescent="0.2">
      <c r="B374" s="20"/>
      <c r="C374" s="20"/>
      <c r="D374" s="20"/>
      <c r="E374" s="1615" t="str">
        <f>Translations!$B$1106</f>
        <v>Zużycie ciepła ze spalania H2</v>
      </c>
      <c r="F374" s="1615"/>
      <c r="G374" s="1615"/>
      <c r="H374" s="41" t="str">
        <f>EUconst_TJpa</f>
        <v>TJ / rok</v>
      </c>
      <c r="I374" s="329"/>
      <c r="J374" s="329"/>
      <c r="K374" s="329"/>
      <c r="L374" s="329"/>
      <c r="M374" s="607"/>
      <c r="N374" s="896"/>
      <c r="O374" s="7"/>
      <c r="S374" s="2">
        <f>I$391</f>
        <v>2014</v>
      </c>
      <c r="T374" s="2">
        <f>J$391</f>
        <v>2015</v>
      </c>
      <c r="U374" s="2">
        <f>K$391</f>
        <v>2016</v>
      </c>
      <c r="V374" s="2">
        <f>L$391</f>
        <v>2017</v>
      </c>
      <c r="W374" s="2">
        <f>M$391</f>
        <v>2018</v>
      </c>
      <c r="X374" s="2" t="str">
        <f>N371</f>
        <v/>
      </c>
    </row>
    <row r="375" spans="1:24" ht="13.5" thickBot="1" x14ac:dyDescent="0.25">
      <c r="B375" s="20"/>
      <c r="C375" s="20"/>
      <c r="D375" s="20"/>
      <c r="E375" s="1618" t="str">
        <f>Translations!$B$690</f>
        <v>Całkowite emisje bezpośrednie</v>
      </c>
      <c r="F375" s="1618"/>
      <c r="G375" s="1618"/>
      <c r="H375" s="37" t="str">
        <f>EUconst_tCO2pa</f>
        <v>t CO2 / rok</v>
      </c>
      <c r="I375" s="333" t="str">
        <f t="shared" ref="I375:N375" si="16">IF(OR(ISNUMBER(I372),ISNUMBER(I373)),I372+I373*EUconst_HeatBMvalue,"")</f>
        <v/>
      </c>
      <c r="J375" s="333" t="str">
        <f t="shared" si="16"/>
        <v/>
      </c>
      <c r="K375" s="333" t="str">
        <f t="shared" si="16"/>
        <v/>
      </c>
      <c r="L375" s="333" t="str">
        <f t="shared" si="16"/>
        <v/>
      </c>
      <c r="M375" s="927" t="str">
        <f t="shared" si="16"/>
        <v/>
      </c>
      <c r="N375" s="933" t="str">
        <f t="shared" si="16"/>
        <v/>
      </c>
      <c r="O375" s="7"/>
      <c r="P375" s="2" t="s">
        <v>237</v>
      </c>
      <c r="R375" s="274" t="s">
        <v>15</v>
      </c>
      <c r="S375" s="165">
        <f t="shared" ref="S375:X375" si="17">IF(I$393,IF(ISNUMBER(I375),I375,0),"")</f>
        <v>0</v>
      </c>
      <c r="T375" s="165">
        <f t="shared" si="17"/>
        <v>0</v>
      </c>
      <c r="U375" s="165">
        <f t="shared" si="17"/>
        <v>0</v>
      </c>
      <c r="V375" s="165">
        <f t="shared" si="17"/>
        <v>0</v>
      </c>
      <c r="W375" s="165">
        <f t="shared" si="17"/>
        <v>0</v>
      </c>
      <c r="X375" s="165" t="str">
        <f t="shared" si="17"/>
        <v/>
      </c>
    </row>
    <row r="376" spans="1:24" ht="13.5" thickBot="1" x14ac:dyDescent="0.25">
      <c r="B376" s="20"/>
      <c r="C376" s="20"/>
      <c r="D376" s="20"/>
      <c r="E376" s="1615" t="str">
        <f>Translations!$B$1107</f>
        <v>Emisje związane z produkcją wodoru</v>
      </c>
      <c r="F376" s="1615"/>
      <c r="G376" s="1615"/>
      <c r="H376" s="41" t="str">
        <f>EUconst_tCO2pa</f>
        <v>t CO2 / rok</v>
      </c>
      <c r="I376" s="319" t="str">
        <f t="shared" ref="I376:N376" si="18">IF(ISNUMBER(I374),I374*EUconst_HeatBMvalue,"")</f>
        <v/>
      </c>
      <c r="J376" s="319" t="str">
        <f t="shared" si="18"/>
        <v/>
      </c>
      <c r="K376" s="319" t="str">
        <f t="shared" si="18"/>
        <v/>
      </c>
      <c r="L376" s="319" t="str">
        <f t="shared" si="18"/>
        <v/>
      </c>
      <c r="M376" s="929" t="str">
        <f t="shared" si="18"/>
        <v/>
      </c>
      <c r="N376" s="935" t="str">
        <f t="shared" si="18"/>
        <v/>
      </c>
      <c r="O376" s="7"/>
      <c r="P376" s="116" t="str">
        <f>EUconst_CNTR_VCM</f>
        <v>VCM_</v>
      </c>
      <c r="Q376" s="394" t="str">
        <f>IF(SUM(S376:X376)&lt;&gt;0,SUM(S375:X375)/SUM(S376:X376),EUconst_NA)</f>
        <v>Nie dotyczy</v>
      </c>
      <c r="R376" s="274" t="s">
        <v>68</v>
      </c>
      <c r="S376" s="165">
        <f t="shared" ref="S376:X376" si="19">IF(I$393,IF(COUNT(I375:I376)&gt;0,SUM(I375:I376),0),"")</f>
        <v>0</v>
      </c>
      <c r="T376" s="165">
        <f t="shared" si="19"/>
        <v>0</v>
      </c>
      <c r="U376" s="165">
        <f t="shared" si="19"/>
        <v>0</v>
      </c>
      <c r="V376" s="165">
        <f t="shared" si="19"/>
        <v>0</v>
      </c>
      <c r="W376" s="165">
        <f t="shared" si="19"/>
        <v>0</v>
      </c>
      <c r="X376" s="165" t="str">
        <f t="shared" si="19"/>
        <v/>
      </c>
    </row>
    <row r="377" spans="1:24" ht="5.0999999999999996" customHeight="1" x14ac:dyDescent="0.2">
      <c r="B377" s="3"/>
      <c r="C377" s="3"/>
      <c r="D377" s="3"/>
      <c r="E377" s="3"/>
      <c r="F377" s="3"/>
      <c r="G377" s="3"/>
      <c r="H377" s="3"/>
      <c r="I377" s="3"/>
      <c r="J377" s="3"/>
      <c r="K377" s="3"/>
      <c r="L377" s="3"/>
      <c r="M377" s="7"/>
      <c r="N377" s="7"/>
      <c r="O377" s="7"/>
      <c r="P377" s="8"/>
    </row>
    <row r="378" spans="1:24" x14ac:dyDescent="0.2">
      <c r="B378" s="3"/>
      <c r="C378" s="3"/>
      <c r="D378" s="3"/>
      <c r="E378" s="1916" t="str">
        <f>IF(L365=EUconst_Relevant,HYPERLINK(Q378,EUconst_MsgBackToSheetF),"")</f>
        <v/>
      </c>
      <c r="F378" s="1917"/>
      <c r="G378" s="1917"/>
      <c r="H378" s="1917"/>
      <c r="I378" s="1917"/>
      <c r="J378" s="1917"/>
      <c r="K378" s="1917"/>
      <c r="L378" s="1917"/>
      <c r="M378" s="1917"/>
      <c r="N378" s="1918"/>
      <c r="O378" s="7"/>
      <c r="P378" s="371" t="s">
        <v>33</v>
      </c>
      <c r="Q378" s="116" t="str">
        <f>Q367</f>
        <v/>
      </c>
    </row>
    <row r="379" spans="1:24" x14ac:dyDescent="0.2">
      <c r="B379" s="20"/>
      <c r="C379" s="20"/>
      <c r="D379" s="20"/>
      <c r="E379" s="20"/>
      <c r="F379" s="20"/>
      <c r="G379" s="20"/>
      <c r="H379" s="20"/>
      <c r="I379" s="20"/>
      <c r="J379" s="107"/>
      <c r="K379" s="20"/>
      <c r="L379" s="20"/>
      <c r="M379" s="20"/>
      <c r="N379" s="20"/>
      <c r="O379" s="7"/>
      <c r="S379" s="45"/>
    </row>
    <row r="380" spans="1:24" x14ac:dyDescent="0.2">
      <c r="B380" s="20"/>
      <c r="C380" s="20"/>
      <c r="D380" s="20"/>
      <c r="E380" s="20"/>
      <c r="F380" s="20"/>
      <c r="G380" s="20"/>
      <c r="H380" s="20"/>
      <c r="I380" s="20"/>
      <c r="J380" s="20"/>
      <c r="K380" s="20"/>
      <c r="L380" s="20"/>
      <c r="M380" s="20"/>
      <c r="N380" s="20"/>
      <c r="O380" s="7"/>
    </row>
    <row r="381" spans="1:24" x14ac:dyDescent="0.2">
      <c r="B381" s="20"/>
      <c r="C381" s="20"/>
      <c r="D381" s="20"/>
      <c r="E381" s="20"/>
      <c r="F381" s="20"/>
      <c r="G381" s="20"/>
      <c r="H381" s="20"/>
      <c r="I381" s="20"/>
      <c r="J381" s="20"/>
      <c r="K381" s="20"/>
      <c r="L381" s="20"/>
      <c r="M381" s="20"/>
      <c r="N381" s="20"/>
      <c r="O381" s="7"/>
    </row>
    <row r="382" spans="1:24" x14ac:dyDescent="0.2">
      <c r="B382" s="20"/>
      <c r="C382" s="20"/>
      <c r="D382" s="1920" t="str">
        <f>Translations!$B$73</f>
        <v xml:space="preserve">&lt;&lt;&lt; Proszę kliknąć tutaj, aby przejść do kolejnego arkusza &gt;&gt;&gt; </v>
      </c>
      <c r="E382" s="1622"/>
      <c r="F382" s="1622"/>
      <c r="G382" s="1622"/>
      <c r="H382" s="1622"/>
      <c r="I382" s="1622"/>
      <c r="J382" s="1622"/>
      <c r="K382" s="1622"/>
      <c r="L382" s="1622"/>
      <c r="M382" s="1622"/>
      <c r="N382" s="1622"/>
      <c r="O382" s="7"/>
    </row>
    <row r="383" spans="1:24" x14ac:dyDescent="0.2">
      <c r="B383" s="20"/>
      <c r="C383" s="20"/>
      <c r="D383" s="20"/>
      <c r="E383" s="20"/>
      <c r="F383" s="20"/>
      <c r="G383" s="20"/>
      <c r="H383" s="20"/>
      <c r="I383" s="20"/>
      <c r="J383" s="20"/>
      <c r="K383" s="20"/>
      <c r="L383" s="20"/>
      <c r="M383" s="20"/>
      <c r="N383" s="20"/>
      <c r="O383" s="7"/>
    </row>
    <row r="384" spans="1:24" hidden="1" x14ac:dyDescent="0.2">
      <c r="A384" s="2" t="s">
        <v>101</v>
      </c>
      <c r="B384" s="2" t="s">
        <v>350</v>
      </c>
      <c r="C384" s="2" t="s">
        <v>350</v>
      </c>
      <c r="D384" s="2" t="s">
        <v>350</v>
      </c>
      <c r="E384" s="2" t="s">
        <v>350</v>
      </c>
      <c r="F384" s="2" t="s">
        <v>350</v>
      </c>
      <c r="G384" s="2"/>
      <c r="H384" s="2" t="s">
        <v>350</v>
      </c>
      <c r="I384" s="2" t="s">
        <v>350</v>
      </c>
      <c r="J384" s="2" t="s">
        <v>350</v>
      </c>
      <c r="K384" s="2" t="s">
        <v>350</v>
      </c>
      <c r="L384" s="2" t="s">
        <v>350</v>
      </c>
      <c r="M384" s="2" t="s">
        <v>350</v>
      </c>
      <c r="N384" s="2" t="s">
        <v>350</v>
      </c>
      <c r="O384" s="2" t="s">
        <v>350</v>
      </c>
      <c r="P384" s="2" t="s">
        <v>350</v>
      </c>
      <c r="Q384" s="2" t="s">
        <v>350</v>
      </c>
      <c r="R384" s="2" t="s">
        <v>350</v>
      </c>
      <c r="S384" s="2" t="s">
        <v>350</v>
      </c>
      <c r="T384" s="2" t="s">
        <v>350</v>
      </c>
      <c r="U384" s="2" t="s">
        <v>350</v>
      </c>
      <c r="V384" s="2" t="s">
        <v>350</v>
      </c>
      <c r="W384" s="2" t="s">
        <v>350</v>
      </c>
      <c r="X384" s="2" t="s">
        <v>350</v>
      </c>
    </row>
    <row r="385" spans="1:15" hidden="1" x14ac:dyDescent="0.2">
      <c r="A385" s="2" t="s">
        <v>101</v>
      </c>
    </row>
    <row r="386" spans="1:15" hidden="1" x14ac:dyDescent="0.2">
      <c r="A386" s="2" t="s">
        <v>101</v>
      </c>
      <c r="B386" s="2"/>
      <c r="C386" s="2"/>
      <c r="D386" s="45" t="s">
        <v>351</v>
      </c>
      <c r="E386" s="2"/>
      <c r="F386" s="2"/>
      <c r="G386" s="2"/>
      <c r="H386" s="2"/>
      <c r="I386" s="2"/>
      <c r="J386" s="2"/>
      <c r="K386" s="2"/>
      <c r="L386" s="2"/>
      <c r="M386" s="2"/>
      <c r="N386" s="2"/>
      <c r="O386" s="2"/>
    </row>
    <row r="387" spans="1:15" ht="13.5" hidden="1" thickBot="1" x14ac:dyDescent="0.25">
      <c r="A387" s="2" t="s">
        <v>101</v>
      </c>
      <c r="D387" s="46"/>
    </row>
    <row r="388" spans="1:15" hidden="1" x14ac:dyDescent="0.2">
      <c r="A388" s="2" t="s">
        <v>101</v>
      </c>
      <c r="E388" s="162" t="s">
        <v>236</v>
      </c>
      <c r="F388" s="66"/>
      <c r="G388" s="66"/>
      <c r="H388" s="66"/>
      <c r="I388" s="66"/>
      <c r="J388" s="66"/>
      <c r="K388" s="66"/>
      <c r="L388" s="66"/>
      <c r="M388" s="66"/>
      <c r="N388" s="68"/>
    </row>
    <row r="389" spans="1:15" hidden="1" x14ac:dyDescent="0.2">
      <c r="A389" s="2" t="s">
        <v>101</v>
      </c>
      <c r="E389" s="101" t="s">
        <v>354</v>
      </c>
      <c r="F389" s="23"/>
      <c r="G389" s="23"/>
      <c r="H389" s="23"/>
      <c r="I389" s="152">
        <v>1</v>
      </c>
      <c r="J389" s="152">
        <v>2</v>
      </c>
      <c r="K389" s="152">
        <v>3</v>
      </c>
      <c r="L389" s="152">
        <v>4</v>
      </c>
      <c r="M389" s="152">
        <v>5</v>
      </c>
      <c r="N389" s="155"/>
    </row>
    <row r="390" spans="1:15" hidden="1" x14ac:dyDescent="0.2">
      <c r="A390" s="2" t="s">
        <v>101</v>
      </c>
      <c r="E390" s="156" t="s">
        <v>473</v>
      </c>
      <c r="F390" s="23"/>
      <c r="G390" s="23"/>
      <c r="H390" s="23"/>
      <c r="I390" s="152">
        <f>INDEX(EUconst_ReportingYears,I389)</f>
        <v>2014</v>
      </c>
      <c r="J390" s="152">
        <f>INDEX(EUconst_ReportingYears,J389)</f>
        <v>2015</v>
      </c>
      <c r="K390" s="152">
        <f>INDEX(EUconst_ReportingYears,K389)</f>
        <v>2016</v>
      </c>
      <c r="L390" s="152">
        <f>INDEX(EUconst_ReportingYears,L389)</f>
        <v>2017</v>
      </c>
      <c r="M390" s="152">
        <f>INDEX(EUconst_ReportingYears,M389)</f>
        <v>2018</v>
      </c>
      <c r="N390" s="155"/>
    </row>
    <row r="391" spans="1:15" hidden="1" x14ac:dyDescent="0.2">
      <c r="A391" s="2" t="s">
        <v>101</v>
      </c>
      <c r="E391" s="156" t="s">
        <v>472</v>
      </c>
      <c r="F391" s="153"/>
      <c r="G391" s="153"/>
      <c r="H391" s="153"/>
      <c r="I391" s="154">
        <f>IF(CNTR_BaselinePeriod=EUconst_NA,I390,INDEX(EUconst_ReportingYears,I389)+(CNTR_BaselinePeriod-1)*5)</f>
        <v>2014</v>
      </c>
      <c r="J391" s="154">
        <f>IF(CNTR_BaselinePeriod=EUconst_NA,J390,INDEX(EUconst_ReportingYears,J389)+(CNTR_BaselinePeriod-1)*5)</f>
        <v>2015</v>
      </c>
      <c r="K391" s="154">
        <f>IF(CNTR_BaselinePeriod=EUconst_NA,K390,INDEX(EUconst_ReportingYears,K389)+(CNTR_BaselinePeriod-1)*5)</f>
        <v>2016</v>
      </c>
      <c r="L391" s="154">
        <f>IF(CNTR_BaselinePeriod=EUconst_NA,L390,INDEX(EUconst_ReportingYears,L389)+(CNTR_BaselinePeriod-1)*5)</f>
        <v>2017</v>
      </c>
      <c r="M391" s="154">
        <f>IF(CNTR_BaselinePeriod=EUconst_NA,M390,INDEX(EUconst_ReportingYears,M389)+(CNTR_BaselinePeriod-1)*5)</f>
        <v>2018</v>
      </c>
      <c r="N391" s="157"/>
      <c r="O391" s="20"/>
    </row>
    <row r="392" spans="1:15" hidden="1" x14ac:dyDescent="0.2">
      <c r="A392" s="2" t="s">
        <v>101</v>
      </c>
      <c r="E392" s="156" t="s">
        <v>235</v>
      </c>
      <c r="F392" s="153"/>
      <c r="G392" s="153"/>
      <c r="H392" s="153"/>
      <c r="I392" s="154">
        <v>1</v>
      </c>
      <c r="J392" s="154">
        <v>1</v>
      </c>
      <c r="K392" s="154">
        <v>1</v>
      </c>
      <c r="L392" s="154">
        <v>1</v>
      </c>
      <c r="M392" s="154">
        <v>1</v>
      </c>
      <c r="N392" s="157"/>
    </row>
    <row r="393" spans="1:15" hidden="1" x14ac:dyDescent="0.2">
      <c r="A393" s="2" t="s">
        <v>101</v>
      </c>
      <c r="E393" s="156" t="s">
        <v>233</v>
      </c>
      <c r="F393" s="153"/>
      <c r="G393" s="153"/>
      <c r="H393" s="153"/>
      <c r="I393" s="153" t="b">
        <f>(I392=CNTR_BaselinePeriod)</f>
        <v>1</v>
      </c>
      <c r="J393" s="153" t="b">
        <f>(J392=CNTR_BaselinePeriod)</f>
        <v>1</v>
      </c>
      <c r="K393" s="153" t="b">
        <f>(K392=CNTR_BaselinePeriod)</f>
        <v>1</v>
      </c>
      <c r="L393" s="153" t="b">
        <f>(L392=CNTR_BaselinePeriod)</f>
        <v>1</v>
      </c>
      <c r="M393" s="153" t="b">
        <f>(M392=CNTR_BaselinePeriod)</f>
        <v>1</v>
      </c>
      <c r="N393" s="158"/>
    </row>
    <row r="394" spans="1:15" ht="13.5" hidden="1" thickBot="1" x14ac:dyDescent="0.25">
      <c r="A394" s="2" t="s">
        <v>101</v>
      </c>
      <c r="E394" s="159" t="s">
        <v>234</v>
      </c>
      <c r="F394" s="160"/>
      <c r="G394" s="160"/>
      <c r="H394" s="160"/>
      <c r="I394" s="160" t="b">
        <f>INDEX(CNTR_BaslineYearRelevant,I389)</f>
        <v>1</v>
      </c>
      <c r="J394" s="160" t="b">
        <f>INDEX(CNTR_BaslineYearRelevant,J389)</f>
        <v>1</v>
      </c>
      <c r="K394" s="160" t="b">
        <f>INDEX(CNTR_BaslineYearRelevant,K389)</f>
        <v>1</v>
      </c>
      <c r="L394" s="160" t="b">
        <f>INDEX(CNTR_BaslineYearRelevant,L389)</f>
        <v>1</v>
      </c>
      <c r="M394" s="160" t="b">
        <f>INDEX(CNTR_BaslineYearRelevant,M389)</f>
        <v>1</v>
      </c>
      <c r="N394" s="161"/>
    </row>
    <row r="395" spans="1:15" hidden="1" x14ac:dyDescent="0.2">
      <c r="A395" s="2" t="s">
        <v>101</v>
      </c>
    </row>
  </sheetData>
  <sheetProtection sheet="1" objects="1" scenarios="1" formatCells="0" formatColumns="0" formatRows="0"/>
  <mergeCells count="308">
    <mergeCell ref="F363:N363"/>
    <mergeCell ref="E365:K365"/>
    <mergeCell ref="E366:N366"/>
    <mergeCell ref="E369:N369"/>
    <mergeCell ref="E367:N367"/>
    <mergeCell ref="L365:N365"/>
    <mergeCell ref="E374:G374"/>
    <mergeCell ref="E375:G375"/>
    <mergeCell ref="E376:G376"/>
    <mergeCell ref="E370:N370"/>
    <mergeCell ref="E371:G371"/>
    <mergeCell ref="E372:G372"/>
    <mergeCell ref="E373:G373"/>
    <mergeCell ref="E347:N347"/>
    <mergeCell ref="E338:N338"/>
    <mergeCell ref="E340:F340"/>
    <mergeCell ref="E341:F341"/>
    <mergeCell ref="E342:F342"/>
    <mergeCell ref="E359:N359"/>
    <mergeCell ref="F360:N360"/>
    <mergeCell ref="F361:N361"/>
    <mergeCell ref="F362:N362"/>
    <mergeCell ref="E350:G350"/>
    <mergeCell ref="D354:N354"/>
    <mergeCell ref="D356:N356"/>
    <mergeCell ref="E358:N358"/>
    <mergeCell ref="E352:N352"/>
    <mergeCell ref="E348:N348"/>
    <mergeCell ref="E332:K332"/>
    <mergeCell ref="E333:N333"/>
    <mergeCell ref="E336:N336"/>
    <mergeCell ref="E337:N337"/>
    <mergeCell ref="E334:N334"/>
    <mergeCell ref="L332:N332"/>
    <mergeCell ref="E343:F343"/>
    <mergeCell ref="E344:G344"/>
    <mergeCell ref="E346:N346"/>
    <mergeCell ref="E321:G321"/>
    <mergeCell ref="D325:N325"/>
    <mergeCell ref="D327:N327"/>
    <mergeCell ref="E329:N329"/>
    <mergeCell ref="E323:N323"/>
    <mergeCell ref="E314:G314"/>
    <mergeCell ref="E316:N316"/>
    <mergeCell ref="E317:N317"/>
    <mergeCell ref="E318:N318"/>
    <mergeCell ref="E308:G308"/>
    <mergeCell ref="E310:N310"/>
    <mergeCell ref="E311:N311"/>
    <mergeCell ref="E312:N312"/>
    <mergeCell ref="E301:N301"/>
    <mergeCell ref="E304:N304"/>
    <mergeCell ref="E305:N305"/>
    <mergeCell ref="E306:N306"/>
    <mergeCell ref="E302:N302"/>
    <mergeCell ref="D294:N294"/>
    <mergeCell ref="E296:N296"/>
    <mergeCell ref="E298:N298"/>
    <mergeCell ref="E300:K300"/>
    <mergeCell ref="L300:N300"/>
    <mergeCell ref="E284:N284"/>
    <mergeCell ref="E285:N285"/>
    <mergeCell ref="E288:G288"/>
    <mergeCell ref="D292:N292"/>
    <mergeCell ref="E290:N290"/>
    <mergeCell ref="E267:K267"/>
    <mergeCell ref="E268:N268"/>
    <mergeCell ref="E271:N271"/>
    <mergeCell ref="L267:N267"/>
    <mergeCell ref="E269:N269"/>
    <mergeCell ref="E278:N278"/>
    <mergeCell ref="E279:N279"/>
    <mergeCell ref="E281:G281"/>
    <mergeCell ref="E283:N283"/>
    <mergeCell ref="E272:N272"/>
    <mergeCell ref="E273:N273"/>
    <mergeCell ref="E275:G275"/>
    <mergeCell ref="E277:N277"/>
    <mergeCell ref="D259:N259"/>
    <mergeCell ref="D261:N261"/>
    <mergeCell ref="E263:N263"/>
    <mergeCell ref="E257:N257"/>
    <mergeCell ref="E250:N250"/>
    <mergeCell ref="E251:N251"/>
    <mergeCell ref="E252:N252"/>
    <mergeCell ref="E255:G255"/>
    <mergeCell ref="E265:N265"/>
    <mergeCell ref="F236:N236"/>
    <mergeCell ref="E237:N237"/>
    <mergeCell ref="E239:F239"/>
    <mergeCell ref="E249:N249"/>
    <mergeCell ref="E243:F243"/>
    <mergeCell ref="E247:F247"/>
    <mergeCell ref="E246:F246"/>
    <mergeCell ref="E244:F244"/>
    <mergeCell ref="E245:F245"/>
    <mergeCell ref="E223:N223"/>
    <mergeCell ref="E209:F209"/>
    <mergeCell ref="E210:F210"/>
    <mergeCell ref="E212:N212"/>
    <mergeCell ref="E213:N213"/>
    <mergeCell ref="E232:N232"/>
    <mergeCell ref="E233:N233"/>
    <mergeCell ref="E234:N234"/>
    <mergeCell ref="F235:N235"/>
    <mergeCell ref="E224:N224"/>
    <mergeCell ref="E227:K227"/>
    <mergeCell ref="E228:N228"/>
    <mergeCell ref="E231:N231"/>
    <mergeCell ref="E225:N225"/>
    <mergeCell ref="E229:N229"/>
    <mergeCell ref="E110:N110"/>
    <mergeCell ref="E111:N111"/>
    <mergeCell ref="E113:G113"/>
    <mergeCell ref="E115:N115"/>
    <mergeCell ref="E175:N175"/>
    <mergeCell ref="E178:N178"/>
    <mergeCell ref="E190:G190"/>
    <mergeCell ref="E191:G191"/>
    <mergeCell ref="E193:N193"/>
    <mergeCell ref="F186:N186"/>
    <mergeCell ref="F187:N187"/>
    <mergeCell ref="E188:G188"/>
    <mergeCell ref="E189:G189"/>
    <mergeCell ref="E161:N161"/>
    <mergeCell ref="E330:N330"/>
    <mergeCell ref="E141:N141"/>
    <mergeCell ref="E144:N144"/>
    <mergeCell ref="E145:N145"/>
    <mergeCell ref="L140:N140"/>
    <mergeCell ref="E157:G157"/>
    <mergeCell ref="E159:N159"/>
    <mergeCell ref="E160:N160"/>
    <mergeCell ref="E163:G163"/>
    <mergeCell ref="F152:N152"/>
    <mergeCell ref="F153:N153"/>
    <mergeCell ref="F154:N154"/>
    <mergeCell ref="E156:G156"/>
    <mergeCell ref="E194:N194"/>
    <mergeCell ref="E203:N203"/>
    <mergeCell ref="E205:N205"/>
    <mergeCell ref="E206:N206"/>
    <mergeCell ref="E208:F208"/>
    <mergeCell ref="E197:G197"/>
    <mergeCell ref="D199:N199"/>
    <mergeCell ref="E201:N201"/>
    <mergeCell ref="E202:N202"/>
    <mergeCell ref="E215:G215"/>
    <mergeCell ref="D219:N219"/>
    <mergeCell ref="E195:N195"/>
    <mergeCell ref="E253:N253"/>
    <mergeCell ref="E286:N286"/>
    <mergeCell ref="E319:N319"/>
    <mergeCell ref="D133:N133"/>
    <mergeCell ref="E147:G147"/>
    <mergeCell ref="D167:N167"/>
    <mergeCell ref="D169:N169"/>
    <mergeCell ref="E171:N171"/>
    <mergeCell ref="E174:K174"/>
    <mergeCell ref="E172:N172"/>
    <mergeCell ref="E181:G181"/>
    <mergeCell ref="E183:N183"/>
    <mergeCell ref="E184:N184"/>
    <mergeCell ref="F185:N185"/>
    <mergeCell ref="L174:N174"/>
    <mergeCell ref="E179:N179"/>
    <mergeCell ref="E264:N264"/>
    <mergeCell ref="E149:N149"/>
    <mergeCell ref="E150:N150"/>
    <mergeCell ref="F151:N151"/>
    <mergeCell ref="E140:K140"/>
    <mergeCell ref="E297:N297"/>
    <mergeCell ref="D221:N221"/>
    <mergeCell ref="E86:F86"/>
    <mergeCell ref="E79:F79"/>
    <mergeCell ref="E138:N138"/>
    <mergeCell ref="E126:N126"/>
    <mergeCell ref="E129:G129"/>
    <mergeCell ref="D135:N135"/>
    <mergeCell ref="E137:N137"/>
    <mergeCell ref="E97:N97"/>
    <mergeCell ref="E131:N131"/>
    <mergeCell ref="L106:N106"/>
    <mergeCell ref="E116:N116"/>
    <mergeCell ref="F117:N117"/>
    <mergeCell ref="F118:N118"/>
    <mergeCell ref="F119:N119"/>
    <mergeCell ref="E93:N93"/>
    <mergeCell ref="E95:G95"/>
    <mergeCell ref="E104:N104"/>
    <mergeCell ref="E82:F82"/>
    <mergeCell ref="E127:N127"/>
    <mergeCell ref="D99:N99"/>
    <mergeCell ref="D101:N101"/>
    <mergeCell ref="E103:N103"/>
    <mergeCell ref="E106:K106"/>
    <mergeCell ref="E107:N107"/>
    <mergeCell ref="D382:N382"/>
    <mergeCell ref="M4:N4"/>
    <mergeCell ref="G5:H5"/>
    <mergeCell ref="I5:J5"/>
    <mergeCell ref="K5:L5"/>
    <mergeCell ref="M5:N5"/>
    <mergeCell ref="B2:D4"/>
    <mergeCell ref="E4:F4"/>
    <mergeCell ref="G4:H4"/>
    <mergeCell ref="I4:J4"/>
    <mergeCell ref="E165:N165"/>
    <mergeCell ref="E217:N217"/>
    <mergeCell ref="E207:F207"/>
    <mergeCell ref="E108:N108"/>
    <mergeCell ref="E142:N142"/>
    <mergeCell ref="E176:N176"/>
    <mergeCell ref="F120:N120"/>
    <mergeCell ref="E122:G122"/>
    <mergeCell ref="E123:G123"/>
    <mergeCell ref="E125:N125"/>
    <mergeCell ref="E378:N378"/>
    <mergeCell ref="D7:N7"/>
    <mergeCell ref="D9:N9"/>
    <mergeCell ref="D11:N11"/>
    <mergeCell ref="M2:N2"/>
    <mergeCell ref="E3:F3"/>
    <mergeCell ref="G3:H3"/>
    <mergeCell ref="I3:J3"/>
    <mergeCell ref="K3:L3"/>
    <mergeCell ref="M3:N3"/>
    <mergeCell ref="G2:H2"/>
    <mergeCell ref="I2:J2"/>
    <mergeCell ref="K2:L2"/>
    <mergeCell ref="K4:L4"/>
    <mergeCell ref="E241:F241"/>
    <mergeCell ref="E242:F242"/>
    <mergeCell ref="E240:F240"/>
    <mergeCell ref="E87:F87"/>
    <mergeCell ref="L227:N227"/>
    <mergeCell ref="E83:F83"/>
    <mergeCell ref="E84:F84"/>
    <mergeCell ref="E85:F85"/>
    <mergeCell ref="E81:F81"/>
    <mergeCell ref="E13:N13"/>
    <mergeCell ref="E14:N14"/>
    <mergeCell ref="E15:N15"/>
    <mergeCell ref="E17:K17"/>
    <mergeCell ref="E18:N18"/>
    <mergeCell ref="E21:N21"/>
    <mergeCell ref="E91:N91"/>
    <mergeCell ref="E92:N92"/>
    <mergeCell ref="E90:N90"/>
    <mergeCell ref="E75:F75"/>
    <mergeCell ref="E76:F76"/>
    <mergeCell ref="E77:F77"/>
    <mergeCell ref="E78:F78"/>
    <mergeCell ref="E89:N89"/>
    <mergeCell ref="E73:F73"/>
    <mergeCell ref="E74:F74"/>
    <mergeCell ref="E68:F68"/>
    <mergeCell ref="E69:F69"/>
    <mergeCell ref="E70:F70"/>
    <mergeCell ref="E80:F80"/>
    <mergeCell ref="E72:F72"/>
    <mergeCell ref="E71:F71"/>
    <mergeCell ref="E54:F54"/>
    <mergeCell ref="E55:F55"/>
    <mergeCell ref="E66:F66"/>
    <mergeCell ref="E67:F67"/>
    <mergeCell ref="E56:F56"/>
    <mergeCell ref="E57:F57"/>
    <mergeCell ref="E58:F58"/>
    <mergeCell ref="E59:F59"/>
    <mergeCell ref="E60:F60"/>
    <mergeCell ref="E61:F61"/>
    <mergeCell ref="E62:F62"/>
    <mergeCell ref="E63:F63"/>
    <mergeCell ref="E64:F64"/>
    <mergeCell ref="E65:F65"/>
    <mergeCell ref="E45:F45"/>
    <mergeCell ref="E46:F46"/>
    <mergeCell ref="E47:F47"/>
    <mergeCell ref="E40:F40"/>
    <mergeCell ref="E41:F41"/>
    <mergeCell ref="E42:F42"/>
    <mergeCell ref="E43:F43"/>
    <mergeCell ref="E52:F52"/>
    <mergeCell ref="E53:F53"/>
    <mergeCell ref="E48:F48"/>
    <mergeCell ref="E49:F49"/>
    <mergeCell ref="E50:F50"/>
    <mergeCell ref="E51:F51"/>
    <mergeCell ref="E36:F36"/>
    <mergeCell ref="E37:F37"/>
    <mergeCell ref="E38:F38"/>
    <mergeCell ref="E39:F39"/>
    <mergeCell ref="E35:F35"/>
    <mergeCell ref="F27:N27"/>
    <mergeCell ref="F28:N28"/>
    <mergeCell ref="E29:N29"/>
    <mergeCell ref="E44:F44"/>
    <mergeCell ref="L17:N17"/>
    <mergeCell ref="E32:F32"/>
    <mergeCell ref="E33:F33"/>
    <mergeCell ref="E34:F34"/>
    <mergeCell ref="E19:N19"/>
    <mergeCell ref="E22:N22"/>
    <mergeCell ref="E23:N23"/>
    <mergeCell ref="E24:N24"/>
    <mergeCell ref="F25:N25"/>
    <mergeCell ref="F26:N26"/>
  </mergeCells>
  <phoneticPr fontId="35" type="noConversion"/>
  <conditionalFormatting sqref="I372:M374">
    <cfRule type="expression" dxfId="142" priority="299" stopIfTrue="1">
      <formula>($L$365=EUconst_NotRelevant)</formula>
    </cfRule>
  </conditionalFormatting>
  <conditionalFormatting sqref="I340:M343">
    <cfRule type="expression" dxfId="141" priority="301" stopIfTrue="1">
      <formula>($L$332=EUconst_NotRelevant)</formula>
    </cfRule>
  </conditionalFormatting>
  <conditionalFormatting sqref="I308:M308 I314:M314">
    <cfRule type="expression" dxfId="140" priority="303" stopIfTrue="1">
      <formula>($L$300=EUconst_NotRelevant)</formula>
    </cfRule>
  </conditionalFormatting>
  <conditionalFormatting sqref="I275:N275 I281:N281">
    <cfRule type="expression" dxfId="139" priority="307" stopIfTrue="1">
      <formula>($L$267=EUconst_NotRelevant)</formula>
    </cfRule>
  </conditionalFormatting>
  <conditionalFormatting sqref="I240:N247">
    <cfRule type="expression" dxfId="138" priority="311" stopIfTrue="1">
      <formula>($L$227=EUconst_NotRelevant)</formula>
    </cfRule>
  </conditionalFormatting>
  <conditionalFormatting sqref="I181:N181 I189:N191">
    <cfRule type="expression" dxfId="137" priority="313" stopIfTrue="1">
      <formula>($L$174=EUconst_NotRelevant)</formula>
    </cfRule>
  </conditionalFormatting>
  <conditionalFormatting sqref="I147:N147 I156:N157">
    <cfRule type="expression" dxfId="136" priority="317" stopIfTrue="1">
      <formula>($L$140=EUconst_NotRelevant)</formula>
    </cfRule>
  </conditionalFormatting>
  <conditionalFormatting sqref="I113:M113 I122:M123">
    <cfRule type="expression" dxfId="135" priority="321" stopIfTrue="1">
      <formula>($L$106=EUconst_NotRelevant)</formula>
    </cfRule>
  </conditionalFormatting>
  <conditionalFormatting sqref="I32:M87">
    <cfRule type="expression" dxfId="134" priority="325" stopIfTrue="1">
      <formula>($L$17=EUconst_NotRelevant)</formula>
    </cfRule>
  </conditionalFormatting>
  <conditionalFormatting sqref="N31:N87">
    <cfRule type="expression" dxfId="133" priority="41" stopIfTrue="1">
      <formula>$V31</formula>
    </cfRule>
  </conditionalFormatting>
  <conditionalFormatting sqref="N94:N95">
    <cfRule type="expression" dxfId="132" priority="40" stopIfTrue="1">
      <formula>$V94</formula>
    </cfRule>
  </conditionalFormatting>
  <conditionalFormatting sqref="N113">
    <cfRule type="expression" dxfId="131" priority="39" stopIfTrue="1">
      <formula>($L$106=EUconst_NotRelevant)</formula>
    </cfRule>
  </conditionalFormatting>
  <conditionalFormatting sqref="N112:N113">
    <cfRule type="expression" dxfId="130" priority="38" stopIfTrue="1">
      <formula>$V112</formula>
    </cfRule>
  </conditionalFormatting>
  <conditionalFormatting sqref="N121">
    <cfRule type="expression" dxfId="129" priority="37" stopIfTrue="1">
      <formula>$V121</formula>
    </cfRule>
  </conditionalFormatting>
  <conditionalFormatting sqref="N122:N123">
    <cfRule type="expression" dxfId="128" priority="36" stopIfTrue="1">
      <formula>($L$106=EUconst_NotRelevant)</formula>
    </cfRule>
  </conditionalFormatting>
  <conditionalFormatting sqref="N122:N123">
    <cfRule type="expression" dxfId="127" priority="35" stopIfTrue="1">
      <formula>$V122</formula>
    </cfRule>
  </conditionalFormatting>
  <conditionalFormatting sqref="N128">
    <cfRule type="expression" dxfId="126" priority="34" stopIfTrue="1">
      <formula>$V128</formula>
    </cfRule>
  </conditionalFormatting>
  <conditionalFormatting sqref="N129">
    <cfRule type="expression" dxfId="125" priority="33" stopIfTrue="1">
      <formula>$V129</formula>
    </cfRule>
  </conditionalFormatting>
  <conditionalFormatting sqref="N146">
    <cfRule type="expression" dxfId="124" priority="32" stopIfTrue="1">
      <formula>$V146</formula>
    </cfRule>
  </conditionalFormatting>
  <conditionalFormatting sqref="N147">
    <cfRule type="expression" dxfId="123" priority="30" stopIfTrue="1">
      <formula>$V147</formula>
    </cfRule>
  </conditionalFormatting>
  <conditionalFormatting sqref="N155:N157">
    <cfRule type="expression" dxfId="122" priority="29" stopIfTrue="1">
      <formula>$V155</formula>
    </cfRule>
  </conditionalFormatting>
  <conditionalFormatting sqref="N180:N181">
    <cfRule type="expression" dxfId="121" priority="25" stopIfTrue="1">
      <formula>$V180</formula>
    </cfRule>
  </conditionalFormatting>
  <conditionalFormatting sqref="N188:N191">
    <cfRule type="expression" dxfId="120" priority="22" stopIfTrue="1">
      <formula>$V188</formula>
    </cfRule>
  </conditionalFormatting>
  <conditionalFormatting sqref="N196:N197">
    <cfRule type="expression" dxfId="119" priority="20" stopIfTrue="1">
      <formula>$V196</formula>
    </cfRule>
  </conditionalFormatting>
  <conditionalFormatting sqref="N207:N210">
    <cfRule type="expression" dxfId="118" priority="19" stopIfTrue="1">
      <formula>$V188</formula>
    </cfRule>
  </conditionalFormatting>
  <conditionalFormatting sqref="N239:N247">
    <cfRule type="expression" dxfId="117" priority="18" stopIfTrue="1">
      <formula>$V239</formula>
    </cfRule>
  </conditionalFormatting>
  <conditionalFormatting sqref="N254:N255">
    <cfRule type="expression" dxfId="116" priority="17" stopIfTrue="1">
      <formula>$V254</formula>
    </cfRule>
  </conditionalFormatting>
  <conditionalFormatting sqref="N274:N275">
    <cfRule type="expression" dxfId="115" priority="16" stopIfTrue="1">
      <formula>$V274</formula>
    </cfRule>
  </conditionalFormatting>
  <conditionalFormatting sqref="N280:N281">
    <cfRule type="expression" dxfId="114" priority="15" stopIfTrue="1">
      <formula>$V280</formula>
    </cfRule>
  </conditionalFormatting>
  <conditionalFormatting sqref="N287:N288">
    <cfRule type="expression" dxfId="113" priority="14" stopIfTrue="1">
      <formula>$V287</formula>
    </cfRule>
  </conditionalFormatting>
  <conditionalFormatting sqref="N307:N308">
    <cfRule type="expression" dxfId="112" priority="11" stopIfTrue="1">
      <formula>$V307</formula>
    </cfRule>
  </conditionalFormatting>
  <conditionalFormatting sqref="N313:N314">
    <cfRule type="expression" dxfId="111" priority="8" stopIfTrue="1">
      <formula>$V313</formula>
    </cfRule>
  </conditionalFormatting>
  <conditionalFormatting sqref="N320:N321">
    <cfRule type="expression" dxfId="110" priority="7" stopIfTrue="1">
      <formula>$V320</formula>
    </cfRule>
  </conditionalFormatting>
  <conditionalFormatting sqref="N339:N344">
    <cfRule type="expression" dxfId="109" priority="6" stopIfTrue="1">
      <formula>$V339</formula>
    </cfRule>
  </conditionalFormatting>
  <conditionalFormatting sqref="N349:N350">
    <cfRule type="expression" dxfId="108" priority="4" stopIfTrue="1">
      <formula>$V349</formula>
    </cfRule>
  </conditionalFormatting>
  <conditionalFormatting sqref="N371:N376">
    <cfRule type="expression" dxfId="107" priority="3" stopIfTrue="1">
      <formula>$V$371</formula>
    </cfRule>
  </conditionalFormatting>
  <conditionalFormatting sqref="N162:N163">
    <cfRule type="expression" dxfId="106" priority="1" stopIfTrue="1">
      <formula>$V162</formula>
    </cfRule>
  </conditionalFormatting>
  <dataValidations count="3">
    <dataValidation type="decimal" allowBlank="1" showInputMessage="1" showErrorMessage="1" errorTitle="0 &lt; value &lt; 1" error="Values should be between 0 and 1." sqref="I281:N281 I314:N314">
      <formula1>0</formula1>
      <formula2>1</formula2>
    </dataValidation>
    <dataValidation type="decimal" allowBlank="1" showInputMessage="1" showErrorMessage="1" errorTitle="0 &lt; value &lt; 100" error="Values should be between 0 and 100." sqref="I156:N157">
      <formula1>0</formula1>
      <formula2>100</formula2>
    </dataValidation>
    <dataValidation type="decimal" allowBlank="1" showInputMessage="1" showErrorMessage="1" errorTitle="0 &lt; value &lt; 100" error="Values should be between 0 and 100." sqref="I122:N123">
      <formula1>0</formula1>
      <formula2>100</formula2>
    </dataValidation>
  </dataValidations>
  <hyperlinks>
    <hyperlink ref="G2:H2" location="JUMP_TOC_Home" display="Table of contents"/>
    <hyperlink ref="M2:N2" location="JUMP_K_I" display="Summary"/>
    <hyperlink ref="E3:F3" location="JUMP_H_Top" display="Top of sheet"/>
    <hyperlink ref="I2:J2" location="JUMP_G_Top" display="Previous sheet"/>
    <hyperlink ref="G3:H3" location="JUMP_H_I" display="JUMP_H_I"/>
    <hyperlink ref="I3:J3" location="JUMP_H_II" display="JUMP_H_II"/>
    <hyperlink ref="K3:L3" location="JUMP_H_III" display="JUMP_H_III"/>
    <hyperlink ref="M3:N3" location="JUMP_H_IV" display="JUMP_H_IV"/>
    <hyperlink ref="G4:H4" location="JUMP_H_V" display="JUMP_H_V"/>
    <hyperlink ref="I4:J4" location="JUMP_H_VI" display="JUMP_H_VI"/>
    <hyperlink ref="K4:L4" location="JUMP_H_VII" display="JUMP_H_VII"/>
    <hyperlink ref="M4:N4" location="JUMP_H_VIII" display="JUMP_H_VIII"/>
    <hyperlink ref="G5:H5" location="JUMP_H_IX" display="JUMP_H_IX"/>
    <hyperlink ref="E4:F4" location="JUMP_H_Bottom" display="End of sheet"/>
    <hyperlink ref="D382:N382" location="JUMP_I_Top" display="&lt;&lt;&lt; Click here to proceed to next sheet &gt;&gt;&gt; "/>
    <hyperlink ref="K2:L2" location="JUMP_I_Top" display="Next sheet"/>
  </hyperlinks>
  <pageMargins left="0.78740157480314965" right="0.78740157480314965" top="0.78740157480314965" bottom="0.78740157480314965" header="0.51181102362204722" footer="0.51181102362204722"/>
  <pageSetup paperSize="9" scale="61" fitToHeight="12" orientation="portrait" r:id="rId1"/>
  <headerFooter alignWithMargins="0">
    <oddHeader>&amp;L&amp;F; &amp;A&amp;R&amp;D; &amp;T</oddHeader>
    <oddFooter>&amp;C&amp;P / &amp;N</oddFooter>
  </headerFooter>
  <rowBreaks count="3" manualBreakCount="3">
    <brk id="166" min="1" max="13" man="1"/>
    <brk id="258" min="1" max="13" man="1"/>
    <brk id="379" min="1" max="1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indexed="9"/>
    <pageSetUpPr fitToPage="1"/>
  </sheetPr>
  <dimension ref="A1:N30"/>
  <sheetViews>
    <sheetView zoomScaleNormal="100" workbookViewId="0">
      <pane ySplit="3" topLeftCell="A4" activePane="bottomLeft" state="frozen"/>
      <selection pane="bottomLeft" sqref="A1:C3"/>
    </sheetView>
  </sheetViews>
  <sheetFormatPr defaultColWidth="11.42578125" defaultRowHeight="12.75" x14ac:dyDescent="0.2"/>
  <cols>
    <col min="1" max="1" width="2.7109375" style="20" customWidth="1"/>
    <col min="2" max="3" width="4.7109375" style="20" customWidth="1"/>
    <col min="4" max="13" width="12.7109375" style="20" customWidth="1"/>
    <col min="14" max="14" width="4.7109375" style="20" customWidth="1"/>
    <col min="15" max="16384" width="11.42578125" style="20"/>
  </cols>
  <sheetData>
    <row r="1" spans="1:14" ht="13.5" thickBot="1" x14ac:dyDescent="0.25">
      <c r="A1" s="1548" t="str">
        <f>Translations!$B$1108</f>
        <v>I. MS specific</v>
      </c>
      <c r="B1" s="1549"/>
      <c r="C1" s="1550"/>
      <c r="D1" s="790" t="str">
        <f>Translations!$B$2</f>
        <v>Obszar nawigacji:</v>
      </c>
      <c r="E1" s="791"/>
      <c r="F1" s="1558" t="str">
        <f>Translations!$B$18</f>
        <v>Spis treści</v>
      </c>
      <c r="G1" s="1339"/>
      <c r="H1" s="1339" t="str">
        <f>Translations!$B$19</f>
        <v>Poprzedni arkusz</v>
      </c>
      <c r="I1" s="1339"/>
      <c r="J1" s="1339" t="str">
        <f>Translations!$B$3</f>
        <v>Następny arkusz</v>
      </c>
      <c r="K1" s="1339"/>
      <c r="L1" s="1339" t="str">
        <f>Translations!$B$4</f>
        <v>Podsumowanie</v>
      </c>
      <c r="M1" s="1339"/>
    </row>
    <row r="2" spans="1:14" ht="13.5" thickBot="1" x14ac:dyDescent="0.25">
      <c r="A2" s="1551"/>
      <c r="B2" s="1552"/>
      <c r="C2" s="1553"/>
      <c r="D2" s="1339" t="str">
        <f>Translations!$B$5</f>
        <v>Początek arkusza</v>
      </c>
      <c r="E2" s="1542"/>
      <c r="F2" s="1334"/>
      <c r="G2" s="1334"/>
      <c r="H2" s="1334"/>
      <c r="I2" s="1334"/>
      <c r="J2" s="1334"/>
      <c r="K2" s="1334"/>
      <c r="L2" s="1334"/>
      <c r="M2" s="1334"/>
    </row>
    <row r="3" spans="1:14" ht="13.5" thickBot="1" x14ac:dyDescent="0.25">
      <c r="A3" s="1554"/>
      <c r="B3" s="1555"/>
      <c r="C3" s="1556"/>
      <c r="D3" s="1339" t="str">
        <f>Translations!$B$6</f>
        <v>Koniec arkusza</v>
      </c>
      <c r="E3" s="1339"/>
      <c r="F3" s="1334"/>
      <c r="G3" s="1334"/>
      <c r="H3" s="1334"/>
      <c r="I3" s="1334"/>
      <c r="J3" s="1334"/>
      <c r="K3" s="1334"/>
      <c r="L3" s="1334"/>
      <c r="M3" s="1334"/>
    </row>
    <row r="4" spans="1:14" x14ac:dyDescent="0.2">
      <c r="A4" s="3"/>
      <c r="B4" s="4"/>
      <c r="C4" s="5"/>
      <c r="D4" s="5"/>
      <c r="E4" s="6"/>
      <c r="F4" s="6"/>
      <c r="G4" s="6"/>
      <c r="H4" s="3"/>
      <c r="I4" s="3"/>
      <c r="J4" s="3"/>
      <c r="K4" s="3"/>
      <c r="L4" s="7"/>
      <c r="M4" s="7"/>
      <c r="N4" s="7"/>
    </row>
    <row r="5" spans="1:14" ht="23.25" customHeight="1" x14ac:dyDescent="0.2">
      <c r="A5" s="3"/>
      <c r="B5" s="9" t="s">
        <v>268</v>
      </c>
      <c r="C5" s="9" t="str">
        <f>Translations!$B$1109</f>
        <v>Arkusz „MSspecific” (Dane właściwe dla danego państwa członkowskiego) – DODATKOWE WYMOGI DOTYCZĄCE DANYCH, USTANAWIANE PRZEZ PAŃSTWA CZŁONKOWSKIE</v>
      </c>
      <c r="D5" s="9"/>
      <c r="E5" s="9"/>
      <c r="F5" s="9"/>
      <c r="G5" s="9"/>
      <c r="H5" s="9"/>
      <c r="I5" s="9"/>
      <c r="J5" s="9"/>
      <c r="K5" s="9"/>
      <c r="L5" s="7"/>
      <c r="M5" s="7"/>
      <c r="N5" s="7"/>
    </row>
    <row r="6" spans="1:14" x14ac:dyDescent="0.2">
      <c r="A6" s="3"/>
      <c r="B6" s="3"/>
      <c r="C6" s="3"/>
      <c r="D6" s="3"/>
      <c r="E6" s="3"/>
      <c r="F6" s="3"/>
      <c r="G6" s="3"/>
      <c r="H6" s="3"/>
      <c r="I6" s="3"/>
      <c r="J6" s="3"/>
      <c r="K6" s="3"/>
      <c r="L6" s="7"/>
      <c r="M6" s="7"/>
      <c r="N6" s="7"/>
    </row>
    <row r="7" spans="1:14" ht="15.75" x14ac:dyDescent="0.25">
      <c r="A7" s="3"/>
      <c r="B7" s="12" t="s">
        <v>407</v>
      </c>
      <c r="C7" s="13" t="str">
        <f>Translations!$B$1110</f>
        <v>Określa państwo członkowskie</v>
      </c>
      <c r="D7" s="13"/>
      <c r="E7" s="13"/>
      <c r="F7" s="13"/>
      <c r="G7" s="13"/>
      <c r="H7" s="13"/>
      <c r="I7" s="13"/>
      <c r="J7" s="13"/>
      <c r="K7" s="13"/>
      <c r="L7" s="13"/>
      <c r="M7" s="13"/>
      <c r="N7" s="7"/>
    </row>
    <row r="8" spans="1:14" ht="5.0999999999999996" customHeight="1" x14ac:dyDescent="0.2">
      <c r="A8" s="3"/>
      <c r="B8" s="3"/>
      <c r="C8" s="3"/>
      <c r="D8" s="3"/>
      <c r="E8" s="3"/>
      <c r="F8" s="3"/>
      <c r="G8" s="3"/>
      <c r="H8" s="3"/>
      <c r="I8" s="3"/>
      <c r="J8" s="3"/>
      <c r="K8" s="3"/>
      <c r="L8" s="7"/>
      <c r="M8" s="7"/>
      <c r="N8" s="7"/>
    </row>
    <row r="30" spans="3:13" x14ac:dyDescent="0.2">
      <c r="C30" s="1622" t="str">
        <f>Translations!$B$73</f>
        <v xml:space="preserve">&lt;&lt;&lt; Proszę kliknąć tutaj, aby przejść do kolejnego arkusza &gt;&gt;&gt; </v>
      </c>
      <c r="D30" s="1924"/>
      <c r="E30" s="1924"/>
      <c r="F30" s="1924"/>
      <c r="G30" s="1924"/>
      <c r="H30" s="1622"/>
      <c r="I30" s="1622"/>
      <c r="J30" s="1622"/>
      <c r="K30" s="1622"/>
      <c r="L30" s="1622"/>
      <c r="M30" s="1622"/>
    </row>
  </sheetData>
  <sheetProtection sheet="1" objects="1" scenarios="1" formatCells="0" formatColumns="0" formatRows="0"/>
  <mergeCells count="16">
    <mergeCell ref="J3:K3"/>
    <mergeCell ref="L3:M3"/>
    <mergeCell ref="C30:M30"/>
    <mergeCell ref="J1:K1"/>
    <mergeCell ref="L1:M1"/>
    <mergeCell ref="D2:E2"/>
    <mergeCell ref="F2:G2"/>
    <mergeCell ref="H2:I2"/>
    <mergeCell ref="J2:K2"/>
    <mergeCell ref="L2:M2"/>
    <mergeCell ref="A1:C3"/>
    <mergeCell ref="F1:G1"/>
    <mergeCell ref="H1:I1"/>
    <mergeCell ref="D3:E3"/>
    <mergeCell ref="F3:G3"/>
    <mergeCell ref="H3:I3"/>
  </mergeCells>
  <phoneticPr fontId="35" type="noConversion"/>
  <hyperlinks>
    <hyperlink ref="F1:G1" location="JUMP_TOC_Home" display="Table of contents"/>
    <hyperlink ref="L1:M1" location="JUMP_K_I" display="Summary"/>
    <hyperlink ref="H1:I1" location="JUMP_H_Top" display="Previous sheet"/>
    <hyperlink ref="D2:E2" location="JUMP_I_Top" display="Top of sheet"/>
    <hyperlink ref="D3:E3" location="JUMP_I_Bottom" display="End of sheet"/>
    <hyperlink ref="J1:K1" location="JUMP_J_Top" display="Next sheet"/>
    <hyperlink ref="C30:M30" location="JUMP_J_Top" display="JUMP_J_Top"/>
  </hyperlinks>
  <pageMargins left="0.78740157480314965" right="0.78740157480314965" top="0.78740157480314965" bottom="0.78740157480314965" header="0.51181102362204722" footer="0.51181102362204722"/>
  <pageSetup paperSize="9" scale="61" fitToHeight="10" orientation="portrait" r:id="rId1"/>
  <headerFooter alignWithMargins="0">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tabColor indexed="9"/>
    <pageSetUpPr fitToPage="1"/>
  </sheetPr>
  <dimension ref="A1:N59"/>
  <sheetViews>
    <sheetView zoomScaleNormal="100" workbookViewId="0">
      <pane ySplit="3" topLeftCell="A4" activePane="bottomLeft" state="frozen"/>
      <selection pane="bottomLeft" activeCell="F28" sqref="F28:M28"/>
    </sheetView>
  </sheetViews>
  <sheetFormatPr defaultColWidth="11.42578125" defaultRowHeight="12.75" x14ac:dyDescent="0.2"/>
  <cols>
    <col min="1" max="1" width="2.7109375" style="352" customWidth="1"/>
    <col min="2" max="3" width="4.7109375" style="352" customWidth="1"/>
    <col min="4" max="13" width="12.7109375" style="352" customWidth="1"/>
    <col min="14" max="14" width="4.7109375" style="352" customWidth="1"/>
    <col min="15" max="16384" width="11.42578125" style="352"/>
  </cols>
  <sheetData>
    <row r="1" spans="1:14" s="20" customFormat="1" ht="13.5" thickBot="1" x14ac:dyDescent="0.25">
      <c r="A1" s="1548" t="str">
        <f>Translations!$B$1111</f>
        <v>J. Comments</v>
      </c>
      <c r="B1" s="1549"/>
      <c r="C1" s="1550"/>
      <c r="D1" s="790" t="str">
        <f>Translations!$B$2</f>
        <v>Obszar nawigacji:</v>
      </c>
      <c r="E1" s="791"/>
      <c r="F1" s="1558" t="str">
        <f>Translations!$B$18</f>
        <v>Spis treści</v>
      </c>
      <c r="G1" s="1339"/>
      <c r="H1" s="1339" t="str">
        <f>Translations!$B$19</f>
        <v>Poprzedni arkusz</v>
      </c>
      <c r="I1" s="1339"/>
      <c r="J1" s="1339" t="str">
        <f>Translations!$B$3</f>
        <v>Następny arkusz</v>
      </c>
      <c r="K1" s="1339"/>
      <c r="L1" s="1339" t="str">
        <f>Translations!$B$4</f>
        <v>Podsumowanie</v>
      </c>
      <c r="M1" s="1339"/>
      <c r="N1" s="7"/>
    </row>
    <row r="2" spans="1:14" s="20" customFormat="1" ht="13.5" thickBot="1" x14ac:dyDescent="0.25">
      <c r="A2" s="1551"/>
      <c r="B2" s="1552"/>
      <c r="C2" s="1553"/>
      <c r="D2" s="1339" t="str">
        <f>Translations!$B$5</f>
        <v>Początek arkusza</v>
      </c>
      <c r="E2" s="1542"/>
      <c r="F2" s="1334"/>
      <c r="G2" s="1334"/>
      <c r="H2" s="1334"/>
      <c r="I2" s="1334"/>
      <c r="J2" s="1334"/>
      <c r="K2" s="1334"/>
      <c r="L2" s="1334"/>
      <c r="M2" s="1334"/>
      <c r="N2" s="7"/>
    </row>
    <row r="3" spans="1:14" s="20" customFormat="1" ht="13.5" thickBot="1" x14ac:dyDescent="0.25">
      <c r="A3" s="1554"/>
      <c r="B3" s="1555"/>
      <c r="C3" s="1556"/>
      <c r="D3" s="1339" t="str">
        <f>Translations!$B$6</f>
        <v>Koniec arkusza</v>
      </c>
      <c r="E3" s="1339"/>
      <c r="F3" s="1334"/>
      <c r="G3" s="1334"/>
      <c r="H3" s="1334"/>
      <c r="I3" s="1334"/>
      <c r="J3" s="1334"/>
      <c r="K3" s="1334"/>
      <c r="L3" s="1334"/>
      <c r="M3" s="1334"/>
      <c r="N3" s="7"/>
    </row>
    <row r="4" spans="1:14" s="20" customFormat="1" x14ac:dyDescent="0.2">
      <c r="A4" s="3"/>
      <c r="B4" s="4"/>
      <c r="C4" s="5"/>
      <c r="D4" s="5"/>
      <c r="E4" s="6"/>
      <c r="F4" s="6"/>
      <c r="G4" s="6"/>
      <c r="H4" s="3"/>
      <c r="I4" s="3"/>
      <c r="J4" s="3"/>
      <c r="K4" s="3"/>
      <c r="L4" s="7"/>
      <c r="M4" s="7"/>
      <c r="N4" s="7"/>
    </row>
    <row r="5" spans="1:14" s="20" customFormat="1" ht="23.25" customHeight="1" x14ac:dyDescent="0.2">
      <c r="A5" s="3"/>
      <c r="B5" s="9" t="s">
        <v>269</v>
      </c>
      <c r="C5" s="1371" t="str">
        <f>Translations!$B$1112</f>
        <v>Arkusz „Comments” (Uwagi) – UWAGI I DALSZE INFORMACJE</v>
      </c>
      <c r="D5" s="1370"/>
      <c r="E5" s="1370"/>
      <c r="F5" s="1370"/>
      <c r="G5" s="1370"/>
      <c r="H5" s="1370"/>
      <c r="I5" s="1370"/>
      <c r="J5" s="1370"/>
      <c r="K5" s="1370"/>
      <c r="L5" s="1370"/>
      <c r="M5" s="1370"/>
      <c r="N5" s="7"/>
    </row>
    <row r="6" spans="1:14" s="20" customFormat="1" x14ac:dyDescent="0.2">
      <c r="A6" s="3"/>
      <c r="B6" s="3"/>
      <c r="C6" s="3"/>
      <c r="D6" s="3"/>
      <c r="E6" s="3"/>
      <c r="F6" s="3"/>
      <c r="G6" s="3"/>
      <c r="H6" s="3"/>
      <c r="I6" s="3"/>
      <c r="J6" s="3"/>
      <c r="K6" s="3"/>
      <c r="L6" s="7"/>
      <c r="M6" s="7"/>
      <c r="N6" s="7"/>
    </row>
    <row r="7" spans="1:14" s="20" customFormat="1" ht="15.75" x14ac:dyDescent="0.25">
      <c r="A7" s="3"/>
      <c r="B7" s="12" t="s">
        <v>407</v>
      </c>
      <c r="C7" s="1384" t="str">
        <f>Translations!$B$1113</f>
        <v>Dokumenty uzupełniające do niniejszego raportu</v>
      </c>
      <c r="D7" s="1384"/>
      <c r="E7" s="1384"/>
      <c r="F7" s="1384"/>
      <c r="G7" s="1384"/>
      <c r="H7" s="1384"/>
      <c r="I7" s="1384"/>
      <c r="J7" s="1384"/>
      <c r="K7" s="1384"/>
      <c r="L7" s="1384"/>
      <c r="M7" s="1384"/>
      <c r="N7" s="7"/>
    </row>
    <row r="8" spans="1:14" s="20" customFormat="1" ht="5.0999999999999996" customHeight="1" x14ac:dyDescent="0.2">
      <c r="A8" s="3"/>
      <c r="B8" s="3"/>
      <c r="C8" s="3"/>
      <c r="D8" s="3"/>
      <c r="E8" s="3"/>
      <c r="F8" s="3"/>
      <c r="G8" s="3"/>
      <c r="H8" s="3"/>
      <c r="I8" s="3"/>
      <c r="J8" s="3"/>
      <c r="K8" s="3"/>
      <c r="L8" s="7"/>
      <c r="M8" s="7"/>
      <c r="N8" s="7"/>
    </row>
    <row r="9" spans="1:14" s="20" customFormat="1" ht="15" x14ac:dyDescent="0.25">
      <c r="A9" s="3"/>
      <c r="B9" s="18"/>
      <c r="C9" s="1439" t="str">
        <f>Translations!$B$1114</f>
        <v>W tym miejscu proszę wymienić wszystkie dokumenty dołączone do niniejszego raportu</v>
      </c>
      <c r="D9" s="1370"/>
      <c r="E9" s="1370"/>
      <c r="F9" s="1370"/>
      <c r="G9" s="1370"/>
      <c r="H9" s="1370"/>
      <c r="I9" s="1370"/>
      <c r="J9" s="1370"/>
      <c r="K9" s="1370"/>
      <c r="L9" s="1370"/>
      <c r="M9" s="1370"/>
      <c r="N9" s="7"/>
    </row>
    <row r="10" spans="1:14" s="20" customFormat="1" x14ac:dyDescent="0.2">
      <c r="A10" s="3"/>
      <c r="B10" s="16"/>
      <c r="C10" s="1408" t="str">
        <f>Translations!$B$1115</f>
        <v>Do niniejszego raportu należy dołączyć dokumenty dodatkowe. W miarę możliwości informacje te należy przedstawić w formie elektronicznej.</v>
      </c>
      <c r="D10" s="1370"/>
      <c r="E10" s="1370"/>
      <c r="F10" s="1370"/>
      <c r="G10" s="1370"/>
      <c r="H10" s="1370"/>
      <c r="I10" s="1370"/>
      <c r="J10" s="1370"/>
      <c r="K10" s="1370"/>
      <c r="L10" s="1370"/>
      <c r="M10" s="1370"/>
    </row>
    <row r="11" spans="1:14" s="20" customFormat="1" x14ac:dyDescent="0.2">
      <c r="A11" s="3"/>
      <c r="B11" s="16"/>
      <c r="C11" s="1408" t="str">
        <f>Translations!$B$1116</f>
        <v>Mogą Państwo podać informacje w pliku Microsoft Word, Excel lub Adobe Acrobat.</v>
      </c>
      <c r="D11" s="1370"/>
      <c r="E11" s="1370"/>
      <c r="F11" s="1370"/>
      <c r="G11" s="1370"/>
      <c r="H11" s="1370"/>
      <c r="I11" s="1370"/>
      <c r="J11" s="1370"/>
      <c r="K11" s="1370"/>
      <c r="L11" s="1370"/>
      <c r="M11" s="1370"/>
    </row>
    <row r="12" spans="1:14" s="20" customFormat="1" x14ac:dyDescent="0.2">
      <c r="A12" s="3"/>
      <c r="B12" s="16"/>
      <c r="C12" s="1408" t="str">
        <f>Translations!$B$1117</f>
        <v>W razie potrzeby proszę skontaktować się z Państwa właściwym organem i upewnić się, czy poza formatami wymienionymi powyżej dopuszcza się też inne.</v>
      </c>
      <c r="D12" s="1370"/>
      <c r="E12" s="1370"/>
      <c r="F12" s="1370"/>
      <c r="G12" s="1370"/>
      <c r="H12" s="1370"/>
      <c r="I12" s="1370"/>
      <c r="J12" s="1370"/>
      <c r="K12" s="1370"/>
      <c r="L12" s="1370"/>
      <c r="M12" s="1370"/>
    </row>
    <row r="13" spans="1:14" s="20" customFormat="1" x14ac:dyDescent="0.2">
      <c r="A13" s="3"/>
      <c r="B13" s="16"/>
      <c r="C13" s="1408" t="str">
        <f>Translations!$B$1118</f>
        <v xml:space="preserve">Przekazywane dokumenty dodatkowe powinny być jasno oznaczone. Poniżej należy podać nazwę pliku lub numer referencyjny. </v>
      </c>
      <c r="D13" s="1370"/>
      <c r="E13" s="1370"/>
      <c r="F13" s="1370"/>
      <c r="G13" s="1370"/>
      <c r="H13" s="1370"/>
      <c r="I13" s="1370"/>
      <c r="J13" s="1370"/>
      <c r="K13" s="1370"/>
      <c r="L13" s="1370"/>
      <c r="M13" s="1370"/>
    </row>
    <row r="14" spans="1:14" s="20" customFormat="1" x14ac:dyDescent="0.2">
      <c r="A14" s="3"/>
      <c r="B14" s="16"/>
      <c r="C14" s="1408" t="str">
        <f>Translations!$B$1119</f>
        <v xml:space="preserve">Zaleca się, by nie podawać informacji nieistotnych, gdyż może to opóźnić zatwierdzenie niniejszego sprawozdania. </v>
      </c>
      <c r="D14" s="1370"/>
      <c r="E14" s="1370"/>
      <c r="F14" s="1370"/>
      <c r="G14" s="1370"/>
      <c r="H14" s="1370"/>
      <c r="I14" s="1370"/>
      <c r="J14" s="1370"/>
      <c r="K14" s="1370"/>
      <c r="L14" s="1370"/>
      <c r="M14" s="1370"/>
    </row>
    <row r="15" spans="1:14" s="20" customFormat="1" ht="5.0999999999999996" customHeight="1" x14ac:dyDescent="0.2">
      <c r="A15" s="3"/>
      <c r="B15" s="3"/>
      <c r="C15" s="3"/>
      <c r="D15" s="3"/>
      <c r="E15" s="3"/>
      <c r="F15" s="3"/>
      <c r="G15" s="3"/>
      <c r="H15" s="3"/>
      <c r="I15" s="3"/>
      <c r="J15" s="3"/>
      <c r="K15" s="3"/>
      <c r="L15" s="7"/>
      <c r="M15" s="7"/>
      <c r="N15" s="7"/>
    </row>
    <row r="16" spans="1:14" s="20" customFormat="1" x14ac:dyDescent="0.2">
      <c r="A16" s="3"/>
      <c r="B16" s="14" t="s">
        <v>173</v>
      </c>
      <c r="C16" s="1375" t="str">
        <f>Translations!$B$1120</f>
        <v>Plan metodyki monitorowania zgodnie z wymogami określonymi w art. 4 ust. 2 lit. b) FAR (obowiązkowo):</v>
      </c>
      <c r="D16" s="1370"/>
      <c r="E16" s="1370"/>
      <c r="F16" s="1370"/>
      <c r="G16" s="1370"/>
      <c r="H16" s="1370"/>
      <c r="I16" s="1370"/>
      <c r="J16" s="1370"/>
      <c r="K16" s="1370"/>
      <c r="L16" s="1370"/>
      <c r="M16" s="1370"/>
    </row>
    <row r="17" spans="1:14" s="20" customFormat="1" x14ac:dyDescent="0.2">
      <c r="C17" s="1945" t="str">
        <f>Translations!$B$1121</f>
        <v>Poniżej proszę podać nazwę pliku lub nazwy plików, jeśli są one w formie elektronicznej, bądź numer lub numery referencyjne dokumentów, jeśli są one w wersji papierowej.</v>
      </c>
      <c r="D17" s="1370"/>
      <c r="E17" s="1370"/>
      <c r="F17" s="1370"/>
      <c r="G17" s="1370"/>
      <c r="H17" s="1370"/>
      <c r="I17" s="1370"/>
      <c r="J17" s="1370"/>
      <c r="K17" s="1370"/>
      <c r="L17" s="1370"/>
      <c r="M17" s="1370"/>
    </row>
    <row r="18" spans="1:14" s="20" customFormat="1" ht="5.0999999999999996" customHeight="1" x14ac:dyDescent="0.2">
      <c r="A18" s="3"/>
      <c r="B18" s="3"/>
      <c r="C18" s="3"/>
      <c r="D18" s="3"/>
      <c r="E18" s="3"/>
      <c r="F18" s="3"/>
      <c r="G18" s="3"/>
      <c r="H18" s="3"/>
      <c r="I18" s="3"/>
      <c r="J18" s="3"/>
      <c r="K18" s="3"/>
      <c r="L18" s="7"/>
      <c r="M18" s="7"/>
      <c r="N18" s="7"/>
    </row>
    <row r="19" spans="1:14" s="20" customFormat="1" x14ac:dyDescent="0.2">
      <c r="D19" s="1430" t="str">
        <f>Translations!$B$1122</f>
        <v>Nazwa / numer referencyjny pliku</v>
      </c>
      <c r="E19" s="1431"/>
      <c r="F19" s="1852" t="str">
        <f>Translations!$B$1123</f>
        <v>Opis dokumentu</v>
      </c>
      <c r="G19" s="1377"/>
      <c r="H19" s="1377"/>
      <c r="I19" s="1377"/>
      <c r="J19" s="1377"/>
      <c r="K19" s="1377"/>
      <c r="L19" s="1377"/>
      <c r="M19" s="1377"/>
    </row>
    <row r="20" spans="1:14" s="20" customFormat="1" ht="65.25" customHeight="1" x14ac:dyDescent="0.2">
      <c r="D20" s="1927" t="s">
        <v>3681</v>
      </c>
      <c r="E20" s="1928"/>
      <c r="F20" s="1931" t="s">
        <v>3680</v>
      </c>
      <c r="G20" s="1932"/>
      <c r="H20" s="1932"/>
      <c r="I20" s="1932"/>
      <c r="J20" s="1932"/>
      <c r="K20" s="1932"/>
      <c r="L20" s="1932"/>
      <c r="M20" s="1932"/>
    </row>
    <row r="21" spans="1:14" s="20" customFormat="1" ht="38.25" customHeight="1" x14ac:dyDescent="0.2">
      <c r="D21" s="1929"/>
      <c r="E21" s="1930"/>
      <c r="F21" s="1933"/>
      <c r="G21" s="1934"/>
      <c r="H21" s="1934"/>
      <c r="I21" s="1934"/>
      <c r="J21" s="1934"/>
      <c r="K21" s="1934"/>
      <c r="L21" s="1934"/>
      <c r="M21" s="1934"/>
    </row>
    <row r="22" spans="1:14" s="20" customFormat="1" ht="38.25" customHeight="1" x14ac:dyDescent="0.2">
      <c r="D22" s="1925"/>
      <c r="E22" s="1926"/>
      <c r="F22" s="1935"/>
      <c r="G22" s="1936"/>
      <c r="H22" s="1936"/>
      <c r="I22" s="1936"/>
      <c r="J22" s="1936"/>
      <c r="K22" s="1936"/>
      <c r="L22" s="1936"/>
      <c r="M22" s="1936"/>
    </row>
    <row r="23" spans="1:14" s="20" customFormat="1" ht="5.0999999999999996" customHeight="1" x14ac:dyDescent="0.2">
      <c r="A23" s="3"/>
      <c r="B23" s="3"/>
      <c r="C23" s="3"/>
      <c r="D23" s="3"/>
      <c r="E23" s="3"/>
      <c r="F23" s="3"/>
      <c r="G23" s="3"/>
      <c r="H23" s="3"/>
      <c r="I23" s="3"/>
      <c r="J23" s="3"/>
      <c r="K23" s="3"/>
      <c r="L23" s="7"/>
      <c r="M23" s="7"/>
      <c r="N23" s="7"/>
    </row>
    <row r="24" spans="1:14" s="20" customFormat="1" x14ac:dyDescent="0.2">
      <c r="A24" s="3"/>
      <c r="B24" s="14" t="s">
        <v>353</v>
      </c>
      <c r="C24" s="1375" t="str">
        <f>Translations!$B$1124</f>
        <v>Sprawozdanie z weryfikacji zgodnie z wymogami określonymi w art. 4 ust. 2 lit. c) FAR (obowiązkowo):</v>
      </c>
      <c r="D24" s="1370"/>
      <c r="E24" s="1370"/>
      <c r="F24" s="1370"/>
      <c r="G24" s="1370"/>
      <c r="H24" s="1370"/>
      <c r="I24" s="1370"/>
      <c r="J24" s="1370"/>
      <c r="K24" s="1370"/>
      <c r="L24" s="1370"/>
      <c r="M24" s="1370"/>
    </row>
    <row r="25" spans="1:14" s="20" customFormat="1" x14ac:dyDescent="0.2">
      <c r="C25" s="1945" t="str">
        <f>Translations!$B$1121</f>
        <v>Poniżej proszę podać nazwę pliku lub nazwy plików, jeśli są one w formie elektronicznej, bądź numer lub numery referencyjne dokumentów, jeśli są one w wersji papierowej.</v>
      </c>
      <c r="D25" s="1370"/>
      <c r="E25" s="1370"/>
      <c r="F25" s="1370"/>
      <c r="G25" s="1370"/>
      <c r="H25" s="1370"/>
      <c r="I25" s="1370"/>
      <c r="J25" s="1370"/>
      <c r="K25" s="1370"/>
      <c r="L25" s="1370"/>
      <c r="M25" s="1370"/>
    </row>
    <row r="26" spans="1:14" s="20" customFormat="1" ht="5.0999999999999996" customHeight="1" x14ac:dyDescent="0.2">
      <c r="A26" s="3"/>
      <c r="B26" s="3"/>
      <c r="C26" s="3"/>
      <c r="D26" s="3"/>
      <c r="E26" s="3"/>
      <c r="F26" s="3"/>
      <c r="G26" s="3"/>
      <c r="H26" s="3"/>
      <c r="I26" s="3"/>
      <c r="J26" s="3"/>
      <c r="K26" s="3"/>
      <c r="L26" s="7"/>
      <c r="M26" s="7"/>
      <c r="N26" s="7"/>
    </row>
    <row r="27" spans="1:14" s="20" customFormat="1" x14ac:dyDescent="0.2">
      <c r="D27" s="1430" t="str">
        <f>Translations!$B$1122</f>
        <v>Nazwa / numer referencyjny pliku</v>
      </c>
      <c r="E27" s="1431"/>
      <c r="F27" s="1852" t="str">
        <f>Translations!$B$1123</f>
        <v>Opis dokumentu</v>
      </c>
      <c r="G27" s="1377"/>
      <c r="H27" s="1377"/>
      <c r="I27" s="1377"/>
      <c r="J27" s="1377"/>
      <c r="K27" s="1377"/>
      <c r="L27" s="1377"/>
      <c r="M27" s="1377"/>
    </row>
    <row r="28" spans="1:14" s="20" customFormat="1" ht="53.25" customHeight="1" x14ac:dyDescent="0.2">
      <c r="D28" s="1927" t="s">
        <v>3682</v>
      </c>
      <c r="E28" s="1928"/>
      <c r="F28" s="1931"/>
      <c r="G28" s="1932"/>
      <c r="H28" s="1932"/>
      <c r="I28" s="1932"/>
      <c r="J28" s="1932"/>
      <c r="K28" s="1932"/>
      <c r="L28" s="1932"/>
      <c r="M28" s="1932"/>
    </row>
    <row r="29" spans="1:14" s="20" customFormat="1" ht="38.25" customHeight="1" x14ac:dyDescent="0.2">
      <c r="D29" s="1929"/>
      <c r="E29" s="1930"/>
      <c r="F29" s="1933"/>
      <c r="G29" s="1934"/>
      <c r="H29" s="1934"/>
      <c r="I29" s="1934"/>
      <c r="J29" s="1934"/>
      <c r="K29" s="1934"/>
      <c r="L29" s="1934"/>
      <c r="M29" s="1934"/>
    </row>
    <row r="30" spans="1:14" s="20" customFormat="1" ht="38.25" customHeight="1" x14ac:dyDescent="0.2">
      <c r="D30" s="1925"/>
      <c r="E30" s="1926"/>
      <c r="F30" s="1935"/>
      <c r="G30" s="1936"/>
      <c r="H30" s="1936"/>
      <c r="I30" s="1936"/>
      <c r="J30" s="1936"/>
      <c r="K30" s="1936"/>
      <c r="L30" s="1936"/>
      <c r="M30" s="1936"/>
    </row>
    <row r="31" spans="1:14" s="20" customFormat="1" ht="5.0999999999999996" customHeight="1" x14ac:dyDescent="0.2">
      <c r="A31" s="3"/>
      <c r="B31" s="3"/>
      <c r="C31" s="3"/>
      <c r="D31" s="3"/>
      <c r="E31" s="3"/>
      <c r="F31" s="3"/>
      <c r="G31" s="3"/>
      <c r="H31" s="3"/>
      <c r="I31" s="3"/>
      <c r="J31" s="3"/>
      <c r="K31" s="3"/>
      <c r="L31" s="7"/>
      <c r="M31" s="7"/>
    </row>
    <row r="32" spans="1:14" s="20" customFormat="1" x14ac:dyDescent="0.2">
      <c r="A32" s="3"/>
      <c r="B32" s="14" t="s">
        <v>11</v>
      </c>
      <c r="C32" s="1375" t="str">
        <f>Translations!$B$1125</f>
        <v>Uzasadnienie wszelkich luk w danych</v>
      </c>
      <c r="D32" s="1370"/>
      <c r="E32" s="1370"/>
      <c r="F32" s="1370"/>
      <c r="G32" s="1370"/>
      <c r="H32" s="1370"/>
      <c r="I32" s="1370"/>
      <c r="J32" s="1370"/>
      <c r="K32" s="1370"/>
      <c r="L32" s="1370"/>
      <c r="M32" s="1370"/>
    </row>
    <row r="33" spans="1:14" s="20" customFormat="1" x14ac:dyDescent="0.2">
      <c r="C33" s="1945" t="str">
        <f>Translations!$B$1126</f>
        <v>Art. 12 ust. 2 FAR wymaga uzasadnienia wszelkich luk w danych i opisania metody ich uzupełnienia.</v>
      </c>
      <c r="D33" s="1370"/>
      <c r="E33" s="1370"/>
      <c r="F33" s="1370"/>
      <c r="G33" s="1370"/>
      <c r="H33" s="1370"/>
      <c r="I33" s="1370"/>
      <c r="J33" s="1370"/>
      <c r="K33" s="1370"/>
      <c r="L33" s="1370"/>
      <c r="M33" s="1370"/>
    </row>
    <row r="34" spans="1:14" s="20" customFormat="1" ht="12.75" customHeight="1" x14ac:dyDescent="0.2">
      <c r="A34" s="3"/>
      <c r="B34" s="3"/>
      <c r="C34" s="3"/>
      <c r="D34" s="3"/>
      <c r="E34" s="3"/>
      <c r="F34" s="3"/>
      <c r="G34" s="3"/>
      <c r="H34" s="3"/>
      <c r="I34" s="3"/>
      <c r="J34" s="3"/>
      <c r="K34" s="3"/>
      <c r="L34" s="7"/>
      <c r="M34" s="7"/>
    </row>
    <row r="35" spans="1:14" s="121" customFormat="1" ht="25.5" customHeight="1" x14ac:dyDescent="0.2">
      <c r="A35" s="971"/>
      <c r="B35" s="971"/>
      <c r="C35" s="1099" t="str">
        <f>Translations!$B$220</f>
        <v>Nr</v>
      </c>
      <c r="D35" s="1951" t="str">
        <f>Translations!$B$1127</f>
        <v>Zbiór danych, którego luka dotyczy (dane dotyczące działalności, współczynnik emisji, ciepło, energia elektryczna,...)</v>
      </c>
      <c r="E35" s="1951"/>
      <c r="F35" s="1951" t="str">
        <f>Translations!$B$614</f>
        <v>Podinstalacja</v>
      </c>
      <c r="G35" s="1951"/>
      <c r="H35" s="1195" t="str">
        <f>Translations!$B$1541</f>
        <v>Okres</v>
      </c>
      <c r="I35" s="1952" t="str">
        <f>Translations!$B$1128</f>
        <v>Opis luki danych</v>
      </c>
      <c r="J35" s="1953"/>
      <c r="K35" s="1951" t="str">
        <f>Translations!$B$1129</f>
        <v>Uzasadnienie</v>
      </c>
      <c r="L35" s="1951"/>
      <c r="M35" s="1951"/>
      <c r="N35" s="20"/>
    </row>
    <row r="36" spans="1:14" s="20" customFormat="1" ht="25.5" customHeight="1" x14ac:dyDescent="0.2">
      <c r="A36" s="3"/>
      <c r="B36" s="3"/>
      <c r="C36" s="1098" t="str">
        <f>IF(COUNTA(D36:M36)&gt;0,MAX($C$35:C35)+1,"")</f>
        <v/>
      </c>
      <c r="D36" s="1954"/>
      <c r="E36" s="1954"/>
      <c r="F36" s="1954"/>
      <c r="G36" s="1954"/>
      <c r="H36" s="1301"/>
      <c r="I36" s="1955"/>
      <c r="J36" s="1956"/>
      <c r="K36" s="1954"/>
      <c r="L36" s="1954"/>
      <c r="M36" s="1954"/>
    </row>
    <row r="37" spans="1:14" s="20" customFormat="1" ht="25.5" customHeight="1" x14ac:dyDescent="0.2">
      <c r="A37" s="3"/>
      <c r="B37" s="3"/>
      <c r="C37" s="1098" t="str">
        <f>IF(COUNTA(D37:M37)&gt;0,MAX($C$35:C36)+1,"")</f>
        <v/>
      </c>
      <c r="D37" s="1954"/>
      <c r="E37" s="1954"/>
      <c r="F37" s="1954"/>
      <c r="G37" s="1954"/>
      <c r="H37" s="1301"/>
      <c r="I37" s="1955"/>
      <c r="J37" s="1956"/>
      <c r="K37" s="1954"/>
      <c r="L37" s="1954"/>
      <c r="M37" s="1954"/>
    </row>
    <row r="38" spans="1:14" s="20" customFormat="1" ht="25.5" customHeight="1" x14ac:dyDescent="0.2">
      <c r="A38" s="3"/>
      <c r="B38" s="3"/>
      <c r="C38" s="1098" t="str">
        <f>IF(COUNTA(D38:M38)&gt;0,MAX($C$35:C37)+1,"")</f>
        <v/>
      </c>
      <c r="D38" s="1954"/>
      <c r="E38" s="1954"/>
      <c r="F38" s="1954"/>
      <c r="G38" s="1954"/>
      <c r="H38" s="1301"/>
      <c r="I38" s="1955"/>
      <c r="J38" s="1956"/>
      <c r="K38" s="1954"/>
      <c r="L38" s="1954"/>
      <c r="M38" s="1954"/>
    </row>
    <row r="39" spans="1:14" s="20" customFormat="1" ht="25.5" customHeight="1" x14ac:dyDescent="0.2">
      <c r="A39" s="3"/>
      <c r="B39" s="3"/>
      <c r="C39" s="1098" t="str">
        <f>IF(COUNTA(D39:M39)&gt;0,MAX($C$35:C38)+1,"")</f>
        <v/>
      </c>
      <c r="D39" s="1954"/>
      <c r="E39" s="1954"/>
      <c r="F39" s="1954"/>
      <c r="G39" s="1954"/>
      <c r="H39" s="1301"/>
      <c r="I39" s="1955"/>
      <c r="J39" s="1956"/>
      <c r="K39" s="1954"/>
      <c r="L39" s="1954"/>
      <c r="M39" s="1954"/>
    </row>
    <row r="40" spans="1:14" s="20" customFormat="1" ht="25.5" customHeight="1" x14ac:dyDescent="0.2">
      <c r="A40" s="3"/>
      <c r="B40" s="3"/>
      <c r="C40" s="1098" t="str">
        <f>IF(COUNTA(D40:M40)&gt;0,MAX($C$35:C39)+1,"")</f>
        <v/>
      </c>
      <c r="D40" s="1954"/>
      <c r="E40" s="1954"/>
      <c r="F40" s="1954"/>
      <c r="G40" s="1954"/>
      <c r="H40" s="1301"/>
      <c r="I40" s="1955"/>
      <c r="J40" s="1956"/>
      <c r="K40" s="1954"/>
      <c r="L40" s="1954"/>
      <c r="M40" s="1954"/>
    </row>
    <row r="41" spans="1:14" s="20" customFormat="1" ht="25.5" customHeight="1" x14ac:dyDescent="0.2">
      <c r="A41" s="3"/>
      <c r="B41" s="3"/>
      <c r="C41" s="1098" t="str">
        <f>IF(COUNTA(D41:M41)&gt;0,MAX($C$35:C40)+1,"")</f>
        <v/>
      </c>
      <c r="D41" s="1954"/>
      <c r="E41" s="1954"/>
      <c r="F41" s="1954"/>
      <c r="G41" s="1954"/>
      <c r="H41" s="1301"/>
      <c r="I41" s="1955"/>
      <c r="J41" s="1956"/>
      <c r="K41" s="1954"/>
      <c r="L41" s="1954"/>
      <c r="M41" s="1954"/>
    </row>
    <row r="42" spans="1:14" s="20" customFormat="1" ht="5.0999999999999996" customHeight="1" x14ac:dyDescent="0.2">
      <c r="A42" s="3"/>
      <c r="B42" s="3"/>
      <c r="C42" s="3"/>
      <c r="D42" s="3"/>
      <c r="E42" s="3"/>
      <c r="F42" s="3"/>
      <c r="G42" s="3"/>
      <c r="H42" s="3"/>
      <c r="I42" s="3"/>
      <c r="J42" s="3"/>
      <c r="K42" s="3"/>
      <c r="L42" s="7"/>
      <c r="M42" s="7"/>
    </row>
    <row r="43" spans="1:14" s="20" customFormat="1" x14ac:dyDescent="0.2">
      <c r="A43" s="3"/>
      <c r="B43" s="14" t="s">
        <v>356</v>
      </c>
      <c r="C43" s="1375" t="str">
        <f>Translations!$B$1130</f>
        <v>Inne dokumenty:</v>
      </c>
      <c r="D43" s="1370"/>
      <c r="E43" s="1370"/>
      <c r="F43" s="1370"/>
      <c r="G43" s="1370"/>
      <c r="H43" s="1370"/>
      <c r="I43" s="1370"/>
      <c r="J43" s="1370"/>
      <c r="K43" s="1370"/>
      <c r="L43" s="1370"/>
      <c r="M43" s="1370"/>
    </row>
    <row r="44" spans="1:14" s="20" customFormat="1" x14ac:dyDescent="0.2">
      <c r="C44" s="1945" t="str">
        <f>Translations!$B$1121</f>
        <v>Poniżej proszę podać nazwę pliku lub nazwy plików, jeśli są one w formie elektronicznej, bądź numer lub numery referencyjne dokumentów, jeśli są one w wersji papierowej.</v>
      </c>
      <c r="D44" s="1370"/>
      <c r="E44" s="1370"/>
      <c r="F44" s="1370"/>
      <c r="G44" s="1370"/>
      <c r="H44" s="1370"/>
      <c r="I44" s="1370"/>
      <c r="J44" s="1370"/>
      <c r="K44" s="1370"/>
      <c r="L44" s="1370"/>
      <c r="M44" s="1370"/>
    </row>
    <row r="45" spans="1:14" s="20" customFormat="1" ht="5.0999999999999996" customHeight="1" x14ac:dyDescent="0.2">
      <c r="A45" s="3"/>
      <c r="B45" s="3"/>
      <c r="C45" s="3"/>
      <c r="D45" s="3"/>
      <c r="E45" s="3"/>
      <c r="F45" s="3"/>
      <c r="G45" s="3"/>
      <c r="H45" s="3"/>
      <c r="I45" s="3"/>
      <c r="J45" s="3"/>
      <c r="K45" s="3"/>
      <c r="L45" s="7"/>
      <c r="M45" s="7"/>
      <c r="N45" s="7"/>
    </row>
    <row r="46" spans="1:14" s="20" customFormat="1" x14ac:dyDescent="0.2">
      <c r="D46" s="25" t="str">
        <f>Translations!$B$1122</f>
        <v>Nazwa / numer referencyjny pliku</v>
      </c>
      <c r="E46" s="238"/>
      <c r="F46" s="25" t="str">
        <f>Translations!$B$1123</f>
        <v>Opis dokumentu</v>
      </c>
      <c r="G46" s="25"/>
      <c r="H46" s="25"/>
      <c r="I46" s="25"/>
      <c r="J46" s="25"/>
      <c r="K46" s="25"/>
      <c r="L46" s="22"/>
      <c r="M46" s="22"/>
    </row>
    <row r="47" spans="1:14" s="20" customFormat="1" x14ac:dyDescent="0.2">
      <c r="D47" s="1941"/>
      <c r="E47" s="1942"/>
      <c r="F47" s="1943"/>
      <c r="G47" s="1944"/>
      <c r="H47" s="1944"/>
      <c r="I47" s="1944"/>
      <c r="J47" s="1944"/>
      <c r="K47" s="1944"/>
      <c r="L47" s="1944"/>
      <c r="M47" s="1944"/>
    </row>
    <row r="48" spans="1:14" s="20" customFormat="1" x14ac:dyDescent="0.2">
      <c r="D48" s="1937"/>
      <c r="E48" s="1938"/>
      <c r="F48" s="1939"/>
      <c r="G48" s="1940"/>
      <c r="H48" s="1940"/>
      <c r="I48" s="1940"/>
      <c r="J48" s="1940"/>
      <c r="K48" s="1940"/>
      <c r="L48" s="1940"/>
      <c r="M48" s="1940"/>
    </row>
    <row r="49" spans="1:14" s="20" customFormat="1" x14ac:dyDescent="0.2">
      <c r="D49" s="1937"/>
      <c r="E49" s="1938"/>
      <c r="F49" s="1939"/>
      <c r="G49" s="1940"/>
      <c r="H49" s="1940"/>
      <c r="I49" s="1940"/>
      <c r="J49" s="1940"/>
      <c r="K49" s="1940"/>
      <c r="L49" s="1940"/>
      <c r="M49" s="1940"/>
    </row>
    <row r="50" spans="1:14" s="20" customFormat="1" x14ac:dyDescent="0.2">
      <c r="D50" s="1937"/>
      <c r="E50" s="1938"/>
      <c r="F50" s="1939"/>
      <c r="G50" s="1940"/>
      <c r="H50" s="1940"/>
      <c r="I50" s="1940"/>
      <c r="J50" s="1940"/>
      <c r="K50" s="1940"/>
      <c r="L50" s="1940"/>
      <c r="M50" s="1940"/>
    </row>
    <row r="51" spans="1:14" s="20" customFormat="1" x14ac:dyDescent="0.2">
      <c r="D51" s="1937"/>
      <c r="E51" s="1938"/>
      <c r="F51" s="1939"/>
      <c r="G51" s="1940"/>
      <c r="H51" s="1940"/>
      <c r="I51" s="1940"/>
      <c r="J51" s="1940"/>
      <c r="K51" s="1940"/>
      <c r="L51" s="1940"/>
      <c r="M51" s="1940"/>
    </row>
    <row r="52" spans="1:14" s="20" customFormat="1" x14ac:dyDescent="0.2">
      <c r="D52" s="1937"/>
      <c r="E52" s="1938"/>
      <c r="F52" s="1939"/>
      <c r="G52" s="1940"/>
      <c r="H52" s="1940"/>
      <c r="I52" s="1940"/>
      <c r="J52" s="1940"/>
      <c r="K52" s="1940"/>
      <c r="L52" s="1940"/>
      <c r="M52" s="1940"/>
    </row>
    <row r="53" spans="1:14" s="20" customFormat="1" x14ac:dyDescent="0.2">
      <c r="D53" s="1937"/>
      <c r="E53" s="1938"/>
      <c r="F53" s="1939"/>
      <c r="G53" s="1940"/>
      <c r="H53" s="1940"/>
      <c r="I53" s="1940"/>
      <c r="J53" s="1940"/>
      <c r="K53" s="1940"/>
      <c r="L53" s="1940"/>
      <c r="M53" s="1940"/>
    </row>
    <row r="54" spans="1:14" s="20" customFormat="1" x14ac:dyDescent="0.2">
      <c r="D54" s="1937"/>
      <c r="E54" s="1938"/>
      <c r="F54" s="1939"/>
      <c r="G54" s="1940"/>
      <c r="H54" s="1940"/>
      <c r="I54" s="1940"/>
      <c r="J54" s="1940"/>
      <c r="K54" s="1940"/>
      <c r="L54" s="1940"/>
      <c r="M54" s="1940"/>
    </row>
    <row r="55" spans="1:14" s="20" customFormat="1" x14ac:dyDescent="0.2">
      <c r="D55" s="1947"/>
      <c r="E55" s="1948"/>
      <c r="F55" s="1949"/>
      <c r="G55" s="1950"/>
      <c r="H55" s="1950"/>
      <c r="I55" s="1950"/>
      <c r="J55" s="1950"/>
      <c r="K55" s="1950"/>
      <c r="L55" s="1950"/>
      <c r="M55" s="1950"/>
    </row>
    <row r="56" spans="1:14" s="20" customFormat="1" x14ac:dyDescent="0.2"/>
    <row r="57" spans="1:14" s="20" customFormat="1" ht="15.75" x14ac:dyDescent="0.25">
      <c r="A57" s="3"/>
      <c r="B57" s="12" t="s">
        <v>352</v>
      </c>
      <c r="C57" s="1384" t="str">
        <f>Translations!$B$1131</f>
        <v>Miejsce na wszelkiego rodzaje informacje dodatkowe</v>
      </c>
      <c r="D57" s="1384"/>
      <c r="E57" s="1384"/>
      <c r="F57" s="1384"/>
      <c r="G57" s="1384"/>
      <c r="H57" s="1384"/>
      <c r="I57" s="1384"/>
      <c r="J57" s="1384"/>
      <c r="K57" s="1384"/>
      <c r="L57" s="1384"/>
      <c r="M57" s="1384"/>
      <c r="N57" s="7"/>
    </row>
    <row r="58" spans="1:14" s="20" customFormat="1" ht="5.0999999999999996" customHeight="1" x14ac:dyDescent="0.2">
      <c r="A58" s="3"/>
      <c r="B58" s="3"/>
      <c r="C58" s="3"/>
      <c r="D58" s="3"/>
      <c r="E58" s="3"/>
      <c r="F58" s="3"/>
      <c r="G58" s="3"/>
      <c r="H58" s="3"/>
      <c r="I58" s="3"/>
      <c r="J58" s="3"/>
      <c r="K58" s="3"/>
      <c r="L58" s="7"/>
      <c r="M58" s="7"/>
      <c r="N58" s="7"/>
    </row>
    <row r="59" spans="1:14" s="20" customFormat="1" ht="30" customHeight="1" x14ac:dyDescent="0.25">
      <c r="A59" s="3"/>
      <c r="B59" s="142"/>
      <c r="C59" s="1946" t="str">
        <f>Translations!$B$1132</f>
        <v>W polu poniżej mogą Państwo podać wszelkie informacje, które nie nadają się do wprowadzenia w pozostałych arkuszach, lecz które – Państwa zdaniem – mogą być istotne dla właściwego organu</v>
      </c>
      <c r="D59" s="1946"/>
      <c r="E59" s="1946"/>
      <c r="F59" s="1946"/>
      <c r="G59" s="1946"/>
      <c r="H59" s="1946"/>
      <c r="I59" s="1946"/>
      <c r="J59" s="1946"/>
      <c r="K59" s="1946"/>
      <c r="L59" s="1946"/>
      <c r="M59" s="1946"/>
      <c r="N59" s="7"/>
    </row>
  </sheetData>
  <sheetProtection sheet="1" objects="1" scenarios="1" formatCells="0" formatColumns="0" formatRows="0"/>
  <mergeCells count="95">
    <mergeCell ref="D40:E40"/>
    <mergeCell ref="F40:G40"/>
    <mergeCell ref="K40:M40"/>
    <mergeCell ref="D41:E41"/>
    <mergeCell ref="F41:G41"/>
    <mergeCell ref="K41:M41"/>
    <mergeCell ref="I40:J40"/>
    <mergeCell ref="I41:J41"/>
    <mergeCell ref="D38:E38"/>
    <mergeCell ref="F38:G38"/>
    <mergeCell ref="K38:M38"/>
    <mergeCell ref="D39:E39"/>
    <mergeCell ref="F39:G39"/>
    <mergeCell ref="K39:M39"/>
    <mergeCell ref="I38:J38"/>
    <mergeCell ref="I39:J39"/>
    <mergeCell ref="D36:E36"/>
    <mergeCell ref="F36:G36"/>
    <mergeCell ref="K36:M36"/>
    <mergeCell ref="D37:E37"/>
    <mergeCell ref="F37:G37"/>
    <mergeCell ref="K37:M37"/>
    <mergeCell ref="I36:J36"/>
    <mergeCell ref="I37:J37"/>
    <mergeCell ref="F28:M28"/>
    <mergeCell ref="C32:M32"/>
    <mergeCell ref="C33:M33"/>
    <mergeCell ref="D35:E35"/>
    <mergeCell ref="F35:G35"/>
    <mergeCell ref="K35:M35"/>
    <mergeCell ref="I35:J35"/>
    <mergeCell ref="C16:M16"/>
    <mergeCell ref="C17:M17"/>
    <mergeCell ref="D19:E19"/>
    <mergeCell ref="F19:M19"/>
    <mergeCell ref="F53:M53"/>
    <mergeCell ref="D48:E48"/>
    <mergeCell ref="F48:M48"/>
    <mergeCell ref="D29:E29"/>
    <mergeCell ref="F29:M29"/>
    <mergeCell ref="D30:E30"/>
    <mergeCell ref="F30:M30"/>
    <mergeCell ref="C24:M24"/>
    <mergeCell ref="C25:M25"/>
    <mergeCell ref="D27:E27"/>
    <mergeCell ref="F27:M27"/>
    <mergeCell ref="D28:E28"/>
    <mergeCell ref="C11:M11"/>
    <mergeCell ref="C12:M12"/>
    <mergeCell ref="C13:M13"/>
    <mergeCell ref="C14:M14"/>
    <mergeCell ref="C5:M5"/>
    <mergeCell ref="C7:M7"/>
    <mergeCell ref="C9:M9"/>
    <mergeCell ref="C10:M10"/>
    <mergeCell ref="L3:M3"/>
    <mergeCell ref="L1:M1"/>
    <mergeCell ref="D2:E2"/>
    <mergeCell ref="F2:G2"/>
    <mergeCell ref="H2:I2"/>
    <mergeCell ref="J2:K2"/>
    <mergeCell ref="L2:M2"/>
    <mergeCell ref="A1:C3"/>
    <mergeCell ref="F1:G1"/>
    <mergeCell ref="H1:I1"/>
    <mergeCell ref="J1:K1"/>
    <mergeCell ref="D3:E3"/>
    <mergeCell ref="F3:G3"/>
    <mergeCell ref="H3:I3"/>
    <mergeCell ref="J3:K3"/>
    <mergeCell ref="C59:M59"/>
    <mergeCell ref="D54:E54"/>
    <mergeCell ref="F54:M54"/>
    <mergeCell ref="D50:E50"/>
    <mergeCell ref="F50:M50"/>
    <mergeCell ref="D51:E51"/>
    <mergeCell ref="F51:M51"/>
    <mergeCell ref="D52:E52"/>
    <mergeCell ref="F52:M52"/>
    <mergeCell ref="D53:E53"/>
    <mergeCell ref="C57:M57"/>
    <mergeCell ref="D55:E55"/>
    <mergeCell ref="F55:M55"/>
    <mergeCell ref="D49:E49"/>
    <mergeCell ref="F49:M49"/>
    <mergeCell ref="D47:E47"/>
    <mergeCell ref="F47:M47"/>
    <mergeCell ref="C43:M43"/>
    <mergeCell ref="C44:M44"/>
    <mergeCell ref="D22:E22"/>
    <mergeCell ref="D20:E20"/>
    <mergeCell ref="D21:E21"/>
    <mergeCell ref="F20:M20"/>
    <mergeCell ref="F21:M21"/>
    <mergeCell ref="F22:M22"/>
  </mergeCells>
  <phoneticPr fontId="35" type="noConversion"/>
  <hyperlinks>
    <hyperlink ref="F1:G1" location="JUMP_TOC_Home" display="Table of contents"/>
    <hyperlink ref="L1:M1" location="JUMP_K_I" display="Summary"/>
    <hyperlink ref="D2:E2" location="JUMP_J_Top" display="Top of sheet"/>
    <hyperlink ref="D3:E3" location="JUMP_J_II" display="End of sheet"/>
    <hyperlink ref="H1:I1" location="JUMP_I_Top" display="Previous sheet"/>
    <hyperlink ref="J1:K1" location="JUMP_K_Top" display="Next sheet"/>
  </hyperlinks>
  <pageMargins left="0.78740157480314965" right="0.78740157480314965" top="0.78740157480314965" bottom="0.78740157480314965" header="0.51181102362204722" footer="0.51181102362204722"/>
  <pageSetup paperSize="9" scale="61" fitToHeight="10" orientation="portrait" r:id="rId1"/>
  <headerFooter alignWithMargins="0">
    <oddHeader>&amp;L&amp;F; &amp;A&amp;R&amp;D; &amp;T</oddHeader>
    <oddFooter>&amp;C&amp;P /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indexed="10"/>
    <pageSetUpPr fitToPage="1"/>
  </sheetPr>
  <dimension ref="A1:IV1403"/>
  <sheetViews>
    <sheetView topLeftCell="B1" zoomScaleNormal="100" workbookViewId="0">
      <pane ySplit="4" topLeftCell="A5" activePane="bottomLeft" state="frozen"/>
      <selection activeCell="B2" sqref="B2"/>
      <selection pane="bottomLeft" activeCell="B2" sqref="B2:D4"/>
    </sheetView>
  </sheetViews>
  <sheetFormatPr defaultColWidth="11.42578125" defaultRowHeight="12.75" x14ac:dyDescent="0.2"/>
  <cols>
    <col min="1" max="1" width="2.7109375" style="2" hidden="1" customWidth="1"/>
    <col min="2" max="2" width="2.7109375" style="1" customWidth="1"/>
    <col min="3" max="3" width="4.7109375" style="1" customWidth="1"/>
    <col min="4" max="4" width="4.28515625" style="1" customWidth="1"/>
    <col min="5" max="6" width="12.7109375" style="1" customWidth="1"/>
    <col min="7" max="7" width="13.7109375" style="1" customWidth="1"/>
    <col min="8" max="14" width="12.7109375" style="1" customWidth="1"/>
    <col min="15" max="15" width="4.7109375" style="1" customWidth="1"/>
    <col min="16" max="19" width="12.7109375" style="2" hidden="1" customWidth="1"/>
    <col min="20" max="20" width="8" style="2" hidden="1" customWidth="1"/>
    <col min="21" max="16384" width="11.42578125" style="700"/>
  </cols>
  <sheetData>
    <row r="1" spans="1:20" s="2" customFormat="1" ht="13.5" hidden="1" thickBot="1" x14ac:dyDescent="0.25">
      <c r="A1" s="2" t="s">
        <v>101</v>
      </c>
      <c r="P1" s="2" t="s">
        <v>101</v>
      </c>
      <c r="Q1" s="2" t="s">
        <v>101</v>
      </c>
      <c r="R1" s="2" t="s">
        <v>101</v>
      </c>
      <c r="S1" s="2" t="s">
        <v>101</v>
      </c>
      <c r="T1" s="2" t="s">
        <v>101</v>
      </c>
    </row>
    <row r="2" spans="1:20" ht="13.5" thickBot="1" x14ac:dyDescent="0.25">
      <c r="B2" s="1548" t="str">
        <f>Translations!$B$1133</f>
        <v>K. Summary</v>
      </c>
      <c r="C2" s="1549"/>
      <c r="D2" s="1550"/>
      <c r="E2" s="790" t="str">
        <f>Translations!$B$2</f>
        <v>Obszar nawigacji:</v>
      </c>
      <c r="F2" s="791"/>
      <c r="G2" s="1558" t="str">
        <f>Translations!$B$18</f>
        <v>Spis treści</v>
      </c>
      <c r="H2" s="1339"/>
      <c r="I2" s="1339" t="str">
        <f>Translations!$B$19</f>
        <v>Poprzedni arkusz</v>
      </c>
      <c r="J2" s="1339"/>
      <c r="K2" s="2002"/>
      <c r="L2" s="2002"/>
      <c r="M2" s="1339"/>
      <c r="N2" s="1339"/>
      <c r="O2" s="7"/>
      <c r="P2" s="8"/>
      <c r="Q2" s="8"/>
      <c r="R2" s="8"/>
      <c r="S2" s="8"/>
      <c r="T2" s="8"/>
    </row>
    <row r="3" spans="1:20" ht="13.5" thickBot="1" x14ac:dyDescent="0.25">
      <c r="B3" s="1551"/>
      <c r="C3" s="1552"/>
      <c r="D3" s="1553"/>
      <c r="E3" s="1339" t="str">
        <f>Translations!$B$5</f>
        <v>Początek arkusza</v>
      </c>
      <c r="F3" s="1542"/>
      <c r="G3" s="1543" t="str">
        <f>Translations!$B$1134</f>
        <v>Dane dotyczące instalacji</v>
      </c>
      <c r="H3" s="1544"/>
      <c r="I3" s="1544" t="str">
        <f>Translations!$B$1135</f>
        <v>Okres odniesienia i kwalifikowalność</v>
      </c>
      <c r="J3" s="1544"/>
      <c r="K3" s="1544" t="str">
        <f>Translations!$B$1136</f>
        <v>Emisje i przepływy energii</v>
      </c>
      <c r="L3" s="1544"/>
      <c r="M3" s="1544" t="str">
        <f>Translations!$B$1137</f>
        <v>Dane dotyczące podinstalacji</v>
      </c>
      <c r="N3" s="1544"/>
      <c r="O3" s="20"/>
      <c r="P3" s="8"/>
      <c r="Q3" s="8"/>
      <c r="R3" s="8"/>
      <c r="S3" s="8"/>
      <c r="T3" s="8"/>
    </row>
    <row r="4" spans="1:20" ht="13.5" thickBot="1" x14ac:dyDescent="0.25">
      <c r="B4" s="1554"/>
      <c r="C4" s="1555"/>
      <c r="D4" s="1556"/>
      <c r="E4" s="1339" t="str">
        <f>Translations!$B$6</f>
        <v>Koniec arkusza</v>
      </c>
      <c r="F4" s="1339"/>
      <c r="G4" s="1557" t="str">
        <f>Translations!$B$1138</f>
        <v>Wstępny przydział</v>
      </c>
      <c r="H4" s="1545"/>
      <c r="I4" s="1545"/>
      <c r="J4" s="1545"/>
      <c r="K4" s="1824"/>
      <c r="L4" s="1819"/>
      <c r="M4" s="1819"/>
      <c r="N4" s="1819"/>
      <c r="O4" s="20"/>
      <c r="P4" s="8"/>
      <c r="Q4" s="8"/>
      <c r="R4" s="8"/>
      <c r="S4" s="8"/>
      <c r="T4" s="8"/>
    </row>
    <row r="5" spans="1:20" x14ac:dyDescent="0.2">
      <c r="B5" s="3"/>
      <c r="C5" s="4"/>
      <c r="D5" s="5"/>
      <c r="E5" s="5"/>
      <c r="F5" s="6"/>
      <c r="G5" s="6"/>
      <c r="H5" s="6"/>
      <c r="I5" s="3"/>
      <c r="J5" s="3"/>
      <c r="K5" s="3"/>
      <c r="L5" s="3"/>
      <c r="M5" s="7"/>
      <c r="N5" s="7"/>
      <c r="O5" s="20"/>
      <c r="P5" s="8"/>
      <c r="Q5" s="8"/>
      <c r="R5" s="8"/>
      <c r="S5" s="8"/>
      <c r="T5" s="8"/>
    </row>
    <row r="6" spans="1:20" ht="23.25" customHeight="1" x14ac:dyDescent="0.2">
      <c r="B6" s="3"/>
      <c r="C6" s="9" t="s">
        <v>99</v>
      </c>
      <c r="D6" s="9" t="str">
        <f>Translations!$B$1139</f>
        <v>Arkusz „Summary” (Podsumowanie) – PRZEGLĄD NAJWAŻNIEJSZYCH DANYCH</v>
      </c>
      <c r="E6" s="9"/>
      <c r="F6" s="9"/>
      <c r="G6" s="9"/>
      <c r="H6" s="9"/>
      <c r="I6" s="9"/>
      <c r="J6" s="9"/>
      <c r="K6" s="9"/>
      <c r="L6" s="9"/>
      <c r="M6" s="805"/>
      <c r="N6" s="7"/>
      <c r="O6" s="20"/>
      <c r="P6" s="10" t="s">
        <v>75</v>
      </c>
      <c r="Q6" s="10" t="s">
        <v>75</v>
      </c>
      <c r="R6" s="10" t="s">
        <v>75</v>
      </c>
      <c r="S6" s="10" t="s">
        <v>75</v>
      </c>
      <c r="T6" s="10" t="s">
        <v>75</v>
      </c>
    </row>
    <row r="7" spans="1:20" x14ac:dyDescent="0.2">
      <c r="B7" s="3"/>
      <c r="C7" s="3"/>
      <c r="D7" s="3"/>
      <c r="E7" s="3"/>
      <c r="F7" s="3"/>
      <c r="G7" s="3"/>
      <c r="H7" s="3"/>
      <c r="I7" s="3"/>
      <c r="J7" s="3"/>
      <c r="K7" s="3"/>
      <c r="L7" s="3"/>
      <c r="M7" s="7"/>
      <c r="N7" s="7"/>
      <c r="O7" s="20"/>
      <c r="P7" s="11" t="s">
        <v>274</v>
      </c>
      <c r="Q7" s="11" t="s">
        <v>274</v>
      </c>
      <c r="R7" s="11" t="s">
        <v>274</v>
      </c>
      <c r="S7" s="11" t="s">
        <v>274</v>
      </c>
      <c r="T7" s="11" t="s">
        <v>274</v>
      </c>
    </row>
    <row r="8" spans="1:20" ht="15.75" x14ac:dyDescent="0.25">
      <c r="B8" s="3"/>
      <c r="C8" s="12" t="s">
        <v>407</v>
      </c>
      <c r="D8" s="13" t="str">
        <f>Translations!$B$1134</f>
        <v>Dane dotyczące instalacji</v>
      </c>
      <c r="E8" s="13"/>
      <c r="F8" s="13"/>
      <c r="G8" s="13"/>
      <c r="H8" s="13"/>
      <c r="I8" s="13"/>
      <c r="J8" s="13"/>
      <c r="K8" s="13"/>
      <c r="L8" s="13"/>
      <c r="M8" s="13"/>
      <c r="N8" s="13"/>
      <c r="O8" s="20"/>
      <c r="P8" s="8"/>
      <c r="Q8" s="8"/>
      <c r="R8" s="8"/>
      <c r="S8" s="8"/>
      <c r="T8" s="8"/>
    </row>
    <row r="9" spans="1:20" ht="5.0999999999999996" customHeight="1" x14ac:dyDescent="0.2">
      <c r="B9" s="3"/>
      <c r="C9" s="3"/>
      <c r="D9" s="3"/>
      <c r="E9" s="3"/>
      <c r="F9" s="3"/>
      <c r="G9" s="3"/>
      <c r="H9" s="3"/>
      <c r="I9" s="3"/>
      <c r="J9" s="3"/>
      <c r="K9" s="3"/>
      <c r="L9" s="3"/>
      <c r="M9" s="7"/>
      <c r="N9" s="7"/>
      <c r="O9" s="20"/>
      <c r="P9" s="8"/>
      <c r="Q9" s="8"/>
      <c r="R9" s="8"/>
      <c r="S9" s="8"/>
      <c r="T9" s="8"/>
    </row>
    <row r="10" spans="1:20" ht="15" customHeight="1" x14ac:dyDescent="0.25">
      <c r="B10" s="20"/>
      <c r="C10" s="18">
        <v>1</v>
      </c>
      <c r="D10" s="1439" t="str">
        <f>Translations!$B$1140</f>
        <v>Informacje ogólne (część A.I):</v>
      </c>
      <c r="E10" s="1370"/>
      <c r="F10" s="1370"/>
      <c r="G10" s="1370"/>
      <c r="H10" s="1370"/>
      <c r="I10" s="1370"/>
      <c r="J10" s="1370"/>
      <c r="K10" s="1370"/>
      <c r="L10" s="1370"/>
      <c r="M10" s="1370"/>
      <c r="N10" s="1370"/>
      <c r="O10" s="20"/>
      <c r="P10" s="430"/>
      <c r="Q10" s="430"/>
      <c r="R10" s="430"/>
      <c r="S10" s="430"/>
      <c r="T10" s="430"/>
    </row>
    <row r="11" spans="1:20" s="701" customFormat="1" ht="5.0999999999999996" customHeight="1" x14ac:dyDescent="0.2">
      <c r="A11" s="422"/>
      <c r="B11" s="398"/>
      <c r="C11" s="398"/>
      <c r="D11" s="398"/>
      <c r="E11" s="425"/>
      <c r="F11" s="425"/>
      <c r="G11" s="425"/>
      <c r="H11" s="425"/>
      <c r="I11" s="425"/>
      <c r="J11" s="425"/>
      <c r="K11" s="425"/>
      <c r="L11" s="425"/>
      <c r="M11" s="425"/>
      <c r="N11" s="398"/>
      <c r="O11" s="20"/>
      <c r="P11" s="422"/>
      <c r="Q11" s="422"/>
      <c r="R11" s="422"/>
      <c r="S11" s="422"/>
      <c r="T11" s="8"/>
    </row>
    <row r="12" spans="1:20" s="701" customFormat="1" x14ac:dyDescent="0.2">
      <c r="A12" s="422"/>
      <c r="B12" s="398"/>
      <c r="C12" s="398"/>
      <c r="D12" s="398"/>
      <c r="E12" s="397" t="str">
        <f>Translations!$B$1141</f>
        <v>Identyfikator instalacji:</v>
      </c>
      <c r="F12" s="425"/>
      <c r="G12" s="425"/>
      <c r="H12" s="2018" t="str">
        <f>CNTR_UniqueID</f>
        <v>PL000000000009999</v>
      </c>
      <c r="I12" s="2018"/>
      <c r="J12" s="425"/>
      <c r="K12" s="537" t="str">
        <f>Translations!$B$1142</f>
        <v>Państwo członkowskie:</v>
      </c>
      <c r="M12" s="1975" t="str">
        <f>IF(ISBLANK(A_InstallationData!J15),"",A_InstallationData!J15)</f>
        <v>Polska</v>
      </c>
      <c r="N12" s="2019"/>
      <c r="O12" s="20"/>
      <c r="P12" s="422"/>
      <c r="Q12" s="422"/>
      <c r="R12" s="422"/>
      <c r="S12" s="422"/>
      <c r="T12" s="8"/>
    </row>
    <row r="13" spans="1:20" s="701" customFormat="1" x14ac:dyDescent="0.2">
      <c r="A13" s="422"/>
      <c r="B13" s="398"/>
      <c r="C13" s="398"/>
      <c r="D13" s="398"/>
      <c r="E13" s="397" t="str">
        <f>Translations!$B$86</f>
        <v>Nazwa instalacji:</v>
      </c>
      <c r="F13" s="425"/>
      <c r="G13" s="425"/>
      <c r="H13" s="2016" t="str">
        <f>IF(ISBLANK(A_InstallationData!J12),"",A_InstallationData!J12)</f>
        <v>Ciepłownia</v>
      </c>
      <c r="I13" s="2017"/>
      <c r="J13" s="2017"/>
      <c r="K13" s="2017"/>
      <c r="L13" s="2017"/>
      <c r="M13" s="425"/>
      <c r="N13" s="398"/>
      <c r="O13" s="20"/>
      <c r="P13" s="422"/>
      <c r="Q13" s="422"/>
      <c r="R13" s="422"/>
      <c r="S13" s="422"/>
      <c r="T13" s="8"/>
    </row>
    <row r="14" spans="1:20" s="701" customFormat="1" x14ac:dyDescent="0.2">
      <c r="A14" s="422"/>
      <c r="B14" s="398"/>
      <c r="C14" s="398"/>
      <c r="D14" s="398"/>
      <c r="E14" s="397" t="str">
        <f>Translations!$B$118</f>
        <v>Nazwa prowadzącego instalację:</v>
      </c>
      <c r="F14" s="425"/>
      <c r="G14" s="425"/>
      <c r="H14" s="2016" t="str">
        <f>IF(ISBLANK(A_InstallationData!J57),"",A_InstallationData!J57)</f>
        <v>Przykład  bilans mierzalnego ciepła</v>
      </c>
      <c r="I14" s="2017"/>
      <c r="J14" s="2017"/>
      <c r="K14" s="2017"/>
      <c r="L14" s="2017"/>
      <c r="M14" s="425"/>
      <c r="N14" s="398"/>
      <c r="O14" s="20"/>
      <c r="P14" s="422"/>
      <c r="Q14" s="422"/>
      <c r="R14" s="422"/>
      <c r="S14" s="422"/>
      <c r="T14" s="8"/>
    </row>
    <row r="15" spans="1:20" s="701" customFormat="1" x14ac:dyDescent="0.2">
      <c r="A15" s="422"/>
      <c r="B15" s="398"/>
      <c r="C15" s="398"/>
      <c r="D15" s="398"/>
      <c r="E15" s="44" t="str">
        <f>Translations!$B$1143</f>
        <v>Weryfikator (firma):</v>
      </c>
      <c r="F15" s="425"/>
      <c r="G15" s="425"/>
      <c r="H15" s="2016" t="str">
        <f>IF(ISBLANK(A_InstallationData!J91),"",A_InstallationData!J91)</f>
        <v/>
      </c>
      <c r="I15" s="2017"/>
      <c r="J15" s="2017"/>
      <c r="K15" s="2017"/>
      <c r="L15" s="2017"/>
      <c r="M15" s="425"/>
      <c r="N15" s="398"/>
      <c r="O15" s="20"/>
      <c r="P15" s="422"/>
      <c r="Q15" s="422"/>
      <c r="R15" s="422"/>
      <c r="S15" s="422"/>
      <c r="T15" s="8"/>
    </row>
    <row r="16" spans="1:20" s="701" customFormat="1" ht="5.0999999999999996" customHeight="1" x14ac:dyDescent="0.2">
      <c r="A16" s="422"/>
      <c r="B16" s="398"/>
      <c r="C16" s="398"/>
      <c r="D16" s="398"/>
      <c r="E16" s="397"/>
      <c r="F16" s="425"/>
      <c r="G16" s="425"/>
      <c r="H16" s="215"/>
      <c r="I16" s="425"/>
      <c r="J16" s="425"/>
      <c r="K16" s="425"/>
      <c r="L16" s="425"/>
      <c r="M16" s="425"/>
      <c r="N16" s="398"/>
      <c r="O16" s="20"/>
      <c r="P16" s="422"/>
      <c r="Q16" s="422"/>
      <c r="R16" s="422"/>
      <c r="S16" s="422"/>
      <c r="T16" s="8"/>
    </row>
    <row r="17" spans="1:20" s="701" customFormat="1" x14ac:dyDescent="0.2">
      <c r="A17" s="422"/>
      <c r="B17" s="398"/>
      <c r="C17" s="398"/>
      <c r="D17" s="398"/>
      <c r="E17" s="397" t="str">
        <f>Translations!$B$1144</f>
        <v>Objęta wcześniej systemem EU ETS:</v>
      </c>
      <c r="F17" s="425"/>
      <c r="G17" s="425"/>
      <c r="H17" s="1264" t="b">
        <f>IF(ISBLANK(A_InstallationData!J18),"",A_InstallationData!J18)</f>
        <v>1</v>
      </c>
      <c r="I17" s="425"/>
      <c r="J17" s="425"/>
      <c r="K17" s="537" t="str">
        <f>Translations!$B$1145</f>
        <v>Podmiot stanowiący niewielkie źródło emisji (art. 27):</v>
      </c>
      <c r="L17" s="425"/>
      <c r="M17" s="808" t="b">
        <f>IF(ISBLANK(A_InstallationData!M140),"",A_InstallationData!M140)</f>
        <v>0</v>
      </c>
      <c r="N17" s="398"/>
      <c r="O17" s="20"/>
      <c r="P17" s="422"/>
      <c r="Q17" s="422"/>
      <c r="R17" s="422"/>
      <c r="S17" s="422"/>
      <c r="T17" s="8"/>
    </row>
    <row r="18" spans="1:20" s="701" customFormat="1" x14ac:dyDescent="0.2">
      <c r="A18" s="422"/>
      <c r="B18" s="398"/>
      <c r="C18" s="398"/>
      <c r="D18" s="398"/>
      <c r="E18" s="44" t="str">
        <f>Translations!$B$1146</f>
        <v>Instalacja dotychczas działająca:</v>
      </c>
      <c r="F18" s="425"/>
      <c r="G18" s="425"/>
      <c r="H18" s="1264" t="b">
        <f>IF(ISBLANK(A_InstallationData!J47),"",A_InstallationData!J47)</f>
        <v>1</v>
      </c>
      <c r="I18" s="425"/>
      <c r="J18" s="425"/>
      <c r="K18" s="537" t="str">
        <f>Translations!$B$1147</f>
        <v>Szpital:</v>
      </c>
      <c r="L18" s="425"/>
      <c r="M18" s="808" t="b">
        <f>IF(ISBLANK(A_InstallationData!M142),"",A_InstallationData!M142)</f>
        <v>0</v>
      </c>
      <c r="N18" s="398"/>
      <c r="O18" s="20"/>
      <c r="P18" s="422"/>
      <c r="Q18" s="422"/>
      <c r="R18" s="422"/>
      <c r="S18" s="422"/>
      <c r="T18" s="8"/>
    </row>
    <row r="19" spans="1:20" s="701" customFormat="1" x14ac:dyDescent="0.2">
      <c r="A19" s="422"/>
      <c r="B19" s="398"/>
      <c r="C19" s="398"/>
      <c r="D19" s="398"/>
      <c r="E19" s="397" t="str">
        <f>Translations!$B$1148</f>
        <v>Data rozpoczęcia:</v>
      </c>
      <c r="F19" s="425"/>
      <c r="G19" s="425"/>
      <c r="H19" s="1264" t="str">
        <f>IF(ISBLANK(A_InstallationData!J44),"",A_InstallationData!J44)</f>
        <v/>
      </c>
      <c r="I19" s="425"/>
      <c r="J19" s="425"/>
      <c r="K19" s="537" t="str">
        <f>Translations!$B$1149</f>
        <v>Podmiot stanowiący niewielkie źródło emisji (art. 27a):</v>
      </c>
      <c r="L19" s="425"/>
      <c r="M19" s="808" t="b">
        <f>IF(ISBLANK(A_InstallationData!M152),"",A_InstallationData!M152)</f>
        <v>0</v>
      </c>
      <c r="N19" s="398"/>
      <c r="O19" s="20"/>
      <c r="P19" s="422"/>
      <c r="Q19" s="422"/>
      <c r="R19" s="422"/>
      <c r="S19" s="422"/>
      <c r="T19" s="8"/>
    </row>
    <row r="20" spans="1:20" s="701" customFormat="1" x14ac:dyDescent="0.2">
      <c r="A20" s="422"/>
      <c r="B20" s="398"/>
      <c r="C20" s="398"/>
      <c r="D20" s="398"/>
      <c r="E20" s="397"/>
      <c r="F20" s="425"/>
      <c r="G20" s="425"/>
      <c r="H20" s="215"/>
      <c r="I20" s="425"/>
      <c r="J20" s="425"/>
      <c r="K20" s="537" t="str">
        <f>Translations!$B$1150</f>
        <v>Jednostki &lt;300h:</v>
      </c>
      <c r="L20" s="425"/>
      <c r="M20" s="808" t="b">
        <f>IF(ISBLANK(A_InstallationData!M154),"",A_InstallationData!M154)</f>
        <v>0</v>
      </c>
      <c r="N20" s="398"/>
      <c r="O20" s="20"/>
      <c r="P20" s="422"/>
      <c r="Q20" s="422"/>
      <c r="R20" s="422"/>
      <c r="S20" s="422"/>
      <c r="T20" s="8"/>
    </row>
    <row r="21" spans="1:20" s="701" customFormat="1" x14ac:dyDescent="0.2">
      <c r="A21" s="422"/>
      <c r="B21" s="398"/>
      <c r="C21" s="398"/>
      <c r="D21" s="398"/>
      <c r="E21" s="397" t="str">
        <f>Translations!$B$1151</f>
        <v>Kod NACE w 2010 r. (NACE rev 2):</v>
      </c>
      <c r="F21" s="425"/>
      <c r="G21" s="425"/>
      <c r="H21" s="1264" t="str">
        <f>IF(ISBLANK(CNTR_NACEInstallation),"",CNTR_NACEInstallation)</f>
        <v>3530</v>
      </c>
      <c r="I21" s="425"/>
      <c r="J21" s="425"/>
      <c r="K21" s="537" t="str">
        <f>Translations!$B$1152</f>
        <v>Numer identyfikacyjny EPRTR:</v>
      </c>
      <c r="L21" s="425"/>
      <c r="M21" s="808" t="str">
        <f>IF(ISBLANK(A_InstallationData!L130),"",A_InstallationData!L130)</f>
        <v/>
      </c>
      <c r="N21" s="398"/>
      <c r="O21" s="20"/>
      <c r="P21" s="422"/>
      <c r="Q21" s="422"/>
      <c r="R21" s="422"/>
      <c r="S21" s="422"/>
      <c r="T21" s="8"/>
    </row>
    <row r="22" spans="1:20" s="701" customFormat="1" ht="5.0999999999999996" customHeight="1" x14ac:dyDescent="0.2">
      <c r="A22" s="422"/>
      <c r="B22" s="398"/>
      <c r="C22" s="398"/>
      <c r="D22" s="398"/>
      <c r="I22" s="425"/>
      <c r="J22" s="425"/>
      <c r="K22" s="425"/>
      <c r="L22" s="425"/>
      <c r="M22" s="425"/>
      <c r="N22" s="398"/>
      <c r="O22" s="20"/>
      <c r="P22" s="422"/>
      <c r="Q22" s="422"/>
      <c r="R22" s="422"/>
      <c r="S22" s="422"/>
      <c r="T22" s="8"/>
    </row>
    <row r="23" spans="1:20" s="701" customFormat="1" x14ac:dyDescent="0.2">
      <c r="A23" s="422"/>
      <c r="B23" s="398"/>
      <c r="C23" s="398"/>
      <c r="D23" s="355"/>
      <c r="E23" s="397" t="str">
        <f>Translations!$B$146</f>
        <v>Działania zgodnie z załącznikiem I do dyrektywy w sprawie EU ETS:</v>
      </c>
      <c r="F23" s="398"/>
      <c r="G23" s="398"/>
      <c r="H23" s="208"/>
      <c r="I23" s="208"/>
      <c r="J23" s="208"/>
      <c r="K23" s="208"/>
      <c r="L23" s="398"/>
      <c r="M23" s="807"/>
      <c r="N23" s="807"/>
      <c r="O23" s="20"/>
      <c r="P23" s="422"/>
      <c r="Q23" s="422"/>
      <c r="R23" s="422"/>
      <c r="S23" s="422"/>
      <c r="T23" s="422"/>
    </row>
    <row r="24" spans="1:20" s="701" customFormat="1" x14ac:dyDescent="0.2">
      <c r="A24" s="422"/>
      <c r="B24" s="398"/>
      <c r="C24" s="398"/>
      <c r="D24" s="44"/>
      <c r="E24" s="809" t="s">
        <v>563</v>
      </c>
      <c r="F24" s="2004" t="str">
        <f>IF(ISBLANK(A_InstallationData!F115),"",A_InstallationData!F115)</f>
        <v>Spalanie paliw w instalacjach o całkowitej nominalnej mocy cieplnej przekraczającej 20 MW (z wyjątkiem instalacji spalania odpadów niebezpiecznych lub komunalnych)</v>
      </c>
      <c r="G24" s="1386"/>
      <c r="H24" s="1386"/>
      <c r="I24" s="1386"/>
      <c r="J24" s="1386"/>
      <c r="K24" s="1386"/>
      <c r="L24" s="1386"/>
      <c r="M24" s="1386"/>
      <c r="N24" s="2013"/>
      <c r="O24" s="20"/>
      <c r="P24" s="422"/>
      <c r="Q24" s="422"/>
      <c r="R24" s="422"/>
      <c r="S24" s="422"/>
      <c r="T24" s="422"/>
    </row>
    <row r="25" spans="1:20" s="701" customFormat="1" x14ac:dyDescent="0.2">
      <c r="A25" s="422"/>
      <c r="B25" s="398"/>
      <c r="C25" s="398"/>
      <c r="D25" s="355"/>
      <c r="E25" s="809" t="s">
        <v>564</v>
      </c>
      <c r="F25" s="2004" t="str">
        <f>IF(ISBLANK(A_InstallationData!F116),"",A_InstallationData!F116)</f>
        <v/>
      </c>
      <c r="G25" s="1386"/>
      <c r="H25" s="1386"/>
      <c r="I25" s="1386"/>
      <c r="J25" s="1386"/>
      <c r="K25" s="1386"/>
      <c r="L25" s="1386"/>
      <c r="M25" s="1386"/>
      <c r="N25" s="2013"/>
      <c r="O25" s="20"/>
      <c r="P25" s="422"/>
      <c r="Q25" s="422"/>
      <c r="R25" s="422"/>
      <c r="S25" s="422"/>
      <c r="T25" s="422"/>
    </row>
    <row r="26" spans="1:20" s="701" customFormat="1" x14ac:dyDescent="0.2">
      <c r="A26" s="422"/>
      <c r="B26" s="398"/>
      <c r="C26" s="398"/>
      <c r="D26" s="810"/>
      <c r="E26" s="809" t="s">
        <v>565</v>
      </c>
      <c r="F26" s="2004" t="str">
        <f>IF(ISBLANK(A_InstallationData!F117),"",A_InstallationData!F117)</f>
        <v/>
      </c>
      <c r="G26" s="1386"/>
      <c r="H26" s="1386"/>
      <c r="I26" s="1386"/>
      <c r="J26" s="1386"/>
      <c r="K26" s="1386"/>
      <c r="L26" s="1386"/>
      <c r="M26" s="1386"/>
      <c r="N26" s="2013"/>
      <c r="O26" s="20"/>
      <c r="P26" s="422"/>
      <c r="Q26" s="422"/>
      <c r="R26" s="422"/>
      <c r="S26" s="422"/>
      <c r="T26" s="422"/>
    </row>
    <row r="27" spans="1:20" s="701" customFormat="1" x14ac:dyDescent="0.2">
      <c r="A27" s="422"/>
      <c r="B27" s="398"/>
      <c r="C27" s="398"/>
      <c r="D27" s="810"/>
      <c r="E27" s="809" t="s">
        <v>566</v>
      </c>
      <c r="F27" s="2004" t="str">
        <f>IF(ISBLANK(A_InstallationData!F118),"",A_InstallationData!F118)</f>
        <v/>
      </c>
      <c r="G27" s="1386"/>
      <c r="H27" s="1386"/>
      <c r="I27" s="1386"/>
      <c r="J27" s="1386"/>
      <c r="K27" s="1386"/>
      <c r="L27" s="1386"/>
      <c r="M27" s="1386"/>
      <c r="N27" s="2013"/>
      <c r="O27" s="20"/>
      <c r="P27" s="422"/>
      <c r="Q27" s="422"/>
      <c r="R27" s="422"/>
      <c r="S27" s="422"/>
      <c r="T27" s="422"/>
    </row>
    <row r="28" spans="1:20" s="701" customFormat="1" x14ac:dyDescent="0.2">
      <c r="A28" s="422"/>
      <c r="B28" s="398"/>
      <c r="C28" s="398"/>
      <c r="D28" s="810"/>
      <c r="E28" s="809" t="s">
        <v>567</v>
      </c>
      <c r="F28" s="2004" t="str">
        <f>IF(ISBLANK(A_InstallationData!F119),"",A_InstallationData!F119)</f>
        <v/>
      </c>
      <c r="G28" s="1386"/>
      <c r="H28" s="1386"/>
      <c r="I28" s="1386"/>
      <c r="J28" s="1386"/>
      <c r="K28" s="1386"/>
      <c r="L28" s="1386"/>
      <c r="M28" s="1386"/>
      <c r="N28" s="2013"/>
      <c r="O28" s="20"/>
      <c r="P28" s="422"/>
      <c r="Q28" s="422"/>
      <c r="R28" s="422"/>
      <c r="S28" s="422"/>
      <c r="T28" s="422"/>
    </row>
    <row r="29" spans="1:20" s="701" customFormat="1" x14ac:dyDescent="0.2">
      <c r="A29" s="422"/>
      <c r="B29" s="398"/>
      <c r="C29" s="398"/>
      <c r="D29" s="398"/>
      <c r="E29" s="809" t="s">
        <v>568</v>
      </c>
      <c r="F29" s="2004" t="str">
        <f>IF(ISBLANK(A_InstallationData!F120),"",A_InstallationData!F120)</f>
        <v/>
      </c>
      <c r="G29" s="1386"/>
      <c r="H29" s="1386"/>
      <c r="I29" s="1386"/>
      <c r="J29" s="1386"/>
      <c r="K29" s="1386"/>
      <c r="L29" s="1386"/>
      <c r="M29" s="1386"/>
      <c r="N29" s="2013"/>
      <c r="O29" s="20"/>
      <c r="P29" s="422"/>
      <c r="Q29" s="422"/>
      <c r="R29" s="422"/>
      <c r="S29" s="422"/>
      <c r="T29" s="8"/>
    </row>
    <row r="30" spans="1:20" s="701" customFormat="1" ht="5.0999999999999996" customHeight="1" x14ac:dyDescent="0.2">
      <c r="A30" s="422"/>
      <c r="B30" s="398"/>
      <c r="C30" s="398"/>
      <c r="D30" s="398"/>
      <c r="E30" s="425"/>
      <c r="F30" s="425"/>
      <c r="G30" s="425"/>
      <c r="H30" s="425"/>
      <c r="I30" s="425"/>
      <c r="J30" s="425"/>
      <c r="K30" s="425"/>
      <c r="L30" s="425"/>
      <c r="M30" s="425"/>
      <c r="N30" s="398"/>
      <c r="O30" s="20"/>
      <c r="P30" s="422"/>
      <c r="Q30" s="422"/>
      <c r="R30" s="422"/>
      <c r="S30" s="422"/>
      <c r="T30" s="8"/>
    </row>
    <row r="31" spans="1:20" s="701" customFormat="1" ht="15" x14ac:dyDescent="0.25">
      <c r="A31" s="422"/>
      <c r="B31" s="398"/>
      <c r="C31" s="18">
        <v>2</v>
      </c>
      <c r="D31" s="1439" t="str">
        <f>Translations!$B$1153</f>
        <v>Powiązania techniczne (część A.IV):</v>
      </c>
      <c r="E31" s="1370"/>
      <c r="F31" s="1370"/>
      <c r="G31" s="1370"/>
      <c r="H31" s="1370"/>
      <c r="I31" s="1370"/>
      <c r="J31" s="1370"/>
      <c r="K31" s="1370"/>
      <c r="L31" s="1370"/>
      <c r="M31" s="1370"/>
      <c r="N31" s="1370"/>
      <c r="O31" s="20"/>
      <c r="P31" s="422"/>
      <c r="Q31" s="422"/>
      <c r="R31" s="422"/>
      <c r="S31" s="422"/>
      <c r="T31" s="8"/>
    </row>
    <row r="32" spans="1:20" s="701" customFormat="1" x14ac:dyDescent="0.2">
      <c r="A32" s="422"/>
      <c r="B32" s="398"/>
      <c r="C32" s="398"/>
      <c r="D32" s="398"/>
      <c r="E32" s="2014" t="str">
        <f>Translations!$B$1154</f>
        <v>Nazwa powiązania</v>
      </c>
      <c r="F32" s="1799"/>
      <c r="G32" s="1799"/>
      <c r="H32" s="2015"/>
      <c r="I32" s="2014" t="str">
        <f>Translations!$B$1155</f>
        <v>Identyfikator EUTL, w stosownych przypadkach</v>
      </c>
      <c r="J32" s="1799"/>
      <c r="K32" s="2015"/>
      <c r="L32" s="2014" t="str">
        <f>Translations!$B$1156</f>
        <v>Rodzaj podmiotu</v>
      </c>
      <c r="M32" s="1799"/>
      <c r="N32" s="1799"/>
      <c r="O32" s="20"/>
      <c r="P32" s="422"/>
      <c r="Q32" s="422"/>
      <c r="R32" s="422"/>
      <c r="S32" s="422"/>
      <c r="T32" s="8"/>
    </row>
    <row r="33" spans="1:20" s="701" customFormat="1" x14ac:dyDescent="0.2">
      <c r="A33" s="422"/>
      <c r="B33" s="398"/>
      <c r="C33" s="398"/>
      <c r="D33" s="398">
        <v>1</v>
      </c>
      <c r="E33" s="1999" t="str">
        <f t="shared" ref="E33:E42" si="0">IF(INDEX(CNTR_ConnectionEntityList,$D33)=EUconst_NA,"",INDEX(CNTR_ConnectionEntityList,$D33))</f>
        <v>Instalacja ETS: Ciepło Wyprowadzanie</v>
      </c>
      <c r="F33" s="2000"/>
      <c r="G33" s="2000"/>
      <c r="H33" s="2001"/>
      <c r="I33" s="2004" t="str">
        <f t="shared" ref="I33:I42" si="1">INDEX(CNTR_ConnectionEntityListCITL_IDs,$D33)</f>
        <v>9998</v>
      </c>
      <c r="J33" s="2005"/>
      <c r="K33" s="2006"/>
      <c r="L33" s="1999" t="str">
        <f t="shared" ref="L33:L42" si="2">INDEX(CNTR_ConnectionEntityListTypes,$D33)</f>
        <v>Instalacja objęta ETS</v>
      </c>
      <c r="M33" s="1762"/>
      <c r="N33" s="2007"/>
      <c r="O33" s="20"/>
      <c r="P33" s="422"/>
      <c r="Q33" s="422"/>
      <c r="R33" s="422"/>
      <c r="S33" s="422"/>
      <c r="T33" s="8"/>
    </row>
    <row r="34" spans="1:20" s="701" customFormat="1" x14ac:dyDescent="0.2">
      <c r="A34" s="422"/>
      <c r="B34" s="398"/>
      <c r="C34" s="398"/>
      <c r="D34" s="398">
        <v>2</v>
      </c>
      <c r="E34" s="1999" t="str">
        <f t="shared" si="0"/>
        <v>Producent produktu CL: Ciepło Wyprowadzanie</v>
      </c>
      <c r="F34" s="2000"/>
      <c r="G34" s="2000"/>
      <c r="H34" s="2001"/>
      <c r="I34" s="2004" t="str">
        <f t="shared" si="1"/>
        <v/>
      </c>
      <c r="J34" s="2005"/>
      <c r="K34" s="2006"/>
      <c r="L34" s="1999" t="str">
        <f t="shared" si="2"/>
        <v>Instalacja nieobjęta ETS</v>
      </c>
      <c r="M34" s="1762"/>
      <c r="N34" s="2007"/>
      <c r="O34" s="20"/>
      <c r="P34" s="422"/>
      <c r="Q34" s="422"/>
      <c r="R34" s="422"/>
      <c r="S34" s="422"/>
      <c r="T34" s="8"/>
    </row>
    <row r="35" spans="1:20" s="701" customFormat="1" x14ac:dyDescent="0.2">
      <c r="A35" s="422"/>
      <c r="B35" s="398"/>
      <c r="C35" s="398"/>
      <c r="D35" s="398">
        <v>3</v>
      </c>
      <c r="E35" s="1999" t="str">
        <f t="shared" si="0"/>
        <v>Sieć ciepłownicza: Ciepło Wyprowadzanie</v>
      </c>
      <c r="F35" s="2000"/>
      <c r="G35" s="2000"/>
      <c r="H35" s="2001"/>
      <c r="I35" s="2004" t="str">
        <f t="shared" si="1"/>
        <v/>
      </c>
      <c r="J35" s="2005"/>
      <c r="K35" s="2006"/>
      <c r="L35" s="1999" t="str">
        <f t="shared" si="2"/>
        <v>Sieć dystrybucji ciepła</v>
      </c>
      <c r="M35" s="1762"/>
      <c r="N35" s="2007"/>
      <c r="O35" s="20"/>
      <c r="P35" s="422"/>
      <c r="Q35" s="422"/>
      <c r="R35" s="422"/>
      <c r="S35" s="422"/>
      <c r="T35" s="8"/>
    </row>
    <row r="36" spans="1:20" s="701" customFormat="1" x14ac:dyDescent="0.2">
      <c r="A36" s="422"/>
      <c r="B36" s="398"/>
      <c r="C36" s="398"/>
      <c r="D36" s="398">
        <v>4</v>
      </c>
      <c r="E36" s="1999" t="str">
        <f t="shared" si="0"/>
        <v>Producent produktu non-CL: Ciepło Wyprowadzanie</v>
      </c>
      <c r="F36" s="2000"/>
      <c r="G36" s="2000"/>
      <c r="H36" s="2001"/>
      <c r="I36" s="2004" t="str">
        <f t="shared" si="1"/>
        <v/>
      </c>
      <c r="J36" s="2005"/>
      <c r="K36" s="2006"/>
      <c r="L36" s="1999" t="str">
        <f t="shared" si="2"/>
        <v>Instalacja nieobjęta ETS</v>
      </c>
      <c r="M36" s="1762"/>
      <c r="N36" s="2007"/>
      <c r="O36" s="20"/>
      <c r="P36" s="422"/>
      <c r="Q36" s="422"/>
      <c r="R36" s="422"/>
      <c r="S36" s="422"/>
      <c r="T36" s="8"/>
    </row>
    <row r="37" spans="1:20" s="701" customFormat="1" x14ac:dyDescent="0.2">
      <c r="A37" s="422"/>
      <c r="B37" s="398"/>
      <c r="C37" s="398"/>
      <c r="D37" s="398">
        <v>5</v>
      </c>
      <c r="E37" s="1999" t="str">
        <f t="shared" si="0"/>
        <v>Import z instalacji non-ETS: Ciepło Wprowadzanie</v>
      </c>
      <c r="F37" s="2000"/>
      <c r="G37" s="2000"/>
      <c r="H37" s="2001"/>
      <c r="I37" s="2004" t="str">
        <f t="shared" si="1"/>
        <v/>
      </c>
      <c r="J37" s="2005"/>
      <c r="K37" s="2006"/>
      <c r="L37" s="1999" t="str">
        <f t="shared" si="2"/>
        <v>Instalacja nieobjęta ETS</v>
      </c>
      <c r="M37" s="1762"/>
      <c r="N37" s="2007"/>
      <c r="O37" s="20"/>
      <c r="P37" s="422"/>
      <c r="Q37" s="422"/>
      <c r="R37" s="422"/>
      <c r="S37" s="422"/>
      <c r="T37" s="8"/>
    </row>
    <row r="38" spans="1:20" s="701" customFormat="1" x14ac:dyDescent="0.2">
      <c r="A38" s="422"/>
      <c r="B38" s="398"/>
      <c r="C38" s="398"/>
      <c r="D38" s="398">
        <v>6</v>
      </c>
      <c r="E38" s="1999" t="str">
        <f t="shared" si="0"/>
        <v/>
      </c>
      <c r="F38" s="2000"/>
      <c r="G38" s="2000"/>
      <c r="H38" s="2001"/>
      <c r="I38" s="2004" t="str">
        <f t="shared" si="1"/>
        <v/>
      </c>
      <c r="J38" s="2005"/>
      <c r="K38" s="2006"/>
      <c r="L38" s="1999" t="str">
        <f t="shared" si="2"/>
        <v/>
      </c>
      <c r="M38" s="1762"/>
      <c r="N38" s="2007"/>
      <c r="O38" s="20"/>
      <c r="P38" s="422"/>
      <c r="Q38" s="422"/>
      <c r="R38" s="422"/>
      <c r="S38" s="422"/>
      <c r="T38" s="8"/>
    </row>
    <row r="39" spans="1:20" s="701" customFormat="1" x14ac:dyDescent="0.2">
      <c r="A39" s="422"/>
      <c r="B39" s="398"/>
      <c r="C39" s="398"/>
      <c r="D39" s="398">
        <v>7</v>
      </c>
      <c r="E39" s="1999" t="str">
        <f t="shared" si="0"/>
        <v/>
      </c>
      <c r="F39" s="2000"/>
      <c r="G39" s="2000"/>
      <c r="H39" s="2001"/>
      <c r="I39" s="2004" t="str">
        <f t="shared" si="1"/>
        <v/>
      </c>
      <c r="J39" s="2005"/>
      <c r="K39" s="2006"/>
      <c r="L39" s="1999" t="str">
        <f t="shared" si="2"/>
        <v/>
      </c>
      <c r="M39" s="1762"/>
      <c r="N39" s="2007"/>
      <c r="O39" s="20"/>
      <c r="P39" s="422"/>
      <c r="Q39" s="422"/>
      <c r="R39" s="422"/>
      <c r="S39" s="422"/>
      <c r="T39" s="8"/>
    </row>
    <row r="40" spans="1:20" s="701" customFormat="1" x14ac:dyDescent="0.2">
      <c r="A40" s="422"/>
      <c r="B40" s="398"/>
      <c r="C40" s="398"/>
      <c r="D40" s="398">
        <v>8</v>
      </c>
      <c r="E40" s="1999" t="str">
        <f t="shared" si="0"/>
        <v/>
      </c>
      <c r="F40" s="2000"/>
      <c r="G40" s="2000"/>
      <c r="H40" s="2001"/>
      <c r="I40" s="2004" t="str">
        <f t="shared" si="1"/>
        <v/>
      </c>
      <c r="J40" s="2005"/>
      <c r="K40" s="2006"/>
      <c r="L40" s="1999" t="str">
        <f t="shared" si="2"/>
        <v/>
      </c>
      <c r="M40" s="1762"/>
      <c r="N40" s="2007"/>
      <c r="O40" s="20"/>
      <c r="P40" s="422"/>
      <c r="Q40" s="422"/>
      <c r="R40" s="422"/>
      <c r="S40" s="422"/>
      <c r="T40" s="8"/>
    </row>
    <row r="41" spans="1:20" s="701" customFormat="1" x14ac:dyDescent="0.2">
      <c r="A41" s="422"/>
      <c r="B41" s="398"/>
      <c r="C41" s="398"/>
      <c r="D41" s="398">
        <v>9</v>
      </c>
      <c r="E41" s="1999" t="str">
        <f t="shared" si="0"/>
        <v/>
      </c>
      <c r="F41" s="2000"/>
      <c r="G41" s="2000"/>
      <c r="H41" s="2001"/>
      <c r="I41" s="2004" t="str">
        <f t="shared" si="1"/>
        <v/>
      </c>
      <c r="J41" s="2005"/>
      <c r="K41" s="2006"/>
      <c r="L41" s="1999" t="str">
        <f t="shared" si="2"/>
        <v/>
      </c>
      <c r="M41" s="1762"/>
      <c r="N41" s="2007"/>
      <c r="O41" s="20"/>
      <c r="P41" s="422"/>
      <c r="Q41" s="422"/>
      <c r="R41" s="422"/>
      <c r="S41" s="422"/>
      <c r="T41" s="8"/>
    </row>
    <row r="42" spans="1:20" s="701" customFormat="1" x14ac:dyDescent="0.2">
      <c r="A42" s="422"/>
      <c r="B42" s="398"/>
      <c r="C42" s="398"/>
      <c r="D42" s="398">
        <v>10</v>
      </c>
      <c r="E42" s="1999" t="str">
        <f t="shared" si="0"/>
        <v/>
      </c>
      <c r="F42" s="2000"/>
      <c r="G42" s="2000"/>
      <c r="H42" s="2001"/>
      <c r="I42" s="2004" t="str">
        <f t="shared" si="1"/>
        <v/>
      </c>
      <c r="J42" s="2005"/>
      <c r="K42" s="2006"/>
      <c r="L42" s="1999" t="str">
        <f t="shared" si="2"/>
        <v/>
      </c>
      <c r="M42" s="1762"/>
      <c r="N42" s="2007"/>
      <c r="O42" s="20"/>
      <c r="P42" s="422"/>
      <c r="Q42" s="422"/>
      <c r="R42" s="422"/>
      <c r="S42" s="422"/>
      <c r="T42" s="8"/>
    </row>
    <row r="43" spans="1:20" x14ac:dyDescent="0.2">
      <c r="B43" s="20"/>
      <c r="C43" s="20"/>
      <c r="D43" s="20"/>
      <c r="E43" s="20"/>
      <c r="F43" s="20"/>
      <c r="G43" s="20"/>
      <c r="H43" s="20"/>
      <c r="I43" s="20"/>
      <c r="J43" s="20"/>
      <c r="K43" s="20"/>
      <c r="L43" s="20"/>
      <c r="M43" s="20"/>
      <c r="N43" s="20"/>
      <c r="O43" s="20"/>
      <c r="P43" s="8"/>
      <c r="Q43" s="8"/>
      <c r="R43" s="8"/>
      <c r="S43" s="8"/>
      <c r="T43" s="8"/>
    </row>
    <row r="44" spans="1:20" ht="15.75" x14ac:dyDescent="0.25">
      <c r="B44" s="3"/>
      <c r="C44" s="12" t="s">
        <v>352</v>
      </c>
      <c r="D44" s="13" t="str">
        <f>Translations!$B$1157</f>
        <v>Okres odniesienia i kwalifikowalność</v>
      </c>
      <c r="E44" s="13"/>
      <c r="F44" s="13"/>
      <c r="G44" s="13"/>
      <c r="H44" s="13"/>
      <c r="I44" s="13"/>
      <c r="J44" s="13"/>
      <c r="K44" s="13"/>
      <c r="L44" s="13"/>
      <c r="M44" s="13"/>
      <c r="N44" s="13"/>
      <c r="O44" s="20"/>
      <c r="P44" s="8"/>
      <c r="Q44" s="8"/>
      <c r="R44" s="8"/>
      <c r="S44" s="8"/>
      <c r="T44" s="8"/>
    </row>
    <row r="45" spans="1:20" ht="5.0999999999999996" customHeight="1" x14ac:dyDescent="0.2">
      <c r="B45" s="20"/>
      <c r="C45" s="20"/>
      <c r="D45" s="20"/>
      <c r="E45" s="20"/>
      <c r="F45" s="20"/>
      <c r="G45" s="20"/>
      <c r="H45" s="20"/>
      <c r="I45" s="20"/>
      <c r="J45" s="20"/>
      <c r="K45" s="20"/>
      <c r="L45" s="20"/>
      <c r="M45" s="20"/>
      <c r="N45" s="20"/>
      <c r="O45" s="20"/>
      <c r="P45" s="8"/>
      <c r="Q45" s="8"/>
      <c r="R45" s="8"/>
      <c r="S45" s="8"/>
      <c r="T45" s="8"/>
    </row>
    <row r="46" spans="1:20" s="701" customFormat="1" ht="15" customHeight="1" x14ac:dyDescent="0.25">
      <c r="A46" s="422"/>
      <c r="B46" s="398"/>
      <c r="C46" s="18">
        <v>1</v>
      </c>
      <c r="D46" s="1996" t="str">
        <f>Translations!$B$1158</f>
        <v>Kwalifikacja do przydziału bezpłatnych uprawnień (część A.II.1):</v>
      </c>
      <c r="E46" s="1996"/>
      <c r="F46" s="1996"/>
      <c r="G46" s="1996"/>
      <c r="H46" s="1996"/>
      <c r="I46" s="1996"/>
      <c r="J46" s="1996"/>
      <c r="K46" s="1996"/>
      <c r="L46" s="1996"/>
      <c r="M46" s="1996"/>
      <c r="N46" s="1996"/>
      <c r="O46" s="20"/>
      <c r="P46" s="422"/>
      <c r="Q46" s="422"/>
      <c r="R46" s="422"/>
      <c r="S46" s="422"/>
      <c r="T46" s="422"/>
    </row>
    <row r="47" spans="1:20" s="701" customFormat="1" ht="5.0999999999999996" customHeight="1" x14ac:dyDescent="0.2">
      <c r="A47" s="422"/>
      <c r="B47" s="3"/>
      <c r="C47" s="3"/>
      <c r="D47" s="3"/>
      <c r="E47" s="5"/>
      <c r="F47" s="5"/>
      <c r="G47" s="5"/>
      <c r="H47" s="5"/>
      <c r="I47" s="5"/>
      <c r="J47" s="5"/>
      <c r="K47" s="5"/>
      <c r="L47" s="5"/>
      <c r="M47" s="26"/>
      <c r="N47" s="26"/>
      <c r="O47" s="20"/>
      <c r="P47" s="8"/>
      <c r="Q47" s="182"/>
      <c r="R47" s="422"/>
      <c r="S47" s="422"/>
      <c r="T47" s="422"/>
    </row>
    <row r="48" spans="1:20" s="701" customFormat="1" ht="12.75" customHeight="1" x14ac:dyDescent="0.2">
      <c r="A48" s="422"/>
      <c r="B48" s="398"/>
      <c r="C48" s="398"/>
      <c r="D48" s="398"/>
      <c r="E48" s="1989" t="str">
        <f>Translations!$B$1159</f>
        <v>Wytwórca energii elektrycznej:</v>
      </c>
      <c r="F48" s="1989"/>
      <c r="G48" s="1989"/>
      <c r="H48" s="1997"/>
      <c r="I48" s="590" t="b">
        <f>IF(ISBLANK(A_InstallationData!$M$170),"",A_InstallationData!$M$170)</f>
        <v>0</v>
      </c>
      <c r="J48" s="398"/>
      <c r="K48" s="1998" t="str">
        <f>Translations!$B$1160</f>
        <v>Instalacja CCS:</v>
      </c>
      <c r="L48" s="1432"/>
      <c r="M48" s="590" t="b">
        <f>IF(ISBLANK(A_InstallationData!$M$174),"",A_InstallationData!$M$174)</f>
        <v>0</v>
      </c>
      <c r="N48" s="398"/>
      <c r="O48" s="20"/>
      <c r="P48" s="422"/>
      <c r="Q48" s="422"/>
      <c r="R48" s="422"/>
      <c r="S48" s="422"/>
      <c r="T48" s="422"/>
    </row>
    <row r="49" spans="1:20" s="701" customFormat="1" x14ac:dyDescent="0.2">
      <c r="A49" s="422"/>
      <c r="B49" s="398"/>
      <c r="C49" s="398"/>
      <c r="D49" s="398"/>
      <c r="E49" s="1998" t="str">
        <f>Translations!$B$1161</f>
        <v>Instalacja objęta art. 10a ust.3 dyrektywy w sprawie EU ETS:</v>
      </c>
      <c r="F49" s="1370"/>
      <c r="G49" s="1370"/>
      <c r="H49" s="1432"/>
      <c r="I49" s="592" t="b">
        <f>A_InstallationData!$M$176</f>
        <v>0</v>
      </c>
      <c r="J49" s="398"/>
      <c r="K49" s="1998" t="str">
        <f>Translations!$B$1162</f>
        <v>Instalacje do produkcji ciepła:</v>
      </c>
      <c r="L49" s="1432"/>
      <c r="M49" s="590" t="b">
        <f>IF(ISBLANK(A_InstallationData!$M$180),"",A_InstallationData!$M$180)</f>
        <v>1</v>
      </c>
      <c r="N49" s="398"/>
      <c r="O49" s="20"/>
      <c r="P49" s="422" t="s">
        <v>313</v>
      </c>
      <c r="Q49" s="422"/>
      <c r="R49" s="422"/>
      <c r="S49" s="422"/>
      <c r="T49" s="422"/>
    </row>
    <row r="50" spans="1:20" s="701" customFormat="1" ht="5.0999999999999996" customHeight="1" thickBot="1" x14ac:dyDescent="0.25">
      <c r="A50" s="422"/>
      <c r="B50" s="3"/>
      <c r="C50" s="3"/>
      <c r="D50" s="3"/>
      <c r="E50" s="5"/>
      <c r="F50" s="5"/>
      <c r="G50" s="5"/>
      <c r="H50" s="5"/>
      <c r="I50" s="5"/>
      <c r="J50" s="5"/>
      <c r="K50" s="5"/>
      <c r="L50" s="5"/>
      <c r="M50" s="26"/>
      <c r="N50" s="26"/>
      <c r="O50" s="20"/>
      <c r="P50" s="8"/>
      <c r="Q50" s="182"/>
      <c r="R50" s="422"/>
      <c r="S50" s="422"/>
      <c r="T50" s="422"/>
    </row>
    <row r="51" spans="1:20" s="701" customFormat="1" ht="13.5" thickBot="1" x14ac:dyDescent="0.25">
      <c r="A51" s="422"/>
      <c r="B51" s="398"/>
      <c r="C51" s="398"/>
      <c r="D51" s="398"/>
      <c r="E51" s="1999" t="str">
        <f>IF(ISBLANK(A_InstallationData!E189),IF(ISBLANK(A_InstallationData!E199),EUconst_ERR_Mandatory_ef,A_InstallationData!E199),IF(ISBLANK(A_InstallationData!E199),A_InstallationData!E189,EUconst_ERR_Mandatory_ef))</f>
        <v>Prowadzący tę instalację potwierdza, że niniejszym zostaje złożony wniosek o przydział bezpłatnych uprawnień na mocy art. 10a dyrektywy w sprawie EU ETS.</v>
      </c>
      <c r="F51" s="1666"/>
      <c r="G51" s="1666"/>
      <c r="H51" s="1666"/>
      <c r="I51" s="1666"/>
      <c r="J51" s="1666"/>
      <c r="K51" s="1666"/>
      <c r="L51" s="1666"/>
      <c r="M51" s="1383"/>
      <c r="N51" s="398"/>
      <c r="O51" s="20"/>
      <c r="P51" s="563" t="b">
        <f>IF(AND(ISBLANK(E51),ISBLANK(E52)),"",AND(E51=EUconst_ConfirmApplicationForAlloc,E52=EUconst_ConfirmAllowUseOfData))</f>
        <v>1</v>
      </c>
      <c r="Q51" s="422"/>
      <c r="R51" s="422"/>
      <c r="S51" s="422"/>
      <c r="T51" s="422"/>
    </row>
    <row r="52" spans="1:20" s="701" customFormat="1" x14ac:dyDescent="0.2">
      <c r="A52" s="422"/>
      <c r="B52" s="398"/>
      <c r="C52" s="398"/>
      <c r="D52" s="398"/>
      <c r="E52" s="1999" t="str">
        <f>IF(ISBLANK(A_InstallationData!E208),EUconst_ERR_Mandatory_g,A_InstallationData!E208)</f>
        <v>Prowadzący tę instalację potwierdza, że niniejsze sprawozdanie może być wykorzystywane przez właściwy organ oraz Komisję Europejską.</v>
      </c>
      <c r="F52" s="1666"/>
      <c r="G52" s="1666"/>
      <c r="H52" s="1666"/>
      <c r="I52" s="1666"/>
      <c r="J52" s="1666"/>
      <c r="K52" s="1666"/>
      <c r="L52" s="1666"/>
      <c r="M52" s="1383"/>
      <c r="N52" s="398"/>
      <c r="O52" s="20"/>
      <c r="P52" s="422" t="s">
        <v>8</v>
      </c>
      <c r="Q52" s="422"/>
      <c r="R52" s="422"/>
      <c r="S52" s="422"/>
      <c r="T52" s="422"/>
    </row>
    <row r="53" spans="1:20" s="701" customFormat="1" ht="5.0999999999999996" customHeight="1" thickBot="1" x14ac:dyDescent="0.25">
      <c r="A53" s="422"/>
      <c r="B53" s="5"/>
      <c r="C53" s="5"/>
      <c r="D53" s="3"/>
      <c r="E53" s="26"/>
      <c r="F53" s="26"/>
      <c r="G53" s="26"/>
      <c r="H53" s="26"/>
      <c r="I53" s="26"/>
      <c r="J53" s="26"/>
      <c r="K53" s="26"/>
      <c r="L53" s="26"/>
      <c r="M53" s="26"/>
      <c r="N53" s="26"/>
      <c r="O53" s="20"/>
      <c r="P53" s="182"/>
      <c r="Q53" s="182"/>
      <c r="R53" s="422"/>
      <c r="S53" s="422"/>
      <c r="T53" s="422"/>
    </row>
    <row r="54" spans="1:20" s="701" customFormat="1" ht="13.5" thickBot="1" x14ac:dyDescent="0.25">
      <c r="A54" s="422"/>
      <c r="B54" s="398"/>
      <c r="C54" s="398"/>
      <c r="D54" s="398"/>
      <c r="E54" s="1524" t="str">
        <f>Translations!$B$1163</f>
        <v>Instalacja kwalifikuje się do przydziału bezpłatnych uprawnień zgodnie z art. 10a dyrektywy w sprawie EU ETS:</v>
      </c>
      <c r="F54" s="1370"/>
      <c r="G54" s="1370"/>
      <c r="H54" s="1370"/>
      <c r="I54" s="1370"/>
      <c r="J54" s="1370"/>
      <c r="K54" s="1370"/>
      <c r="L54" s="2011"/>
      <c r="M54" s="273" t="b">
        <f>IF(COUNTA(E51:E52)=0,"",IF(CNTR_ConfirmationOK,IF(OR(CNTR_ApplyLinF=FALSE,M49=TRUE),TRUE,FALSE),FALSE))</f>
        <v>1</v>
      </c>
      <c r="N54" s="398"/>
      <c r="O54" s="20"/>
      <c r="P54" s="422" t="s">
        <v>312</v>
      </c>
      <c r="Q54" s="422"/>
      <c r="R54" s="422"/>
      <c r="S54" s="422"/>
      <c r="T54" s="422"/>
    </row>
    <row r="55" spans="1:20" s="701" customFormat="1" ht="5.0999999999999996" customHeight="1" x14ac:dyDescent="0.2">
      <c r="A55" s="422"/>
      <c r="B55" s="398"/>
      <c r="C55" s="398"/>
      <c r="D55" s="398"/>
      <c r="E55" s="398"/>
      <c r="F55" s="398"/>
      <c r="G55" s="398"/>
      <c r="H55" s="398"/>
      <c r="I55" s="398"/>
      <c r="J55" s="398"/>
      <c r="K55" s="398"/>
      <c r="L55" s="398"/>
      <c r="M55" s="398"/>
      <c r="N55" s="398"/>
      <c r="O55" s="20"/>
      <c r="P55" s="422"/>
      <c r="Q55" s="422"/>
      <c r="R55" s="422"/>
      <c r="S55" s="422"/>
      <c r="T55" s="422"/>
    </row>
    <row r="56" spans="1:20" s="701" customFormat="1" ht="15" x14ac:dyDescent="0.25">
      <c r="A56" s="422"/>
      <c r="B56" s="398"/>
      <c r="C56" s="18">
        <v>2</v>
      </c>
      <c r="D56" s="825" t="str">
        <f>Translations!$B$1164</f>
        <v>Lata odniesienia (część A.II.2)</v>
      </c>
      <c r="E56" s="369"/>
      <c r="F56" s="369"/>
      <c r="G56" s="398"/>
      <c r="H56" s="398"/>
      <c r="I56" s="398"/>
      <c r="J56" s="398"/>
      <c r="K56" s="398"/>
      <c r="L56" s="398"/>
      <c r="M56" s="398"/>
      <c r="N56" s="398"/>
      <c r="O56" s="20"/>
      <c r="P56" s="422"/>
      <c r="Q56" s="422"/>
      <c r="R56" s="422"/>
      <c r="S56" s="422"/>
      <c r="T56" s="422"/>
    </row>
    <row r="57" spans="1:20" s="701" customFormat="1" x14ac:dyDescent="0.2">
      <c r="A57" s="422"/>
      <c r="B57" s="398"/>
      <c r="C57" s="398"/>
      <c r="D57" s="398"/>
      <c r="E57" s="397"/>
      <c r="F57" s="369"/>
      <c r="G57" s="369"/>
      <c r="H57" s="369"/>
      <c r="I57" s="432">
        <f>I$1397</f>
        <v>2014</v>
      </c>
      <c r="J57" s="432">
        <f>J$1397</f>
        <v>2015</v>
      </c>
      <c r="K57" s="432">
        <f>K$1397</f>
        <v>2016</v>
      </c>
      <c r="L57" s="432">
        <f>L$1397</f>
        <v>2017</v>
      </c>
      <c r="M57" s="432">
        <f>M$1397</f>
        <v>2018</v>
      </c>
      <c r="N57" s="398"/>
      <c r="O57" s="20"/>
      <c r="P57" s="422"/>
      <c r="Q57" s="422"/>
      <c r="R57" s="422"/>
      <c r="S57" s="422"/>
      <c r="T57" s="422"/>
    </row>
    <row r="58" spans="1:20" s="701" customFormat="1" x14ac:dyDescent="0.2">
      <c r="A58" s="422"/>
      <c r="B58" s="398"/>
      <c r="C58" s="398"/>
      <c r="D58" s="398"/>
      <c r="E58" s="659" t="str">
        <f>Translations!$B$1165</f>
        <v>Lata, które należy uwzględnić:</v>
      </c>
      <c r="F58" s="826"/>
      <c r="G58" s="826"/>
      <c r="H58" s="826"/>
      <c r="I58" s="827" t="b">
        <f>IF(ISBLANK(A_InstallationData!I333),"",A_InstallationData!I333)</f>
        <v>1</v>
      </c>
      <c r="J58" s="827" t="b">
        <f>IF(ISBLANK(A_InstallationData!J333),"",A_InstallationData!J333)</f>
        <v>1</v>
      </c>
      <c r="K58" s="827" t="b">
        <f>IF(ISBLANK(A_InstallationData!K333),"",A_InstallationData!K333)</f>
        <v>1</v>
      </c>
      <c r="L58" s="827" t="b">
        <f>IF(ISBLANK(A_InstallationData!L333),"",A_InstallationData!L333)</f>
        <v>1</v>
      </c>
      <c r="M58" s="827" t="b">
        <f>IF(ISBLANK(A_InstallationData!M333),"",A_InstallationData!M333)</f>
        <v>1</v>
      </c>
      <c r="N58" s="398"/>
      <c r="O58" s="20"/>
      <c r="P58" s="422"/>
      <c r="Q58" s="422"/>
      <c r="R58" s="422"/>
      <c r="S58" s="422"/>
      <c r="T58" s="422"/>
    </row>
    <row r="59" spans="1:20" s="701" customFormat="1" x14ac:dyDescent="0.2">
      <c r="A59" s="422"/>
      <c r="B59" s="398"/>
      <c r="C59" s="398"/>
      <c r="D59" s="398"/>
      <c r="E59" s="398"/>
      <c r="F59" s="398"/>
      <c r="G59" s="398"/>
      <c r="H59" s="398"/>
      <c r="I59" s="398"/>
      <c r="J59" s="398"/>
      <c r="K59" s="398"/>
      <c r="L59" s="398"/>
      <c r="M59" s="398"/>
      <c r="N59" s="398"/>
      <c r="O59" s="20"/>
      <c r="P59" s="422"/>
      <c r="Q59" s="422"/>
      <c r="R59" s="422"/>
      <c r="S59" s="422"/>
      <c r="T59" s="422"/>
    </row>
    <row r="60" spans="1:20" s="701" customFormat="1" ht="15.75" x14ac:dyDescent="0.25">
      <c r="A60" s="422"/>
      <c r="B60" s="3"/>
      <c r="C60" s="12" t="s">
        <v>357</v>
      </c>
      <c r="D60" s="13" t="str">
        <f>Translations!$B$1166</f>
        <v>Emisje i przepływy energii</v>
      </c>
      <c r="E60" s="13"/>
      <c r="F60" s="13"/>
      <c r="G60" s="13"/>
      <c r="H60" s="13"/>
      <c r="I60" s="13"/>
      <c r="J60" s="13"/>
      <c r="K60" s="13"/>
      <c r="L60" s="13"/>
      <c r="M60" s="13"/>
      <c r="N60" s="13"/>
      <c r="O60" s="20"/>
      <c r="P60" s="8"/>
      <c r="Q60" s="8"/>
      <c r="R60" s="8"/>
      <c r="S60" s="8"/>
      <c r="T60" s="8"/>
    </row>
    <row r="61" spans="1:20" s="701" customFormat="1" x14ac:dyDescent="0.2">
      <c r="A61" s="422"/>
      <c r="B61" s="398"/>
      <c r="C61" s="398"/>
      <c r="D61" s="398"/>
      <c r="E61" s="398"/>
      <c r="F61" s="398"/>
      <c r="G61" s="398"/>
      <c r="H61" s="398"/>
      <c r="I61" s="398"/>
      <c r="J61" s="398"/>
      <c r="K61" s="398"/>
      <c r="L61" s="398"/>
      <c r="M61" s="398"/>
      <c r="N61" s="398"/>
      <c r="O61" s="20"/>
      <c r="P61" s="422"/>
      <c r="Q61" s="422"/>
      <c r="R61" s="422"/>
      <c r="S61" s="422"/>
      <c r="T61" s="422"/>
    </row>
    <row r="62" spans="1:20" s="701" customFormat="1" ht="15" x14ac:dyDescent="0.25">
      <c r="A62" s="422"/>
      <c r="B62" s="398"/>
      <c r="C62" s="18">
        <v>1</v>
      </c>
      <c r="D62" s="1439" t="str">
        <f>Translations!$B$1167</f>
        <v>Dane wynikające z informacji wprowadzonych w części „Source streams” (Strumienie materiałów wsadowych) (arkusze B i C) lub z podsumowania dotyczącego emisji (część D.I)</v>
      </c>
      <c r="E62" s="1370"/>
      <c r="F62" s="1370"/>
      <c r="G62" s="1370"/>
      <c r="H62" s="1370"/>
      <c r="I62" s="1370"/>
      <c r="J62" s="1370"/>
      <c r="K62" s="1370"/>
      <c r="L62" s="1370"/>
      <c r="M62" s="1370"/>
      <c r="N62" s="1370"/>
      <c r="O62" s="20"/>
      <c r="P62" s="422"/>
      <c r="Q62" s="422"/>
      <c r="R62" s="422"/>
      <c r="S62" s="422"/>
      <c r="T62" s="422"/>
    </row>
    <row r="63" spans="1:20" s="701" customFormat="1" ht="5.0999999999999996" customHeight="1" x14ac:dyDescent="0.2">
      <c r="A63" s="422"/>
      <c r="B63" s="398"/>
      <c r="C63" s="398"/>
      <c r="D63" s="398"/>
      <c r="E63" s="398"/>
      <c r="F63" s="398"/>
      <c r="G63" s="398"/>
      <c r="H63" s="398"/>
      <c r="I63" s="398"/>
      <c r="J63" s="398"/>
      <c r="K63" s="398"/>
      <c r="L63" s="398"/>
      <c r="M63" s="398"/>
      <c r="N63" s="398"/>
      <c r="O63" s="20"/>
      <c r="P63" s="422"/>
      <c r="Q63" s="422"/>
      <c r="R63" s="422"/>
      <c r="S63" s="422"/>
      <c r="T63" s="422"/>
    </row>
    <row r="64" spans="1:20" s="701" customFormat="1" x14ac:dyDescent="0.2">
      <c r="A64" s="422"/>
      <c r="B64" s="398"/>
      <c r="C64" s="398"/>
      <c r="D64" s="398"/>
      <c r="E64" s="1430" t="str">
        <f>D_Emissions!E51</f>
        <v>Dane na poziomie instalacji:</v>
      </c>
      <c r="F64" s="1430"/>
      <c r="G64" s="1430"/>
      <c r="H64" s="35" t="str">
        <f>D_Emissions!H51</f>
        <v>Jednostka</v>
      </c>
      <c r="I64" s="396">
        <f>D_Emissions!I51</f>
        <v>2014</v>
      </c>
      <c r="J64" s="396">
        <f>D_Emissions!J51</f>
        <v>2015</v>
      </c>
      <c r="K64" s="396">
        <f>D_Emissions!K51</f>
        <v>2016</v>
      </c>
      <c r="L64" s="396">
        <f>D_Emissions!L51</f>
        <v>2017</v>
      </c>
      <c r="M64" s="396">
        <f>D_Emissions!M51</f>
        <v>2018</v>
      </c>
      <c r="N64" s="398"/>
      <c r="O64" s="20"/>
      <c r="P64" s="422"/>
      <c r="Q64" s="422"/>
      <c r="R64" s="422"/>
      <c r="S64" s="422"/>
      <c r="T64" s="422"/>
    </row>
    <row r="65" spans="1:20" s="701" customFormat="1" x14ac:dyDescent="0.2">
      <c r="A65" s="422"/>
      <c r="B65" s="398"/>
      <c r="C65" s="398"/>
      <c r="D65" s="398"/>
      <c r="E65" s="1618" t="str">
        <f>D_Emissions!E52</f>
        <v>Całkowite emisje CO2</v>
      </c>
      <c r="F65" s="1618"/>
      <c r="G65" s="1618"/>
      <c r="H65" s="37" t="str">
        <f>D_Emissions!H52</f>
        <v>t CO2 / rok</v>
      </c>
      <c r="I65" s="362">
        <f>D_Emissions!I52</f>
        <v>148236.37359999999</v>
      </c>
      <c r="J65" s="362">
        <f>D_Emissions!J52</f>
        <v>138664.32636000001</v>
      </c>
      <c r="K65" s="362">
        <f>D_Emissions!K52</f>
        <v>152976.0267966</v>
      </c>
      <c r="L65" s="362">
        <f>D_Emissions!L52</f>
        <v>132702.0955344</v>
      </c>
      <c r="M65" s="362">
        <f>D_Emissions!M52</f>
        <v>150089.32827</v>
      </c>
      <c r="N65" s="398"/>
      <c r="O65" s="20"/>
      <c r="P65" s="422"/>
      <c r="Q65" s="422"/>
      <c r="R65" s="422"/>
      <c r="S65" s="422"/>
      <c r="T65" s="422"/>
    </row>
    <row r="66" spans="1:20" s="701" customFormat="1" x14ac:dyDescent="0.2">
      <c r="A66" s="422"/>
      <c r="B66" s="398"/>
      <c r="C66" s="398"/>
      <c r="D66" s="398"/>
      <c r="E66" s="1614" t="str">
        <f>D_Emissions!E53</f>
        <v>Emisje pochodzące z biomasy</v>
      </c>
      <c r="F66" s="1614"/>
      <c r="G66" s="1614"/>
      <c r="H66" s="184" t="str">
        <f>D_Emissions!H53</f>
        <v>t CO2 / rok</v>
      </c>
      <c r="I66" s="363">
        <f>D_Emissions!I53</f>
        <v>143360</v>
      </c>
      <c r="J66" s="363">
        <f>D_Emissions!J53</f>
        <v>134400</v>
      </c>
      <c r="K66" s="363">
        <f>D_Emissions!K53</f>
        <v>148736</v>
      </c>
      <c r="L66" s="363">
        <f>D_Emissions!L53</f>
        <v>129024</v>
      </c>
      <c r="M66" s="363">
        <f>D_Emissions!M53</f>
        <v>145152</v>
      </c>
      <c r="N66" s="398"/>
      <c r="O66" s="20"/>
      <c r="P66" s="422"/>
      <c r="Q66" s="422"/>
      <c r="R66" s="422"/>
      <c r="S66" s="422"/>
      <c r="T66" s="422"/>
    </row>
    <row r="67" spans="1:20" s="701" customFormat="1" x14ac:dyDescent="0.2">
      <c r="A67" s="422"/>
      <c r="B67" s="398"/>
      <c r="C67" s="398"/>
      <c r="D67" s="398"/>
      <c r="E67" s="1613" t="str">
        <f>D_Emissions!E54</f>
        <v>Całkowite emisje N2O</v>
      </c>
      <c r="F67" s="1613"/>
      <c r="G67" s="1613"/>
      <c r="H67" s="38" t="str">
        <f>D_Emissions!H54</f>
        <v>t CO2e/rok</v>
      </c>
      <c r="I67" s="364" t="str">
        <f>D_Emissions!I54</f>
        <v/>
      </c>
      <c r="J67" s="364" t="str">
        <f>D_Emissions!J54</f>
        <v/>
      </c>
      <c r="K67" s="364" t="str">
        <f>D_Emissions!K54</f>
        <v/>
      </c>
      <c r="L67" s="364" t="str">
        <f>D_Emissions!L54</f>
        <v/>
      </c>
      <c r="M67" s="364" t="str">
        <f>D_Emissions!M54</f>
        <v/>
      </c>
      <c r="N67" s="398"/>
      <c r="O67" s="20"/>
      <c r="P67" s="422"/>
      <c r="Q67" s="422"/>
      <c r="R67" s="422"/>
      <c r="S67" s="422"/>
      <c r="T67" s="422"/>
    </row>
    <row r="68" spans="1:20" s="701" customFormat="1" x14ac:dyDescent="0.2">
      <c r="A68" s="422"/>
      <c r="B68" s="398"/>
      <c r="C68" s="398"/>
      <c r="D68" s="398"/>
      <c r="E68" s="1615" t="str">
        <f>D_Emissions!E55</f>
        <v>Całkowite emisje PFC</v>
      </c>
      <c r="F68" s="1615"/>
      <c r="G68" s="1615"/>
      <c r="H68" s="41" t="str">
        <f>D_Emissions!H55</f>
        <v>t CO2e/rok</v>
      </c>
      <c r="I68" s="365" t="str">
        <f>D_Emissions!I55</f>
        <v/>
      </c>
      <c r="J68" s="365" t="str">
        <f>D_Emissions!J55</f>
        <v/>
      </c>
      <c r="K68" s="365" t="str">
        <f>D_Emissions!K55</f>
        <v/>
      </c>
      <c r="L68" s="365" t="str">
        <f>D_Emissions!L55</f>
        <v/>
      </c>
      <c r="M68" s="365" t="str">
        <f>D_Emissions!M55</f>
        <v/>
      </c>
      <c r="N68" s="398"/>
      <c r="O68" s="20"/>
      <c r="P68" s="422"/>
      <c r="Q68" s="422"/>
      <c r="R68" s="422"/>
      <c r="S68" s="422"/>
      <c r="T68" s="422"/>
    </row>
    <row r="69" spans="1:20" s="701" customFormat="1" x14ac:dyDescent="0.2">
      <c r="A69" s="422"/>
      <c r="B69" s="398"/>
      <c r="C69" s="398"/>
      <c r="D69" s="398"/>
      <c r="E69" s="1611" t="str">
        <f>D_Emissions!E56</f>
        <v>Suma emisji bezpośrednich</v>
      </c>
      <c r="F69" s="1611"/>
      <c r="G69" s="1611"/>
      <c r="H69" s="131" t="str">
        <f>D_Emissions!H56</f>
        <v>t CO2e/rok</v>
      </c>
      <c r="I69" s="684">
        <f>D_Emissions!I56</f>
        <v>148236.37359999999</v>
      </c>
      <c r="J69" s="685">
        <f>D_Emissions!J56</f>
        <v>138664.32636000001</v>
      </c>
      <c r="K69" s="685">
        <f>D_Emissions!K56</f>
        <v>152976.0267966</v>
      </c>
      <c r="L69" s="685">
        <f>D_Emissions!L56</f>
        <v>132702.0955344</v>
      </c>
      <c r="M69" s="685">
        <f>D_Emissions!M56</f>
        <v>150089.32827</v>
      </c>
      <c r="N69" s="398"/>
      <c r="O69" s="20"/>
      <c r="P69" s="422"/>
      <c r="Q69" s="422"/>
      <c r="R69" s="422"/>
      <c r="S69" s="422"/>
      <c r="T69" s="422"/>
    </row>
    <row r="70" spans="1:20" s="701" customFormat="1" ht="13.5" thickBot="1" x14ac:dyDescent="0.25">
      <c r="A70" s="422"/>
      <c r="B70" s="398"/>
      <c r="C70" s="398"/>
      <c r="D70" s="398"/>
      <c r="E70" s="1610" t="str">
        <f>D_Emissions!E57</f>
        <v>Wyprowadzony przenoszony CO2</v>
      </c>
      <c r="F70" s="1610"/>
      <c r="G70" s="1610"/>
      <c r="H70" s="678" t="str">
        <f>D_Emissions!H57</f>
        <v>t CO2 / rok</v>
      </c>
      <c r="I70" s="686" t="str">
        <f>D_Emissions!I57</f>
        <v/>
      </c>
      <c r="J70" s="687" t="str">
        <f>D_Emissions!J57</f>
        <v/>
      </c>
      <c r="K70" s="687" t="str">
        <f>D_Emissions!K57</f>
        <v/>
      </c>
      <c r="L70" s="687" t="str">
        <f>D_Emissions!L57</f>
        <v/>
      </c>
      <c r="M70" s="687" t="str">
        <f>D_Emissions!M57</f>
        <v/>
      </c>
      <c r="N70" s="398"/>
      <c r="O70" s="20"/>
      <c r="P70" s="422"/>
      <c r="Q70" s="422"/>
      <c r="R70" s="422"/>
      <c r="S70" s="422"/>
      <c r="T70" s="422"/>
    </row>
    <row r="71" spans="1:20" s="701" customFormat="1" ht="13.5" thickBot="1" x14ac:dyDescent="0.25">
      <c r="A71" s="422"/>
      <c r="B71" s="398"/>
      <c r="C71" s="398"/>
      <c r="D71" s="398"/>
      <c r="E71" s="1616" t="str">
        <f>D_Emissions!E58</f>
        <v>Całkowite emisje bezpośrednie instalacji</v>
      </c>
      <c r="F71" s="1617"/>
      <c r="G71" s="1617"/>
      <c r="H71" s="679" t="str">
        <f>D_Emissions!H58</f>
        <v>t CO2e/rok</v>
      </c>
      <c r="I71" s="680">
        <f>D_Emissions!I58</f>
        <v>148236.37359999999</v>
      </c>
      <c r="J71" s="680">
        <f>D_Emissions!J58</f>
        <v>138664.32636000001</v>
      </c>
      <c r="K71" s="680">
        <f>D_Emissions!K58</f>
        <v>152976.0267966</v>
      </c>
      <c r="L71" s="680">
        <f>D_Emissions!L58</f>
        <v>132702.0955344</v>
      </c>
      <c r="M71" s="682">
        <f>D_Emissions!M58</f>
        <v>150089.32827</v>
      </c>
      <c r="N71" s="398"/>
      <c r="O71" s="20"/>
      <c r="P71" s="422"/>
      <c r="Q71" s="422"/>
      <c r="R71" s="422"/>
      <c r="S71" s="422"/>
      <c r="T71" s="422"/>
    </row>
    <row r="72" spans="1:20" s="701" customFormat="1" ht="13.5" thickBot="1" x14ac:dyDescent="0.25">
      <c r="A72" s="422"/>
      <c r="B72" s="398"/>
      <c r="C72" s="398"/>
      <c r="D72" s="398"/>
      <c r="E72" s="1616" t="str">
        <f>D_Emissions!E59</f>
        <v>Łączna energia wejściowa z paliw</v>
      </c>
      <c r="F72" s="1617"/>
      <c r="G72" s="1617"/>
      <c r="H72" s="679" t="str">
        <f>D_Emissions!H59</f>
        <v>TJ / rok</v>
      </c>
      <c r="I72" s="681">
        <f>D_Emissions!I59</f>
        <v>2800</v>
      </c>
      <c r="J72" s="681">
        <f>D_Emissions!J59</f>
        <v>2625</v>
      </c>
      <c r="K72" s="681">
        <f>D_Emissions!K59</f>
        <v>2905</v>
      </c>
      <c r="L72" s="681">
        <f>D_Emissions!L59</f>
        <v>2520</v>
      </c>
      <c r="M72" s="683">
        <f>D_Emissions!M59</f>
        <v>2835</v>
      </c>
      <c r="N72" s="398"/>
      <c r="O72" s="20"/>
      <c r="P72" s="422"/>
      <c r="Q72" s="422"/>
      <c r="R72" s="422"/>
      <c r="S72" s="422"/>
      <c r="T72" s="422"/>
    </row>
    <row r="73" spans="1:20" s="701" customFormat="1" ht="15" customHeight="1" x14ac:dyDescent="0.2">
      <c r="A73" s="422"/>
      <c r="B73" s="398"/>
      <c r="C73" s="398"/>
      <c r="D73" s="398"/>
      <c r="E73" s="398"/>
      <c r="F73" s="398"/>
      <c r="G73" s="398"/>
      <c r="H73" s="398"/>
      <c r="I73" s="398"/>
      <c r="J73" s="398"/>
      <c r="K73" s="398"/>
      <c r="L73" s="398"/>
      <c r="M73" s="398"/>
      <c r="N73" s="398"/>
      <c r="O73" s="20"/>
      <c r="P73" s="422"/>
      <c r="Q73" s="422"/>
      <c r="R73" s="422"/>
      <c r="S73" s="422"/>
      <c r="T73" s="422"/>
    </row>
    <row r="74" spans="1:20" s="701" customFormat="1" ht="15" x14ac:dyDescent="0.25">
      <c r="A74" s="422"/>
      <c r="B74" s="398"/>
      <c r="C74" s="18">
        <v>2</v>
      </c>
      <c r="D74" s="1439" t="str">
        <f>Translations!$B$1168</f>
        <v>Przypisywanie emisji do podinstalacji (część D.II)</v>
      </c>
      <c r="E74" s="1370"/>
      <c r="F74" s="1370"/>
      <c r="G74" s="1370"/>
      <c r="H74" s="1370"/>
      <c r="I74" s="1370"/>
      <c r="J74" s="1370"/>
      <c r="K74" s="1370"/>
      <c r="L74" s="1370"/>
      <c r="M74" s="1370"/>
      <c r="N74" s="1370"/>
      <c r="O74" s="20"/>
      <c r="P74" s="422"/>
      <c r="Q74" s="422"/>
      <c r="R74" s="422"/>
      <c r="S74" s="422"/>
      <c r="T74" s="422"/>
    </row>
    <row r="75" spans="1:20" s="701" customFormat="1" ht="5.0999999999999996" customHeight="1" x14ac:dyDescent="0.2">
      <c r="A75" s="422"/>
      <c r="B75" s="3"/>
      <c r="C75" s="3"/>
      <c r="D75" s="5"/>
      <c r="E75" s="5"/>
      <c r="F75" s="5"/>
      <c r="G75" s="5"/>
      <c r="H75" s="5"/>
      <c r="I75" s="5"/>
      <c r="J75" s="5"/>
      <c r="K75" s="5"/>
      <c r="L75" s="5"/>
      <c r="M75" s="26"/>
      <c r="N75" s="26"/>
      <c r="O75" s="20"/>
      <c r="P75" s="8"/>
      <c r="Q75" s="182"/>
      <c r="R75" s="422"/>
      <c r="S75" s="422"/>
      <c r="T75" s="422"/>
    </row>
    <row r="76" spans="1:20" x14ac:dyDescent="0.2">
      <c r="B76" s="3"/>
      <c r="C76" s="3"/>
      <c r="D76" s="16"/>
      <c r="E76" s="1408" t="str">
        <f>Translations!$B$1169</f>
        <v>Dane są automatycznie pobierane z odpowiednich wpisów w arkuszach F i G znajdujących się w jasnoniebieskich polach dotyczących poszczególnych podinstalacji.</v>
      </c>
      <c r="F76" s="1370"/>
      <c r="G76" s="1370"/>
      <c r="H76" s="1370"/>
      <c r="I76" s="1370"/>
      <c r="J76" s="1370"/>
      <c r="K76" s="1370"/>
      <c r="L76" s="1370"/>
      <c r="M76" s="1370"/>
      <c r="N76" s="1370"/>
      <c r="O76" s="20"/>
      <c r="P76" s="8"/>
    </row>
    <row r="77" spans="1:20" x14ac:dyDescent="0.2">
      <c r="B77" s="3"/>
      <c r="C77" s="3"/>
      <c r="D77" s="16"/>
      <c r="E77" s="1408" t="str">
        <f>Translations!$B$1170</f>
        <v>Emisje, które można przypisać, określa się w następujący sposób:</v>
      </c>
      <c r="F77" s="1370"/>
      <c r="G77" s="1370"/>
      <c r="H77" s="1370"/>
      <c r="I77" s="1370"/>
      <c r="J77" s="1370"/>
      <c r="K77" s="1370"/>
      <c r="L77" s="1370"/>
      <c r="M77" s="1370"/>
      <c r="N77" s="1370"/>
      <c r="O77" s="20"/>
      <c r="P77" s="8"/>
    </row>
    <row r="78" spans="1:20" ht="38.25" customHeight="1" x14ac:dyDescent="0.2">
      <c r="B78" s="3"/>
      <c r="C78" s="3"/>
      <c r="D78" s="16"/>
      <c r="E78" s="763" t="s">
        <v>603</v>
      </c>
      <c r="F78" s="1416" t="str">
        <f>Translations!$B$843</f>
        <v>Emisje bezpośrednie monitoruje się zgodnie z planem monitorowania zatwierdzonym na podstawie MRR, tj. z uwzględnieniem emisji z metodyki opartej na obliczeniach (z wykorzystaniem strumieni materiałów wsadowych), metodyki opartej na pomiarach (CEMS), a także metod nieuwzględniających poziomów dokładności („fall-back”).</v>
      </c>
      <c r="G78" s="1416"/>
      <c r="H78" s="1416"/>
      <c r="I78" s="1416"/>
      <c r="J78" s="1416"/>
      <c r="K78" s="1416"/>
      <c r="L78" s="1416"/>
      <c r="M78" s="1416"/>
      <c r="N78" s="1416"/>
      <c r="O78" s="20"/>
      <c r="P78" s="8"/>
    </row>
    <row r="79" spans="1:20" ht="12.75" customHeight="1" x14ac:dyDescent="0.2">
      <c r="B79" s="3"/>
      <c r="C79" s="3"/>
      <c r="D79" s="16"/>
      <c r="E79" s="885" t="s">
        <v>605</v>
      </c>
      <c r="F79" s="1416" t="str">
        <f>Translations!$B$1171</f>
        <v>Emisje związane z innymi wewnętrznymi strumieniami materiałów wsadowych</v>
      </c>
      <c r="G79" s="1416"/>
      <c r="H79" s="1416"/>
      <c r="I79" s="1416"/>
      <c r="J79" s="1416"/>
      <c r="K79" s="1416"/>
      <c r="L79" s="1416"/>
      <c r="M79" s="1416"/>
      <c r="N79" s="1416"/>
      <c r="O79" s="20"/>
      <c r="P79" s="8"/>
    </row>
    <row r="80" spans="1:20" ht="12.75" customHeight="1" x14ac:dyDescent="0.2">
      <c r="B80" s="3"/>
      <c r="C80" s="3"/>
      <c r="D80" s="16"/>
      <c r="E80" s="885" t="s">
        <v>605</v>
      </c>
      <c r="F80" s="1416" t="str">
        <f>Translations!$B$1172</f>
        <v>Ilość gazów cieplarnianych wprowadzonych i wyprowadzonych w charakterze materiałów wsadowych</v>
      </c>
      <c r="G80" s="1416"/>
      <c r="H80" s="1416"/>
      <c r="I80" s="1416"/>
      <c r="J80" s="1416"/>
      <c r="K80" s="1416"/>
      <c r="L80" s="1416"/>
      <c r="M80" s="1416"/>
      <c r="N80" s="1416"/>
      <c r="O80" s="20"/>
      <c r="P80" s="8"/>
    </row>
    <row r="81" spans="2:19" ht="12.75" customHeight="1" x14ac:dyDescent="0.2">
      <c r="B81" s="3"/>
      <c r="C81" s="3"/>
      <c r="D81" s="16"/>
      <c r="E81" s="885" t="s">
        <v>604</v>
      </c>
      <c r="F81" s="1416" t="str">
        <f>Translations!$B$1173</f>
        <v>Emisje związane z wprowadzonym ciepłem zgodnie z pkt 10.1.2 i 10.1.3 załącznika VII do FAR</v>
      </c>
      <c r="G81" s="1416"/>
      <c r="H81" s="1416"/>
      <c r="I81" s="1416"/>
      <c r="J81" s="1416"/>
      <c r="K81" s="1416"/>
      <c r="L81" s="1416"/>
      <c r="M81" s="1416"/>
      <c r="N81" s="1416"/>
      <c r="O81" s="20"/>
      <c r="P81" s="8"/>
    </row>
    <row r="82" spans="2:19" ht="12.75" customHeight="1" x14ac:dyDescent="0.2">
      <c r="B82" s="3"/>
      <c r="C82" s="3"/>
      <c r="D82" s="16"/>
      <c r="E82" s="885" t="s">
        <v>408</v>
      </c>
      <c r="F82" s="1416" t="str">
        <f>Translations!$B$1174</f>
        <v>Emisje związane z wyprowadzonym ciepłem zgodnie z pkt 10.1.2 i 10.1.3 załącznika VII do FAR</v>
      </c>
      <c r="G82" s="1416"/>
      <c r="H82" s="1416"/>
      <c r="I82" s="1416"/>
      <c r="J82" s="1416"/>
      <c r="K82" s="1416"/>
      <c r="L82" s="1416"/>
      <c r="M82" s="1416"/>
      <c r="N82" s="1416"/>
      <c r="O82" s="20"/>
      <c r="P82" s="8"/>
    </row>
    <row r="83" spans="2:19" x14ac:dyDescent="0.2">
      <c r="B83" s="3"/>
      <c r="C83" s="3"/>
      <c r="D83" s="16"/>
      <c r="E83" s="885" t="s">
        <v>604</v>
      </c>
      <c r="F83" s="1416" t="str">
        <f>Translations!$B$1175</f>
        <v>Emisje związane z wprowadzonymi gazami odlotowymi zgodnie z pkt 10.1.5 załącznika VII do FAR</v>
      </c>
      <c r="G83" s="1416"/>
      <c r="H83" s="1416"/>
      <c r="I83" s="1416"/>
      <c r="J83" s="1416"/>
      <c r="K83" s="1416"/>
      <c r="L83" s="1416"/>
      <c r="M83" s="1416"/>
      <c r="N83" s="1416"/>
      <c r="O83" s="20"/>
      <c r="P83" s="8"/>
    </row>
    <row r="84" spans="2:19" ht="25.5" customHeight="1" x14ac:dyDescent="0.2">
      <c r="B84" s="3"/>
      <c r="C84" s="3"/>
      <c r="D84" s="16"/>
      <c r="E84" s="885" t="s">
        <v>408</v>
      </c>
      <c r="F84" s="1416" t="str">
        <f>Translations!$B$1176</f>
        <v>Emisje związane z wyprowadzonymi gazami odlotowymi zgodnie z pkt 10.1.5 załącznika VII do FAR obliczone przez odjęcie zawartości energii pomnożonej przez współczynnik emisji i domyślny współczynnik korygujący o wartości 0,667</v>
      </c>
      <c r="G84" s="1416"/>
      <c r="H84" s="1416"/>
      <c r="I84" s="1416"/>
      <c r="J84" s="1416"/>
      <c r="K84" s="1416"/>
      <c r="L84" s="1416"/>
      <c r="M84" s="1416"/>
      <c r="N84" s="1416"/>
      <c r="O84" s="20"/>
      <c r="P84" s="8"/>
    </row>
    <row r="85" spans="2:19" ht="25.5" customHeight="1" x14ac:dyDescent="0.2">
      <c r="B85" s="3"/>
      <c r="C85" s="3"/>
      <c r="D85" s="16"/>
      <c r="E85" s="885" t="s">
        <v>604</v>
      </c>
      <c r="F85" s="1416" t="str">
        <f>Translations!$B$1177</f>
        <v>Emisje związane z odpowiednim zużyciem energii elektrycznej w odniesieniu do podinstalacji, w przypadku których znaczenie ma zamienność paliw i energii elektrycznej.</v>
      </c>
      <c r="G85" s="1416"/>
      <c r="H85" s="1416"/>
      <c r="I85" s="1416"/>
      <c r="J85" s="1416"/>
      <c r="K85" s="1416"/>
      <c r="L85" s="1416"/>
      <c r="M85" s="1416"/>
      <c r="N85" s="1416"/>
      <c r="O85" s="20"/>
      <c r="P85" s="8"/>
    </row>
    <row r="86" spans="2:19" x14ac:dyDescent="0.2">
      <c r="B86" s="3"/>
      <c r="C86" s="3"/>
      <c r="D86" s="16"/>
      <c r="E86" s="885" t="s">
        <v>408</v>
      </c>
      <c r="F86" s="1416" t="str">
        <f>Translations!$B$1178</f>
        <v>Emisje związane z energią elektryczną wytwarzaną inaczej niż za pomocą mierzalnego ciepła.</v>
      </c>
      <c r="G86" s="1416"/>
      <c r="H86" s="1416"/>
      <c r="I86" s="1416"/>
      <c r="J86" s="1416"/>
      <c r="K86" s="1416"/>
      <c r="L86" s="1416"/>
      <c r="M86" s="1416"/>
      <c r="N86" s="1416"/>
      <c r="O86" s="20"/>
      <c r="P86" s="8"/>
    </row>
    <row r="87" spans="2:19" ht="38.25" customHeight="1" x14ac:dyDescent="0.2">
      <c r="B87" s="3"/>
      <c r="C87" s="3"/>
      <c r="D87" s="16"/>
      <c r="E87" s="1448" t="str">
        <f>Translations!$B$1179</f>
        <v>W niektórych przypadkach nie można na użytek projektu wstępnego przydziału obliczyć emisji, które można przypisać, ponieważ do obliczeń potrzebne są wartości wskaźnika emisyjności opartego na cieple lub wskaźnika emisyjności opartego na paliwie. W takim przypadku nie zostaną wyświetlone żadne wartości dotyczące emisji, które można przypisać, zgodnie ze wskazaniem „nie dotyczy”. Przypadki te obejmują:</v>
      </c>
      <c r="F87" s="1434"/>
      <c r="G87" s="1434"/>
      <c r="H87" s="1434"/>
      <c r="I87" s="1434"/>
      <c r="J87" s="1434"/>
      <c r="K87" s="1434"/>
      <c r="L87" s="1434"/>
      <c r="M87" s="1434"/>
      <c r="N87" s="1434"/>
      <c r="O87" s="20"/>
      <c r="P87" s="8"/>
    </row>
    <row r="88" spans="2:19" ht="38.25" customHeight="1" x14ac:dyDescent="0.2">
      <c r="B88" s="3"/>
      <c r="C88" s="3"/>
      <c r="D88" s="16"/>
      <c r="E88" s="885" t="s">
        <v>408</v>
      </c>
      <c r="F88" s="1416" t="str">
        <f>Translations!$B$1180</f>
        <v>sytuacje, w których żaden współczynnik emisji dotyczący ciepła wprowadzonego lub wyprowadzonego nie ma zastosowania lub nie jest znany, tj. jeżeli nie wpisano takiej wartości. W takich przypadkach do obliczenia emisji, które można przypisać, stosuje się domyślne wartości oparte na wskaźniku emisyjności opartym na cieple, gdy już będą znane.</v>
      </c>
      <c r="G88" s="1416"/>
      <c r="H88" s="1416"/>
      <c r="I88" s="1416"/>
      <c r="J88" s="1416"/>
      <c r="K88" s="1416"/>
      <c r="L88" s="1416"/>
      <c r="M88" s="1416"/>
      <c r="N88" s="1416"/>
      <c r="O88" s="20"/>
      <c r="P88" s="8"/>
    </row>
    <row r="89" spans="2:19" ht="12.75" customHeight="1" x14ac:dyDescent="0.2">
      <c r="B89" s="3"/>
      <c r="C89" s="3"/>
      <c r="D89" s="16"/>
      <c r="E89" s="885" t="s">
        <v>408</v>
      </c>
      <c r="F89" s="1416" t="str">
        <f>Translations!$B$1181</f>
        <v>sytuacje, w których wprowadza się gazy odlotowe. W tym przypadku wykorzystuje się wskaźnik emisyjności oparty na paliwie, gdy już będą znane.</v>
      </c>
      <c r="G89" s="1416"/>
      <c r="H89" s="1416"/>
      <c r="I89" s="1416"/>
      <c r="J89" s="1416"/>
      <c r="K89" s="1416"/>
      <c r="L89" s="1416"/>
      <c r="M89" s="1416"/>
      <c r="N89" s="1416"/>
      <c r="O89" s="20"/>
      <c r="P89" s="8"/>
    </row>
    <row r="90" spans="2:19" ht="25.5" customHeight="1" x14ac:dyDescent="0.2">
      <c r="B90" s="3"/>
      <c r="C90" s="3"/>
      <c r="D90" s="16"/>
      <c r="E90" s="1408" t="str">
        <f>Translations!$B$1182</f>
        <v>Wartość „pozostałe emisje” wyświetla się do celów kontroli. Obejmuje emisje związane z produkcją energii elektrycznej, spalania innego niż spalanie na pochodniach dla zapewnienia bezpieczeństwa oraz inne emisje, które nie prowadzą do przydziału bezpłatnych uprawnień.</v>
      </c>
      <c r="F90" s="1370"/>
      <c r="G90" s="1370"/>
      <c r="H90" s="1370"/>
      <c r="I90" s="1370"/>
      <c r="J90" s="1370"/>
      <c r="K90" s="1370"/>
      <c r="L90" s="1370"/>
      <c r="M90" s="1370"/>
      <c r="N90" s="1370"/>
      <c r="O90" s="20"/>
      <c r="P90" s="8"/>
    </row>
    <row r="91" spans="2:19" ht="25.5" customHeight="1" x14ac:dyDescent="0.2">
      <c r="B91" s="3"/>
      <c r="C91" s="3"/>
      <c r="D91" s="16"/>
      <c r="E91" s="1408" t="str">
        <f>Translations!$B$1183</f>
        <v>Jeżeli w odniesieniu do co najmniej jednej podinstalacji dla któregokolwiek roku wyświetla się „nie dotyczy”, również wartości dotyczące „pozostałych emisji” nie zostaną wyświetlone, aby nie wprowadzać zamieszania.</v>
      </c>
      <c r="F91" s="1370"/>
      <c r="G91" s="1370"/>
      <c r="H91" s="1370"/>
      <c r="I91" s="1370"/>
      <c r="J91" s="1370"/>
      <c r="K91" s="1370"/>
      <c r="L91" s="1370"/>
      <c r="M91" s="1370"/>
      <c r="N91" s="1370"/>
      <c r="O91" s="20"/>
      <c r="P91" s="8"/>
    </row>
    <row r="92" spans="2:19" ht="13.5" thickBot="1" x14ac:dyDescent="0.25">
      <c r="B92" s="3"/>
      <c r="C92" s="3"/>
      <c r="D92" s="14"/>
      <c r="E92" s="1430" t="str">
        <f>Translations!$B$1184</f>
        <v>Dane na poziomie podinstalacji:</v>
      </c>
      <c r="F92" s="1430"/>
      <c r="G92" s="1430"/>
      <c r="H92" s="35" t="str">
        <f>EUconst_Unit</f>
        <v>Jednostka</v>
      </c>
      <c r="I92" s="396">
        <f>D_Emissions!I$309</f>
        <v>2014</v>
      </c>
      <c r="J92" s="396">
        <f>D_Emissions!J$309</f>
        <v>2015</v>
      </c>
      <c r="K92" s="396">
        <f>D_Emissions!K$309</f>
        <v>2016</v>
      </c>
      <c r="L92" s="396">
        <f>D_Emissions!L$309</f>
        <v>2017</v>
      </c>
      <c r="M92" s="396">
        <f>D_Emissions!M$309</f>
        <v>2018</v>
      </c>
      <c r="N92" s="7"/>
      <c r="O92" s="20"/>
      <c r="S92" s="422" t="s">
        <v>576</v>
      </c>
    </row>
    <row r="93" spans="2:19" x14ac:dyDescent="0.2">
      <c r="B93" s="20"/>
      <c r="C93" s="20"/>
      <c r="D93" s="425"/>
      <c r="E93" s="1995" t="str">
        <f t="shared" ref="E93:E102" si="3">IF(INDEX(CNTR_SubInstListIsProdBM,Q93),INDEX(CNTR_SubInstListNames,Q93),"")</f>
        <v/>
      </c>
      <c r="F93" s="1995"/>
      <c r="G93" s="1995"/>
      <c r="H93" s="434" t="str">
        <f t="shared" ref="H93:H110" si="4">EUconst_tCO2epa</f>
        <v>t CO2e/rok</v>
      </c>
      <c r="I93" s="328" t="str">
        <f>IF(ISNUMBER(D_Emissions!I$66),IF($E93="","",IF(SUMIF(F_ProductBM!$R:$R,$S93,F_ProductBM!S:S)&gt;0,EUconst_NA,SUMIF(F_ProductBM!$R:$R,$P93,F_ProductBM!S:S))),"")</f>
        <v/>
      </c>
      <c r="J93" s="328" t="str">
        <f>IF(ISNUMBER(D_Emissions!J$66),IF($E93="","",IF(SUMIF(F_ProductBM!$R:$R,$S93,F_ProductBM!T:T)&gt;0,EUconst_NA,SUMIF(F_ProductBM!$R:$R,$P93,F_ProductBM!T:T))),"")</f>
        <v/>
      </c>
      <c r="K93" s="328" t="str">
        <f>IF(ISNUMBER(D_Emissions!K$66),IF($E93="","",IF(SUMIF(F_ProductBM!$R:$R,$S93,F_ProductBM!U:U)&gt;0,EUconst_NA,SUMIF(F_ProductBM!$R:$R,$P93,F_ProductBM!U:U))),"")</f>
        <v/>
      </c>
      <c r="L93" s="328" t="str">
        <f>IF(ISNUMBER(D_Emissions!L$66),IF($E93="","",IF(SUMIF(F_ProductBM!$R:$R,$S93,F_ProductBM!V:V)&gt;0,EUconst_NA,SUMIF(F_ProductBM!$R:$R,$P93,F_ProductBM!V:V))),"")</f>
        <v/>
      </c>
      <c r="M93" s="328" t="str">
        <f>IF(ISNUMBER(D_Emissions!M$66),IF($E93="","",IF(SUMIF(F_ProductBM!$R:$R,$S93,F_ProductBM!W:W)&gt;0,EUconst_NA,SUMIF(F_ProductBM!$R:$R,$P93,F_ProductBM!W:W))),"")</f>
        <v/>
      </c>
      <c r="N93" s="7"/>
      <c r="O93" s="20"/>
      <c r="P93" s="179" t="str">
        <f t="shared" ref="P93:P107" si="5">EUconst_CNTR_AttributedEmissions &amp; E93</f>
        <v>AttrEmissions_</v>
      </c>
      <c r="Q93" s="428">
        <v>1</v>
      </c>
      <c r="S93" s="116" t="str">
        <f t="shared" ref="S93:S109" si="6">EUconst_ERR_AttrEmBMapplied &amp; E93</f>
        <v>ERR_AttrEmBM_ </v>
      </c>
    </row>
    <row r="94" spans="2:19" x14ac:dyDescent="0.2">
      <c r="B94" s="20"/>
      <c r="C94" s="20"/>
      <c r="D94" s="425"/>
      <c r="E94" s="1648" t="str">
        <f t="shared" si="3"/>
        <v/>
      </c>
      <c r="F94" s="1648"/>
      <c r="G94" s="1648"/>
      <c r="H94" s="740" t="str">
        <f t="shared" si="4"/>
        <v>t CO2e/rok</v>
      </c>
      <c r="I94" s="326" t="str">
        <f>IF(ISNUMBER(D_Emissions!I$66),IF($E94="","",IF(SUMIF(F_ProductBM!$R:$R,$S94,F_ProductBM!S:S)&gt;0,EUconst_NA,SUMIF(F_ProductBM!$R:$R,$P94,F_ProductBM!S:S))),"")</f>
        <v/>
      </c>
      <c r="J94" s="326" t="str">
        <f>IF(ISNUMBER(D_Emissions!J$66),IF($E94="","",IF(SUMIF(F_ProductBM!$R:$R,$S94,F_ProductBM!T:T)&gt;0,EUconst_NA,SUMIF(F_ProductBM!$R:$R,$P94,F_ProductBM!T:T))),"")</f>
        <v/>
      </c>
      <c r="K94" s="326" t="str">
        <f>IF(ISNUMBER(D_Emissions!K$66),IF($E94="","",IF(SUMIF(F_ProductBM!$R:$R,$S94,F_ProductBM!U:U)&gt;0,EUconst_NA,SUMIF(F_ProductBM!$R:$R,$P94,F_ProductBM!U:U))),"")</f>
        <v/>
      </c>
      <c r="L94" s="326" t="str">
        <f>IF(ISNUMBER(D_Emissions!L$66),IF($E94="","",IF(SUMIF(F_ProductBM!$R:$R,$S94,F_ProductBM!V:V)&gt;0,EUconst_NA,SUMIF(F_ProductBM!$R:$R,$P94,F_ProductBM!V:V))),"")</f>
        <v/>
      </c>
      <c r="M94" s="326" t="str">
        <f>IF(ISNUMBER(D_Emissions!M$66),IF($E94="","",IF(SUMIF(F_ProductBM!$R:$R,$S94,F_ProductBM!W:W)&gt;0,EUconst_NA,SUMIF(F_ProductBM!$R:$R,$P94,F_ProductBM!W:W))),"")</f>
        <v/>
      </c>
      <c r="N94" s="7"/>
      <c r="O94" s="20"/>
      <c r="P94" s="345" t="str">
        <f t="shared" si="5"/>
        <v>AttrEmissions_</v>
      </c>
      <c r="Q94" s="426">
        <v>2</v>
      </c>
      <c r="S94" s="116" t="str">
        <f t="shared" si="6"/>
        <v>ERR_AttrEmBM_ </v>
      </c>
    </row>
    <row r="95" spans="2:19" ht="12.75" customHeight="1" x14ac:dyDescent="0.2">
      <c r="B95" s="20"/>
      <c r="C95" s="20"/>
      <c r="D95" s="425"/>
      <c r="E95" s="1648" t="str">
        <f t="shared" si="3"/>
        <v/>
      </c>
      <c r="F95" s="1648"/>
      <c r="G95" s="1648"/>
      <c r="H95" s="740" t="str">
        <f t="shared" si="4"/>
        <v>t CO2e/rok</v>
      </c>
      <c r="I95" s="326" t="str">
        <f>IF(ISNUMBER(D_Emissions!I$66),IF($E95="","",IF(SUMIF(F_ProductBM!$R:$R,$S95,F_ProductBM!S:S)&gt;0,EUconst_NA,SUMIF(F_ProductBM!$R:$R,$P95,F_ProductBM!S:S))),"")</f>
        <v/>
      </c>
      <c r="J95" s="326" t="str">
        <f>IF(ISNUMBER(D_Emissions!J$66),IF($E95="","",IF(SUMIF(F_ProductBM!$R:$R,$S95,F_ProductBM!T:T)&gt;0,EUconst_NA,SUMIF(F_ProductBM!$R:$R,$P95,F_ProductBM!T:T))),"")</f>
        <v/>
      </c>
      <c r="K95" s="326" t="str">
        <f>IF(ISNUMBER(D_Emissions!K$66),IF($E95="","",IF(SUMIF(F_ProductBM!$R:$R,$S95,F_ProductBM!U:U)&gt;0,EUconst_NA,SUMIF(F_ProductBM!$R:$R,$P95,F_ProductBM!U:U))),"")</f>
        <v/>
      </c>
      <c r="L95" s="326" t="str">
        <f>IF(ISNUMBER(D_Emissions!L$66),IF($E95="","",IF(SUMIF(F_ProductBM!$R:$R,$S95,F_ProductBM!V:V)&gt;0,EUconst_NA,SUMIF(F_ProductBM!$R:$R,$P95,F_ProductBM!V:V))),"")</f>
        <v/>
      </c>
      <c r="M95" s="326" t="str">
        <f>IF(ISNUMBER(D_Emissions!M$66),IF($E95="","",IF(SUMIF(F_ProductBM!$R:$R,$S95,F_ProductBM!W:W)&gt;0,EUconst_NA,SUMIF(F_ProductBM!$R:$R,$P95,F_ProductBM!W:W))),"")</f>
        <v/>
      </c>
      <c r="N95" s="7"/>
      <c r="O95" s="20"/>
      <c r="P95" s="345" t="str">
        <f t="shared" si="5"/>
        <v>AttrEmissions_</v>
      </c>
      <c r="Q95" s="426">
        <v>3</v>
      </c>
      <c r="S95" s="116" t="str">
        <f t="shared" si="6"/>
        <v>ERR_AttrEmBM_ </v>
      </c>
    </row>
    <row r="96" spans="2:19" x14ac:dyDescent="0.2">
      <c r="B96" s="20"/>
      <c r="C96" s="20"/>
      <c r="D96" s="425"/>
      <c r="E96" s="1648" t="str">
        <f t="shared" si="3"/>
        <v/>
      </c>
      <c r="F96" s="1648"/>
      <c r="G96" s="1648"/>
      <c r="H96" s="740" t="str">
        <f t="shared" si="4"/>
        <v>t CO2e/rok</v>
      </c>
      <c r="I96" s="326" t="str">
        <f>IF(ISNUMBER(D_Emissions!I$66),IF($E96="","",IF(SUMIF(F_ProductBM!$R:$R,$S96,F_ProductBM!S:S)&gt;0,EUconst_NA,SUMIF(F_ProductBM!$R:$R,$P96,F_ProductBM!S:S))),"")</f>
        <v/>
      </c>
      <c r="J96" s="326" t="str">
        <f>IF(ISNUMBER(D_Emissions!J$66),IF($E96="","",IF(SUMIF(F_ProductBM!$R:$R,$S96,F_ProductBM!T:T)&gt;0,EUconst_NA,SUMIF(F_ProductBM!$R:$R,$P96,F_ProductBM!T:T))),"")</f>
        <v/>
      </c>
      <c r="K96" s="326" t="str">
        <f>IF(ISNUMBER(D_Emissions!K$66),IF($E96="","",IF(SUMIF(F_ProductBM!$R:$R,$S96,F_ProductBM!U:U)&gt;0,EUconst_NA,SUMIF(F_ProductBM!$R:$R,$P96,F_ProductBM!U:U))),"")</f>
        <v/>
      </c>
      <c r="L96" s="326" t="str">
        <f>IF(ISNUMBER(D_Emissions!L$66),IF($E96="","",IF(SUMIF(F_ProductBM!$R:$R,$S96,F_ProductBM!V:V)&gt;0,EUconst_NA,SUMIF(F_ProductBM!$R:$R,$P96,F_ProductBM!V:V))),"")</f>
        <v/>
      </c>
      <c r="M96" s="326" t="str">
        <f>IF(ISNUMBER(D_Emissions!M$66),IF($E96="","",IF(SUMIF(F_ProductBM!$R:$R,$S96,F_ProductBM!W:W)&gt;0,EUconst_NA,SUMIF(F_ProductBM!$R:$R,$P96,F_ProductBM!W:W))),"")</f>
        <v/>
      </c>
      <c r="N96" s="7"/>
      <c r="O96" s="20"/>
      <c r="P96" s="345" t="str">
        <f t="shared" si="5"/>
        <v>AttrEmissions_</v>
      </c>
      <c r="Q96" s="426">
        <v>4</v>
      </c>
      <c r="S96" s="116" t="str">
        <f t="shared" si="6"/>
        <v>ERR_AttrEmBM_ </v>
      </c>
    </row>
    <row r="97" spans="2:19" x14ac:dyDescent="0.2">
      <c r="B97" s="20"/>
      <c r="C97" s="20"/>
      <c r="D97" s="425"/>
      <c r="E97" s="1648" t="str">
        <f t="shared" si="3"/>
        <v/>
      </c>
      <c r="F97" s="1648"/>
      <c r="G97" s="1648"/>
      <c r="H97" s="740" t="str">
        <f t="shared" si="4"/>
        <v>t CO2e/rok</v>
      </c>
      <c r="I97" s="326" t="str">
        <f>IF(ISNUMBER(D_Emissions!I$66),IF($E97="","",IF(SUMIF(F_ProductBM!$R:$R,$S97,F_ProductBM!S:S)&gt;0,EUconst_NA,SUMIF(F_ProductBM!$R:$R,$P97,F_ProductBM!S:S))),"")</f>
        <v/>
      </c>
      <c r="J97" s="326" t="str">
        <f>IF(ISNUMBER(D_Emissions!J$66),IF($E97="","",IF(SUMIF(F_ProductBM!$R:$R,$S97,F_ProductBM!T:T)&gt;0,EUconst_NA,SUMIF(F_ProductBM!$R:$R,$P97,F_ProductBM!T:T))),"")</f>
        <v/>
      </c>
      <c r="K97" s="326" t="str">
        <f>IF(ISNUMBER(D_Emissions!K$66),IF($E97="","",IF(SUMIF(F_ProductBM!$R:$R,$S97,F_ProductBM!U:U)&gt;0,EUconst_NA,SUMIF(F_ProductBM!$R:$R,$P97,F_ProductBM!U:U))),"")</f>
        <v/>
      </c>
      <c r="L97" s="326" t="str">
        <f>IF(ISNUMBER(D_Emissions!L$66),IF($E97="","",IF(SUMIF(F_ProductBM!$R:$R,$S97,F_ProductBM!V:V)&gt;0,EUconst_NA,SUMIF(F_ProductBM!$R:$R,$P97,F_ProductBM!V:V))),"")</f>
        <v/>
      </c>
      <c r="M97" s="326" t="str">
        <f>IF(ISNUMBER(D_Emissions!M$66),IF($E97="","",IF(SUMIF(F_ProductBM!$R:$R,$S97,F_ProductBM!W:W)&gt;0,EUconst_NA,SUMIF(F_ProductBM!$R:$R,$P97,F_ProductBM!W:W))),"")</f>
        <v/>
      </c>
      <c r="N97" s="7"/>
      <c r="O97" s="20"/>
      <c r="P97" s="345" t="str">
        <f t="shared" si="5"/>
        <v>AttrEmissions_</v>
      </c>
      <c r="Q97" s="426">
        <v>5</v>
      </c>
      <c r="S97" s="116" t="str">
        <f t="shared" si="6"/>
        <v>ERR_AttrEmBM_ </v>
      </c>
    </row>
    <row r="98" spans="2:19" ht="12.75" customHeight="1" x14ac:dyDescent="0.2">
      <c r="B98" s="20"/>
      <c r="C98" s="20"/>
      <c r="D98" s="425"/>
      <c r="E98" s="1648" t="str">
        <f t="shared" si="3"/>
        <v/>
      </c>
      <c r="F98" s="1648"/>
      <c r="G98" s="1648"/>
      <c r="H98" s="740" t="str">
        <f t="shared" si="4"/>
        <v>t CO2e/rok</v>
      </c>
      <c r="I98" s="326" t="str">
        <f>IF(ISNUMBER(D_Emissions!I$66),IF($E98="","",IF(SUMIF(F_ProductBM!$R:$R,$S98,F_ProductBM!S:S)&gt;0,EUconst_NA,SUMIF(F_ProductBM!$R:$R,$P98,F_ProductBM!S:S))),"")</f>
        <v/>
      </c>
      <c r="J98" s="326" t="str">
        <f>IF(ISNUMBER(D_Emissions!J$66),IF($E98="","",IF(SUMIF(F_ProductBM!$R:$R,$S98,F_ProductBM!T:T)&gt;0,EUconst_NA,SUMIF(F_ProductBM!$R:$R,$P98,F_ProductBM!T:T))),"")</f>
        <v/>
      </c>
      <c r="K98" s="326" t="str">
        <f>IF(ISNUMBER(D_Emissions!K$66),IF($E98="","",IF(SUMIF(F_ProductBM!$R:$R,$S98,F_ProductBM!U:U)&gt;0,EUconst_NA,SUMIF(F_ProductBM!$R:$R,$P98,F_ProductBM!U:U))),"")</f>
        <v/>
      </c>
      <c r="L98" s="326" t="str">
        <f>IF(ISNUMBER(D_Emissions!L$66),IF($E98="","",IF(SUMIF(F_ProductBM!$R:$R,$S98,F_ProductBM!V:V)&gt;0,EUconst_NA,SUMIF(F_ProductBM!$R:$R,$P98,F_ProductBM!V:V))),"")</f>
        <v/>
      </c>
      <c r="M98" s="326" t="str">
        <f>IF(ISNUMBER(D_Emissions!M$66),IF($E98="","",IF(SUMIF(F_ProductBM!$R:$R,$S98,F_ProductBM!W:W)&gt;0,EUconst_NA,SUMIF(F_ProductBM!$R:$R,$P98,F_ProductBM!W:W))),"")</f>
        <v/>
      </c>
      <c r="N98" s="7"/>
      <c r="O98" s="20"/>
      <c r="P98" s="345" t="str">
        <f t="shared" si="5"/>
        <v>AttrEmissions_</v>
      </c>
      <c r="Q98" s="426">
        <v>6</v>
      </c>
      <c r="S98" s="116" t="str">
        <f t="shared" si="6"/>
        <v>ERR_AttrEmBM_ </v>
      </c>
    </row>
    <row r="99" spans="2:19" ht="12.75" customHeight="1" x14ac:dyDescent="0.2">
      <c r="B99" s="20"/>
      <c r="C99" s="20"/>
      <c r="D99" s="425"/>
      <c r="E99" s="1648" t="str">
        <f t="shared" si="3"/>
        <v/>
      </c>
      <c r="F99" s="1648"/>
      <c r="G99" s="1648"/>
      <c r="H99" s="740" t="str">
        <f t="shared" si="4"/>
        <v>t CO2e/rok</v>
      </c>
      <c r="I99" s="326" t="str">
        <f>IF(ISNUMBER(D_Emissions!I$66),IF($E99="","",IF(SUMIF(F_ProductBM!$R:$R,$S99,F_ProductBM!S:S)&gt;0,EUconst_NA,SUMIF(F_ProductBM!$R:$R,$P99,F_ProductBM!S:S))),"")</f>
        <v/>
      </c>
      <c r="J99" s="326" t="str">
        <f>IF(ISNUMBER(D_Emissions!J$66),IF($E99="","",IF(SUMIF(F_ProductBM!$R:$R,$S99,F_ProductBM!T:T)&gt;0,EUconst_NA,SUMIF(F_ProductBM!$R:$R,$P99,F_ProductBM!T:T))),"")</f>
        <v/>
      </c>
      <c r="K99" s="326" t="str">
        <f>IF(ISNUMBER(D_Emissions!K$66),IF($E99="","",IF(SUMIF(F_ProductBM!$R:$R,$S99,F_ProductBM!U:U)&gt;0,EUconst_NA,SUMIF(F_ProductBM!$R:$R,$P99,F_ProductBM!U:U))),"")</f>
        <v/>
      </c>
      <c r="L99" s="326" t="str">
        <f>IF(ISNUMBER(D_Emissions!L$66),IF($E99="","",IF(SUMIF(F_ProductBM!$R:$R,$S99,F_ProductBM!V:V)&gt;0,EUconst_NA,SUMIF(F_ProductBM!$R:$R,$P99,F_ProductBM!V:V))),"")</f>
        <v/>
      </c>
      <c r="M99" s="326" t="str">
        <f>IF(ISNUMBER(D_Emissions!M$66),IF($E99="","",IF(SUMIF(F_ProductBM!$R:$R,$S99,F_ProductBM!W:W)&gt;0,EUconst_NA,SUMIF(F_ProductBM!$R:$R,$P99,F_ProductBM!W:W))),"")</f>
        <v/>
      </c>
      <c r="N99" s="7"/>
      <c r="O99" s="20"/>
      <c r="P99" s="345" t="str">
        <f t="shared" si="5"/>
        <v>AttrEmissions_</v>
      </c>
      <c r="Q99" s="426">
        <v>7</v>
      </c>
      <c r="S99" s="116" t="str">
        <f t="shared" si="6"/>
        <v>ERR_AttrEmBM_ </v>
      </c>
    </row>
    <row r="100" spans="2:19" x14ac:dyDescent="0.2">
      <c r="B100" s="20"/>
      <c r="C100" s="20"/>
      <c r="D100" s="425"/>
      <c r="E100" s="1648" t="str">
        <f t="shared" si="3"/>
        <v/>
      </c>
      <c r="F100" s="1648"/>
      <c r="G100" s="1648"/>
      <c r="H100" s="740" t="str">
        <f t="shared" si="4"/>
        <v>t CO2e/rok</v>
      </c>
      <c r="I100" s="326" t="str">
        <f>IF(ISNUMBER(D_Emissions!I$66),IF($E100="","",IF(SUMIF(F_ProductBM!$R:$R,$S100,F_ProductBM!S:S)&gt;0,EUconst_NA,SUMIF(F_ProductBM!$R:$R,$P100,F_ProductBM!S:S))),"")</f>
        <v/>
      </c>
      <c r="J100" s="326" t="str">
        <f>IF(ISNUMBER(D_Emissions!J$66),IF($E100="","",IF(SUMIF(F_ProductBM!$R:$R,$S100,F_ProductBM!T:T)&gt;0,EUconst_NA,SUMIF(F_ProductBM!$R:$R,$P100,F_ProductBM!T:T))),"")</f>
        <v/>
      </c>
      <c r="K100" s="326" t="str">
        <f>IF(ISNUMBER(D_Emissions!K$66),IF($E100="","",IF(SUMIF(F_ProductBM!$R:$R,$S100,F_ProductBM!U:U)&gt;0,EUconst_NA,SUMIF(F_ProductBM!$R:$R,$P100,F_ProductBM!U:U))),"")</f>
        <v/>
      </c>
      <c r="L100" s="326" t="str">
        <f>IF(ISNUMBER(D_Emissions!L$66),IF($E100="","",IF(SUMIF(F_ProductBM!$R:$R,$S100,F_ProductBM!V:V)&gt;0,EUconst_NA,SUMIF(F_ProductBM!$R:$R,$P100,F_ProductBM!V:V))),"")</f>
        <v/>
      </c>
      <c r="M100" s="326" t="str">
        <f>IF(ISNUMBER(D_Emissions!M$66),IF($E100="","",IF(SUMIF(F_ProductBM!$R:$R,$S100,F_ProductBM!W:W)&gt;0,EUconst_NA,SUMIF(F_ProductBM!$R:$R,$P100,F_ProductBM!W:W))),"")</f>
        <v/>
      </c>
      <c r="N100" s="7"/>
      <c r="O100" s="20"/>
      <c r="P100" s="345" t="str">
        <f t="shared" si="5"/>
        <v>AttrEmissions_</v>
      </c>
      <c r="Q100" s="426">
        <v>8</v>
      </c>
      <c r="S100" s="116" t="str">
        <f t="shared" si="6"/>
        <v>ERR_AttrEmBM_ </v>
      </c>
    </row>
    <row r="101" spans="2:19" ht="12.75" customHeight="1" x14ac:dyDescent="0.2">
      <c r="B101" s="20"/>
      <c r="C101" s="20"/>
      <c r="D101" s="425"/>
      <c r="E101" s="1648" t="str">
        <f t="shared" si="3"/>
        <v/>
      </c>
      <c r="F101" s="1648"/>
      <c r="G101" s="1648"/>
      <c r="H101" s="740" t="str">
        <f t="shared" si="4"/>
        <v>t CO2e/rok</v>
      </c>
      <c r="I101" s="326" t="str">
        <f>IF(ISNUMBER(D_Emissions!I$66),IF($E101="","",IF(SUMIF(F_ProductBM!$R:$R,$S101,F_ProductBM!S:S)&gt;0,EUconst_NA,SUMIF(F_ProductBM!$R:$R,$P101,F_ProductBM!S:S))),"")</f>
        <v/>
      </c>
      <c r="J101" s="326" t="str">
        <f>IF(ISNUMBER(D_Emissions!J$66),IF($E101="","",IF(SUMIF(F_ProductBM!$R:$R,$S101,F_ProductBM!T:T)&gt;0,EUconst_NA,SUMIF(F_ProductBM!$R:$R,$P101,F_ProductBM!T:T))),"")</f>
        <v/>
      </c>
      <c r="K101" s="326" t="str">
        <f>IF(ISNUMBER(D_Emissions!K$66),IF($E101="","",IF(SUMIF(F_ProductBM!$R:$R,$S101,F_ProductBM!U:U)&gt;0,EUconst_NA,SUMIF(F_ProductBM!$R:$R,$P101,F_ProductBM!U:U))),"")</f>
        <v/>
      </c>
      <c r="L101" s="326" t="str">
        <f>IF(ISNUMBER(D_Emissions!L$66),IF($E101="","",IF(SUMIF(F_ProductBM!$R:$R,$S101,F_ProductBM!V:V)&gt;0,EUconst_NA,SUMIF(F_ProductBM!$R:$R,$P101,F_ProductBM!V:V))),"")</f>
        <v/>
      </c>
      <c r="M101" s="326" t="str">
        <f>IF(ISNUMBER(D_Emissions!M$66),IF($E101="","",IF(SUMIF(F_ProductBM!$R:$R,$S101,F_ProductBM!W:W)&gt;0,EUconst_NA,SUMIF(F_ProductBM!$R:$R,$P101,F_ProductBM!W:W))),"")</f>
        <v/>
      </c>
      <c r="N101" s="7"/>
      <c r="O101" s="20"/>
      <c r="P101" s="345" t="str">
        <f t="shared" si="5"/>
        <v>AttrEmissions_</v>
      </c>
      <c r="Q101" s="426">
        <v>9</v>
      </c>
      <c r="S101" s="116" t="str">
        <f t="shared" si="6"/>
        <v>ERR_AttrEmBM_ </v>
      </c>
    </row>
    <row r="102" spans="2:19" ht="13.5" customHeight="1" thickBot="1" x14ac:dyDescent="0.25">
      <c r="B102" s="20"/>
      <c r="C102" s="20"/>
      <c r="D102" s="425"/>
      <c r="E102" s="1649" t="str">
        <f t="shared" si="3"/>
        <v/>
      </c>
      <c r="F102" s="1649"/>
      <c r="G102" s="1649"/>
      <c r="H102" s="611" t="str">
        <f t="shared" si="4"/>
        <v>t CO2e/rok</v>
      </c>
      <c r="I102" s="327" t="str">
        <f>IF(ISNUMBER(D_Emissions!I$66),IF($E102="","",IF(SUMIF(F_ProductBM!$R:$R,$S102,F_ProductBM!S:S)&gt;0,EUconst_NA,SUMIF(F_ProductBM!$R:$R,$P102,F_ProductBM!S:S))),"")</f>
        <v/>
      </c>
      <c r="J102" s="327" t="str">
        <f>IF(ISNUMBER(D_Emissions!J$66),IF($E102="","",IF(SUMIF(F_ProductBM!$R:$R,$S102,F_ProductBM!T:T)&gt;0,EUconst_NA,SUMIF(F_ProductBM!$R:$R,$P102,F_ProductBM!T:T))),"")</f>
        <v/>
      </c>
      <c r="K102" s="327" t="str">
        <f>IF(ISNUMBER(D_Emissions!K$66),IF($E102="","",IF(SUMIF(F_ProductBM!$R:$R,$S102,F_ProductBM!U:U)&gt;0,EUconst_NA,SUMIF(F_ProductBM!$R:$R,$P102,F_ProductBM!U:U))),"")</f>
        <v/>
      </c>
      <c r="L102" s="327" t="str">
        <f>IF(ISNUMBER(D_Emissions!L$66),IF($E102="","",IF(SUMIF(F_ProductBM!$R:$R,$S102,F_ProductBM!V:V)&gt;0,EUconst_NA,SUMIF(F_ProductBM!$R:$R,$P102,F_ProductBM!V:V))),"")</f>
        <v/>
      </c>
      <c r="M102" s="327" t="str">
        <f>IF(ISNUMBER(D_Emissions!M$66),IF($E102="","",IF(SUMIF(F_ProductBM!$R:$R,$S102,F_ProductBM!W:W)&gt;0,EUconst_NA,SUMIF(F_ProductBM!$R:$R,$P102,F_ProductBM!W:W))),"")</f>
        <v/>
      </c>
      <c r="N102" s="7"/>
      <c r="O102" s="20"/>
      <c r="P102" s="168" t="str">
        <f t="shared" si="5"/>
        <v>AttrEmissions_</v>
      </c>
      <c r="Q102" s="429">
        <v>10</v>
      </c>
      <c r="S102" s="116" t="str">
        <f t="shared" si="6"/>
        <v>ERR_AttrEmBM_ </v>
      </c>
    </row>
    <row r="103" spans="2:19" ht="25.5" customHeight="1" x14ac:dyDescent="0.2">
      <c r="B103" s="20"/>
      <c r="C103" s="20"/>
      <c r="D103" s="425"/>
      <c r="E103" s="1618" t="str">
        <f t="shared" ref="E103:E109" si="7">INDEX(EUconst_FallBackListNames,Q103)</f>
        <v>Podinstalacja objęta wskaźnikiem emisyjności opartym na cieple, „CL”</v>
      </c>
      <c r="F103" s="1618"/>
      <c r="G103" s="1618"/>
      <c r="H103" s="740" t="str">
        <f t="shared" si="4"/>
        <v>t CO2e/rok</v>
      </c>
      <c r="I103" s="326">
        <f>IF(ISNUMBER(D_Emissions!I$66),IF(INDEX(CNTR_FallBackSubInstRelevant,$Q103),IF(SUMIF('G_Fall-back'!$R:$R,$S103,'G_Fall-back'!S:S)&gt;0,EUconst_NA,SUMIF('G_Fall-back'!$R:$R,$P103,'G_Fall-back'!S:S)),""),"")</f>
        <v>42422.31666767782</v>
      </c>
      <c r="J103" s="326">
        <f>IF(ISNUMBER(D_Emissions!J$66),IF(INDEX(CNTR_FallBackSubInstRelevant,$Q103),IF(SUMIF('G_Fall-back'!$R:$R,$S103,'G_Fall-back'!T:T)&gt;0,EUconst_NA,SUMIF('G_Fall-back'!$R:$R,$P103,'G_Fall-back'!T:T)),""),"")</f>
        <v>39473.539200561419</v>
      </c>
      <c r="K103" s="326">
        <f>IF(ISNUMBER(D_Emissions!K$66),IF(INDEX(CNTR_FallBackSubInstRelevant,$Q103),IF(SUMIF('G_Fall-back'!$R:$R,$S103,'G_Fall-back'!U:U)&gt;0,EUconst_NA,SUMIF('G_Fall-back'!$R:$R,$P103,'G_Fall-back'!U:U)),""),"")</f>
        <v>44404.404855215398</v>
      </c>
      <c r="L103" s="326">
        <f>IF(ISNUMBER(D_Emissions!L$66),IF(INDEX(CNTR_FallBackSubInstRelevant,$Q103),IF(SUMIF('G_Fall-back'!$R:$R,$S103,'G_Fall-back'!V:V)&gt;0,EUconst_NA,SUMIF('G_Fall-back'!$R:$R,$P103,'G_Fall-back'!V:V)),""),"")</f>
        <v>37512.913342867912</v>
      </c>
      <c r="M103" s="326">
        <f>IF(ISNUMBER(D_Emissions!M$66),IF(INDEX(CNTR_FallBackSubInstRelevant,$Q103),IF(SUMIF('G_Fall-back'!$R:$R,$S103,'G_Fall-back'!W:W)&gt;0,EUconst_NA,SUMIF('G_Fall-back'!$R:$R,$P103,'G_Fall-back'!W:W)),""),"")</f>
        <v>43141.804552049754</v>
      </c>
      <c r="N103" s="7"/>
      <c r="O103" s="20"/>
      <c r="P103" s="179" t="str">
        <f t="shared" si="5"/>
        <v>AttrEmissions_Podinstalacja objęta wskaźnikiem emisyjności opartym na cieple, „CL”</v>
      </c>
      <c r="Q103" s="428">
        <v>1</v>
      </c>
      <c r="S103" s="116" t="str">
        <f t="shared" si="6"/>
        <v>ERR_AttrEmBM_ Podinstalacja objęta wskaźnikiem emisyjności opartym na cieple, „CL”</v>
      </c>
    </row>
    <row r="104" spans="2:19" ht="25.5" customHeight="1" x14ac:dyDescent="0.2">
      <c r="B104" s="20"/>
      <c r="C104" s="20"/>
      <c r="D104" s="425"/>
      <c r="E104" s="1613" t="str">
        <f t="shared" si="7"/>
        <v>Podinstalacja objęta wskaźnikiem emisyjności opartym na cieple, „nie-CL”</v>
      </c>
      <c r="F104" s="1613"/>
      <c r="G104" s="1613"/>
      <c r="H104" s="741" t="str">
        <f t="shared" si="4"/>
        <v>t CO2e/rok</v>
      </c>
      <c r="I104" s="316">
        <f>IF(ISNUMBER(D_Emissions!I$66),IF(INDEX(CNTR_FallBackSubInstRelevant,$Q104),IF(SUMIF('G_Fall-back'!$R:$R,$S104,'G_Fall-back'!S:S)&gt;0,EUconst_NA,SUMIF('G_Fall-back'!$R:$R,$P104,'G_Fall-back'!S:S)),""),"")</f>
        <v>44010.549609191476</v>
      </c>
      <c r="J104" s="316">
        <f>IF(ISNUMBER(D_Emissions!J$66),IF(INDEX(CNTR_FallBackSubInstRelevant,$Q104),IF(SUMIF('G_Fall-back'!$R:$R,$S104,'G_Fall-back'!T:T)&gt;0,EUconst_NA,SUMIF('G_Fall-back'!$R:$R,$P104,'G_Fall-back'!T:T)),""),"")</f>
        <v>40668.260416681645</v>
      </c>
      <c r="K104" s="316">
        <f>IF(ISNUMBER(D_Emissions!K$66),IF(INDEX(CNTR_FallBackSubInstRelevant,$Q104),IF(SUMIF('G_Fall-back'!$R:$R,$S104,'G_Fall-back'!U:U)&gt;0,EUconst_NA,SUMIF('G_Fall-back'!$R:$R,$P104,'G_Fall-back'!U:U)),""),"")</f>
        <v>45601.48805921289</v>
      </c>
      <c r="L104" s="316">
        <f>IF(ISNUMBER(D_Emissions!L$66),IF(INDEX(CNTR_FallBackSubInstRelevant,$Q104),IF(SUMIF('G_Fall-back'!$R:$R,$S104,'G_Fall-back'!V:V)&gt;0,EUconst_NA,SUMIF('G_Fall-back'!$R:$R,$P104,'G_Fall-back'!V:V)),""),"")</f>
        <v>39061.72771681624</v>
      </c>
      <c r="M104" s="316">
        <f>IF(ISNUMBER(D_Emissions!M$66),IF(INDEX(CNTR_FallBackSubInstRelevant,$Q104),IF(SUMIF('G_Fall-back'!$R:$R,$S104,'G_Fall-back'!W:W)&gt;0,EUconst_NA,SUMIF('G_Fall-back'!$R:$R,$P104,'G_Fall-back'!W:W)),""),"")</f>
        <v>45183.487411115006</v>
      </c>
      <c r="N104" s="7"/>
      <c r="O104" s="20"/>
      <c r="P104" s="345" t="str">
        <f t="shared" si="5"/>
        <v>AttrEmissions_Podinstalacja objęta wskaźnikiem emisyjności opartym na cieple, „nie-CL”</v>
      </c>
      <c r="Q104" s="426">
        <v>2</v>
      </c>
      <c r="S104" s="116" t="str">
        <f t="shared" si="6"/>
        <v>ERR_AttrEmBM_ Podinstalacja objęta wskaźnikiem emisyjności opartym na cieple, „nie-CL”</v>
      </c>
    </row>
    <row r="105" spans="2:19" ht="12.75" customHeight="1" x14ac:dyDescent="0.2">
      <c r="B105" s="20"/>
      <c r="C105" s="20"/>
      <c r="D105" s="425"/>
      <c r="E105" s="1613" t="str">
        <f t="shared" si="7"/>
        <v>Podinstalacja sieci ciepłowniczej</v>
      </c>
      <c r="F105" s="1613"/>
      <c r="G105" s="1613"/>
      <c r="H105" s="435" t="str">
        <f t="shared" si="4"/>
        <v>t CO2e/rok</v>
      </c>
      <c r="I105" s="316">
        <f>IF(ISNUMBER(D_Emissions!I$66),IF(INDEX(CNTR_FallBackSubInstRelevant,$Q105),IF(SUMIF('G_Fall-back'!$R:$R,$S105,'G_Fall-back'!S:S)&gt;0,EUconst_NA,SUMIF('G_Fall-back'!$R:$R,$P105,'G_Fall-back'!S:S)),""),"")</f>
        <v>42319.850026289838</v>
      </c>
      <c r="J105" s="316">
        <f>IF(ISNUMBER(D_Emissions!J$66),IF(INDEX(CNTR_FallBackSubInstRelevant,$Q105),IF(SUMIF('G_Fall-back'!$R:$R,$S105,'G_Fall-back'!T:T)&gt;0,EUconst_NA,SUMIF('G_Fall-back'!$R:$R,$P105,'G_Fall-back'!T:T)),""),"")</f>
        <v>39373.979099218071</v>
      </c>
      <c r="K105" s="316">
        <f>IF(ISNUMBER(D_Emissions!K$66),IF(INDEX(CNTR_FallBackSubInstRelevant,$Q105),IF(SUMIF('G_Fall-back'!$R:$R,$S105,'G_Fall-back'!U:U)&gt;0,EUconst_NA,SUMIF('G_Fall-back'!$R:$R,$P105,'G_Fall-back'!U:U)),""),"")</f>
        <v>44304.647921548945</v>
      </c>
      <c r="L105" s="316">
        <f>IF(ISNUMBER(D_Emissions!L$66),IF(INDEX(CNTR_FallBackSubInstRelevant,$Q105),IF(SUMIF('G_Fall-back'!$R:$R,$S105,'G_Fall-back'!V:V)&gt;0,EUconst_NA,SUMIF('G_Fall-back'!$R:$R,$P105,'G_Fall-back'!V:V)),""),"")</f>
        <v>37416.112444496132</v>
      </c>
      <c r="M105" s="316">
        <f>IF(ISNUMBER(D_Emissions!M$66),IF(INDEX(CNTR_FallBackSubInstRelevant,$Q105),IF(SUMIF('G_Fall-back'!$R:$R,$S105,'G_Fall-back'!W:W)&gt;0,EUconst_NA,SUMIF('G_Fall-back'!$R:$R,$P105,'G_Fall-back'!W:W)),""),"")</f>
        <v>43042.210266241702</v>
      </c>
      <c r="N105" s="7"/>
      <c r="O105" s="20"/>
      <c r="P105" s="345" t="str">
        <f t="shared" si="5"/>
        <v>AttrEmissions_Podinstalacja sieci ciepłowniczej</v>
      </c>
      <c r="Q105" s="428">
        <v>3</v>
      </c>
      <c r="S105" s="116" t="str">
        <f t="shared" si="6"/>
        <v>ERR_AttrEmBM_ Podinstalacja sieci ciepłowniczej</v>
      </c>
    </row>
    <row r="106" spans="2:19" ht="25.5" customHeight="1" x14ac:dyDescent="0.2">
      <c r="B106" s="20"/>
      <c r="C106" s="20"/>
      <c r="D106" s="425"/>
      <c r="E106" s="1613" t="str">
        <f t="shared" si="7"/>
        <v>Podinstalacja objęta wskaźnikiem emisyjności opartym na paliwie, „CL”</v>
      </c>
      <c r="F106" s="1613"/>
      <c r="G106" s="1613"/>
      <c r="H106" s="741" t="str">
        <f t="shared" si="4"/>
        <v>t CO2e/rok</v>
      </c>
      <c r="I106" s="320" t="str">
        <f>IF(ISNUMBER(D_Emissions!I$66),IF(INDEX(CNTR_FallBackSubInstRelevant,$Q106),IF(SUMIF('G_Fall-back'!$R:$R,$S106,'G_Fall-back'!S:S)&gt;0,EUconst_NA,SUMIF('G_Fall-back'!$R:$R,$P106,'G_Fall-back'!S:S)),""),"")</f>
        <v/>
      </c>
      <c r="J106" s="320" t="str">
        <f>IF(ISNUMBER(D_Emissions!J$66),IF(INDEX(CNTR_FallBackSubInstRelevant,$Q106),IF(SUMIF('G_Fall-back'!$R:$R,$S106,'G_Fall-back'!T:T)&gt;0,EUconst_NA,SUMIF('G_Fall-back'!$R:$R,$P106,'G_Fall-back'!T:T)),""),"")</f>
        <v/>
      </c>
      <c r="K106" s="320" t="str">
        <f>IF(ISNUMBER(D_Emissions!K$66),IF(INDEX(CNTR_FallBackSubInstRelevant,$Q106),IF(SUMIF('G_Fall-back'!$R:$R,$S106,'G_Fall-back'!U:U)&gt;0,EUconst_NA,SUMIF('G_Fall-back'!$R:$R,$P106,'G_Fall-back'!U:U)),""),"")</f>
        <v/>
      </c>
      <c r="L106" s="320" t="str">
        <f>IF(ISNUMBER(D_Emissions!L$66),IF(INDEX(CNTR_FallBackSubInstRelevant,$Q106),IF(SUMIF('G_Fall-back'!$R:$R,$S106,'G_Fall-back'!V:V)&gt;0,EUconst_NA,SUMIF('G_Fall-back'!$R:$R,$P106,'G_Fall-back'!V:V)),""),"")</f>
        <v/>
      </c>
      <c r="M106" s="320" t="str">
        <f>IF(ISNUMBER(D_Emissions!M$66),IF(INDEX(CNTR_FallBackSubInstRelevant,$Q106),IF(SUMIF('G_Fall-back'!$R:$R,$S106,'G_Fall-back'!W:W)&gt;0,EUconst_NA,SUMIF('G_Fall-back'!$R:$R,$P106,'G_Fall-back'!W:W)),""),"")</f>
        <v/>
      </c>
      <c r="N106" s="7"/>
      <c r="O106" s="20"/>
      <c r="P106" s="345" t="str">
        <f t="shared" si="5"/>
        <v>AttrEmissions_Podinstalacja objęta wskaźnikiem emisyjności opartym na paliwie, „CL”</v>
      </c>
      <c r="Q106" s="426">
        <v>4</v>
      </c>
      <c r="S106" s="116" t="str">
        <f t="shared" si="6"/>
        <v>ERR_AttrEmBM_ Podinstalacja objęta wskaźnikiem emisyjności opartym na paliwie, „CL”</v>
      </c>
    </row>
    <row r="107" spans="2:19" ht="25.5" customHeight="1" thickBot="1" x14ac:dyDescent="0.25">
      <c r="B107" s="20"/>
      <c r="C107" s="20"/>
      <c r="D107" s="425"/>
      <c r="E107" s="1987" t="str">
        <f t="shared" si="7"/>
        <v>Podinstalacja objęta wskaźnikiem emisyjności opartym na paliwie, „nie-CL”</v>
      </c>
      <c r="F107" s="1987"/>
      <c r="G107" s="1987"/>
      <c r="H107" s="742" t="str">
        <f t="shared" si="4"/>
        <v>t CO2e/rok</v>
      </c>
      <c r="I107" s="354" t="str">
        <f>IF(ISNUMBER(D_Emissions!I$66),IF(INDEX(CNTR_FallBackSubInstRelevant,$Q107),IF(SUMIF('G_Fall-back'!$R:$R,$S107,'G_Fall-back'!S:S)&gt;0,EUconst_NA,SUMIF('G_Fall-back'!$R:$R,$P107,'G_Fall-back'!S:S)),""),"")</f>
        <v/>
      </c>
      <c r="J107" s="354" t="str">
        <f>IF(ISNUMBER(D_Emissions!J$66),IF(INDEX(CNTR_FallBackSubInstRelevant,$Q107),IF(SUMIF('G_Fall-back'!$R:$R,$S107,'G_Fall-back'!T:T)&gt;0,EUconst_NA,SUMIF('G_Fall-back'!$R:$R,$P107,'G_Fall-back'!T:T)),""),"")</f>
        <v/>
      </c>
      <c r="K107" s="354" t="str">
        <f>IF(ISNUMBER(D_Emissions!K$66),IF(INDEX(CNTR_FallBackSubInstRelevant,$Q107),IF(SUMIF('G_Fall-back'!$R:$R,$S107,'G_Fall-back'!U:U)&gt;0,EUconst_NA,SUMIF('G_Fall-back'!$R:$R,$P107,'G_Fall-back'!U:U)),""),"")</f>
        <v/>
      </c>
      <c r="L107" s="354" t="str">
        <f>IF(ISNUMBER(D_Emissions!L$66),IF(INDEX(CNTR_FallBackSubInstRelevant,$Q107),IF(SUMIF('G_Fall-back'!$R:$R,$S107,'G_Fall-back'!V:V)&gt;0,EUconst_NA,SUMIF('G_Fall-back'!$R:$R,$P107,'G_Fall-back'!V:V)),""),"")</f>
        <v/>
      </c>
      <c r="M107" s="354" t="str">
        <f>IF(ISNUMBER(D_Emissions!M$66),IF(INDEX(CNTR_FallBackSubInstRelevant,$Q107),IF(SUMIF('G_Fall-back'!$R:$R,$S107,'G_Fall-back'!W:W)&gt;0,EUconst_NA,SUMIF('G_Fall-back'!$R:$R,$P107,'G_Fall-back'!W:W)),""),"")</f>
        <v/>
      </c>
      <c r="N107" s="7"/>
      <c r="O107" s="20"/>
      <c r="P107" s="631" t="str">
        <f t="shared" si="5"/>
        <v>AttrEmissions_Podinstalacja objęta wskaźnikiem emisyjności opartym na paliwie, „nie-CL”</v>
      </c>
      <c r="Q107" s="739">
        <v>5</v>
      </c>
      <c r="S107" s="116" t="str">
        <f t="shared" si="6"/>
        <v>ERR_AttrEmBM_ Podinstalacja objęta wskaźnikiem emisyjności opartym na paliwie, „nie-CL”</v>
      </c>
    </row>
    <row r="108" spans="2:19" ht="25.5" customHeight="1" x14ac:dyDescent="0.2">
      <c r="B108" s="20"/>
      <c r="C108" s="20"/>
      <c r="D108" s="425"/>
      <c r="E108" s="1991" t="str">
        <f t="shared" si="7"/>
        <v>Podinstalacja wytwarzająca emisje procesowe, „CL”</v>
      </c>
      <c r="F108" s="1992"/>
      <c r="G108" s="1992"/>
      <c r="H108" s="743" t="str">
        <f t="shared" si="4"/>
        <v>t CO2e/rok</v>
      </c>
      <c r="I108" s="315" t="str">
        <f>IF(ISNUMBER(D_Emissions!I$66),IF(INDEX(CNTR_FallBackSubInstRelevant,$Q108),SUMIF('G_Fall-back'!$P:$P,$P108,'G_Fall-back'!S:S),""),"")</f>
        <v/>
      </c>
      <c r="J108" s="315" t="str">
        <f>IF(ISNUMBER(D_Emissions!J$66),IF(INDEX(CNTR_FallBackSubInstRelevant,$Q108),SUMIF('G_Fall-back'!$P:$P,$P108,'G_Fall-back'!T:T),""),"")</f>
        <v/>
      </c>
      <c r="K108" s="315" t="str">
        <f>IF(ISNUMBER(D_Emissions!K$66),IF(INDEX(CNTR_FallBackSubInstRelevant,$Q108),SUMIF('G_Fall-back'!$P:$P,$P108,'G_Fall-back'!U:U),""),"")</f>
        <v/>
      </c>
      <c r="L108" s="315" t="str">
        <f>IF(ISNUMBER(D_Emissions!L$66),IF(INDEX(CNTR_FallBackSubInstRelevant,$Q108),SUMIF('G_Fall-back'!$P:$P,$P108,'G_Fall-back'!V:V),""),"")</f>
        <v/>
      </c>
      <c r="M108" s="315" t="str">
        <f>IF(ISNUMBER(D_Emissions!M$66),IF(INDEX(CNTR_FallBackSubInstRelevant,$Q108),SUMIF('G_Fall-back'!$P:$P,$P108,'G_Fall-back'!W:W),""),"")</f>
        <v/>
      </c>
      <c r="N108" s="7"/>
      <c r="O108" s="20"/>
      <c r="P108" s="1269" t="str">
        <f>EUconst_CNTR_HAL &amp; E108</f>
        <v>HAL_Podinstalacja wytwarzająca emisje procesowe, „CL”</v>
      </c>
      <c r="Q108" s="426">
        <v>6</v>
      </c>
      <c r="S108" s="116" t="str">
        <f t="shared" si="6"/>
        <v>ERR_AttrEmBM_ Podinstalacja wytwarzająca emisje procesowe, „CL”</v>
      </c>
    </row>
    <row r="109" spans="2:19" ht="25.5" customHeight="1" thickBot="1" x14ac:dyDescent="0.25">
      <c r="B109" s="20"/>
      <c r="C109" s="20"/>
      <c r="D109" s="425"/>
      <c r="E109" s="1993" t="str">
        <f t="shared" si="7"/>
        <v>Podinstalacja wytwarzająca emisje procesowe, „nie-CL”</v>
      </c>
      <c r="F109" s="1994"/>
      <c r="G109" s="1994"/>
      <c r="H109" s="744" t="str">
        <f t="shared" si="4"/>
        <v>t CO2e/rok</v>
      </c>
      <c r="I109" s="314" t="str">
        <f>IF(ISNUMBER(D_Emissions!I$66),IF(INDEX(CNTR_FallBackSubInstRelevant,$Q109),SUMIF('G_Fall-back'!$P:$P,$P109,'G_Fall-back'!S:S),""),"")</f>
        <v/>
      </c>
      <c r="J109" s="314" t="str">
        <f>IF(ISNUMBER(D_Emissions!J$66),IF(INDEX(CNTR_FallBackSubInstRelevant,$Q109),SUMIF('G_Fall-back'!$P:$P,$P109,'G_Fall-back'!T:T),""),"")</f>
        <v/>
      </c>
      <c r="K109" s="314" t="str">
        <f>IF(ISNUMBER(D_Emissions!K$66),IF(INDEX(CNTR_FallBackSubInstRelevant,$Q109),SUMIF('G_Fall-back'!$P:$P,$P109,'G_Fall-back'!U:U),""),"")</f>
        <v/>
      </c>
      <c r="L109" s="314" t="str">
        <f>IF(ISNUMBER(D_Emissions!L$66),IF(INDEX(CNTR_FallBackSubInstRelevant,$Q109),SUMIF('G_Fall-back'!$P:$P,$P109,'G_Fall-back'!V:V),""),"")</f>
        <v/>
      </c>
      <c r="M109" s="314" t="str">
        <f>IF(ISNUMBER(D_Emissions!M$66),IF(INDEX(CNTR_FallBackSubInstRelevant,$Q109),SUMIF('G_Fall-back'!$P:$P,$P109,'G_Fall-back'!W:W),""),"")</f>
        <v/>
      </c>
      <c r="N109" s="7"/>
      <c r="O109" s="20"/>
      <c r="P109" s="1270" t="str">
        <f>EUconst_CNTR_HAL &amp; E109</f>
        <v>HAL_Podinstalacja wytwarzająca emisje procesowe, „nie-CL”</v>
      </c>
      <c r="Q109" s="429">
        <v>7</v>
      </c>
      <c r="S109" s="116" t="str">
        <f t="shared" si="6"/>
        <v>ERR_AttrEmBM_ Podinstalacja wytwarzająca emisje procesowe, „nie-CL”</v>
      </c>
    </row>
    <row r="110" spans="2:19" ht="12.75" customHeight="1" x14ac:dyDescent="0.2">
      <c r="B110" s="20"/>
      <c r="C110" s="20"/>
      <c r="D110" s="425"/>
      <c r="E110" s="1799" t="str">
        <f>Translations!$B$1185</f>
        <v>Kontrola: Pozostałe emisje</v>
      </c>
      <c r="F110" s="1799"/>
      <c r="G110" s="1799"/>
      <c r="H110" s="611" t="str">
        <f t="shared" si="4"/>
        <v>t CO2e/rok</v>
      </c>
      <c r="I110" s="309">
        <f>IF(ISNUMBER(D_Emissions!I$66),IF(COUNTIF(I93:I109,EUconst_NA)&gt;0,EUconst_NA,D_Emissions!I$66-SUM(I93:I109)),"")</f>
        <v>19483.657296840858</v>
      </c>
      <c r="J110" s="309">
        <f>IF(ISNUMBER(D_Emissions!J$66),IF(COUNTIF(J93:J109,EUconst_NA)&gt;0,EUconst_NA,D_Emissions!J$66-SUM(J93:J109)),"")</f>
        <v>19148.547643538885</v>
      </c>
      <c r="K110" s="309">
        <f>IF(ISNUMBER(D_Emissions!K$66),IF(COUNTIF(K93:K109,EUconst_NA)&gt;0,EUconst_NA,D_Emissions!K$66-SUM(K93:K109)),"")</f>
        <v>18665.485960622755</v>
      </c>
      <c r="L110" s="309">
        <f>IF(ISNUMBER(D_Emissions!L$66),IF(COUNTIF(L93:L109,EUconst_NA)&gt;0,EUconst_NA,D_Emissions!L$66-SUM(L93:L109)),"")</f>
        <v>18711.342030219705</v>
      </c>
      <c r="M110" s="309">
        <f>IF(ISNUMBER(D_Emissions!M$66),IF(COUNTIF(M93:M109,EUconst_NA)&gt;0,EUconst_NA,D_Emissions!M$66-SUM(M93:M109)),"")</f>
        <v>18721.826040593558</v>
      </c>
      <c r="N110" s="7"/>
      <c r="O110" s="20"/>
      <c r="P110" s="608"/>
    </row>
    <row r="111" spans="2:19" x14ac:dyDescent="0.2">
      <c r="B111" s="3"/>
      <c r="C111" s="3"/>
      <c r="D111" s="16"/>
      <c r="E111" s="17"/>
      <c r="F111" s="17"/>
      <c r="G111" s="17"/>
      <c r="H111" s="17"/>
      <c r="I111" s="17"/>
      <c r="J111" s="21"/>
      <c r="K111" s="21"/>
      <c r="L111" s="21"/>
      <c r="M111" s="7"/>
      <c r="N111" s="7"/>
      <c r="O111" s="20"/>
      <c r="P111" s="609"/>
    </row>
    <row r="112" spans="2:19" x14ac:dyDescent="0.2">
      <c r="B112" s="20"/>
      <c r="C112" s="20"/>
      <c r="D112" s="20"/>
      <c r="E112" s="25" t="str">
        <f t="shared" ref="E112:E129" si="8">E92</f>
        <v>Dane na poziomie podinstalacji:</v>
      </c>
      <c r="F112" s="25"/>
      <c r="G112" s="25"/>
      <c r="H112" s="35" t="str">
        <f>EUconst_Unit</f>
        <v>Jednostka</v>
      </c>
      <c r="I112" s="396">
        <f>D_Emissions!I$309</f>
        <v>2014</v>
      </c>
      <c r="J112" s="396">
        <f>D_Emissions!J$309</f>
        <v>2015</v>
      </c>
      <c r="K112" s="396">
        <f>D_Emissions!K$309</f>
        <v>2016</v>
      </c>
      <c r="L112" s="396">
        <f>D_Emissions!L$309</f>
        <v>2017</v>
      </c>
      <c r="M112" s="396">
        <f>D_Emissions!M$309</f>
        <v>2018</v>
      </c>
      <c r="N112" s="7"/>
      <c r="O112" s="20"/>
      <c r="P112" s="609"/>
    </row>
    <row r="113" spans="2:16" x14ac:dyDescent="0.2">
      <c r="B113" s="20"/>
      <c r="C113" s="20"/>
      <c r="D113" s="425"/>
      <c r="E113" s="1995" t="str">
        <f t="shared" si="8"/>
        <v/>
      </c>
      <c r="F113" s="1995"/>
      <c r="G113" s="1995"/>
      <c r="H113" s="745" t="s">
        <v>409</v>
      </c>
      <c r="I113" s="328" t="str">
        <f>IF(I93=EUconst_NA,EUconst_NA,IF(AND(ISNUMBER(D_Emissions!I$66),I93&lt;&gt;""),I93/D_Emissions!I$66*100,""))</f>
        <v/>
      </c>
      <c r="J113" s="328" t="str">
        <f>IF(J93=EUconst_NA,EUconst_NA,IF(AND(ISNUMBER(D_Emissions!J$66),J93&lt;&gt;""),J93/D_Emissions!J$66*100,""))</f>
        <v/>
      </c>
      <c r="K113" s="328" t="str">
        <f>IF(K93=EUconst_NA,EUconst_NA,IF(AND(ISNUMBER(D_Emissions!K$66),K93&lt;&gt;""),K93/D_Emissions!K$66*100,""))</f>
        <v/>
      </c>
      <c r="L113" s="328" t="str">
        <f>IF(L93=EUconst_NA,EUconst_NA,IF(AND(ISNUMBER(D_Emissions!L$66),L93&lt;&gt;""),L93/D_Emissions!L$66*100,""))</f>
        <v/>
      </c>
      <c r="M113" s="328" t="str">
        <f>IF(M93=EUconst_NA,EUconst_NA,IF(AND(ISNUMBER(D_Emissions!M$66),M93&lt;&gt;""),M93/D_Emissions!M$66*100,""))</f>
        <v/>
      </c>
      <c r="N113" s="7"/>
      <c r="O113" s="20"/>
      <c r="P113" s="609"/>
    </row>
    <row r="114" spans="2:16" x14ac:dyDescent="0.2">
      <c r="B114" s="20"/>
      <c r="C114" s="20"/>
      <c r="D114" s="425"/>
      <c r="E114" s="1648" t="str">
        <f t="shared" si="8"/>
        <v/>
      </c>
      <c r="F114" s="1648"/>
      <c r="G114" s="1648"/>
      <c r="H114" s="740" t="s">
        <v>409</v>
      </c>
      <c r="I114" s="326" t="str">
        <f>IF(I94=EUconst_NA,EUconst_NA,IF(AND(ISNUMBER(D_Emissions!I$66),I94&lt;&gt;""),I94/D_Emissions!I$66*100,""))</f>
        <v/>
      </c>
      <c r="J114" s="326" t="str">
        <f>IF(J94=EUconst_NA,EUconst_NA,IF(AND(ISNUMBER(D_Emissions!J$66),J94&lt;&gt;""),J94/D_Emissions!J$66*100,""))</f>
        <v/>
      </c>
      <c r="K114" s="326" t="str">
        <f>IF(K94=EUconst_NA,EUconst_NA,IF(AND(ISNUMBER(D_Emissions!K$66),K94&lt;&gt;""),K94/D_Emissions!K$66*100,""))</f>
        <v/>
      </c>
      <c r="L114" s="326" t="str">
        <f>IF(L94=EUconst_NA,EUconst_NA,IF(AND(ISNUMBER(D_Emissions!L$66),L94&lt;&gt;""),L94/D_Emissions!L$66*100,""))</f>
        <v/>
      </c>
      <c r="M114" s="326" t="str">
        <f>IF(M94=EUconst_NA,EUconst_NA,IF(AND(ISNUMBER(D_Emissions!M$66),M94&lt;&gt;""),M94/D_Emissions!M$66*100,""))</f>
        <v/>
      </c>
      <c r="N114" s="7"/>
      <c r="O114" s="20"/>
      <c r="P114" s="609"/>
    </row>
    <row r="115" spans="2:16" x14ac:dyDescent="0.2">
      <c r="B115" s="20"/>
      <c r="C115" s="20"/>
      <c r="D115" s="425"/>
      <c r="E115" s="1648" t="str">
        <f t="shared" si="8"/>
        <v/>
      </c>
      <c r="F115" s="1648"/>
      <c r="G115" s="1648"/>
      <c r="H115" s="740" t="s">
        <v>409</v>
      </c>
      <c r="I115" s="326" t="str">
        <f>IF(I95=EUconst_NA,EUconst_NA,IF(AND(ISNUMBER(D_Emissions!I$66),I95&lt;&gt;""),I95/D_Emissions!I$66*100,""))</f>
        <v/>
      </c>
      <c r="J115" s="326" t="str">
        <f>IF(J95=EUconst_NA,EUconst_NA,IF(AND(ISNUMBER(D_Emissions!J$66),J95&lt;&gt;""),J95/D_Emissions!J$66*100,""))</f>
        <v/>
      </c>
      <c r="K115" s="326" t="str">
        <f>IF(K95=EUconst_NA,EUconst_NA,IF(AND(ISNUMBER(D_Emissions!K$66),K95&lt;&gt;""),K95/D_Emissions!K$66*100,""))</f>
        <v/>
      </c>
      <c r="L115" s="326" t="str">
        <f>IF(L95=EUconst_NA,EUconst_NA,IF(AND(ISNUMBER(D_Emissions!L$66),L95&lt;&gt;""),L95/D_Emissions!L$66*100,""))</f>
        <v/>
      </c>
      <c r="M115" s="326" t="str">
        <f>IF(M95=EUconst_NA,EUconst_NA,IF(AND(ISNUMBER(D_Emissions!M$66),M95&lt;&gt;""),M95/D_Emissions!M$66*100,""))</f>
        <v/>
      </c>
      <c r="N115" s="7"/>
      <c r="O115" s="20"/>
      <c r="P115" s="609"/>
    </row>
    <row r="116" spans="2:16" x14ac:dyDescent="0.2">
      <c r="B116" s="20"/>
      <c r="C116" s="20"/>
      <c r="D116" s="425"/>
      <c r="E116" s="1648" t="str">
        <f t="shared" si="8"/>
        <v/>
      </c>
      <c r="F116" s="1648"/>
      <c r="G116" s="1648"/>
      <c r="H116" s="740" t="s">
        <v>409</v>
      </c>
      <c r="I116" s="326" t="str">
        <f>IF(I96=EUconst_NA,EUconst_NA,IF(AND(ISNUMBER(D_Emissions!I$66),I96&lt;&gt;""),I96/D_Emissions!I$66*100,""))</f>
        <v/>
      </c>
      <c r="J116" s="326" t="str">
        <f>IF(J96=EUconst_NA,EUconst_NA,IF(AND(ISNUMBER(D_Emissions!J$66),J96&lt;&gt;""),J96/D_Emissions!J$66*100,""))</f>
        <v/>
      </c>
      <c r="K116" s="326" t="str">
        <f>IF(K96=EUconst_NA,EUconst_NA,IF(AND(ISNUMBER(D_Emissions!K$66),K96&lt;&gt;""),K96/D_Emissions!K$66*100,""))</f>
        <v/>
      </c>
      <c r="L116" s="326" t="str">
        <f>IF(L96=EUconst_NA,EUconst_NA,IF(AND(ISNUMBER(D_Emissions!L$66),L96&lt;&gt;""),L96/D_Emissions!L$66*100,""))</f>
        <v/>
      </c>
      <c r="M116" s="326" t="str">
        <f>IF(M96=EUconst_NA,EUconst_NA,IF(AND(ISNUMBER(D_Emissions!M$66),M96&lt;&gt;""),M96/D_Emissions!M$66*100,""))</f>
        <v/>
      </c>
      <c r="N116" s="7"/>
      <c r="O116" s="20"/>
      <c r="P116" s="609"/>
    </row>
    <row r="117" spans="2:16" x14ac:dyDescent="0.2">
      <c r="B117" s="20"/>
      <c r="C117" s="20"/>
      <c r="D117" s="425"/>
      <c r="E117" s="1648" t="str">
        <f t="shared" si="8"/>
        <v/>
      </c>
      <c r="F117" s="1648"/>
      <c r="G117" s="1648"/>
      <c r="H117" s="740" t="s">
        <v>409</v>
      </c>
      <c r="I117" s="326" t="str">
        <f>IF(I97=EUconst_NA,EUconst_NA,IF(AND(ISNUMBER(D_Emissions!I$66),I97&lt;&gt;""),I97/D_Emissions!I$66*100,""))</f>
        <v/>
      </c>
      <c r="J117" s="326" t="str">
        <f>IF(J97=EUconst_NA,EUconst_NA,IF(AND(ISNUMBER(D_Emissions!J$66),J97&lt;&gt;""),J97/D_Emissions!J$66*100,""))</f>
        <v/>
      </c>
      <c r="K117" s="326" t="str">
        <f>IF(K97=EUconst_NA,EUconst_NA,IF(AND(ISNUMBER(D_Emissions!K$66),K97&lt;&gt;""),K97/D_Emissions!K$66*100,""))</f>
        <v/>
      </c>
      <c r="L117" s="326" t="str">
        <f>IF(L97=EUconst_NA,EUconst_NA,IF(AND(ISNUMBER(D_Emissions!L$66),L97&lt;&gt;""),L97/D_Emissions!L$66*100,""))</f>
        <v/>
      </c>
      <c r="M117" s="326" t="str">
        <f>IF(M97=EUconst_NA,EUconst_NA,IF(AND(ISNUMBER(D_Emissions!M$66),M97&lt;&gt;""),M97/D_Emissions!M$66*100,""))</f>
        <v/>
      </c>
      <c r="N117" s="7"/>
      <c r="O117" s="20"/>
      <c r="P117" s="609"/>
    </row>
    <row r="118" spans="2:16" x14ac:dyDescent="0.2">
      <c r="B118" s="20"/>
      <c r="C118" s="20"/>
      <c r="D118" s="425"/>
      <c r="E118" s="1648" t="str">
        <f t="shared" si="8"/>
        <v/>
      </c>
      <c r="F118" s="1648"/>
      <c r="G118" s="1648"/>
      <c r="H118" s="740" t="s">
        <v>409</v>
      </c>
      <c r="I118" s="326" t="str">
        <f>IF(I98=EUconst_NA,EUconst_NA,IF(AND(ISNUMBER(D_Emissions!I$66),I98&lt;&gt;""),I98/D_Emissions!I$66*100,""))</f>
        <v/>
      </c>
      <c r="J118" s="326" t="str">
        <f>IF(J98=EUconst_NA,EUconst_NA,IF(AND(ISNUMBER(D_Emissions!J$66),J98&lt;&gt;""),J98/D_Emissions!J$66*100,""))</f>
        <v/>
      </c>
      <c r="K118" s="326" t="str">
        <f>IF(K98=EUconst_NA,EUconst_NA,IF(AND(ISNUMBER(D_Emissions!K$66),K98&lt;&gt;""),K98/D_Emissions!K$66*100,""))</f>
        <v/>
      </c>
      <c r="L118" s="326" t="str">
        <f>IF(L98=EUconst_NA,EUconst_NA,IF(AND(ISNUMBER(D_Emissions!L$66),L98&lt;&gt;""),L98/D_Emissions!L$66*100,""))</f>
        <v/>
      </c>
      <c r="M118" s="326" t="str">
        <f>IF(M98=EUconst_NA,EUconst_NA,IF(AND(ISNUMBER(D_Emissions!M$66),M98&lt;&gt;""),M98/D_Emissions!M$66*100,""))</f>
        <v/>
      </c>
      <c r="N118" s="7"/>
      <c r="O118" s="20"/>
      <c r="P118" s="609"/>
    </row>
    <row r="119" spans="2:16" x14ac:dyDescent="0.2">
      <c r="B119" s="20"/>
      <c r="C119" s="20"/>
      <c r="D119" s="425"/>
      <c r="E119" s="1648" t="str">
        <f t="shared" si="8"/>
        <v/>
      </c>
      <c r="F119" s="1648"/>
      <c r="G119" s="1648"/>
      <c r="H119" s="740" t="s">
        <v>409</v>
      </c>
      <c r="I119" s="326" t="str">
        <f>IF(I99=EUconst_NA,EUconst_NA,IF(AND(ISNUMBER(D_Emissions!I$66),I99&lt;&gt;""),I99/D_Emissions!I$66*100,""))</f>
        <v/>
      </c>
      <c r="J119" s="326" t="str">
        <f>IF(J99=EUconst_NA,EUconst_NA,IF(AND(ISNUMBER(D_Emissions!J$66),J99&lt;&gt;""),J99/D_Emissions!J$66*100,""))</f>
        <v/>
      </c>
      <c r="K119" s="326" t="str">
        <f>IF(K99=EUconst_NA,EUconst_NA,IF(AND(ISNUMBER(D_Emissions!K$66),K99&lt;&gt;""),K99/D_Emissions!K$66*100,""))</f>
        <v/>
      </c>
      <c r="L119" s="326" t="str">
        <f>IF(L99=EUconst_NA,EUconst_NA,IF(AND(ISNUMBER(D_Emissions!L$66),L99&lt;&gt;""),L99/D_Emissions!L$66*100,""))</f>
        <v/>
      </c>
      <c r="M119" s="326" t="str">
        <f>IF(M99=EUconst_NA,EUconst_NA,IF(AND(ISNUMBER(D_Emissions!M$66),M99&lt;&gt;""),M99/D_Emissions!M$66*100,""))</f>
        <v/>
      </c>
      <c r="N119" s="7"/>
      <c r="O119" s="20"/>
      <c r="P119" s="609"/>
    </row>
    <row r="120" spans="2:16" x14ac:dyDescent="0.2">
      <c r="B120" s="20"/>
      <c r="C120" s="20"/>
      <c r="D120" s="425"/>
      <c r="E120" s="1648" t="str">
        <f t="shared" si="8"/>
        <v/>
      </c>
      <c r="F120" s="1648"/>
      <c r="G120" s="1648"/>
      <c r="H120" s="740" t="s">
        <v>409</v>
      </c>
      <c r="I120" s="326" t="str">
        <f>IF(I100=EUconst_NA,EUconst_NA,IF(AND(ISNUMBER(D_Emissions!I$66),I100&lt;&gt;""),I100/D_Emissions!I$66*100,""))</f>
        <v/>
      </c>
      <c r="J120" s="326" t="str">
        <f>IF(J100=EUconst_NA,EUconst_NA,IF(AND(ISNUMBER(D_Emissions!J$66),J100&lt;&gt;""),J100/D_Emissions!J$66*100,""))</f>
        <v/>
      </c>
      <c r="K120" s="326" t="str">
        <f>IF(K100=EUconst_NA,EUconst_NA,IF(AND(ISNUMBER(D_Emissions!K$66),K100&lt;&gt;""),K100/D_Emissions!K$66*100,""))</f>
        <v/>
      </c>
      <c r="L120" s="326" t="str">
        <f>IF(L100=EUconst_NA,EUconst_NA,IF(AND(ISNUMBER(D_Emissions!L$66),L100&lt;&gt;""),L100/D_Emissions!L$66*100,""))</f>
        <v/>
      </c>
      <c r="M120" s="326" t="str">
        <f>IF(M100=EUconst_NA,EUconst_NA,IF(AND(ISNUMBER(D_Emissions!M$66),M100&lt;&gt;""),M100/D_Emissions!M$66*100,""))</f>
        <v/>
      </c>
      <c r="N120" s="7"/>
      <c r="O120" s="20"/>
      <c r="P120" s="609"/>
    </row>
    <row r="121" spans="2:16" x14ac:dyDescent="0.2">
      <c r="B121" s="20"/>
      <c r="C121" s="20"/>
      <c r="D121" s="425"/>
      <c r="E121" s="1648" t="str">
        <f t="shared" si="8"/>
        <v/>
      </c>
      <c r="F121" s="1648"/>
      <c r="G121" s="1648"/>
      <c r="H121" s="740" t="s">
        <v>409</v>
      </c>
      <c r="I121" s="326" t="str">
        <f>IF(I101=EUconst_NA,EUconst_NA,IF(AND(ISNUMBER(D_Emissions!I$66),I101&lt;&gt;""),I101/D_Emissions!I$66*100,""))</f>
        <v/>
      </c>
      <c r="J121" s="326" t="str">
        <f>IF(J101=EUconst_NA,EUconst_NA,IF(AND(ISNUMBER(D_Emissions!J$66),J101&lt;&gt;""),J101/D_Emissions!J$66*100,""))</f>
        <v/>
      </c>
      <c r="K121" s="326" t="str">
        <f>IF(K101=EUconst_NA,EUconst_NA,IF(AND(ISNUMBER(D_Emissions!K$66),K101&lt;&gt;""),K101/D_Emissions!K$66*100,""))</f>
        <v/>
      </c>
      <c r="L121" s="326" t="str">
        <f>IF(L101=EUconst_NA,EUconst_NA,IF(AND(ISNUMBER(D_Emissions!L$66),L101&lt;&gt;""),L101/D_Emissions!L$66*100,""))</f>
        <v/>
      </c>
      <c r="M121" s="326" t="str">
        <f>IF(M101=EUconst_NA,EUconst_NA,IF(AND(ISNUMBER(D_Emissions!M$66),M101&lt;&gt;""),M101/D_Emissions!M$66*100,""))</f>
        <v/>
      </c>
      <c r="N121" s="7"/>
      <c r="O121" s="20"/>
      <c r="P121" s="609"/>
    </row>
    <row r="122" spans="2:16" x14ac:dyDescent="0.2">
      <c r="B122" s="20"/>
      <c r="C122" s="20"/>
      <c r="D122" s="425"/>
      <c r="E122" s="1649" t="str">
        <f t="shared" si="8"/>
        <v/>
      </c>
      <c r="F122" s="1649"/>
      <c r="G122" s="1649"/>
      <c r="H122" s="436" t="s">
        <v>409</v>
      </c>
      <c r="I122" s="327" t="str">
        <f>IF(I102=EUconst_NA,EUconst_NA,IF(AND(ISNUMBER(D_Emissions!I$66),I102&lt;&gt;""),I102/D_Emissions!I$66*100,""))</f>
        <v/>
      </c>
      <c r="J122" s="327" t="str">
        <f>IF(J102=EUconst_NA,EUconst_NA,IF(AND(ISNUMBER(D_Emissions!J$66),J102&lt;&gt;""),J102/D_Emissions!J$66*100,""))</f>
        <v/>
      </c>
      <c r="K122" s="327" t="str">
        <f>IF(K102=EUconst_NA,EUconst_NA,IF(AND(ISNUMBER(D_Emissions!K$66),K102&lt;&gt;""),K102/D_Emissions!K$66*100,""))</f>
        <v/>
      </c>
      <c r="L122" s="327" t="str">
        <f>IF(L102=EUconst_NA,EUconst_NA,IF(AND(ISNUMBER(D_Emissions!L$66),L102&lt;&gt;""),L102/D_Emissions!L$66*100,""))</f>
        <v/>
      </c>
      <c r="M122" s="327" t="str">
        <f>IF(M102=EUconst_NA,EUconst_NA,IF(AND(ISNUMBER(D_Emissions!M$66),M102&lt;&gt;""),M102/D_Emissions!M$66*100,""))</f>
        <v/>
      </c>
      <c r="N122" s="7"/>
      <c r="O122" s="20"/>
      <c r="P122" s="609"/>
    </row>
    <row r="123" spans="2:16" ht="25.5" customHeight="1" x14ac:dyDescent="0.2">
      <c r="B123" s="20"/>
      <c r="C123" s="20"/>
      <c r="D123" s="425"/>
      <c r="E123" s="1642" t="str">
        <f t="shared" si="8"/>
        <v>Podinstalacja objęta wskaźnikiem emisyjności opartym na cieple, „CL”</v>
      </c>
      <c r="F123" s="1642"/>
      <c r="G123" s="1642"/>
      <c r="H123" s="740" t="s">
        <v>409</v>
      </c>
      <c r="I123" s="326">
        <f>IF(I103=EUconst_NA,EUconst_NA,IF(AND(ISNUMBER(D_Emissions!I$66),I103&lt;&gt;""),I103/D_Emissions!I$66*100,""))</f>
        <v>28.61802109524745</v>
      </c>
      <c r="J123" s="326">
        <f>IF(J103=EUconst_NA,EUconst_NA,IF(AND(ISNUMBER(D_Emissions!J$66),J103&lt;&gt;""),J103/D_Emissions!J$66*100,""))</f>
        <v>28.466975058949412</v>
      </c>
      <c r="K123" s="326">
        <f>IF(K103=EUconst_NA,EUconst_NA,IF(AND(ISNUMBER(D_Emissions!K$66),K103&lt;&gt;""),K103/D_Emissions!K$66*100,""))</f>
        <v>29.027035010038787</v>
      </c>
      <c r="L123" s="326">
        <f>IF(L103=EUconst_NA,EUconst_NA,IF(AND(ISNUMBER(D_Emissions!L$66),L103&lt;&gt;""),L103/D_Emissions!L$66*100,""))</f>
        <v>28.268516176629287</v>
      </c>
      <c r="M123" s="326">
        <f>IF(M103=EUconst_NA,EUconst_NA,IF(AND(ISNUMBER(D_Emissions!M$66),M103&lt;&gt;""),M103/D_Emissions!M$66*100,""))</f>
        <v>28.744085305279484</v>
      </c>
      <c r="N123" s="7"/>
      <c r="O123" s="20"/>
      <c r="P123" s="609"/>
    </row>
    <row r="124" spans="2:16" ht="25.5" customHeight="1" x14ac:dyDescent="0.2">
      <c r="B124" s="20"/>
      <c r="C124" s="20"/>
      <c r="D124" s="425"/>
      <c r="E124" s="1613" t="str">
        <f t="shared" si="8"/>
        <v>Podinstalacja objęta wskaźnikiem emisyjności opartym na cieple, „nie-CL”</v>
      </c>
      <c r="F124" s="1613"/>
      <c r="G124" s="1613"/>
      <c r="H124" s="435" t="s">
        <v>409</v>
      </c>
      <c r="I124" s="316">
        <f>IF(I104=EUconst_NA,EUconst_NA,IF(AND(ISNUMBER(D_Emissions!I$66),I104&lt;&gt;""),I104/D_Emissions!I$66*100,""))</f>
        <v>29.689440277289325</v>
      </c>
      <c r="J124" s="316">
        <f>IF(J104=EUconst_NA,EUconst_NA,IF(AND(ISNUMBER(D_Emissions!J$66),J104&lt;&gt;""),J104/D_Emissions!J$66*100,""))</f>
        <v>29.328567400312323</v>
      </c>
      <c r="K124" s="316">
        <f>IF(K104=EUconst_NA,EUconst_NA,IF(AND(ISNUMBER(D_Emissions!K$66),K104&lt;&gt;""),K104/D_Emissions!K$66*100,""))</f>
        <v>29.809564945653573</v>
      </c>
      <c r="L124" s="316">
        <f>IF(L104=EUconst_NA,EUconst_NA,IF(AND(ISNUMBER(D_Emissions!L$66),L104&lt;&gt;""),L104/D_Emissions!L$66*100,""))</f>
        <v>29.435652511373021</v>
      </c>
      <c r="M124" s="316">
        <f>IF(M104=EUconst_NA,EUconst_NA,IF(AND(ISNUMBER(D_Emissions!M$66),M104&lt;&gt;""),M104/D_Emissions!M$66*100,""))</f>
        <v>30.104397115984909</v>
      </c>
      <c r="N124" s="7"/>
      <c r="O124" s="20"/>
      <c r="P124" s="609"/>
    </row>
    <row r="125" spans="2:16" ht="12.75" customHeight="1" x14ac:dyDescent="0.2">
      <c r="B125" s="20"/>
      <c r="C125" s="20"/>
      <c r="D125" s="425"/>
      <c r="E125" s="1613" t="str">
        <f t="shared" si="8"/>
        <v>Podinstalacja sieci ciepłowniczej</v>
      </c>
      <c r="F125" s="1613"/>
      <c r="G125" s="1613"/>
      <c r="H125" s="435" t="s">
        <v>409</v>
      </c>
      <c r="I125" s="316">
        <f>IF(I105=EUconst_NA,EUconst_NA,IF(AND(ISNUMBER(D_Emissions!I$66),I105&lt;&gt;""),I105/D_Emissions!I$66*100,""))</f>
        <v>28.5488972770512</v>
      </c>
      <c r="J125" s="316">
        <f>IF(J105=EUconst_NA,EUconst_NA,IF(AND(ISNUMBER(D_Emissions!J$66),J105&lt;&gt;""),J105/D_Emissions!J$66*100,""))</f>
        <v>28.395175697169172</v>
      </c>
      <c r="K125" s="316">
        <f>IF(K105=EUconst_NA,EUconst_NA,IF(AND(ISNUMBER(D_Emissions!K$66),K105&lt;&gt;""),K105/D_Emissions!K$66*100,""))</f>
        <v>28.961824182070895</v>
      </c>
      <c r="L125" s="316">
        <f>IF(L105=EUconst_NA,EUconst_NA,IF(AND(ISNUMBER(D_Emissions!L$66),L105&lt;&gt;""),L105/D_Emissions!L$66*100,""))</f>
        <v>28.195570155707795</v>
      </c>
      <c r="M125" s="316">
        <f>IF(M105=EUconst_NA,EUconst_NA,IF(AND(ISNUMBER(D_Emissions!M$66),M105&lt;&gt;""),M105/D_Emissions!M$66*100,""))</f>
        <v>28.67772863158654</v>
      </c>
      <c r="N125" s="7"/>
      <c r="O125" s="20"/>
      <c r="P125" s="609"/>
    </row>
    <row r="126" spans="2:16" ht="25.5" customHeight="1" x14ac:dyDescent="0.2">
      <c r="B126" s="20"/>
      <c r="C126" s="20"/>
      <c r="D126" s="425"/>
      <c r="E126" s="1613" t="str">
        <f t="shared" si="8"/>
        <v>Podinstalacja objęta wskaźnikiem emisyjności opartym na paliwie, „CL”</v>
      </c>
      <c r="F126" s="1613"/>
      <c r="G126" s="1613"/>
      <c r="H126" s="435" t="s">
        <v>409</v>
      </c>
      <c r="I126" s="320" t="str">
        <f>IF(I106=EUconst_NA,EUconst_NA,IF(AND(ISNUMBER(D_Emissions!I$66),I106&lt;&gt;""),I106/D_Emissions!I$66*100,""))</f>
        <v/>
      </c>
      <c r="J126" s="320" t="str">
        <f>IF(J106=EUconst_NA,EUconst_NA,IF(AND(ISNUMBER(D_Emissions!J$66),J106&lt;&gt;""),J106/D_Emissions!J$66*100,""))</f>
        <v/>
      </c>
      <c r="K126" s="320" t="str">
        <f>IF(K106=EUconst_NA,EUconst_NA,IF(AND(ISNUMBER(D_Emissions!K$66),K106&lt;&gt;""),K106/D_Emissions!K$66*100,""))</f>
        <v/>
      </c>
      <c r="L126" s="320" t="str">
        <f>IF(L106=EUconst_NA,EUconst_NA,IF(AND(ISNUMBER(D_Emissions!L$66),L106&lt;&gt;""),L106/D_Emissions!L$66*100,""))</f>
        <v/>
      </c>
      <c r="M126" s="320" t="str">
        <f>IF(M106=EUconst_NA,EUconst_NA,IF(AND(ISNUMBER(D_Emissions!M$66),M106&lt;&gt;""),M106/D_Emissions!M$66*100,""))</f>
        <v/>
      </c>
      <c r="N126" s="7"/>
      <c r="O126" s="20"/>
      <c r="P126" s="609"/>
    </row>
    <row r="127" spans="2:16" ht="25.5" customHeight="1" thickBot="1" x14ac:dyDescent="0.25">
      <c r="B127" s="20"/>
      <c r="C127" s="20"/>
      <c r="D127" s="425"/>
      <c r="E127" s="1987" t="str">
        <f t="shared" si="8"/>
        <v>Podinstalacja objęta wskaźnikiem emisyjności opartym na paliwie, „nie-CL”</v>
      </c>
      <c r="F127" s="1987"/>
      <c r="G127" s="1987"/>
      <c r="H127" s="742" t="s">
        <v>409</v>
      </c>
      <c r="I127" s="354" t="str">
        <f>IF(I107=EUconst_NA,EUconst_NA,IF(AND(ISNUMBER(D_Emissions!I$66),I107&lt;&gt;""),I107/D_Emissions!I$66*100,""))</f>
        <v/>
      </c>
      <c r="J127" s="354" t="str">
        <f>IF(J107=EUconst_NA,EUconst_NA,IF(AND(ISNUMBER(D_Emissions!J$66),J107&lt;&gt;""),J107/D_Emissions!J$66*100,""))</f>
        <v/>
      </c>
      <c r="K127" s="354" t="str">
        <f>IF(K107=EUconst_NA,EUconst_NA,IF(AND(ISNUMBER(D_Emissions!K$66),K107&lt;&gt;""),K107/D_Emissions!K$66*100,""))</f>
        <v/>
      </c>
      <c r="L127" s="354" t="str">
        <f>IF(L107=EUconst_NA,EUconst_NA,IF(AND(ISNUMBER(D_Emissions!L$66),L107&lt;&gt;""),L107/D_Emissions!L$66*100,""))</f>
        <v/>
      </c>
      <c r="M127" s="354" t="str">
        <f>IF(M107=EUconst_NA,EUconst_NA,IF(AND(ISNUMBER(D_Emissions!M$66),M107&lt;&gt;""),M107/D_Emissions!M$66*100,""))</f>
        <v/>
      </c>
      <c r="N127" s="7"/>
      <c r="O127" s="20"/>
      <c r="P127" s="609"/>
    </row>
    <row r="128" spans="2:16" ht="25.5" customHeight="1" x14ac:dyDescent="0.2">
      <c r="B128" s="20"/>
      <c r="C128" s="20"/>
      <c r="D128" s="425"/>
      <c r="E128" s="1991" t="str">
        <f t="shared" si="8"/>
        <v>Podinstalacja wytwarzająca emisje procesowe, „CL”</v>
      </c>
      <c r="F128" s="2003"/>
      <c r="G128" s="2003"/>
      <c r="H128" s="743" t="s">
        <v>409</v>
      </c>
      <c r="I128" s="315" t="str">
        <f>IF(I108=EUconst_NA,EUconst_NA,IF(AND(ISNUMBER(D_Emissions!I$66),I108&lt;&gt;""),I108/D_Emissions!I$66*100,""))</f>
        <v/>
      </c>
      <c r="J128" s="315" t="str">
        <f>IF(J108=EUconst_NA,EUconst_NA,IF(AND(ISNUMBER(D_Emissions!J$66),J108&lt;&gt;""),J108/D_Emissions!J$66*100,""))</f>
        <v/>
      </c>
      <c r="K128" s="315" t="str">
        <f>IF(K108=EUconst_NA,EUconst_NA,IF(AND(ISNUMBER(D_Emissions!K$66),K108&lt;&gt;""),K108/D_Emissions!K$66*100,""))</f>
        <v/>
      </c>
      <c r="L128" s="315" t="str">
        <f>IF(L108=EUconst_NA,EUconst_NA,IF(AND(ISNUMBER(D_Emissions!L$66),L108&lt;&gt;""),L108/D_Emissions!L$66*100,""))</f>
        <v/>
      </c>
      <c r="M128" s="315" t="str">
        <f>IF(M108=EUconst_NA,EUconst_NA,IF(AND(ISNUMBER(D_Emissions!M$66),M108&lt;&gt;""),M108/D_Emissions!M$66*100,""))</f>
        <v/>
      </c>
      <c r="N128" s="7"/>
      <c r="O128" s="20"/>
      <c r="P128" s="609"/>
    </row>
    <row r="129" spans="1:20" ht="25.5" customHeight="1" thickBot="1" x14ac:dyDescent="0.25">
      <c r="B129" s="20"/>
      <c r="C129" s="20"/>
      <c r="D129" s="425"/>
      <c r="E129" s="1993" t="str">
        <f t="shared" si="8"/>
        <v>Podinstalacja wytwarzająca emisje procesowe, „nie-CL”</v>
      </c>
      <c r="F129" s="2012"/>
      <c r="G129" s="2012"/>
      <c r="H129" s="744" t="s">
        <v>409</v>
      </c>
      <c r="I129" s="314" t="str">
        <f>IF(I109=EUconst_NA,EUconst_NA,IF(AND(ISNUMBER(D_Emissions!I$66),I109&lt;&gt;""),I109/D_Emissions!I$66*100,""))</f>
        <v/>
      </c>
      <c r="J129" s="314" t="str">
        <f>IF(J109=EUconst_NA,EUconst_NA,IF(AND(ISNUMBER(D_Emissions!J$66),J109&lt;&gt;""),J109/D_Emissions!J$66*100,""))</f>
        <v/>
      </c>
      <c r="K129" s="314" t="str">
        <f>IF(K109=EUconst_NA,EUconst_NA,IF(AND(ISNUMBER(D_Emissions!K$66),K109&lt;&gt;""),K109/D_Emissions!K$66*100,""))</f>
        <v/>
      </c>
      <c r="L129" s="314" t="str">
        <f>IF(L109=EUconst_NA,EUconst_NA,IF(AND(ISNUMBER(D_Emissions!L$66),L109&lt;&gt;""),L109/D_Emissions!L$66*100,""))</f>
        <v/>
      </c>
      <c r="M129" s="314" t="str">
        <f>IF(M109=EUconst_NA,EUconst_NA,IF(AND(ISNUMBER(D_Emissions!M$66),M109&lt;&gt;""),M109/D_Emissions!M$66*100,""))</f>
        <v/>
      </c>
      <c r="N129" s="7"/>
      <c r="O129" s="20"/>
      <c r="P129" s="609"/>
    </row>
    <row r="130" spans="1:20" ht="13.5" thickBot="1" x14ac:dyDescent="0.25">
      <c r="B130" s="20"/>
      <c r="C130" s="20"/>
      <c r="D130" s="425"/>
      <c r="E130" s="1800" t="str">
        <f>E110</f>
        <v>Kontrola: Pozostałe emisje</v>
      </c>
      <c r="F130" s="1800"/>
      <c r="G130" s="1800"/>
      <c r="H130" s="611" t="s">
        <v>409</v>
      </c>
      <c r="I130" s="309">
        <f>IF(I110=EUconst_NA,EUconst_NA,IF(AND(ISNUMBER(D_Emissions!I$66),I110&lt;&gt;""),I110/D_Emissions!I$66*100,""))</f>
        <v>13.143641350412027</v>
      </c>
      <c r="J130" s="309">
        <f>IF(J110=EUconst_NA,EUconst_NA,IF(AND(ISNUMBER(D_Emissions!J$66),J110&lt;&gt;""),J110/D_Emissions!J$66*100,""))</f>
        <v>13.809281843569101</v>
      </c>
      <c r="K130" s="309">
        <f>IF(K110=EUconst_NA,EUconst_NA,IF(AND(ISNUMBER(D_Emissions!K$66),K110&lt;&gt;""),K110/D_Emissions!K$66*100,""))</f>
        <v>12.201575862236741</v>
      </c>
      <c r="L130" s="309">
        <f>IF(L110=EUconst_NA,EUconst_NA,IF(AND(ISNUMBER(D_Emissions!L$66),L110&lt;&gt;""),L110/D_Emissions!L$66*100,""))</f>
        <v>14.100261156289893</v>
      </c>
      <c r="M130" s="309">
        <f>IF(M110=EUconst_NA,EUconst_NA,IF(AND(ISNUMBER(D_Emissions!M$66),M110&lt;&gt;""),M110/D_Emissions!M$66*100,""))</f>
        <v>12.47378894714908</v>
      </c>
      <c r="N130" s="7"/>
      <c r="O130" s="20"/>
      <c r="P130" s="688"/>
    </row>
    <row r="131" spans="1:20" s="701" customFormat="1" ht="12.75" customHeight="1" x14ac:dyDescent="0.2">
      <c r="A131" s="422"/>
      <c r="B131" s="398"/>
      <c r="C131" s="398"/>
      <c r="D131" s="398"/>
      <c r="E131" s="398"/>
      <c r="F131" s="398"/>
      <c r="G131" s="398"/>
      <c r="H131" s="398"/>
      <c r="I131" s="398"/>
      <c r="J131" s="398"/>
      <c r="K131" s="398"/>
      <c r="L131" s="398"/>
      <c r="M131" s="398"/>
      <c r="N131" s="398"/>
      <c r="O131" s="20"/>
      <c r="P131" s="422"/>
      <c r="Q131" s="422"/>
      <c r="R131" s="422"/>
      <c r="S131" s="422"/>
      <c r="T131" s="422"/>
    </row>
    <row r="132" spans="1:20" s="701" customFormat="1" ht="15" x14ac:dyDescent="0.25">
      <c r="A132" s="422"/>
      <c r="B132" s="398"/>
      <c r="C132" s="18">
        <v>3</v>
      </c>
      <c r="D132" s="1439" t="str">
        <f>Translations!$B$1186</f>
        <v>Narzędzie kogeneracyjne – część D.III</v>
      </c>
      <c r="E132" s="1370"/>
      <c r="F132" s="1370"/>
      <c r="G132" s="1370"/>
      <c r="H132" s="1370"/>
      <c r="I132" s="1370"/>
      <c r="J132" s="1370"/>
      <c r="K132" s="1370"/>
      <c r="L132" s="1370"/>
      <c r="M132" s="1370"/>
      <c r="N132" s="1370"/>
      <c r="O132" s="20"/>
      <c r="P132" s="422"/>
      <c r="Q132" s="422"/>
      <c r="R132" s="422"/>
      <c r="S132" s="422"/>
      <c r="T132" s="422"/>
    </row>
    <row r="133" spans="1:20" s="701" customFormat="1" ht="5.0999999999999996" customHeight="1" x14ac:dyDescent="0.2">
      <c r="A133" s="422"/>
      <c r="B133" s="3"/>
      <c r="C133" s="3"/>
      <c r="D133" s="5"/>
      <c r="E133" s="5"/>
      <c r="F133" s="5"/>
      <c r="G133" s="5"/>
      <c r="H133" s="5"/>
      <c r="I133" s="5"/>
      <c r="J133" s="5"/>
      <c r="K133" s="5"/>
      <c r="L133" s="5"/>
      <c r="M133" s="26"/>
      <c r="N133" s="26"/>
      <c r="O133" s="20"/>
      <c r="P133" s="8"/>
      <c r="Q133" s="182"/>
      <c r="R133" s="422"/>
      <c r="S133" s="422"/>
      <c r="T133" s="422"/>
    </row>
    <row r="134" spans="1:20" s="701" customFormat="1" ht="12.75" customHeight="1" x14ac:dyDescent="0.2">
      <c r="A134" s="422"/>
      <c r="B134" s="398"/>
      <c r="C134" s="3"/>
      <c r="D134" s="14" t="s">
        <v>173</v>
      </c>
      <c r="E134" s="1466" t="str">
        <f>Translations!$B$1187</f>
        <v>Narzędzie kogeneracyjne 1</v>
      </c>
      <c r="F134" s="1466"/>
      <c r="G134" s="1466"/>
      <c r="H134" s="1466"/>
      <c r="I134" s="1466"/>
      <c r="J134" s="1466"/>
      <c r="K134" s="1466"/>
      <c r="L134" s="1603"/>
      <c r="M134" s="829" t="b">
        <f>IF(ISBLANK(D_Emissions!M76),"",D_Emissions!M76)</f>
        <v>0</v>
      </c>
      <c r="N134" s="445"/>
      <c r="O134" s="20"/>
      <c r="P134" s="422"/>
      <c r="Q134" s="422"/>
      <c r="R134" s="422"/>
      <c r="S134" s="422"/>
      <c r="T134" s="422"/>
    </row>
    <row r="135" spans="1:20" s="701" customFormat="1" ht="5.0999999999999996" customHeight="1" x14ac:dyDescent="0.2">
      <c r="A135" s="422"/>
      <c r="B135" s="398"/>
      <c r="C135" s="20"/>
      <c r="D135" s="20"/>
      <c r="E135" s="20"/>
      <c r="F135" s="20"/>
      <c r="G135" s="20"/>
      <c r="H135" s="20"/>
      <c r="I135" s="20"/>
      <c r="J135" s="20"/>
      <c r="K135" s="20"/>
      <c r="L135" s="20"/>
      <c r="M135" s="20"/>
      <c r="N135" s="20"/>
      <c r="O135" s="20"/>
      <c r="P135" s="422"/>
      <c r="Q135" s="422"/>
      <c r="R135" s="422"/>
      <c r="S135" s="422"/>
      <c r="T135" s="422"/>
    </row>
    <row r="136" spans="1:20" s="701" customFormat="1" ht="12.75" customHeight="1" x14ac:dyDescent="0.2">
      <c r="A136" s="422"/>
      <c r="B136" s="398"/>
      <c r="C136" s="20"/>
      <c r="D136" s="20"/>
      <c r="E136" s="1609" t="str">
        <f>Translations!$B$1188</f>
        <v>Bilans energii</v>
      </c>
      <c r="F136" s="1377"/>
      <c r="G136" s="1377"/>
      <c r="H136" s="35" t="str">
        <f>D_Emissions!H87</f>
        <v>Jednostka</v>
      </c>
      <c r="I136" s="396">
        <f>D_Emissions!I87</f>
        <v>2014</v>
      </c>
      <c r="J136" s="396">
        <f>D_Emissions!J87</f>
        <v>2015</v>
      </c>
      <c r="K136" s="396">
        <f>D_Emissions!K87</f>
        <v>2016</v>
      </c>
      <c r="L136" s="396">
        <f>D_Emissions!L87</f>
        <v>2017</v>
      </c>
      <c r="M136" s="396">
        <f>D_Emissions!M87</f>
        <v>2018</v>
      </c>
      <c r="N136" s="20"/>
      <c r="O136" s="20"/>
      <c r="P136" s="422"/>
      <c r="Q136" s="422"/>
      <c r="R136" s="422"/>
      <c r="S136" s="422"/>
      <c r="T136" s="422"/>
    </row>
    <row r="137" spans="1:20" s="701" customFormat="1" ht="12.75" customHeight="1" x14ac:dyDescent="0.2">
      <c r="A137" s="422"/>
      <c r="B137" s="398"/>
      <c r="C137" s="20"/>
      <c r="D137" s="20"/>
      <c r="E137" s="1611" t="str">
        <f>D_Emissions!E88</f>
        <v>Wsad paliwa do CHP</v>
      </c>
      <c r="F137" s="1612"/>
      <c r="G137" s="1612"/>
      <c r="H137" s="48" t="str">
        <f>D_Emissions!H88</f>
        <v>TJ / rok</v>
      </c>
      <c r="I137" s="1019" t="str">
        <f>IF(ISBLANK(D_Emissions!I88),"",D_Emissions!I88)</f>
        <v/>
      </c>
      <c r="J137" s="1019" t="str">
        <f>IF(ISBLANK(D_Emissions!J88),"",D_Emissions!J88)</f>
        <v/>
      </c>
      <c r="K137" s="1019" t="str">
        <f>IF(ISBLANK(D_Emissions!K88),"",D_Emissions!K88)</f>
        <v/>
      </c>
      <c r="L137" s="1019" t="str">
        <f>IF(ISBLANK(D_Emissions!L88),"",D_Emissions!L88)</f>
        <v/>
      </c>
      <c r="M137" s="1019" t="str">
        <f>IF(ISBLANK(D_Emissions!M88),"",D_Emissions!M88)</f>
        <v/>
      </c>
      <c r="N137" s="20"/>
      <c r="O137" s="20"/>
      <c r="P137" s="422"/>
      <c r="Q137" s="422"/>
      <c r="R137" s="422"/>
      <c r="S137" s="422"/>
      <c r="T137" s="422"/>
    </row>
    <row r="138" spans="1:20" s="701" customFormat="1" ht="12.75" customHeight="1" x14ac:dyDescent="0.2">
      <c r="A138" s="422"/>
      <c r="B138" s="398"/>
      <c r="C138" s="20"/>
      <c r="D138" s="20"/>
      <c r="E138" s="1569" t="str">
        <f>D_Emissions!E93</f>
        <v>Ciepło wytworzone przez CHP</v>
      </c>
      <c r="F138" s="1618"/>
      <c r="G138" s="1618"/>
      <c r="H138" s="27" t="str">
        <f>D_Emissions!H93</f>
        <v>TJ / rok</v>
      </c>
      <c r="I138" s="1020" t="str">
        <f>IF(ISBLANK(D_Emissions!I93),"",D_Emissions!I93)</f>
        <v/>
      </c>
      <c r="J138" s="1020" t="str">
        <f>IF(ISBLANK(D_Emissions!J93),"",D_Emissions!J93)</f>
        <v/>
      </c>
      <c r="K138" s="1020" t="str">
        <f>IF(ISBLANK(D_Emissions!K93),"",D_Emissions!K93)</f>
        <v/>
      </c>
      <c r="L138" s="1020" t="str">
        <f>IF(ISBLANK(D_Emissions!L93),"",D_Emissions!L93)</f>
        <v/>
      </c>
      <c r="M138" s="1020" t="str">
        <f>IF(ISBLANK(D_Emissions!M93),"",D_Emissions!M93)</f>
        <v/>
      </c>
      <c r="N138" s="20"/>
      <c r="O138" s="20"/>
      <c r="P138" s="422"/>
      <c r="Q138" s="422"/>
      <c r="R138" s="422"/>
      <c r="S138" s="422"/>
      <c r="T138" s="422"/>
    </row>
    <row r="139" spans="1:20" s="701" customFormat="1" ht="12.75" customHeight="1" x14ac:dyDescent="0.2">
      <c r="A139" s="422"/>
      <c r="B139" s="398"/>
      <c r="C139" s="20"/>
      <c r="D139" s="20"/>
      <c r="E139" s="1493" t="str">
        <f>D_Emissions!E99</f>
        <v>Energia elektryczna wytworzona przez CHP</v>
      </c>
      <c r="F139" s="1615"/>
      <c r="G139" s="1615"/>
      <c r="H139" s="30" t="str">
        <f>D_Emissions!H99</f>
        <v>TJ / rok</v>
      </c>
      <c r="I139" s="1022" t="str">
        <f>IF(ISBLANK(D_Emissions!I99),"",D_Emissions!I99)</f>
        <v/>
      </c>
      <c r="J139" s="1022" t="str">
        <f>IF(ISBLANK(D_Emissions!J99),"",D_Emissions!J99)</f>
        <v/>
      </c>
      <c r="K139" s="1022" t="str">
        <f>IF(ISBLANK(D_Emissions!K99),"",D_Emissions!K99)</f>
        <v/>
      </c>
      <c r="L139" s="1022" t="str">
        <f>IF(ISBLANK(D_Emissions!L99),"",D_Emissions!L99)</f>
        <v/>
      </c>
      <c r="M139" s="1022" t="str">
        <f>IF(ISBLANK(D_Emissions!M99),"",D_Emissions!M99)</f>
        <v/>
      </c>
      <c r="N139" s="20"/>
      <c r="O139" s="20"/>
      <c r="P139" s="422"/>
      <c r="Q139" s="422"/>
      <c r="R139" s="422"/>
      <c r="S139" s="422"/>
      <c r="T139" s="422"/>
    </row>
    <row r="140" spans="1:20" s="701" customFormat="1" ht="5.0999999999999996" customHeight="1" x14ac:dyDescent="0.2">
      <c r="A140" s="422"/>
      <c r="B140" s="398"/>
      <c r="C140" s="20"/>
      <c r="D140" s="20"/>
      <c r="E140" s="20"/>
      <c r="F140" s="20"/>
      <c r="G140" s="20"/>
      <c r="H140" s="20"/>
      <c r="I140" s="20"/>
      <c r="J140" s="20"/>
      <c r="K140" s="20"/>
      <c r="L140" s="20"/>
      <c r="M140" s="20"/>
      <c r="N140" s="20"/>
      <c r="O140" s="20"/>
      <c r="P140" s="422"/>
      <c r="Q140" s="422"/>
      <c r="R140" s="422"/>
      <c r="S140" s="422"/>
      <c r="T140" s="422"/>
    </row>
    <row r="141" spans="1:20" s="701" customFormat="1" ht="12.75" customHeight="1" x14ac:dyDescent="0.2">
      <c r="A141" s="422"/>
      <c r="B141" s="398"/>
      <c r="C141" s="20"/>
      <c r="D141" s="20"/>
      <c r="E141" s="1609" t="str">
        <f>Translations!$B$1189</f>
        <v>Emisje</v>
      </c>
      <c r="F141" s="1377"/>
      <c r="G141" s="1377"/>
      <c r="H141" s="35" t="str">
        <f>D_Emissions!H92</f>
        <v>Jednostka</v>
      </c>
      <c r="I141" s="396">
        <f>D_Emissions!I92</f>
        <v>2014</v>
      </c>
      <c r="J141" s="396">
        <f>D_Emissions!J92</f>
        <v>2015</v>
      </c>
      <c r="K141" s="396">
        <f>D_Emissions!K92</f>
        <v>2016</v>
      </c>
      <c r="L141" s="396">
        <f>D_Emissions!L92</f>
        <v>2017</v>
      </c>
      <c r="M141" s="396">
        <f>D_Emissions!M92</f>
        <v>2018</v>
      </c>
      <c r="N141" s="20"/>
      <c r="O141" s="20"/>
      <c r="P141" s="422"/>
      <c r="Q141" s="422"/>
      <c r="R141" s="422"/>
      <c r="S141" s="422"/>
      <c r="T141" s="422"/>
    </row>
    <row r="142" spans="1:20" s="701" customFormat="1" ht="12.75" customHeight="1" x14ac:dyDescent="0.2">
      <c r="A142" s="422"/>
      <c r="B142" s="398"/>
      <c r="C142" s="20"/>
      <c r="D142" s="20"/>
      <c r="E142" s="1569" t="str">
        <f>D_Emissions!E104</f>
        <v>Z wsadu paliwa do CHP</v>
      </c>
      <c r="F142" s="1618"/>
      <c r="G142" s="1618"/>
      <c r="H142" s="27" t="str">
        <f>D_Emissions!H104</f>
        <v>t CO2 / rok</v>
      </c>
      <c r="I142" s="1020" t="str">
        <f>IF(ISBLANK(D_Emissions!I104),"",D_Emissions!I104)</f>
        <v/>
      </c>
      <c r="J142" s="1020" t="str">
        <f>IF(ISBLANK(D_Emissions!J104),"",D_Emissions!J104)</f>
        <v/>
      </c>
      <c r="K142" s="1020" t="str">
        <f>IF(ISBLANK(D_Emissions!K104),"",D_Emissions!K104)</f>
        <v/>
      </c>
      <c r="L142" s="1020" t="str">
        <f>IF(ISBLANK(D_Emissions!L104),"",D_Emissions!L104)</f>
        <v/>
      </c>
      <c r="M142" s="1020" t="str">
        <f>IF(ISBLANK(D_Emissions!M104),"",D_Emissions!M104)</f>
        <v/>
      </c>
      <c r="N142" s="20"/>
      <c r="O142" s="20"/>
      <c r="P142" s="422"/>
      <c r="Q142" s="422"/>
      <c r="R142" s="422"/>
      <c r="S142" s="422"/>
      <c r="T142" s="422"/>
    </row>
    <row r="143" spans="1:20" s="701" customFormat="1" ht="12.75" customHeight="1" x14ac:dyDescent="0.2">
      <c r="A143" s="422"/>
      <c r="B143" s="398"/>
      <c r="C143" s="20"/>
      <c r="D143" s="20"/>
      <c r="E143" s="1493" t="str">
        <f>D_Emissions!E105</f>
        <v>Z oczyszczania spalin</v>
      </c>
      <c r="F143" s="1615"/>
      <c r="G143" s="1615"/>
      <c r="H143" s="30" t="str">
        <f>D_Emissions!H105</f>
        <v>t CO2 / rok</v>
      </c>
      <c r="I143" s="1022" t="str">
        <f>IF(ISBLANK(D_Emissions!I105),"",D_Emissions!I105)</f>
        <v/>
      </c>
      <c r="J143" s="1022" t="str">
        <f>IF(ISBLANK(D_Emissions!J105),"",D_Emissions!J105)</f>
        <v/>
      </c>
      <c r="K143" s="1022" t="str">
        <f>IF(ISBLANK(D_Emissions!K105),"",D_Emissions!K105)</f>
        <v/>
      </c>
      <c r="L143" s="1022" t="str">
        <f>IF(ISBLANK(D_Emissions!L105),"",D_Emissions!L105)</f>
        <v/>
      </c>
      <c r="M143" s="1022" t="str">
        <f>IF(ISBLANK(D_Emissions!M105),"",D_Emissions!M105)</f>
        <v/>
      </c>
      <c r="N143" s="20"/>
      <c r="O143" s="20"/>
      <c r="P143" s="422"/>
      <c r="Q143" s="422"/>
      <c r="R143" s="422"/>
      <c r="S143" s="422"/>
      <c r="T143" s="422"/>
    </row>
    <row r="144" spans="1:20" s="701" customFormat="1" ht="12.75" customHeight="1" x14ac:dyDescent="0.2">
      <c r="A144" s="422"/>
      <c r="B144" s="398"/>
      <c r="C144" s="20"/>
      <c r="D144" s="20"/>
      <c r="E144" s="1611" t="str">
        <f>D_Emissions!E106</f>
        <v>Całkowite emisje</v>
      </c>
      <c r="F144" s="1612"/>
      <c r="G144" s="1612"/>
      <c r="H144" s="48" t="str">
        <f>D_Emissions!H106</f>
        <v>t CO2 / rok</v>
      </c>
      <c r="I144" s="1019" t="str">
        <f>D_Emissions!I106</f>
        <v/>
      </c>
      <c r="J144" s="1019" t="str">
        <f>D_Emissions!J106</f>
        <v/>
      </c>
      <c r="K144" s="1019" t="str">
        <f>D_Emissions!K106</f>
        <v/>
      </c>
      <c r="L144" s="1019" t="str">
        <f>D_Emissions!L106</f>
        <v/>
      </c>
      <c r="M144" s="1019" t="str">
        <f>D_Emissions!M106</f>
        <v/>
      </c>
      <c r="N144" s="20"/>
      <c r="O144" s="20"/>
      <c r="P144" s="422"/>
      <c r="Q144" s="422"/>
      <c r="R144" s="422"/>
      <c r="S144" s="422"/>
      <c r="T144" s="422"/>
    </row>
    <row r="145" spans="1:20" s="701" customFormat="1" ht="5.0999999999999996" customHeight="1" x14ac:dyDescent="0.2">
      <c r="A145" s="422"/>
      <c r="B145" s="398"/>
      <c r="C145" s="20"/>
      <c r="D145" s="20"/>
      <c r="N145" s="20"/>
      <c r="O145" s="20"/>
      <c r="P145" s="422"/>
      <c r="Q145" s="422"/>
      <c r="R145" s="422"/>
      <c r="S145" s="422"/>
      <c r="T145" s="422"/>
    </row>
    <row r="146" spans="1:20" s="701" customFormat="1" ht="12.75" customHeight="1" x14ac:dyDescent="0.2">
      <c r="A146" s="422"/>
      <c r="B146" s="398"/>
      <c r="C146" s="20"/>
      <c r="D146" s="20"/>
      <c r="E146" s="1609" t="str">
        <f>Translations!$B$1190</f>
        <v>Sprawności</v>
      </c>
      <c r="F146" s="1377"/>
      <c r="G146" s="1377"/>
      <c r="H146" s="35" t="str">
        <f>D_Emissions!H113</f>
        <v>Jednostka</v>
      </c>
      <c r="I146" s="396">
        <f>D_Emissions!I113</f>
        <v>2014</v>
      </c>
      <c r="J146" s="396">
        <f>D_Emissions!J113</f>
        <v>2015</v>
      </c>
      <c r="K146" s="396">
        <f>D_Emissions!K113</f>
        <v>2016</v>
      </c>
      <c r="L146" s="396">
        <f>D_Emissions!L113</f>
        <v>2017</v>
      </c>
      <c r="M146" s="396">
        <f>D_Emissions!M113</f>
        <v>2018</v>
      </c>
      <c r="N146" s="20"/>
      <c r="O146" s="20"/>
      <c r="P146" s="422"/>
      <c r="Q146" s="422"/>
      <c r="R146" s="422"/>
      <c r="S146" s="422"/>
      <c r="T146" s="422"/>
    </row>
    <row r="147" spans="1:20" s="701" customFormat="1" ht="12.75" customHeight="1" x14ac:dyDescent="0.2">
      <c r="A147" s="422"/>
      <c r="B147" s="398"/>
      <c r="C147" s="20"/>
      <c r="D147" s="20"/>
      <c r="E147" s="1569" t="str">
        <f>D_Emissions!E114</f>
        <v>Wytwarzanie ciepła</v>
      </c>
      <c r="F147" s="1618"/>
      <c r="G147" s="1618"/>
      <c r="H147" s="835" t="str">
        <f>D_Emissions!H114</f>
        <v>-</v>
      </c>
      <c r="I147" s="836" t="str">
        <f>D_Emissions!I114</f>
        <v/>
      </c>
      <c r="J147" s="836" t="str">
        <f>D_Emissions!J114</f>
        <v/>
      </c>
      <c r="K147" s="836" t="str">
        <f>D_Emissions!K114</f>
        <v/>
      </c>
      <c r="L147" s="836" t="str">
        <f>D_Emissions!L114</f>
        <v/>
      </c>
      <c r="M147" s="836" t="str">
        <f>D_Emissions!M114</f>
        <v/>
      </c>
      <c r="N147" s="398"/>
      <c r="O147" s="20"/>
      <c r="P147" s="422"/>
      <c r="Q147" s="422"/>
      <c r="R147" s="422"/>
      <c r="S147" s="422"/>
      <c r="T147" s="422"/>
    </row>
    <row r="148" spans="1:20" s="701" customFormat="1" ht="12.75" customHeight="1" x14ac:dyDescent="0.2">
      <c r="A148" s="422"/>
      <c r="B148" s="398"/>
      <c r="C148" s="20"/>
      <c r="D148" s="20"/>
      <c r="E148" s="1493" t="str">
        <f>D_Emissions!E115</f>
        <v>Wytwarzanie energii elektrycznej</v>
      </c>
      <c r="F148" s="1615"/>
      <c r="G148" s="1615"/>
      <c r="H148" s="837" t="str">
        <f>D_Emissions!H115</f>
        <v>-</v>
      </c>
      <c r="I148" s="838" t="str">
        <f>D_Emissions!I115</f>
        <v/>
      </c>
      <c r="J148" s="838" t="str">
        <f>D_Emissions!J115</f>
        <v/>
      </c>
      <c r="K148" s="838" t="str">
        <f>D_Emissions!K115</f>
        <v/>
      </c>
      <c r="L148" s="838" t="str">
        <f>D_Emissions!L115</f>
        <v/>
      </c>
      <c r="M148" s="838" t="str">
        <f>D_Emissions!M115</f>
        <v/>
      </c>
      <c r="N148" s="20"/>
      <c r="O148" s="20"/>
      <c r="P148" s="422"/>
      <c r="Q148" s="422"/>
      <c r="R148" s="422"/>
      <c r="S148" s="422"/>
      <c r="T148" s="422"/>
    </row>
    <row r="149" spans="1:20" s="701" customFormat="1" ht="12.75" customHeight="1" x14ac:dyDescent="0.2">
      <c r="A149" s="422"/>
      <c r="B149" s="398"/>
      <c r="C149" s="20"/>
      <c r="D149" s="20"/>
      <c r="E149" s="1569" t="str">
        <f>Translations!$B$1191</f>
        <v>Wytwarzanie ciepła (wartość referencyjna)</v>
      </c>
      <c r="F149" s="1618"/>
      <c r="G149" s="1618"/>
      <c r="H149" s="835" t="str">
        <f>D_Emissions!H123</f>
        <v>-</v>
      </c>
      <c r="I149" s="839" t="str">
        <f>IF(ISBLANK(D_Emissions!I123),"",D_Emissions!I123)</f>
        <v/>
      </c>
      <c r="J149" s="839" t="str">
        <f>IF(ISBLANK(D_Emissions!J123),"",D_Emissions!J123)</f>
        <v/>
      </c>
      <c r="K149" s="839" t="str">
        <f>IF(ISBLANK(D_Emissions!K123),"",D_Emissions!K123)</f>
        <v/>
      </c>
      <c r="L149" s="839" t="str">
        <f>IF(ISBLANK(D_Emissions!L123),"",D_Emissions!L123)</f>
        <v/>
      </c>
      <c r="M149" s="839" t="str">
        <f>IF(ISBLANK(D_Emissions!M123),"",D_Emissions!M123)</f>
        <v/>
      </c>
      <c r="N149" s="20"/>
      <c r="O149" s="20"/>
      <c r="P149" s="422"/>
      <c r="Q149" s="422"/>
      <c r="R149" s="422"/>
      <c r="S149" s="422"/>
      <c r="T149" s="422"/>
    </row>
    <row r="150" spans="1:20" s="701" customFormat="1" ht="25.5" customHeight="1" x14ac:dyDescent="0.2">
      <c r="A150" s="422"/>
      <c r="B150" s="398"/>
      <c r="C150" s="20"/>
      <c r="D150" s="20"/>
      <c r="E150" s="1493" t="str">
        <f>Translations!$B$1192</f>
        <v>Wytwarzanie energii elektrycznej (wartość referencyjna)</v>
      </c>
      <c r="F150" s="1615"/>
      <c r="G150" s="1615"/>
      <c r="H150" s="837" t="str">
        <f>D_Emissions!H124</f>
        <v>-</v>
      </c>
      <c r="I150" s="840" t="str">
        <f>IF(ISBLANK(D_Emissions!I124),"",D_Emissions!I124)</f>
        <v/>
      </c>
      <c r="J150" s="840" t="str">
        <f>IF(ISBLANK(D_Emissions!J124),"",D_Emissions!J124)</f>
        <v/>
      </c>
      <c r="K150" s="840" t="str">
        <f>IF(ISBLANK(D_Emissions!K124),"",D_Emissions!K124)</f>
        <v/>
      </c>
      <c r="L150" s="840" t="str">
        <f>IF(ISBLANK(D_Emissions!L124),"",D_Emissions!L124)</f>
        <v/>
      </c>
      <c r="M150" s="840" t="str">
        <f>IF(ISBLANK(D_Emissions!M124),"",D_Emissions!M124)</f>
        <v/>
      </c>
      <c r="N150" s="20"/>
      <c r="O150" s="20"/>
      <c r="P150" s="422"/>
      <c r="Q150" s="422"/>
      <c r="R150" s="422"/>
      <c r="S150" s="422"/>
      <c r="T150" s="422"/>
    </row>
    <row r="151" spans="1:20" s="701" customFormat="1" ht="5.0999999999999996" customHeight="1" x14ac:dyDescent="0.2">
      <c r="A151" s="422"/>
      <c r="B151" s="398"/>
      <c r="C151" s="20"/>
      <c r="D151" s="20"/>
      <c r="E151" s="20"/>
      <c r="F151" s="20"/>
      <c r="G151" s="20"/>
      <c r="H151" s="20"/>
      <c r="I151" s="20"/>
      <c r="J151" s="20"/>
      <c r="K151" s="20"/>
      <c r="L151" s="20"/>
      <c r="M151" s="20"/>
      <c r="N151" s="20"/>
      <c r="O151" s="20"/>
      <c r="P151" s="422"/>
      <c r="Q151" s="422"/>
      <c r="R151" s="422"/>
      <c r="S151" s="422"/>
      <c r="T151" s="422"/>
    </row>
    <row r="152" spans="1:20" s="701" customFormat="1" ht="12.75" customHeight="1" x14ac:dyDescent="0.2">
      <c r="A152" s="422"/>
      <c r="B152" s="398"/>
      <c r="C152" s="20"/>
      <c r="D152" s="20"/>
      <c r="E152" s="1609" t="str">
        <f>Translations!$B$1193</f>
        <v>Wyniki</v>
      </c>
      <c r="F152" s="1377"/>
      <c r="G152" s="1377"/>
      <c r="H152" s="35" t="str">
        <f>D_Emissions!H176</f>
        <v>Jednostka</v>
      </c>
      <c r="I152" s="396">
        <f>D_Emissions!I176</f>
        <v>2014</v>
      </c>
      <c r="J152" s="396">
        <f>D_Emissions!J176</f>
        <v>2015</v>
      </c>
      <c r="K152" s="396">
        <f>D_Emissions!K176</f>
        <v>2016</v>
      </c>
      <c r="L152" s="396">
        <f>D_Emissions!L176</f>
        <v>2017</v>
      </c>
      <c r="M152" s="396">
        <f>D_Emissions!M176</f>
        <v>2018</v>
      </c>
      <c r="N152" s="20"/>
      <c r="O152" s="20"/>
      <c r="P152" s="422"/>
      <c r="Q152" s="422"/>
      <c r="R152" s="422"/>
      <c r="S152" s="422"/>
      <c r="T152" s="422"/>
    </row>
    <row r="153" spans="1:20" s="701" customFormat="1" ht="25.5" customHeight="1" x14ac:dyDescent="0.2">
      <c r="A153" s="422"/>
      <c r="B153" s="398"/>
      <c r="C153" s="20"/>
      <c r="D153" s="20"/>
      <c r="E153" s="1978" t="str">
        <f>D_Emissions!E131</f>
        <v>Emisje, które można przypisać do wytworzonego ciepła</v>
      </c>
      <c r="F153" s="1978"/>
      <c r="G153" s="1978"/>
      <c r="H153" s="610" t="str">
        <f>D_Emissions!H131</f>
        <v>t CO2 / rok</v>
      </c>
      <c r="I153" s="1026" t="str">
        <f>D_Emissions!I131</f>
        <v/>
      </c>
      <c r="J153" s="1026" t="str">
        <f>D_Emissions!J131</f>
        <v/>
      </c>
      <c r="K153" s="1026" t="str">
        <f>D_Emissions!K131</f>
        <v/>
      </c>
      <c r="L153" s="1026" t="str">
        <f>D_Emissions!L131</f>
        <v/>
      </c>
      <c r="M153" s="1026" t="str">
        <f>D_Emissions!M131</f>
        <v/>
      </c>
      <c r="N153" s="20"/>
      <c r="O153" s="20"/>
      <c r="P153" s="422"/>
      <c r="Q153" s="422"/>
      <c r="R153" s="422"/>
      <c r="S153" s="422"/>
      <c r="T153" s="422"/>
    </row>
    <row r="154" spans="1:20" s="701" customFormat="1" ht="12.75" customHeight="1" x14ac:dyDescent="0.2">
      <c r="A154" s="422"/>
      <c r="B154" s="398"/>
      <c r="C154" s="20"/>
      <c r="D154" s="20"/>
      <c r="E154" s="1611" t="str">
        <f>D_Emissions!E132</f>
        <v>Współczynnik emisji, ciepło</v>
      </c>
      <c r="F154" s="1612"/>
      <c r="G154" s="1612"/>
      <c r="H154" s="48" t="str">
        <f>D_Emissions!H132</f>
        <v>t CO2 / TJ</v>
      </c>
      <c r="I154" s="1019" t="str">
        <f>D_Emissions!I132</f>
        <v/>
      </c>
      <c r="J154" s="1019" t="str">
        <f>D_Emissions!J132</f>
        <v/>
      </c>
      <c r="K154" s="1019" t="str">
        <f>D_Emissions!K132</f>
        <v/>
      </c>
      <c r="L154" s="1019" t="str">
        <f>D_Emissions!L132</f>
        <v/>
      </c>
      <c r="M154" s="1019" t="str">
        <f>D_Emissions!M132</f>
        <v/>
      </c>
      <c r="N154" s="398"/>
      <c r="O154" s="20"/>
      <c r="P154" s="422"/>
      <c r="Q154" s="422"/>
      <c r="R154" s="422"/>
      <c r="S154" s="422"/>
      <c r="T154" s="422"/>
    </row>
    <row r="155" spans="1:20" s="701" customFormat="1" ht="5.0999999999999996" customHeight="1" x14ac:dyDescent="0.2">
      <c r="A155" s="422"/>
      <c r="B155" s="398"/>
      <c r="C155" s="20"/>
      <c r="D155" s="20"/>
      <c r="E155" s="20"/>
      <c r="F155" s="20"/>
      <c r="G155" s="20"/>
      <c r="H155" s="20"/>
      <c r="I155" s="20"/>
      <c r="J155" s="20"/>
      <c r="K155" s="20"/>
      <c r="L155" s="20"/>
      <c r="M155" s="20"/>
      <c r="N155" s="20"/>
      <c r="O155" s="20"/>
      <c r="P155" s="422"/>
      <c r="Q155" s="422"/>
      <c r="R155" s="422"/>
      <c r="S155" s="422"/>
      <c r="T155" s="422"/>
    </row>
    <row r="156" spans="1:20" s="701" customFormat="1" ht="12.75" customHeight="1" x14ac:dyDescent="0.2">
      <c r="A156" s="422"/>
      <c r="B156" s="398"/>
      <c r="C156" s="20"/>
      <c r="D156" s="20"/>
      <c r="E156" s="1569" t="str">
        <f>D_Emissions!E137</f>
        <v>Wsad paliwa do wytworzenia ciepła</v>
      </c>
      <c r="F156" s="1618"/>
      <c r="G156" s="1618"/>
      <c r="H156" s="27" t="str">
        <f>D_Emissions!H137</f>
        <v>TJ / rok</v>
      </c>
      <c r="I156" s="1020" t="str">
        <f>D_Emissions!I137</f>
        <v/>
      </c>
      <c r="J156" s="1020" t="str">
        <f>D_Emissions!J137</f>
        <v/>
      </c>
      <c r="K156" s="1020" t="str">
        <f>D_Emissions!K137</f>
        <v/>
      </c>
      <c r="L156" s="1020" t="str">
        <f>D_Emissions!L137</f>
        <v/>
      </c>
      <c r="M156" s="1020" t="str">
        <f>D_Emissions!M137</f>
        <v/>
      </c>
      <c r="N156" s="398"/>
      <c r="O156" s="20"/>
      <c r="P156" s="422"/>
      <c r="Q156" s="422"/>
      <c r="R156" s="422"/>
      <c r="S156" s="422"/>
      <c r="T156" s="422"/>
    </row>
    <row r="157" spans="1:20" s="701" customFormat="1" ht="25.5" customHeight="1" x14ac:dyDescent="0.2">
      <c r="A157" s="422"/>
      <c r="B157" s="398"/>
      <c r="C157" s="20"/>
      <c r="D157" s="20"/>
      <c r="E157" s="1493" t="str">
        <f>D_Emissions!E138</f>
        <v>Wsad paliwa do wytworzenia energii elektrycznej</v>
      </c>
      <c r="F157" s="1615"/>
      <c r="G157" s="1615"/>
      <c r="H157" s="30" t="str">
        <f>D_Emissions!H138</f>
        <v>TJ / rok</v>
      </c>
      <c r="I157" s="1022" t="str">
        <f>D_Emissions!I138</f>
        <v/>
      </c>
      <c r="J157" s="1022" t="str">
        <f>D_Emissions!J138</f>
        <v/>
      </c>
      <c r="K157" s="1022" t="str">
        <f>D_Emissions!K138</f>
        <v/>
      </c>
      <c r="L157" s="1022" t="str">
        <f>D_Emissions!L138</f>
        <v/>
      </c>
      <c r="M157" s="1022" t="str">
        <f>D_Emissions!M138</f>
        <v/>
      </c>
      <c r="N157" s="20"/>
      <c r="O157" s="20"/>
      <c r="P157" s="422"/>
      <c r="Q157" s="422"/>
      <c r="R157" s="422"/>
      <c r="S157" s="422"/>
      <c r="T157" s="422"/>
    </row>
    <row r="158" spans="1:20" s="701" customFormat="1" ht="12.75" customHeight="1" x14ac:dyDescent="0.2">
      <c r="A158" s="422"/>
      <c r="B158" s="398"/>
      <c r="C158" s="3"/>
      <c r="D158" s="3"/>
      <c r="E158" s="3"/>
      <c r="F158" s="3"/>
      <c r="G158" s="3"/>
      <c r="H158" s="3"/>
      <c r="I158" s="3"/>
      <c r="J158" s="3"/>
      <c r="K158" s="3"/>
      <c r="L158" s="3"/>
      <c r="M158" s="7"/>
      <c r="N158" s="7"/>
      <c r="O158" s="20"/>
      <c r="P158" s="422"/>
      <c r="Q158" s="422"/>
      <c r="R158" s="422"/>
      <c r="S158" s="422"/>
      <c r="T158" s="422"/>
    </row>
    <row r="159" spans="1:20" s="701" customFormat="1" ht="12.75" customHeight="1" x14ac:dyDescent="0.2">
      <c r="A159" s="422"/>
      <c r="B159" s="398"/>
      <c r="C159" s="3"/>
      <c r="D159" s="14" t="s">
        <v>353</v>
      </c>
      <c r="E159" s="1466" t="str">
        <f>Translations!$B$1194</f>
        <v>Narzędzie kogeneracyjne 2</v>
      </c>
      <c r="F159" s="1466"/>
      <c r="G159" s="1466"/>
      <c r="H159" s="1466"/>
      <c r="I159" s="1466"/>
      <c r="J159" s="1466"/>
      <c r="K159" s="1466"/>
      <c r="L159" s="1603"/>
      <c r="M159" s="829" t="b">
        <f>M134</f>
        <v>0</v>
      </c>
      <c r="N159" s="445"/>
      <c r="O159" s="20"/>
      <c r="P159" s="422"/>
      <c r="Q159" s="422"/>
      <c r="R159" s="422"/>
      <c r="S159" s="422"/>
      <c r="T159" s="422"/>
    </row>
    <row r="160" spans="1:20" s="701" customFormat="1" ht="5.0999999999999996" customHeight="1" x14ac:dyDescent="0.2">
      <c r="A160" s="422"/>
      <c r="B160" s="398"/>
      <c r="C160" s="20"/>
      <c r="D160" s="20"/>
      <c r="E160" s="20"/>
      <c r="F160" s="20"/>
      <c r="G160" s="20"/>
      <c r="H160" s="20"/>
      <c r="I160" s="20"/>
      <c r="J160" s="20"/>
      <c r="K160" s="20"/>
      <c r="L160" s="20"/>
      <c r="M160" s="20"/>
      <c r="N160" s="20"/>
      <c r="O160" s="20"/>
      <c r="P160" s="422"/>
      <c r="Q160" s="422"/>
      <c r="R160" s="422"/>
      <c r="S160" s="422"/>
      <c r="T160" s="422"/>
    </row>
    <row r="161" spans="1:20" s="701" customFormat="1" ht="12.75" customHeight="1" x14ac:dyDescent="0.2">
      <c r="A161" s="422"/>
      <c r="B161" s="398"/>
      <c r="C161" s="20"/>
      <c r="D161" s="20"/>
      <c r="E161" s="1609" t="str">
        <f>Translations!$B$1188</f>
        <v>Bilans energii</v>
      </c>
      <c r="F161" s="1377"/>
      <c r="G161" s="1377"/>
      <c r="H161" s="35" t="str">
        <f>D_Emissions!H145</f>
        <v>Jednostka</v>
      </c>
      <c r="I161" s="396">
        <f>D_Emissions!I145</f>
        <v>2014</v>
      </c>
      <c r="J161" s="396">
        <f>D_Emissions!J145</f>
        <v>2015</v>
      </c>
      <c r="K161" s="396">
        <f>D_Emissions!K145</f>
        <v>2016</v>
      </c>
      <c r="L161" s="396">
        <f>D_Emissions!L145</f>
        <v>2017</v>
      </c>
      <c r="M161" s="396">
        <f>D_Emissions!M145</f>
        <v>2018</v>
      </c>
      <c r="N161" s="20"/>
      <c r="O161" s="20"/>
      <c r="P161" s="422"/>
      <c r="Q161" s="422"/>
      <c r="R161" s="422"/>
      <c r="S161" s="422"/>
      <c r="T161" s="422"/>
    </row>
    <row r="162" spans="1:20" s="701" customFormat="1" ht="12.75" customHeight="1" x14ac:dyDescent="0.2">
      <c r="A162" s="422"/>
      <c r="B162" s="398"/>
      <c r="C162" s="20"/>
      <c r="D162" s="20"/>
      <c r="E162" s="1611" t="str">
        <f>D_Emissions!E146</f>
        <v>Wsad paliwa do CHP</v>
      </c>
      <c r="F162" s="1612"/>
      <c r="G162" s="1612"/>
      <c r="H162" s="48" t="str">
        <f>D_Emissions!H146</f>
        <v>TJ / rok</v>
      </c>
      <c r="I162" s="1019" t="str">
        <f>IF(ISBLANK(D_Emissions!I146),"",D_Emissions!I146)</f>
        <v/>
      </c>
      <c r="J162" s="1019" t="str">
        <f>IF(ISBLANK(D_Emissions!J146),"",D_Emissions!J146)</f>
        <v/>
      </c>
      <c r="K162" s="1019" t="str">
        <f>IF(ISBLANK(D_Emissions!K146),"",D_Emissions!K146)</f>
        <v/>
      </c>
      <c r="L162" s="1019" t="str">
        <f>IF(ISBLANK(D_Emissions!L146),"",D_Emissions!L146)</f>
        <v/>
      </c>
      <c r="M162" s="1019" t="str">
        <f>IF(ISBLANK(D_Emissions!M146),"",D_Emissions!M146)</f>
        <v/>
      </c>
      <c r="N162" s="20"/>
      <c r="O162" s="20"/>
      <c r="P162" s="422"/>
      <c r="Q162" s="422"/>
      <c r="R162" s="422"/>
      <c r="S162" s="422"/>
      <c r="T162" s="422"/>
    </row>
    <row r="163" spans="1:20" s="701" customFormat="1" ht="12.75" customHeight="1" x14ac:dyDescent="0.2">
      <c r="A163" s="422"/>
      <c r="B163" s="398"/>
      <c r="C163" s="20"/>
      <c r="D163" s="20"/>
      <c r="E163" s="1569" t="str">
        <f>D_Emissions!E150</f>
        <v>Ciepło wytworzone przez CHP</v>
      </c>
      <c r="F163" s="1618"/>
      <c r="G163" s="1618"/>
      <c r="H163" s="27" t="str">
        <f>D_Emissions!H150</f>
        <v>TJ / rok</v>
      </c>
      <c r="I163" s="1020" t="str">
        <f>IF(ISBLANK(D_Emissions!I150),"",D_Emissions!I150)</f>
        <v/>
      </c>
      <c r="J163" s="1020" t="str">
        <f>IF(ISBLANK(D_Emissions!J150),"",D_Emissions!J150)</f>
        <v/>
      </c>
      <c r="K163" s="1020" t="str">
        <f>IF(ISBLANK(D_Emissions!K150),"",D_Emissions!K150)</f>
        <v/>
      </c>
      <c r="L163" s="1020" t="str">
        <f>IF(ISBLANK(D_Emissions!L150),"",D_Emissions!L150)</f>
        <v/>
      </c>
      <c r="M163" s="1020" t="str">
        <f>IF(ISBLANK(D_Emissions!M150),"",D_Emissions!M150)</f>
        <v/>
      </c>
      <c r="N163" s="20"/>
      <c r="O163" s="20"/>
      <c r="P163" s="422"/>
      <c r="Q163" s="422"/>
      <c r="R163" s="422"/>
      <c r="S163" s="422"/>
      <c r="T163" s="422"/>
    </row>
    <row r="164" spans="1:20" s="701" customFormat="1" ht="12.75" customHeight="1" x14ac:dyDescent="0.2">
      <c r="A164" s="422"/>
      <c r="B164" s="398"/>
      <c r="C164" s="20"/>
      <c r="D164" s="20"/>
      <c r="E164" s="1493" t="str">
        <f>D_Emissions!E155</f>
        <v>Energia elektryczna wytworzona przez CHP</v>
      </c>
      <c r="F164" s="1615"/>
      <c r="G164" s="1615"/>
      <c r="H164" s="30" t="str">
        <f>D_Emissions!H155</f>
        <v>TJ / rok</v>
      </c>
      <c r="I164" s="1022" t="str">
        <f>IF(ISBLANK(D_Emissions!I155),"",D_Emissions!I155)</f>
        <v/>
      </c>
      <c r="J164" s="1022" t="str">
        <f>IF(ISBLANK(D_Emissions!J155),"",D_Emissions!J155)</f>
        <v/>
      </c>
      <c r="K164" s="1022" t="str">
        <f>IF(ISBLANK(D_Emissions!K155),"",D_Emissions!K155)</f>
        <v/>
      </c>
      <c r="L164" s="1022" t="str">
        <f>IF(ISBLANK(D_Emissions!L155),"",D_Emissions!L155)</f>
        <v/>
      </c>
      <c r="M164" s="1022" t="str">
        <f>IF(ISBLANK(D_Emissions!M155),"",D_Emissions!M155)</f>
        <v/>
      </c>
      <c r="N164" s="20"/>
      <c r="O164" s="20"/>
      <c r="P164" s="422"/>
      <c r="Q164" s="422"/>
      <c r="R164" s="422"/>
      <c r="S164" s="422"/>
      <c r="T164" s="422"/>
    </row>
    <row r="165" spans="1:20" s="701" customFormat="1" ht="5.0999999999999996" customHeight="1" x14ac:dyDescent="0.2">
      <c r="A165" s="422"/>
      <c r="B165" s="398"/>
      <c r="C165" s="20"/>
      <c r="D165" s="20"/>
      <c r="E165" s="20"/>
      <c r="F165" s="20"/>
      <c r="G165" s="20"/>
      <c r="H165" s="20"/>
      <c r="I165" s="20"/>
      <c r="J165" s="20"/>
      <c r="K165" s="20"/>
      <c r="L165" s="20"/>
      <c r="M165" s="20"/>
      <c r="N165" s="20"/>
      <c r="O165" s="20"/>
      <c r="P165" s="422"/>
      <c r="Q165" s="422"/>
      <c r="R165" s="422"/>
      <c r="S165" s="422"/>
      <c r="T165" s="422"/>
    </row>
    <row r="166" spans="1:20" s="701" customFormat="1" ht="12.75" customHeight="1" x14ac:dyDescent="0.2">
      <c r="A166" s="422"/>
      <c r="B166" s="398"/>
      <c r="C166" s="3"/>
      <c r="D166" s="16"/>
      <c r="E166" s="1609" t="str">
        <f>Translations!$B$1189</f>
        <v>Emisje</v>
      </c>
      <c r="F166" s="1377"/>
      <c r="G166" s="1377"/>
      <c r="H166" s="35" t="str">
        <f>D_Emissions!H158</f>
        <v>Jednostka</v>
      </c>
      <c r="I166" s="396">
        <f>D_Emissions!I158</f>
        <v>2014</v>
      </c>
      <c r="J166" s="396">
        <f>D_Emissions!J158</f>
        <v>2015</v>
      </c>
      <c r="K166" s="396">
        <f>D_Emissions!K158</f>
        <v>2016</v>
      </c>
      <c r="L166" s="396">
        <f>D_Emissions!L158</f>
        <v>2017</v>
      </c>
      <c r="M166" s="396">
        <f>D_Emissions!M158</f>
        <v>2018</v>
      </c>
      <c r="N166" s="445"/>
      <c r="O166" s="20"/>
      <c r="P166" s="422"/>
      <c r="Q166" s="422"/>
      <c r="R166" s="422"/>
      <c r="S166" s="422"/>
      <c r="T166" s="422"/>
    </row>
    <row r="167" spans="1:20" s="701" customFormat="1" ht="12.75" customHeight="1" x14ac:dyDescent="0.2">
      <c r="A167" s="422"/>
      <c r="B167" s="398"/>
      <c r="C167" s="20"/>
      <c r="D167" s="20"/>
      <c r="E167" s="1569" t="str">
        <f>D_Emissions!E159</f>
        <v>Z wsadu paliwa do CHP</v>
      </c>
      <c r="F167" s="1618"/>
      <c r="G167" s="1618"/>
      <c r="H167" s="27" t="str">
        <f>D_Emissions!H159</f>
        <v>t CO2 / rok</v>
      </c>
      <c r="I167" s="1020" t="str">
        <f>IF(ISBLANK(D_Emissions!I159),"",D_Emissions!I159)</f>
        <v/>
      </c>
      <c r="J167" s="1020" t="str">
        <f>IF(ISBLANK(D_Emissions!J159),"",D_Emissions!J159)</f>
        <v/>
      </c>
      <c r="K167" s="1020" t="str">
        <f>IF(ISBLANK(D_Emissions!K159),"",D_Emissions!K159)</f>
        <v/>
      </c>
      <c r="L167" s="1020" t="str">
        <f>IF(ISBLANK(D_Emissions!L159),"",D_Emissions!L159)</f>
        <v/>
      </c>
      <c r="M167" s="1020" t="str">
        <f>IF(ISBLANK(D_Emissions!M159),"",D_Emissions!M159)</f>
        <v/>
      </c>
      <c r="N167" s="20"/>
      <c r="O167" s="20"/>
      <c r="P167" s="422"/>
      <c r="Q167" s="422"/>
      <c r="R167" s="422"/>
      <c r="S167" s="422"/>
      <c r="T167" s="422"/>
    </row>
    <row r="168" spans="1:20" s="701" customFormat="1" ht="12.75" customHeight="1" x14ac:dyDescent="0.2">
      <c r="A168" s="422"/>
      <c r="B168" s="398"/>
      <c r="C168" s="20"/>
      <c r="D168" s="20"/>
      <c r="E168" s="1493" t="str">
        <f>D_Emissions!E160</f>
        <v>Z oczyszczania spalin</v>
      </c>
      <c r="F168" s="1615"/>
      <c r="G168" s="1615"/>
      <c r="H168" s="30" t="str">
        <f>D_Emissions!H160</f>
        <v>t CO2 / rok</v>
      </c>
      <c r="I168" s="1022" t="str">
        <f>IF(ISBLANK(D_Emissions!I160),"",D_Emissions!I160)</f>
        <v/>
      </c>
      <c r="J168" s="1022" t="str">
        <f>IF(ISBLANK(D_Emissions!J160),"",D_Emissions!J160)</f>
        <v/>
      </c>
      <c r="K168" s="1022" t="str">
        <f>IF(ISBLANK(D_Emissions!K160),"",D_Emissions!K160)</f>
        <v/>
      </c>
      <c r="L168" s="1022" t="str">
        <f>IF(ISBLANK(D_Emissions!L160),"",D_Emissions!L160)</f>
        <v/>
      </c>
      <c r="M168" s="1022" t="str">
        <f>IF(ISBLANK(D_Emissions!M160),"",D_Emissions!M160)</f>
        <v/>
      </c>
      <c r="N168" s="20"/>
      <c r="O168" s="20"/>
      <c r="P168" s="422"/>
      <c r="Q168" s="422"/>
      <c r="R168" s="422"/>
      <c r="S168" s="422"/>
      <c r="T168" s="422"/>
    </row>
    <row r="169" spans="1:20" s="701" customFormat="1" ht="12.75" customHeight="1" x14ac:dyDescent="0.2">
      <c r="A169" s="422"/>
      <c r="B169" s="398"/>
      <c r="C169" s="20"/>
      <c r="D169" s="20"/>
      <c r="E169" s="1611" t="str">
        <f>D_Emissions!E161</f>
        <v>Całkowite emisje</v>
      </c>
      <c r="F169" s="1612"/>
      <c r="G169" s="1612"/>
      <c r="H169" s="48" t="str">
        <f>D_Emissions!H161</f>
        <v>t CO2 / rok</v>
      </c>
      <c r="I169" s="1019" t="str">
        <f>D_Emissions!I161</f>
        <v/>
      </c>
      <c r="J169" s="1019" t="str">
        <f>D_Emissions!J161</f>
        <v/>
      </c>
      <c r="K169" s="1019" t="str">
        <f>D_Emissions!K161</f>
        <v/>
      </c>
      <c r="L169" s="1019" t="str">
        <f>D_Emissions!L161</f>
        <v/>
      </c>
      <c r="M169" s="1019" t="str">
        <f>D_Emissions!M161</f>
        <v/>
      </c>
      <c r="N169" s="20"/>
      <c r="O169" s="20"/>
      <c r="P169" s="422"/>
      <c r="Q169" s="422"/>
      <c r="R169" s="422"/>
      <c r="S169" s="422"/>
      <c r="T169" s="422"/>
    </row>
    <row r="170" spans="1:20" s="701" customFormat="1" ht="5.0999999999999996" customHeight="1" x14ac:dyDescent="0.2">
      <c r="A170" s="422"/>
      <c r="B170" s="398"/>
      <c r="C170" s="20"/>
      <c r="D170" s="20"/>
      <c r="N170" s="20"/>
      <c r="O170" s="20"/>
      <c r="P170" s="422"/>
      <c r="Q170" s="422"/>
      <c r="R170" s="422"/>
      <c r="S170" s="422"/>
      <c r="T170" s="422"/>
    </row>
    <row r="171" spans="1:20" s="701" customFormat="1" ht="12.75" customHeight="1" x14ac:dyDescent="0.2">
      <c r="A171" s="422"/>
      <c r="B171" s="398"/>
      <c r="C171" s="20"/>
      <c r="D171" s="20"/>
      <c r="E171" s="1609" t="str">
        <f>Translations!$B$1190</f>
        <v>Sprawności</v>
      </c>
      <c r="F171" s="1377"/>
      <c r="G171" s="1377"/>
      <c r="H171" s="35" t="str">
        <f>D_Emissions!H166</f>
        <v>Jednostka</v>
      </c>
      <c r="I171" s="396">
        <f>D_Emissions!I166</f>
        <v>2014</v>
      </c>
      <c r="J171" s="396">
        <f>D_Emissions!J166</f>
        <v>2015</v>
      </c>
      <c r="K171" s="396">
        <f>D_Emissions!K166</f>
        <v>2016</v>
      </c>
      <c r="L171" s="396">
        <f>D_Emissions!L166</f>
        <v>2017</v>
      </c>
      <c r="M171" s="396">
        <f>D_Emissions!M166</f>
        <v>2018</v>
      </c>
      <c r="N171" s="20"/>
      <c r="O171" s="20"/>
      <c r="P171" s="422"/>
      <c r="Q171" s="422"/>
      <c r="R171" s="422"/>
      <c r="S171" s="422"/>
      <c r="T171" s="422"/>
    </row>
    <row r="172" spans="1:20" s="701" customFormat="1" ht="12.75" customHeight="1" x14ac:dyDescent="0.2">
      <c r="A172" s="422"/>
      <c r="B172" s="398"/>
      <c r="C172" s="20"/>
      <c r="D172" s="20"/>
      <c r="E172" s="1569" t="str">
        <f>D_Emissions!E167</f>
        <v>Wytwarzanie ciepła</v>
      </c>
      <c r="F172" s="1618"/>
      <c r="G172" s="1618"/>
      <c r="H172" s="835" t="str">
        <f>D_Emissions!H167</f>
        <v>-</v>
      </c>
      <c r="I172" s="836" t="str">
        <f>D_Emissions!I167</f>
        <v/>
      </c>
      <c r="J172" s="836" t="str">
        <f>D_Emissions!J167</f>
        <v/>
      </c>
      <c r="K172" s="836" t="str">
        <f>D_Emissions!K167</f>
        <v/>
      </c>
      <c r="L172" s="836" t="str">
        <f>D_Emissions!L167</f>
        <v/>
      </c>
      <c r="M172" s="836" t="str">
        <f>D_Emissions!M167</f>
        <v/>
      </c>
      <c r="N172" s="398"/>
      <c r="O172" s="20"/>
      <c r="P172" s="422"/>
      <c r="Q172" s="422"/>
      <c r="R172" s="422"/>
      <c r="S172" s="422"/>
      <c r="T172" s="422"/>
    </row>
    <row r="173" spans="1:20" s="701" customFormat="1" ht="12.75" customHeight="1" x14ac:dyDescent="0.2">
      <c r="A173" s="422"/>
      <c r="B173" s="398"/>
      <c r="C173" s="20"/>
      <c r="D173" s="20"/>
      <c r="E173" s="1493" t="str">
        <f>D_Emissions!E168</f>
        <v>Wytwarzanie energii elektrycznej</v>
      </c>
      <c r="F173" s="1615"/>
      <c r="G173" s="1615"/>
      <c r="H173" s="837" t="str">
        <f>D_Emissions!H168</f>
        <v>-</v>
      </c>
      <c r="I173" s="838" t="str">
        <f>D_Emissions!I168</f>
        <v/>
      </c>
      <c r="J173" s="838" t="str">
        <f>D_Emissions!J168</f>
        <v/>
      </c>
      <c r="K173" s="838" t="str">
        <f>D_Emissions!K168</f>
        <v/>
      </c>
      <c r="L173" s="838" t="str">
        <f>D_Emissions!L168</f>
        <v/>
      </c>
      <c r="M173" s="838" t="str">
        <f>D_Emissions!M168</f>
        <v/>
      </c>
      <c r="N173" s="20"/>
      <c r="O173" s="20"/>
      <c r="P173" s="422"/>
      <c r="Q173" s="422"/>
      <c r="R173" s="422"/>
      <c r="S173" s="422"/>
      <c r="T173" s="422"/>
    </row>
    <row r="174" spans="1:20" s="701" customFormat="1" ht="12.75" customHeight="1" x14ac:dyDescent="0.2">
      <c r="A174" s="422"/>
      <c r="B174" s="398"/>
      <c r="C174" s="20"/>
      <c r="D174" s="20"/>
      <c r="E174" s="1569" t="str">
        <f>Translations!$B$1191</f>
        <v>Wytwarzanie ciepła (wartość referencyjna)</v>
      </c>
      <c r="F174" s="1618"/>
      <c r="G174" s="1618"/>
      <c r="H174" s="835" t="str">
        <f>D_Emissions!H172</f>
        <v>-</v>
      </c>
      <c r="I174" s="839" t="str">
        <f>IF(ISBLANK(D_Emissions!I172),"",D_Emissions!I172)</f>
        <v/>
      </c>
      <c r="J174" s="839" t="str">
        <f>IF(ISBLANK(D_Emissions!J172),"",D_Emissions!J172)</f>
        <v/>
      </c>
      <c r="K174" s="839" t="str">
        <f>IF(ISBLANK(D_Emissions!K172),"",D_Emissions!K172)</f>
        <v/>
      </c>
      <c r="L174" s="839" t="str">
        <f>IF(ISBLANK(D_Emissions!L172),"",D_Emissions!L172)</f>
        <v/>
      </c>
      <c r="M174" s="839" t="str">
        <f>IF(ISBLANK(D_Emissions!M172),"",D_Emissions!M172)</f>
        <v/>
      </c>
      <c r="N174" s="20"/>
      <c r="O174" s="20"/>
      <c r="P174" s="422"/>
      <c r="Q174" s="422"/>
      <c r="R174" s="422"/>
      <c r="S174" s="422"/>
      <c r="T174" s="422"/>
    </row>
    <row r="175" spans="1:20" s="701" customFormat="1" ht="25.5" customHeight="1" x14ac:dyDescent="0.2">
      <c r="A175" s="422"/>
      <c r="B175" s="398"/>
      <c r="C175" s="20"/>
      <c r="D175" s="20"/>
      <c r="E175" s="1493" t="str">
        <f>Translations!$B$1192</f>
        <v>Wytwarzanie energii elektrycznej (wartość referencyjna)</v>
      </c>
      <c r="F175" s="1615"/>
      <c r="G175" s="1615"/>
      <c r="H175" s="837" t="str">
        <f>D_Emissions!H173</f>
        <v>-</v>
      </c>
      <c r="I175" s="840" t="str">
        <f>IF(ISBLANK(D_Emissions!I173),"",D_Emissions!I173)</f>
        <v/>
      </c>
      <c r="J175" s="840" t="str">
        <f>IF(ISBLANK(D_Emissions!J173),"",D_Emissions!J173)</f>
        <v/>
      </c>
      <c r="K175" s="840" t="str">
        <f>IF(ISBLANK(D_Emissions!K173),"",D_Emissions!K173)</f>
        <v/>
      </c>
      <c r="L175" s="840" t="str">
        <f>IF(ISBLANK(D_Emissions!L173),"",D_Emissions!L173)</f>
        <v/>
      </c>
      <c r="M175" s="840" t="str">
        <f>IF(ISBLANK(D_Emissions!M173),"",D_Emissions!M173)</f>
        <v/>
      </c>
      <c r="N175" s="20"/>
      <c r="O175" s="20"/>
      <c r="P175" s="422"/>
      <c r="Q175" s="422"/>
      <c r="R175" s="422"/>
      <c r="S175" s="422"/>
      <c r="T175" s="422"/>
    </row>
    <row r="176" spans="1:20" s="701" customFormat="1" ht="5.0999999999999996" customHeight="1" x14ac:dyDescent="0.2">
      <c r="A176" s="422"/>
      <c r="B176" s="398"/>
      <c r="C176" s="20"/>
      <c r="D176" s="20"/>
      <c r="E176" s="20"/>
      <c r="F176" s="20"/>
      <c r="G176" s="20"/>
      <c r="H176" s="20"/>
      <c r="I176" s="20"/>
      <c r="J176" s="20"/>
      <c r="K176" s="20"/>
      <c r="L176" s="20"/>
      <c r="M176" s="20"/>
      <c r="N176" s="20"/>
      <c r="O176" s="20"/>
      <c r="P176" s="422"/>
      <c r="Q176" s="422"/>
      <c r="R176" s="422"/>
      <c r="S176" s="422"/>
      <c r="T176" s="422"/>
    </row>
    <row r="177" spans="1:20" s="701" customFormat="1" ht="12.75" customHeight="1" x14ac:dyDescent="0.2">
      <c r="A177" s="422"/>
      <c r="B177" s="398"/>
      <c r="C177" s="20"/>
      <c r="D177" s="20"/>
      <c r="E177" s="1609" t="str">
        <f>Translations!$B$1193</f>
        <v>Wyniki</v>
      </c>
      <c r="F177" s="1377"/>
      <c r="G177" s="1377"/>
      <c r="H177" s="35" t="str">
        <f>D_Emissions!H176</f>
        <v>Jednostka</v>
      </c>
      <c r="I177" s="396">
        <f>D_Emissions!I176</f>
        <v>2014</v>
      </c>
      <c r="J177" s="396">
        <f>D_Emissions!J176</f>
        <v>2015</v>
      </c>
      <c r="K177" s="396">
        <f>D_Emissions!K176</f>
        <v>2016</v>
      </c>
      <c r="L177" s="396">
        <f>D_Emissions!L176</f>
        <v>2017</v>
      </c>
      <c r="M177" s="396">
        <f>D_Emissions!M176</f>
        <v>2018</v>
      </c>
      <c r="N177" s="20"/>
      <c r="O177" s="20"/>
      <c r="P177" s="422"/>
      <c r="Q177" s="422"/>
      <c r="R177" s="422"/>
      <c r="S177" s="422"/>
      <c r="T177" s="422"/>
    </row>
    <row r="178" spans="1:20" s="701" customFormat="1" ht="25.5" customHeight="1" x14ac:dyDescent="0.2">
      <c r="A178" s="422"/>
      <c r="B178" s="398"/>
      <c r="C178" s="20"/>
      <c r="D178" s="20"/>
      <c r="E178" s="1978" t="str">
        <f>D_Emissions!E177</f>
        <v>Emisje, które można przypisać do wytworzonego ciepła</v>
      </c>
      <c r="F178" s="1978"/>
      <c r="G178" s="1978"/>
      <c r="H178" s="610" t="str">
        <f>D_Emissions!H177</f>
        <v>t CO2 / rok</v>
      </c>
      <c r="I178" s="1026" t="str">
        <f>D_Emissions!I177</f>
        <v/>
      </c>
      <c r="J178" s="1026" t="str">
        <f>D_Emissions!J177</f>
        <v/>
      </c>
      <c r="K178" s="1026" t="str">
        <f>D_Emissions!K177</f>
        <v/>
      </c>
      <c r="L178" s="1026" t="str">
        <f>D_Emissions!L177</f>
        <v/>
      </c>
      <c r="M178" s="1026" t="str">
        <f>D_Emissions!M177</f>
        <v/>
      </c>
      <c r="N178" s="20"/>
      <c r="O178" s="20"/>
      <c r="P178" s="422"/>
      <c r="Q178" s="422"/>
      <c r="R178" s="422"/>
      <c r="S178" s="422"/>
      <c r="T178" s="422"/>
    </row>
    <row r="179" spans="1:20" s="701" customFormat="1" ht="12.75" customHeight="1" x14ac:dyDescent="0.2">
      <c r="A179" s="422"/>
      <c r="B179" s="398"/>
      <c r="C179" s="20"/>
      <c r="D179" s="20"/>
      <c r="E179" s="1611" t="str">
        <f>D_Emissions!E178</f>
        <v>Współczynnik emisji, ciepło</v>
      </c>
      <c r="F179" s="1612"/>
      <c r="G179" s="1612"/>
      <c r="H179" s="48" t="str">
        <f>D_Emissions!H178</f>
        <v>t CO2 / TJ</v>
      </c>
      <c r="I179" s="1019" t="str">
        <f>D_Emissions!I178</f>
        <v/>
      </c>
      <c r="J179" s="1019" t="str">
        <f>D_Emissions!J178</f>
        <v/>
      </c>
      <c r="K179" s="1019" t="str">
        <f>D_Emissions!K178</f>
        <v/>
      </c>
      <c r="L179" s="1019" t="str">
        <f>D_Emissions!L178</f>
        <v/>
      </c>
      <c r="M179" s="1019" t="str">
        <f>D_Emissions!M178</f>
        <v/>
      </c>
      <c r="N179" s="398"/>
      <c r="O179" s="20"/>
      <c r="P179" s="422"/>
      <c r="Q179" s="422"/>
      <c r="R179" s="422"/>
      <c r="S179" s="422"/>
      <c r="T179" s="422"/>
    </row>
    <row r="180" spans="1:20" s="701" customFormat="1" ht="5.0999999999999996" customHeight="1" x14ac:dyDescent="0.2">
      <c r="A180" s="422"/>
      <c r="B180" s="398"/>
      <c r="C180" s="20"/>
      <c r="D180" s="20"/>
      <c r="E180" s="20"/>
      <c r="F180" s="20"/>
      <c r="G180" s="20"/>
      <c r="H180" s="20"/>
      <c r="I180" s="20"/>
      <c r="J180" s="20"/>
      <c r="K180" s="20"/>
      <c r="L180" s="20"/>
      <c r="M180" s="20"/>
      <c r="N180" s="20"/>
      <c r="O180" s="20"/>
      <c r="P180" s="422"/>
      <c r="Q180" s="422"/>
      <c r="R180" s="422"/>
      <c r="S180" s="422"/>
      <c r="T180" s="422"/>
    </row>
    <row r="181" spans="1:20" s="701" customFormat="1" ht="12.75" customHeight="1" x14ac:dyDescent="0.2">
      <c r="A181" s="422"/>
      <c r="B181" s="398"/>
      <c r="C181" s="20"/>
      <c r="D181" s="20"/>
      <c r="E181" s="1569" t="str">
        <f>D_Emissions!E182</f>
        <v>Wsad paliwa do wytworzenia ciepła</v>
      </c>
      <c r="F181" s="1618"/>
      <c r="G181" s="1618"/>
      <c r="H181" s="27" t="str">
        <f>D_Emissions!H182</f>
        <v>TJ / rok</v>
      </c>
      <c r="I181" s="1020" t="str">
        <f>D_Emissions!I182</f>
        <v/>
      </c>
      <c r="J181" s="1020" t="str">
        <f>D_Emissions!J182</f>
        <v/>
      </c>
      <c r="K181" s="1020" t="str">
        <f>D_Emissions!K182</f>
        <v/>
      </c>
      <c r="L181" s="1020" t="str">
        <f>D_Emissions!L182</f>
        <v/>
      </c>
      <c r="M181" s="1020" t="str">
        <f>D_Emissions!M182</f>
        <v/>
      </c>
      <c r="N181" s="398"/>
      <c r="O181" s="20"/>
      <c r="P181" s="422"/>
      <c r="Q181" s="422"/>
      <c r="R181" s="422"/>
      <c r="S181" s="422"/>
      <c r="T181" s="422"/>
    </row>
    <row r="182" spans="1:20" s="701" customFormat="1" ht="12.75" customHeight="1" x14ac:dyDescent="0.2">
      <c r="A182" s="422"/>
      <c r="B182" s="398"/>
      <c r="C182" s="20"/>
      <c r="D182" s="20"/>
      <c r="E182" s="1493" t="str">
        <f>D_Emissions!E183</f>
        <v>Wsad paliwa do wytworzenia energii elektrycznej</v>
      </c>
      <c r="F182" s="1615"/>
      <c r="G182" s="1615"/>
      <c r="H182" s="30" t="str">
        <f>D_Emissions!H183</f>
        <v>TJ / rok</v>
      </c>
      <c r="I182" s="1022" t="str">
        <f>D_Emissions!I183</f>
        <v/>
      </c>
      <c r="J182" s="1022" t="str">
        <f>D_Emissions!J183</f>
        <v/>
      </c>
      <c r="K182" s="1022" t="str">
        <f>D_Emissions!K183</f>
        <v/>
      </c>
      <c r="L182" s="1022" t="str">
        <f>D_Emissions!L183</f>
        <v/>
      </c>
      <c r="M182" s="1022" t="str">
        <f>D_Emissions!M183</f>
        <v/>
      </c>
      <c r="N182" s="20"/>
      <c r="O182" s="20"/>
      <c r="P182" s="422"/>
      <c r="Q182" s="422"/>
      <c r="R182" s="422"/>
      <c r="S182" s="422"/>
      <c r="T182" s="422"/>
    </row>
    <row r="183" spans="1:20" s="701" customFormat="1" ht="12.75" customHeight="1" x14ac:dyDescent="0.2">
      <c r="A183" s="422"/>
      <c r="B183" s="398"/>
      <c r="C183" s="398"/>
      <c r="D183" s="398"/>
      <c r="E183" s="398"/>
      <c r="F183" s="398"/>
      <c r="G183" s="398"/>
      <c r="H183" s="398"/>
      <c r="I183" s="398"/>
      <c r="J183" s="398"/>
      <c r="K183" s="398"/>
      <c r="L183" s="398"/>
      <c r="M183" s="398"/>
      <c r="N183" s="398"/>
      <c r="O183" s="20"/>
      <c r="P183" s="422"/>
      <c r="Q183" s="422"/>
      <c r="R183" s="422"/>
      <c r="S183" s="422"/>
      <c r="T183" s="422"/>
    </row>
    <row r="184" spans="1:20" s="701" customFormat="1" ht="15" x14ac:dyDescent="0.25">
      <c r="A184" s="422"/>
      <c r="B184" s="398"/>
      <c r="C184" s="18">
        <v>4</v>
      </c>
      <c r="D184" s="1439" t="str">
        <f>Translations!$B$1195</f>
        <v>Narzędzie dotyczące gazów odlotowych (gazy odlotowe nieobjęte wskaźnikami emisyjności dla produktów) – część D.IV</v>
      </c>
      <c r="E184" s="1370"/>
      <c r="F184" s="1370"/>
      <c r="G184" s="1370"/>
      <c r="H184" s="1370"/>
      <c r="I184" s="1370"/>
      <c r="J184" s="1370"/>
      <c r="K184" s="1370"/>
      <c r="L184" s="1370"/>
      <c r="M184" s="1370"/>
      <c r="N184" s="1370"/>
      <c r="O184" s="20"/>
      <c r="P184" s="422"/>
      <c r="Q184" s="422"/>
      <c r="R184" s="422"/>
      <c r="S184" s="422"/>
      <c r="T184" s="422"/>
    </row>
    <row r="185" spans="1:20" s="701" customFormat="1" ht="5.0999999999999996" customHeight="1" x14ac:dyDescent="0.2">
      <c r="A185" s="422"/>
      <c r="B185" s="3"/>
      <c r="C185" s="3"/>
      <c r="D185" s="5"/>
      <c r="E185" s="5"/>
      <c r="F185" s="5"/>
      <c r="G185" s="5"/>
      <c r="H185" s="5"/>
      <c r="I185" s="5"/>
      <c r="J185" s="5"/>
      <c r="K185" s="5"/>
      <c r="L185" s="5"/>
      <c r="M185" s="26"/>
      <c r="N185" s="26"/>
      <c r="O185" s="20"/>
      <c r="P185" s="8"/>
      <c r="Q185" s="182"/>
      <c r="R185" s="422"/>
      <c r="S185" s="422"/>
      <c r="T185" s="422"/>
    </row>
    <row r="186" spans="1:20" s="701" customFormat="1" ht="12.75" customHeight="1" x14ac:dyDescent="0.2">
      <c r="A186" s="422"/>
      <c r="B186" s="398"/>
      <c r="C186" s="3"/>
      <c r="D186" s="14" t="s">
        <v>173</v>
      </c>
      <c r="E186" s="1375" t="str">
        <f>D_Emissions!E201</f>
        <v>Niniejsza część dotyczy tego rodzaju podinstalacji wytwarzającej emisje procesowe:</v>
      </c>
      <c r="F186" s="1375"/>
      <c r="G186" s="1375"/>
      <c r="H186" s="1375"/>
      <c r="I186" s="1375"/>
      <c r="J186" s="1375"/>
      <c r="K186" s="1637"/>
      <c r="L186" s="1982" t="str">
        <f>IF(ISBLANK(D_Emissions!L201),"",D_Emissions!L201)</f>
        <v/>
      </c>
      <c r="M186" s="1983"/>
      <c r="N186" s="1984"/>
      <c r="O186" s="20"/>
      <c r="P186" s="422"/>
      <c r="Q186" s="422"/>
      <c r="R186" s="422"/>
      <c r="S186" s="422"/>
      <c r="T186" s="422"/>
    </row>
    <row r="187" spans="1:20" s="701" customFormat="1" ht="12.75" customHeight="1" x14ac:dyDescent="0.2">
      <c r="A187" s="422"/>
      <c r="B187" s="398"/>
      <c r="C187" s="3"/>
      <c r="D187" s="14"/>
      <c r="E187" s="1375" t="str">
        <f>D_Emissions!E207</f>
        <v>Rodzaj gazu odlotowego:</v>
      </c>
      <c r="F187" s="1370"/>
      <c r="G187" s="1432"/>
      <c r="H187" s="1975" t="str">
        <f>IF(ISBLANK(D_Emissions!H207),"",D_Emissions!H207)</f>
        <v/>
      </c>
      <c r="I187" s="1976"/>
      <c r="J187" s="1976"/>
      <c r="K187" s="1976"/>
      <c r="L187" s="1976"/>
      <c r="M187" s="1976"/>
      <c r="N187" s="1977"/>
      <c r="O187" s="20"/>
      <c r="P187" s="422"/>
      <c r="Q187" s="422"/>
      <c r="R187" s="422"/>
      <c r="S187" s="422"/>
      <c r="T187" s="422"/>
    </row>
    <row r="188" spans="1:20" s="701" customFormat="1" ht="12.75" customHeight="1" x14ac:dyDescent="0.2">
      <c r="A188" s="422"/>
      <c r="B188" s="398"/>
      <c r="C188" s="20"/>
      <c r="D188" s="20"/>
      <c r="E188" s="25"/>
      <c r="F188" s="22"/>
      <c r="G188" s="22"/>
      <c r="H188" s="35" t="str">
        <f>Translations!$B$1196</f>
        <v>Jednostka</v>
      </c>
      <c r="I188" s="396">
        <v>2014</v>
      </c>
      <c r="J188" s="396">
        <v>2015</v>
      </c>
      <c r="K188" s="396">
        <v>2016</v>
      </c>
      <c r="L188" s="396">
        <v>2017</v>
      </c>
      <c r="M188" s="396">
        <v>2018</v>
      </c>
      <c r="N188" s="7"/>
      <c r="O188" s="20"/>
      <c r="P188" s="422"/>
      <c r="Q188" s="422"/>
      <c r="R188" s="422"/>
      <c r="S188" s="422"/>
      <c r="T188" s="422"/>
    </row>
    <row r="189" spans="1:20" s="701" customFormat="1" ht="12.75" customHeight="1" x14ac:dyDescent="0.2">
      <c r="A189" s="422"/>
      <c r="B189" s="398"/>
      <c r="C189" s="20"/>
      <c r="D189" s="20"/>
      <c r="E189" s="1612" t="str">
        <f>D_Emissions!E216</f>
        <v>Nieskorygowane emisje procesowe</v>
      </c>
      <c r="F189" s="1612"/>
      <c r="G189" s="1612"/>
      <c r="H189" s="48" t="str">
        <f>D_Emissions!H216</f>
        <v>t CO2e/rok</v>
      </c>
      <c r="I189" s="834" t="str">
        <f>IF(ISBLANK(D_Emissions!I216),"",D_Emissions!I216)</f>
        <v/>
      </c>
      <c r="J189" s="834" t="str">
        <f>IF(ISBLANK(D_Emissions!J216),"",D_Emissions!J216)</f>
        <v/>
      </c>
      <c r="K189" s="834" t="str">
        <f>IF(ISBLANK(D_Emissions!K216),"",D_Emissions!K216)</f>
        <v/>
      </c>
      <c r="L189" s="834" t="str">
        <f>IF(ISBLANK(D_Emissions!L216),"",D_Emissions!L216)</f>
        <v/>
      </c>
      <c r="M189" s="834" t="str">
        <f>IF(ISBLANK(D_Emissions!M216),"",D_Emissions!M216)</f>
        <v/>
      </c>
      <c r="N189" s="7"/>
      <c r="O189" s="20"/>
      <c r="P189" s="422"/>
      <c r="Q189" s="422"/>
      <c r="R189" s="422"/>
      <c r="S189" s="422"/>
      <c r="T189" s="422"/>
    </row>
    <row r="190" spans="1:20" s="701" customFormat="1" ht="12.75" customHeight="1" x14ac:dyDescent="0.2">
      <c r="A190" s="422"/>
      <c r="B190" s="398"/>
      <c r="C190" s="20"/>
      <c r="D190" s="20"/>
      <c r="E190" s="1612" t="str">
        <f>Translations!$B$462</f>
        <v>Emisje z gazów odlotowych</v>
      </c>
      <c r="F190" s="1612"/>
      <c r="G190" s="1612"/>
      <c r="H190" s="48" t="str">
        <f>D_Emissions!H222</f>
        <v>t CO2e/rok</v>
      </c>
      <c r="I190" s="834" t="str">
        <f>IF(ISBLANK(D_Emissions!I222),"",D_Emissions!I222)</f>
        <v/>
      </c>
      <c r="J190" s="834" t="str">
        <f>IF(ISBLANK(D_Emissions!J222),"",D_Emissions!J222)</f>
        <v/>
      </c>
      <c r="K190" s="834" t="str">
        <f>IF(ISBLANK(D_Emissions!K222),"",D_Emissions!K222)</f>
        <v/>
      </c>
      <c r="L190" s="834" t="str">
        <f>IF(ISBLANK(D_Emissions!L222),"",D_Emissions!L222)</f>
        <v/>
      </c>
      <c r="M190" s="834" t="str">
        <f>IF(ISBLANK(D_Emissions!M222),"",D_Emissions!M222)</f>
        <v/>
      </c>
      <c r="N190" s="7"/>
      <c r="O190" s="20"/>
      <c r="P190" s="422"/>
      <c r="Q190" s="422"/>
      <c r="R190" s="422"/>
      <c r="S190" s="422"/>
      <c r="T190" s="422"/>
    </row>
    <row r="191" spans="1:20" s="701" customFormat="1" ht="12.75" customHeight="1" x14ac:dyDescent="0.2">
      <c r="A191" s="422"/>
      <c r="B191" s="398"/>
      <c r="C191" s="20"/>
      <c r="D191" s="20"/>
      <c r="E191" s="1612" t="str">
        <f>Translations!$B$467</f>
        <v>Ilość gazów odlotowych rocznie</v>
      </c>
      <c r="F191" s="1612"/>
      <c r="G191" s="1612"/>
      <c r="H191" s="841" t="str">
        <f>IF(ISBLANK(D_Emissions!H229),"",D_Emissions!H229)</f>
        <v/>
      </c>
      <c r="I191" s="834" t="str">
        <f>IF(ISBLANK(D_Emissions!I229),"",D_Emissions!I229)</f>
        <v/>
      </c>
      <c r="J191" s="834" t="str">
        <f>IF(ISBLANK(D_Emissions!J229),"",D_Emissions!J229)</f>
        <v/>
      </c>
      <c r="K191" s="834" t="str">
        <f>IF(ISBLANK(D_Emissions!K229),"",D_Emissions!K229)</f>
        <v/>
      </c>
      <c r="L191" s="834" t="str">
        <f>IF(ISBLANK(D_Emissions!L229),"",D_Emissions!L229)</f>
        <v/>
      </c>
      <c r="M191" s="834" t="str">
        <f>IF(ISBLANK(D_Emissions!M229),"",D_Emissions!M229)</f>
        <v/>
      </c>
      <c r="N191" s="20"/>
      <c r="O191" s="20"/>
      <c r="P191" s="422"/>
      <c r="Q191" s="422"/>
      <c r="R191" s="422"/>
      <c r="S191" s="422"/>
      <c r="T191" s="422"/>
    </row>
    <row r="192" spans="1:20" s="701" customFormat="1" ht="12.75" customHeight="1" x14ac:dyDescent="0.2">
      <c r="A192" s="422"/>
      <c r="B192" s="398"/>
      <c r="C192" s="20"/>
      <c r="D192" s="20"/>
      <c r="E192" s="1612" t="str">
        <f>D_Emissions!E234</f>
        <v>Wartość opałowa</v>
      </c>
      <c r="F192" s="1612"/>
      <c r="G192" s="1612"/>
      <c r="H192" s="841" t="str">
        <f>D_Emissions!H234</f>
        <v>GJ / Jednostka</v>
      </c>
      <c r="I192" s="834" t="str">
        <f>IF(ISBLANK(D_Emissions!I234),"",D_Emissions!I234)</f>
        <v/>
      </c>
      <c r="J192" s="834" t="str">
        <f>IF(ISBLANK(D_Emissions!J234),"",D_Emissions!J234)</f>
        <v/>
      </c>
      <c r="K192" s="834" t="str">
        <f>IF(ISBLANK(D_Emissions!K234),"",D_Emissions!K234)</f>
        <v/>
      </c>
      <c r="L192" s="834" t="str">
        <f>IF(ISBLANK(D_Emissions!L234),"",D_Emissions!L234)</f>
        <v/>
      </c>
      <c r="M192" s="834" t="str">
        <f>IF(ISBLANK(D_Emissions!M234),"",D_Emissions!M234)</f>
        <v/>
      </c>
      <c r="N192" s="20"/>
      <c r="O192" s="20"/>
      <c r="P192" s="422"/>
      <c r="Q192" s="422"/>
      <c r="R192" s="422"/>
      <c r="S192" s="422"/>
      <c r="T192" s="422"/>
    </row>
    <row r="193" spans="1:20" s="701" customFormat="1" ht="12.75" customHeight="1" x14ac:dyDescent="0.2">
      <c r="A193" s="422"/>
      <c r="B193" s="398"/>
      <c r="C193" s="20"/>
      <c r="D193" s="20"/>
      <c r="E193" s="1978" t="str">
        <f>Translations!$B$478</f>
        <v>Odjęcie z tytułu gazów odlotowych</v>
      </c>
      <c r="F193" s="1978"/>
      <c r="G193" s="1978"/>
      <c r="H193" s="610" t="str">
        <f>D_Emissions!H243</f>
        <v>t CO2 / rok</v>
      </c>
      <c r="I193" s="307" t="str">
        <f>D_Emissions!I243</f>
        <v/>
      </c>
      <c r="J193" s="307" t="str">
        <f>D_Emissions!J243</f>
        <v/>
      </c>
      <c r="K193" s="307" t="str">
        <f>D_Emissions!K243</f>
        <v/>
      </c>
      <c r="L193" s="307" t="str">
        <f>D_Emissions!L243</f>
        <v/>
      </c>
      <c r="M193" s="307" t="str">
        <f>D_Emissions!M243</f>
        <v/>
      </c>
      <c r="N193" s="20"/>
      <c r="O193" s="20"/>
      <c r="P193" s="422"/>
      <c r="Q193" s="422"/>
      <c r="R193" s="422"/>
      <c r="S193" s="422"/>
      <c r="T193" s="422"/>
    </row>
    <row r="194" spans="1:20" s="701" customFormat="1" ht="12.75" customHeight="1" x14ac:dyDescent="0.2">
      <c r="A194" s="422"/>
      <c r="B194" s="398"/>
      <c r="C194" s="20"/>
      <c r="D194" s="20"/>
      <c r="E194" s="1978" t="str">
        <f>D_Emissions!E250</f>
        <v>Wynik zastosowania narzędzia dotyczącego gazów odlotowych:</v>
      </c>
      <c r="F194" s="1978"/>
      <c r="G194" s="1978"/>
      <c r="H194" s="53" t="str">
        <f>D_Emissions!H250</f>
        <v>t CO2 / rok</v>
      </c>
      <c r="I194" s="307" t="str">
        <f>D_Emissions!I250</f>
        <v/>
      </c>
      <c r="J194" s="307" t="str">
        <f>D_Emissions!J250</f>
        <v/>
      </c>
      <c r="K194" s="307" t="str">
        <f>D_Emissions!K250</f>
        <v/>
      </c>
      <c r="L194" s="307" t="str">
        <f>D_Emissions!L250</f>
        <v/>
      </c>
      <c r="M194" s="307" t="str">
        <f>D_Emissions!M250</f>
        <v/>
      </c>
      <c r="N194" s="20"/>
      <c r="O194" s="20"/>
      <c r="P194" s="422"/>
      <c r="Q194" s="422"/>
      <c r="R194" s="422"/>
      <c r="S194" s="422"/>
      <c r="T194" s="422"/>
    </row>
    <row r="195" spans="1:20" s="701" customFormat="1" ht="5.0999999999999996" customHeight="1" x14ac:dyDescent="0.2">
      <c r="A195" s="422"/>
      <c r="B195" s="398"/>
      <c r="C195" s="20"/>
      <c r="D195" s="20"/>
      <c r="E195" s="20"/>
      <c r="F195" s="20"/>
      <c r="G195" s="20"/>
      <c r="H195" s="20"/>
      <c r="I195" s="20"/>
      <c r="J195" s="20"/>
      <c r="K195" s="20"/>
      <c r="L195" s="20"/>
      <c r="M195" s="20"/>
      <c r="N195" s="20"/>
      <c r="O195" s="20"/>
      <c r="P195" s="422"/>
      <c r="Q195" s="422"/>
      <c r="R195" s="422"/>
      <c r="S195" s="422"/>
      <c r="T195" s="422"/>
    </row>
    <row r="196" spans="1:20" s="701" customFormat="1" ht="12.75" customHeight="1" x14ac:dyDescent="0.2">
      <c r="A196" s="422"/>
      <c r="B196" s="398"/>
      <c r="C196" s="20"/>
      <c r="D196" s="20"/>
      <c r="E196" s="1642" t="str">
        <f>D_Emissions!E237</f>
        <v>Sprawność referencyjna wytwarzania energii elektrycznej:</v>
      </c>
      <c r="F196" s="1642"/>
      <c r="G196" s="1642"/>
      <c r="H196" s="1642"/>
      <c r="I196" s="1302"/>
      <c r="J196" s="125" t="str">
        <f>D_Emissions!J237</f>
        <v>z wykorzystaniem gazu ziemnego:</v>
      </c>
      <c r="K196" s="828">
        <f>IF(ISBLANK(D_Emissions!K237),"",D_Emissions!K237)</f>
        <v>0.52500000000000002</v>
      </c>
      <c r="L196" s="31"/>
      <c r="M196" s="125" t="str">
        <f>D_Emissions!M237</f>
        <v>z wykorzystaniem gazów odlotowych:</v>
      </c>
      <c r="N196" s="828">
        <f>IF(ISBLANK(D_Emissions!N237),"",D_Emissions!N237)</f>
        <v>0.35</v>
      </c>
      <c r="O196" s="20"/>
      <c r="P196" s="422"/>
      <c r="Q196" s="422"/>
      <c r="R196" s="422"/>
      <c r="S196" s="422"/>
      <c r="T196" s="422"/>
    </row>
    <row r="197" spans="1:20" s="701" customFormat="1" ht="12.75" customHeight="1" x14ac:dyDescent="0.2">
      <c r="A197" s="422"/>
      <c r="B197" s="398"/>
      <c r="C197" s="3"/>
      <c r="D197" s="3"/>
      <c r="E197" s="3"/>
      <c r="F197" s="3"/>
      <c r="G197" s="3"/>
      <c r="H197" s="3"/>
      <c r="I197" s="3"/>
      <c r="J197" s="3"/>
      <c r="K197" s="3"/>
      <c r="L197" s="3"/>
      <c r="M197" s="7"/>
      <c r="N197" s="7"/>
      <c r="O197" s="20"/>
      <c r="P197" s="422"/>
      <c r="Q197" s="422"/>
      <c r="R197" s="422"/>
      <c r="S197" s="422"/>
      <c r="T197" s="422"/>
    </row>
    <row r="198" spans="1:20" s="701" customFormat="1" ht="12.75" customHeight="1" x14ac:dyDescent="0.2">
      <c r="A198" s="422"/>
      <c r="B198" s="398"/>
      <c r="C198" s="3"/>
      <c r="D198" s="14" t="s">
        <v>353</v>
      </c>
      <c r="E198" s="1375" t="str">
        <f>D_Emissions!E257</f>
        <v>Niniejsza część dotyczy tego rodzaju podinstalacji wytwarzającej emisje procesowe:</v>
      </c>
      <c r="F198" s="1375"/>
      <c r="G198" s="1375"/>
      <c r="H198" s="1375"/>
      <c r="I198" s="1375"/>
      <c r="J198" s="1375"/>
      <c r="K198" s="1637"/>
      <c r="L198" s="1982" t="str">
        <f>IF(ISBLANK(D_Emissions!L257),"",D_Emissions!L257)</f>
        <v/>
      </c>
      <c r="M198" s="1983"/>
      <c r="N198" s="1984"/>
      <c r="O198" s="20"/>
      <c r="P198" s="422"/>
      <c r="Q198" s="422"/>
      <c r="R198" s="422"/>
      <c r="S198" s="422"/>
      <c r="T198" s="422"/>
    </row>
    <row r="199" spans="1:20" s="701" customFormat="1" ht="12.75" customHeight="1" x14ac:dyDescent="0.2">
      <c r="A199" s="422"/>
      <c r="B199" s="398"/>
      <c r="C199" s="3"/>
      <c r="D199" s="14"/>
      <c r="E199" s="1375" t="str">
        <f>D_Emissions!E261</f>
        <v>Rodzaj gazu odlotowego:</v>
      </c>
      <c r="F199" s="1370"/>
      <c r="G199" s="1432"/>
      <c r="H199" s="1975" t="str">
        <f>IF(ISBLANK(D_Emissions!H261),"",D_Emissions!H261)</f>
        <v/>
      </c>
      <c r="I199" s="1976"/>
      <c r="J199" s="1976"/>
      <c r="K199" s="1976"/>
      <c r="L199" s="1976"/>
      <c r="M199" s="1976"/>
      <c r="N199" s="1977"/>
      <c r="O199" s="20"/>
      <c r="P199" s="422"/>
      <c r="Q199" s="422"/>
      <c r="R199" s="422"/>
      <c r="S199" s="422"/>
      <c r="T199" s="422"/>
    </row>
    <row r="200" spans="1:20" s="701" customFormat="1" ht="12.75" customHeight="1" x14ac:dyDescent="0.2">
      <c r="A200" s="422"/>
      <c r="B200" s="398"/>
      <c r="C200" s="20"/>
      <c r="D200" s="14"/>
      <c r="E200" s="25"/>
      <c r="F200" s="22"/>
      <c r="G200" s="22"/>
      <c r="H200" s="35" t="str">
        <f>D_Emissions!H268</f>
        <v>Jednostka</v>
      </c>
      <c r="I200" s="396">
        <f>D_Emissions!I268</f>
        <v>2014</v>
      </c>
      <c r="J200" s="396">
        <f>D_Emissions!J268</f>
        <v>2015</v>
      </c>
      <c r="K200" s="396">
        <f>D_Emissions!K268</f>
        <v>2016</v>
      </c>
      <c r="L200" s="396">
        <f>D_Emissions!L268</f>
        <v>2017</v>
      </c>
      <c r="M200" s="396">
        <f>D_Emissions!M268</f>
        <v>2018</v>
      </c>
      <c r="N200" s="7"/>
      <c r="O200" s="20"/>
      <c r="P200" s="422"/>
      <c r="Q200" s="422"/>
      <c r="R200" s="422"/>
      <c r="S200" s="422"/>
      <c r="T200" s="422"/>
    </row>
    <row r="201" spans="1:20" s="701" customFormat="1" ht="12.75" customHeight="1" x14ac:dyDescent="0.2">
      <c r="A201" s="422"/>
      <c r="B201" s="398"/>
      <c r="C201" s="20"/>
      <c r="D201" s="20"/>
      <c r="E201" s="1612" t="str">
        <f>D_Emissions!E269</f>
        <v>Nieskorygowane emisje procesowe</v>
      </c>
      <c r="F201" s="1612"/>
      <c r="G201" s="1612"/>
      <c r="H201" s="48" t="str">
        <f>D_Emissions!H269</f>
        <v>t CO2e/rok</v>
      </c>
      <c r="I201" s="834" t="str">
        <f>IF(ISBLANK(D_Emissions!I269),"",D_Emissions!I269)</f>
        <v/>
      </c>
      <c r="J201" s="834" t="str">
        <f>IF(ISBLANK(D_Emissions!J269),"",D_Emissions!J269)</f>
        <v/>
      </c>
      <c r="K201" s="834" t="str">
        <f>IF(ISBLANK(D_Emissions!K269),"",D_Emissions!K269)</f>
        <v/>
      </c>
      <c r="L201" s="834" t="str">
        <f>IF(ISBLANK(D_Emissions!L269),"",D_Emissions!L269)</f>
        <v/>
      </c>
      <c r="M201" s="834" t="str">
        <f>IF(ISBLANK(D_Emissions!M269),"",D_Emissions!M269)</f>
        <v/>
      </c>
      <c r="N201" s="7"/>
      <c r="O201" s="20"/>
      <c r="P201" s="422"/>
      <c r="Q201" s="422"/>
      <c r="R201" s="422"/>
      <c r="S201" s="422"/>
      <c r="T201" s="422"/>
    </row>
    <row r="202" spans="1:20" s="701" customFormat="1" ht="12.75" customHeight="1" x14ac:dyDescent="0.2">
      <c r="A202" s="422"/>
      <c r="B202" s="398"/>
      <c r="C202" s="20"/>
      <c r="D202" s="20"/>
      <c r="E202" s="1612" t="str">
        <f>Translations!$B$462</f>
        <v>Emisje z gazów odlotowych</v>
      </c>
      <c r="F202" s="1612"/>
      <c r="G202" s="1612"/>
      <c r="H202" s="48" t="str">
        <f>D_Emissions!H274</f>
        <v>t CO2e/rok</v>
      </c>
      <c r="I202" s="834" t="str">
        <f>IF(ISBLANK(D_Emissions!I274),"",D_Emissions!I274)</f>
        <v/>
      </c>
      <c r="J202" s="834" t="str">
        <f>IF(ISBLANK(D_Emissions!J274),"",D_Emissions!J274)</f>
        <v/>
      </c>
      <c r="K202" s="834" t="str">
        <f>IF(ISBLANK(D_Emissions!K274),"",D_Emissions!K274)</f>
        <v/>
      </c>
      <c r="L202" s="834" t="str">
        <f>IF(ISBLANK(D_Emissions!L274),"",D_Emissions!L274)</f>
        <v/>
      </c>
      <c r="M202" s="834" t="str">
        <f>IF(ISBLANK(D_Emissions!M274),"",D_Emissions!M274)</f>
        <v/>
      </c>
      <c r="N202" s="7"/>
      <c r="O202" s="20"/>
      <c r="P202" s="422"/>
      <c r="Q202" s="422"/>
      <c r="R202" s="422"/>
      <c r="S202" s="422"/>
      <c r="T202" s="422"/>
    </row>
    <row r="203" spans="1:20" s="701" customFormat="1" ht="12.75" customHeight="1" x14ac:dyDescent="0.2">
      <c r="A203" s="422"/>
      <c r="B203" s="398"/>
      <c r="C203" s="20"/>
      <c r="D203" s="20"/>
      <c r="E203" s="1612" t="str">
        <f>Translations!$B$467</f>
        <v>Ilość gazów odlotowych rocznie</v>
      </c>
      <c r="F203" s="1612"/>
      <c r="G203" s="1612"/>
      <c r="H203" s="841" t="str">
        <f>IF(ISBLANK(D_Emissions!H279),"",D_Emissions!H279)</f>
        <v/>
      </c>
      <c r="I203" s="834" t="str">
        <f>IF(ISBLANK(D_Emissions!I279),"",D_Emissions!I279)</f>
        <v/>
      </c>
      <c r="J203" s="834" t="str">
        <f>IF(ISBLANK(D_Emissions!J279),"",D_Emissions!J279)</f>
        <v/>
      </c>
      <c r="K203" s="834" t="str">
        <f>IF(ISBLANK(D_Emissions!K279),"",D_Emissions!K279)</f>
        <v/>
      </c>
      <c r="L203" s="834" t="str">
        <f>IF(ISBLANK(D_Emissions!L279),"",D_Emissions!L279)</f>
        <v/>
      </c>
      <c r="M203" s="834" t="str">
        <f>IF(ISBLANK(D_Emissions!M279),"",D_Emissions!M279)</f>
        <v/>
      </c>
      <c r="N203" s="7"/>
      <c r="O203" s="20"/>
      <c r="P203" s="422"/>
      <c r="Q203" s="422"/>
      <c r="R203" s="422"/>
      <c r="S203" s="422"/>
      <c r="T203" s="422"/>
    </row>
    <row r="204" spans="1:20" s="701" customFormat="1" ht="12.75" customHeight="1" x14ac:dyDescent="0.2">
      <c r="A204" s="422"/>
      <c r="B204" s="398"/>
      <c r="C204" s="20"/>
      <c r="D204" s="20"/>
      <c r="E204" s="1612" t="str">
        <f>D_Emissions!E283</f>
        <v>Wartość opałowa</v>
      </c>
      <c r="F204" s="1612"/>
      <c r="G204" s="1612"/>
      <c r="H204" s="841" t="str">
        <f>D_Emissions!H283</f>
        <v>GJ / Jednostka</v>
      </c>
      <c r="I204" s="834" t="str">
        <f>IF(ISBLANK(D_Emissions!I283),"",D_Emissions!I283)</f>
        <v/>
      </c>
      <c r="J204" s="834" t="str">
        <f>IF(ISBLANK(D_Emissions!J283),"",D_Emissions!J283)</f>
        <v/>
      </c>
      <c r="K204" s="834" t="str">
        <f>IF(ISBLANK(D_Emissions!K283),"",D_Emissions!K283)</f>
        <v/>
      </c>
      <c r="L204" s="834" t="str">
        <f>IF(ISBLANK(D_Emissions!L283),"",D_Emissions!L283)</f>
        <v/>
      </c>
      <c r="M204" s="834" t="str">
        <f>IF(ISBLANK(D_Emissions!M283),"",D_Emissions!M283)</f>
        <v/>
      </c>
      <c r="N204" s="7"/>
      <c r="O204" s="20"/>
      <c r="P204" s="422"/>
      <c r="Q204" s="422"/>
      <c r="R204" s="422"/>
      <c r="S204" s="422"/>
      <c r="T204" s="422"/>
    </row>
    <row r="205" spans="1:20" s="701" customFormat="1" ht="12.75" customHeight="1" x14ac:dyDescent="0.2">
      <c r="A205" s="422"/>
      <c r="B205" s="398"/>
      <c r="C205" s="20"/>
      <c r="D205" s="20"/>
      <c r="E205" s="1978" t="str">
        <f>Translations!$B$478</f>
        <v>Odjęcie z tytułu gazów odlotowych</v>
      </c>
      <c r="F205" s="1978"/>
      <c r="G205" s="1978"/>
      <c r="H205" s="610" t="str">
        <f>D_Emissions!H293</f>
        <v>t CO2 / rok</v>
      </c>
      <c r="I205" s="307" t="str">
        <f>D_Emissions!I293</f>
        <v/>
      </c>
      <c r="J205" s="307" t="str">
        <f>D_Emissions!J293</f>
        <v/>
      </c>
      <c r="K205" s="307" t="str">
        <f>D_Emissions!K293</f>
        <v/>
      </c>
      <c r="L205" s="307" t="str">
        <f>D_Emissions!L293</f>
        <v/>
      </c>
      <c r="M205" s="307" t="str">
        <f>D_Emissions!M293</f>
        <v/>
      </c>
      <c r="N205" s="7"/>
      <c r="O205" s="20"/>
      <c r="P205" s="422"/>
      <c r="Q205" s="422"/>
      <c r="R205" s="422"/>
      <c r="S205" s="422"/>
      <c r="T205" s="422"/>
    </row>
    <row r="206" spans="1:20" s="701" customFormat="1" ht="12.75" customHeight="1" x14ac:dyDescent="0.2">
      <c r="A206" s="422"/>
      <c r="B206" s="398"/>
      <c r="C206" s="20"/>
      <c r="D206" s="20"/>
      <c r="E206" s="1978" t="str">
        <f>D_Emissions!E298</f>
        <v>Wynik zastosowania narzędzia dotyczącego gazów odlotowych:</v>
      </c>
      <c r="F206" s="1978"/>
      <c r="G206" s="1978"/>
      <c r="H206" s="53" t="str">
        <f>D_Emissions!H298</f>
        <v>t CO2 / rok</v>
      </c>
      <c r="I206" s="307" t="str">
        <f>D_Emissions!I298</f>
        <v/>
      </c>
      <c r="J206" s="307" t="str">
        <f>D_Emissions!J298</f>
        <v/>
      </c>
      <c r="K206" s="307" t="str">
        <f>D_Emissions!K298</f>
        <v/>
      </c>
      <c r="L206" s="307" t="str">
        <f>D_Emissions!L298</f>
        <v/>
      </c>
      <c r="M206" s="307" t="str">
        <f>D_Emissions!M298</f>
        <v/>
      </c>
      <c r="N206" s="7"/>
      <c r="O206" s="20"/>
      <c r="P206" s="422"/>
      <c r="Q206" s="422"/>
      <c r="R206" s="422"/>
      <c r="S206" s="422"/>
      <c r="T206" s="422"/>
    </row>
    <row r="207" spans="1:20" s="701" customFormat="1" ht="5.0999999999999996" customHeight="1" x14ac:dyDescent="0.2">
      <c r="A207" s="422"/>
      <c r="B207" s="398"/>
      <c r="C207" s="3"/>
      <c r="D207" s="3"/>
      <c r="E207" s="3"/>
      <c r="F207" s="3"/>
      <c r="G207" s="3"/>
      <c r="H207" s="3"/>
      <c r="I207" s="3"/>
      <c r="J207" s="3"/>
      <c r="K207" s="3"/>
      <c r="L207" s="3"/>
      <c r="M207" s="7"/>
      <c r="N207" s="7"/>
      <c r="O207" s="20"/>
      <c r="P207" s="422"/>
      <c r="Q207" s="422"/>
      <c r="R207" s="422"/>
      <c r="S207" s="422"/>
      <c r="T207" s="422"/>
    </row>
    <row r="208" spans="1:20" s="701" customFormat="1" ht="12.75" customHeight="1" x14ac:dyDescent="0.2">
      <c r="A208" s="422"/>
      <c r="B208" s="398"/>
      <c r="C208" s="20"/>
      <c r="D208" s="20"/>
      <c r="E208" s="1642" t="str">
        <f>D_Emissions!E287</f>
        <v>Sprawność referencyjna wytwarzania energii elektrycznej:</v>
      </c>
      <c r="F208" s="1642"/>
      <c r="G208" s="1642"/>
      <c r="H208" s="1642"/>
      <c r="I208" s="125"/>
      <c r="J208" s="125" t="str">
        <f>D_Emissions!J287</f>
        <v>z wykorzystaniem gazu ziemnego:</v>
      </c>
      <c r="K208" s="828">
        <f>IF(ISBLANK(D_Emissions!K287),"",D_Emissions!K287)</f>
        <v>0.52500000000000002</v>
      </c>
      <c r="L208" s="31"/>
      <c r="M208" s="125" t="str">
        <f>D_Emissions!M287</f>
        <v>z wykorzystaniem gazów odlotowych:</v>
      </c>
      <c r="N208" s="828">
        <f>IF(ISBLANK(D_Emissions!N287),"",D_Emissions!N287)</f>
        <v>0.35</v>
      </c>
      <c r="O208" s="20"/>
      <c r="P208" s="422"/>
      <c r="Q208" s="422"/>
      <c r="R208" s="422"/>
      <c r="S208" s="422"/>
      <c r="T208" s="422"/>
    </row>
    <row r="209" spans="1:20" s="701" customFormat="1" ht="12.75" customHeight="1" x14ac:dyDescent="0.2">
      <c r="A209" s="422"/>
      <c r="B209" s="398"/>
      <c r="C209" s="398"/>
      <c r="D209" s="398"/>
      <c r="E209" s="398"/>
      <c r="F209" s="398"/>
      <c r="G209" s="398"/>
      <c r="H209" s="398"/>
      <c r="I209" s="398"/>
      <c r="J209" s="398"/>
      <c r="K209" s="398"/>
      <c r="L209" s="398"/>
      <c r="M209" s="398"/>
      <c r="N209" s="398"/>
      <c r="O209" s="20"/>
      <c r="P209" s="422"/>
      <c r="Q209" s="422"/>
      <c r="R209" s="422"/>
      <c r="S209" s="422"/>
      <c r="T209" s="422"/>
    </row>
    <row r="210" spans="1:20" s="575" customFormat="1" ht="15" x14ac:dyDescent="0.25">
      <c r="A210" s="422"/>
      <c r="B210" s="398"/>
      <c r="C210" s="18">
        <v>5</v>
      </c>
      <c r="D210" s="1439" t="str">
        <f>Translations!$B$1197</f>
        <v>Pobór energii z paliw – podział na kategorie wykorzystania (część E.I)</v>
      </c>
      <c r="E210" s="1370"/>
      <c r="F210" s="1370"/>
      <c r="G210" s="1370"/>
      <c r="H210" s="1370"/>
      <c r="I210" s="1370"/>
      <c r="J210" s="1370"/>
      <c r="K210" s="1370"/>
      <c r="L210" s="1370"/>
      <c r="M210" s="1370"/>
      <c r="N210" s="1370"/>
      <c r="O210" s="20"/>
      <c r="P210" s="422"/>
      <c r="Q210" s="422"/>
      <c r="R210" s="422"/>
      <c r="S210" s="422"/>
      <c r="T210" s="422"/>
    </row>
    <row r="211" spans="1:20" s="575" customFormat="1" ht="5.0999999999999996" customHeight="1" x14ac:dyDescent="0.2">
      <c r="A211" s="422"/>
      <c r="B211" s="3"/>
      <c r="C211" s="3"/>
      <c r="D211" s="3"/>
      <c r="E211" s="3"/>
      <c r="F211" s="3"/>
      <c r="G211" s="3"/>
      <c r="H211" s="3"/>
      <c r="I211" s="3"/>
      <c r="J211" s="3"/>
      <c r="K211" s="3"/>
      <c r="L211" s="3"/>
      <c r="M211" s="7"/>
      <c r="N211" s="7"/>
      <c r="O211" s="20"/>
      <c r="P211" s="422"/>
      <c r="Q211" s="422"/>
      <c r="R211" s="422"/>
      <c r="S211" s="422"/>
      <c r="T211" s="422"/>
    </row>
    <row r="212" spans="1:20" s="701" customFormat="1" x14ac:dyDescent="0.2">
      <c r="A212" s="437"/>
      <c r="B212" s="398"/>
      <c r="C212" s="398"/>
      <c r="D212" s="398"/>
      <c r="E212" s="1655" t="str">
        <f>E_EnergyFlows!E43</f>
        <v>Rodzaj wykorzystania wsadu paliwa</v>
      </c>
      <c r="F212" s="1656"/>
      <c r="G212" s="1656"/>
      <c r="H212" s="431" t="str">
        <f>E_EnergyFlows!H43</f>
        <v>Jednostka</v>
      </c>
      <c r="I212" s="396">
        <f>E_EnergyFlows!I43</f>
        <v>2014</v>
      </c>
      <c r="J212" s="396">
        <f>E_EnergyFlows!J43</f>
        <v>2015</v>
      </c>
      <c r="K212" s="396">
        <f>E_EnergyFlows!K43</f>
        <v>2016</v>
      </c>
      <c r="L212" s="396">
        <f>E_EnergyFlows!L43</f>
        <v>2017</v>
      </c>
      <c r="M212" s="396">
        <f>E_EnergyFlows!M43</f>
        <v>2018</v>
      </c>
      <c r="N212" s="398"/>
      <c r="O212" s="20"/>
      <c r="P212" s="422"/>
      <c r="Q212" s="422"/>
      <c r="R212" s="422"/>
      <c r="S212" s="422"/>
      <c r="T212" s="422"/>
    </row>
    <row r="213" spans="1:20" s="701" customFormat="1" ht="25.5" customHeight="1" x14ac:dyDescent="0.2">
      <c r="A213" s="437"/>
      <c r="B213" s="398"/>
      <c r="C213" s="398"/>
      <c r="D213" s="425"/>
      <c r="E213" s="1686" t="str">
        <f>E_EnergyFlows!E45</f>
        <v>Wsad paliwa do wytworzenia mierzalnego ciepła</v>
      </c>
      <c r="F213" s="1686"/>
      <c r="G213" s="1686"/>
      <c r="H213" s="48" t="str">
        <f t="shared" ref="H213:H235" si="9">EUconst_TJpa</f>
        <v>TJ / rok</v>
      </c>
      <c r="I213" s="470">
        <f>IF(ISNUMBER(CTRL_InputMethodFuelDistribution),IF(CTRL_InputMethodFuelDistribution=1,IF(ISNUMBER(E_EnergyFlows!I35),E_EnergyFlows!I35,""),E_EnergyFlows!I45),"")</f>
        <v>2800</v>
      </c>
      <c r="J213" s="470">
        <f>IF(ISNUMBER(CTRL_InputMethodFuelDistribution),IF(CTRL_InputMethodFuelDistribution=1,IF(ISNUMBER(E_EnergyFlows!J35),E_EnergyFlows!J35,""),E_EnergyFlows!J45),"")</f>
        <v>2625</v>
      </c>
      <c r="K213" s="470">
        <f>IF(ISNUMBER(CTRL_InputMethodFuelDistribution),IF(CTRL_InputMethodFuelDistribution=1,IF(ISNUMBER(E_EnergyFlows!K35),E_EnergyFlows!K35,""),E_EnergyFlows!K45),"")</f>
        <v>2905</v>
      </c>
      <c r="L213" s="470">
        <f>IF(ISNUMBER(CTRL_InputMethodFuelDistribution),IF(CTRL_InputMethodFuelDistribution=1,IF(ISNUMBER(E_EnergyFlows!L35),E_EnergyFlows!L35,""),E_EnergyFlows!L45),"")</f>
        <v>2520</v>
      </c>
      <c r="M213" s="470">
        <f>IF(ISNUMBER(CTRL_InputMethodFuelDistribution),IF(CTRL_InputMethodFuelDistribution=1,IF(ISNUMBER(E_EnergyFlows!M35),E_EnergyFlows!M35,""),E_EnergyFlows!M45),"")</f>
        <v>2835</v>
      </c>
      <c r="N213" s="398"/>
      <c r="O213" s="20"/>
      <c r="P213" s="422"/>
      <c r="Q213" s="422"/>
      <c r="R213" s="422"/>
      <c r="S213" s="422"/>
      <c r="T213" s="422"/>
    </row>
    <row r="214" spans="1:20" s="701" customFormat="1" ht="25.5" customHeight="1" x14ac:dyDescent="0.2">
      <c r="A214" s="437"/>
      <c r="B214" s="398"/>
      <c r="C214" s="398"/>
      <c r="D214" s="425"/>
      <c r="E214" s="1990" t="str">
        <f>E_EnergyFlows!E48</f>
        <v>Wsad paliwa do wytworzenia energii elektrycznej</v>
      </c>
      <c r="F214" s="1990"/>
      <c r="G214" s="1990"/>
      <c r="H214" s="48" t="str">
        <f t="shared" si="9"/>
        <v>TJ / rok</v>
      </c>
      <c r="I214" s="757" t="str">
        <f>IF(ISNUMBER(CTRL_InputMethodFuelDistribution),IF(CTRL_InputMethodFuelDistribution=1,IF(ISNUMBER(E_EnergyFlows!I38),E_EnergyFlows!I38,""),E_EnergyFlows!I48),"")</f>
        <v/>
      </c>
      <c r="J214" s="757" t="str">
        <f>IF(ISNUMBER(CTRL_InputMethodFuelDistribution),IF(CTRL_InputMethodFuelDistribution=1,IF(ISNUMBER(E_EnergyFlows!J38),E_EnergyFlows!J38,""),E_EnergyFlows!J48),"")</f>
        <v/>
      </c>
      <c r="K214" s="757" t="str">
        <f>IF(ISNUMBER(CTRL_InputMethodFuelDistribution),IF(CTRL_InputMethodFuelDistribution=1,IF(ISNUMBER(E_EnergyFlows!K38),E_EnergyFlows!K38,""),E_EnergyFlows!K48),"")</f>
        <v/>
      </c>
      <c r="L214" s="757" t="str">
        <f>IF(ISNUMBER(CTRL_InputMethodFuelDistribution),IF(CTRL_InputMethodFuelDistribution=1,IF(ISNUMBER(E_EnergyFlows!L38),E_EnergyFlows!L38,""),E_EnergyFlows!L48),"")</f>
        <v/>
      </c>
      <c r="M214" s="757" t="str">
        <f>IF(ISNUMBER(CTRL_InputMethodFuelDistribution),IF(CTRL_InputMethodFuelDistribution=1,IF(ISNUMBER(E_EnergyFlows!M38),E_EnergyFlows!M38,""),E_EnergyFlows!M48),"")</f>
        <v/>
      </c>
      <c r="N214" s="398"/>
      <c r="O214" s="20"/>
      <c r="P214" s="422"/>
      <c r="Q214" s="422"/>
      <c r="R214" s="422"/>
      <c r="S214" s="422"/>
      <c r="T214" s="422"/>
    </row>
    <row r="215" spans="1:20" s="701" customFormat="1" ht="25.5" customHeight="1" thickBot="1" x14ac:dyDescent="0.25">
      <c r="A215" s="437"/>
      <c r="B215" s="398"/>
      <c r="C215" s="398"/>
      <c r="D215" s="425"/>
      <c r="E215" s="1989" t="str">
        <f>E_EnergyFlows!E44</f>
        <v>Wsad paliwa do podinstalacji objętych wskaźnikiem emisyjności dla produktów</v>
      </c>
      <c r="F215" s="1989"/>
      <c r="G215" s="1989"/>
      <c r="H215" s="858" t="str">
        <f t="shared" si="9"/>
        <v>TJ / rok</v>
      </c>
      <c r="I215" s="859" t="str">
        <f>IF(ISNUMBER(CTRL_InputMethodFuelDistribution),IF(CTRL_InputMethodFuelDistribution=1,IF(ISNUMBER(E_EnergyFlows!I34),E_EnergyFlows!I34,""),E_EnergyFlows!I44),"")</f>
        <v/>
      </c>
      <c r="J215" s="859" t="str">
        <f>IF(ISNUMBER(CTRL_InputMethodFuelDistribution),IF(CTRL_InputMethodFuelDistribution=1,IF(ISNUMBER(E_EnergyFlows!J34),E_EnergyFlows!J34,""),E_EnergyFlows!J44),"")</f>
        <v/>
      </c>
      <c r="K215" s="859" t="str">
        <f>IF(ISNUMBER(CTRL_InputMethodFuelDistribution),IF(CTRL_InputMethodFuelDistribution=1,IF(ISNUMBER(E_EnergyFlows!K34),E_EnergyFlows!K34,""),E_EnergyFlows!K44),"")</f>
        <v/>
      </c>
      <c r="L215" s="859" t="str">
        <f>IF(ISNUMBER(CTRL_InputMethodFuelDistribution),IF(CTRL_InputMethodFuelDistribution=1,IF(ISNUMBER(E_EnergyFlows!L34),E_EnergyFlows!L34,""),E_EnergyFlows!L44),"")</f>
        <v/>
      </c>
      <c r="M215" s="859" t="str">
        <f>IF(ISNUMBER(CTRL_InputMethodFuelDistribution),IF(CTRL_InputMethodFuelDistribution=1,IF(ISNUMBER(E_EnergyFlows!M34),E_EnergyFlows!M34,""),E_EnergyFlows!M44),"")</f>
        <v/>
      </c>
      <c r="N215" s="398"/>
      <c r="O215" s="20"/>
      <c r="P215" s="422"/>
      <c r="Q215" s="422"/>
      <c r="R215" s="422"/>
      <c r="S215" s="422"/>
      <c r="T215" s="422"/>
    </row>
    <row r="216" spans="1:20" s="701" customFormat="1" ht="25.5" customHeight="1" x14ac:dyDescent="0.2">
      <c r="A216" s="437"/>
      <c r="B216" s="398"/>
      <c r="C216" s="398"/>
      <c r="D216" s="425"/>
      <c r="E216" s="1681" t="str">
        <f>E_EnergyFlows!E46</f>
        <v>Podinstalacja objęta wskaźnikiem emisyjności opartym na paliwie, „CL”</v>
      </c>
      <c r="F216" s="1682"/>
      <c r="G216" s="1682"/>
      <c r="H216" s="860" t="str">
        <f t="shared" si="9"/>
        <v>TJ / rok</v>
      </c>
      <c r="I216" s="758" t="str">
        <f>IF(ISNUMBER(CTRL_InputMethodFuelDistribution),IF(CTRL_InputMethodFuelDistribution=1,IF(ISNUMBER(E_EnergyFlows!I36),E_EnergyFlows!I36,""),E_EnergyFlows!I46),"")</f>
        <v/>
      </c>
      <c r="J216" s="758" t="str">
        <f>IF(ISNUMBER(CTRL_InputMethodFuelDistribution),IF(CTRL_InputMethodFuelDistribution=1,IF(ISNUMBER(E_EnergyFlows!J36),E_EnergyFlows!J36,""),E_EnergyFlows!J46),"")</f>
        <v/>
      </c>
      <c r="K216" s="758" t="str">
        <f>IF(ISNUMBER(CTRL_InputMethodFuelDistribution),IF(CTRL_InputMethodFuelDistribution=1,IF(ISNUMBER(E_EnergyFlows!K36),E_EnergyFlows!K36,""),E_EnergyFlows!K46),"")</f>
        <v/>
      </c>
      <c r="L216" s="758" t="str">
        <f>IF(ISNUMBER(CTRL_InputMethodFuelDistribution),IF(CTRL_InputMethodFuelDistribution=1,IF(ISNUMBER(E_EnergyFlows!L36),E_EnergyFlows!L36,""),E_EnergyFlows!L46),"")</f>
        <v/>
      </c>
      <c r="M216" s="759" t="str">
        <f>IF(ISNUMBER(CTRL_InputMethodFuelDistribution),IF(CTRL_InputMethodFuelDistribution=1,IF(ISNUMBER(E_EnergyFlows!M36),E_EnergyFlows!M36,""),E_EnergyFlows!M46),"")</f>
        <v/>
      </c>
      <c r="N216" s="398"/>
      <c r="O216" s="20"/>
      <c r="P216" s="422"/>
      <c r="Q216" s="422"/>
      <c r="R216" s="422"/>
      <c r="S216" s="422"/>
      <c r="T216" s="422"/>
    </row>
    <row r="217" spans="1:20" s="701" customFormat="1" ht="38.25" customHeight="1" thickBot="1" x14ac:dyDescent="0.25">
      <c r="A217" s="437"/>
      <c r="B217" s="398"/>
      <c r="C217" s="398"/>
      <c r="D217" s="425"/>
      <c r="E217" s="1687" t="str">
        <f>E_EnergyFlows!E47</f>
        <v>Podinstalacja objęta wskaźnikiem emisyjności opartym na paliwie, „nie-CL”</v>
      </c>
      <c r="F217" s="1688"/>
      <c r="G217" s="1688"/>
      <c r="H217" s="861" t="str">
        <f t="shared" si="9"/>
        <v>TJ / rok</v>
      </c>
      <c r="I217" s="314" t="str">
        <f>IF(ISNUMBER(CTRL_InputMethodFuelDistribution),IF(CTRL_InputMethodFuelDistribution=1,IF(ISNUMBER(E_EnergyFlows!I37),E_EnergyFlows!I37,""),E_EnergyFlows!I47),"")</f>
        <v/>
      </c>
      <c r="J217" s="314" t="str">
        <f>IF(ISNUMBER(CTRL_InputMethodFuelDistribution),IF(CTRL_InputMethodFuelDistribution=1,IF(ISNUMBER(E_EnergyFlows!J37),E_EnergyFlows!J37,""),E_EnergyFlows!J47),"")</f>
        <v/>
      </c>
      <c r="K217" s="314" t="str">
        <f>IF(ISNUMBER(CTRL_InputMethodFuelDistribution),IF(CTRL_InputMethodFuelDistribution=1,IF(ISNUMBER(E_EnergyFlows!K37),E_EnergyFlows!K37,""),E_EnergyFlows!K47),"")</f>
        <v/>
      </c>
      <c r="L217" s="314" t="str">
        <f>IF(ISNUMBER(CTRL_InputMethodFuelDistribution),IF(CTRL_InputMethodFuelDistribution=1,IF(ISNUMBER(E_EnergyFlows!L37),E_EnergyFlows!L37,""),E_EnergyFlows!L47),"")</f>
        <v/>
      </c>
      <c r="M217" s="760" t="str">
        <f>IF(ISNUMBER(CTRL_InputMethodFuelDistribution),IF(CTRL_InputMethodFuelDistribution=1,IF(ISNUMBER(E_EnergyFlows!M37),E_EnergyFlows!M37,""),E_EnergyFlows!M47),"")</f>
        <v/>
      </c>
      <c r="N217" s="398"/>
      <c r="O217" s="20"/>
      <c r="P217" s="422"/>
      <c r="Q217" s="422"/>
      <c r="R217" s="422"/>
      <c r="S217" s="422"/>
      <c r="T217" s="422"/>
    </row>
    <row r="218" spans="1:20" s="701" customFormat="1" x14ac:dyDescent="0.2">
      <c r="A218" s="437"/>
      <c r="B218" s="398"/>
      <c r="C218" s="398"/>
      <c r="D218" s="425"/>
      <c r="E218" s="1661" t="str">
        <f>E_EnergyFlows!E49</f>
        <v>Pozostała część</v>
      </c>
      <c r="F218" s="1661"/>
      <c r="G218" s="1661"/>
      <c r="H218" s="42" t="str">
        <f t="shared" si="9"/>
        <v>TJ / rok</v>
      </c>
      <c r="I218" s="757">
        <f>IF(ISNUMBER(CTRL_InputMethodFuelDistribution),IF(CTRL_InputMethodFuelDistribution=1,IF(ISNUMBER(E_EnergyFlows!I39),E_EnergyFlows!I39,""),E_EnergyFlows!I49),"")</f>
        <v>0</v>
      </c>
      <c r="J218" s="757">
        <f>IF(ISNUMBER(CTRL_InputMethodFuelDistribution),IF(CTRL_InputMethodFuelDistribution=1,IF(ISNUMBER(E_EnergyFlows!J39),E_EnergyFlows!J39,""),E_EnergyFlows!J49),"")</f>
        <v>0</v>
      </c>
      <c r="K218" s="757">
        <f>IF(ISNUMBER(CTRL_InputMethodFuelDistribution),IF(CTRL_InputMethodFuelDistribution=1,IF(ISNUMBER(E_EnergyFlows!K39),E_EnergyFlows!K39,""),E_EnergyFlows!K49),"")</f>
        <v>0</v>
      </c>
      <c r="L218" s="757">
        <f>IF(ISNUMBER(CTRL_InputMethodFuelDistribution),IF(CTRL_InputMethodFuelDistribution=1,IF(ISNUMBER(E_EnergyFlows!L39),E_EnergyFlows!L39,""),E_EnergyFlows!L49),"")</f>
        <v>0</v>
      </c>
      <c r="M218" s="757">
        <f>IF(ISNUMBER(CTRL_InputMethodFuelDistribution),IF(CTRL_InputMethodFuelDistribution=1,IF(ISNUMBER(E_EnergyFlows!M39),E_EnergyFlows!M39,""),E_EnergyFlows!M49),"")</f>
        <v>0</v>
      </c>
      <c r="N218" s="398"/>
      <c r="O218" s="20"/>
      <c r="P218" s="422"/>
      <c r="Q218" s="422"/>
      <c r="R218" s="422"/>
      <c r="S218" s="422"/>
      <c r="T218" s="422"/>
    </row>
    <row r="219" spans="1:20" s="701" customFormat="1" ht="5.0999999999999996" customHeight="1" x14ac:dyDescent="0.2">
      <c r="A219" s="437"/>
      <c r="B219" s="398"/>
      <c r="C219" s="398"/>
      <c r="D219" s="425"/>
      <c r="E219" s="425"/>
      <c r="F219" s="425"/>
      <c r="G219" s="425"/>
      <c r="H219" s="425"/>
      <c r="I219" s="425"/>
      <c r="J219" s="425"/>
      <c r="K219" s="425"/>
      <c r="L219" s="425"/>
      <c r="M219" s="425"/>
      <c r="N219" s="398"/>
      <c r="O219" s="20"/>
      <c r="P219" s="422"/>
      <c r="Q219" s="422"/>
      <c r="R219" s="422"/>
      <c r="S219" s="422"/>
      <c r="T219" s="422"/>
    </row>
    <row r="220" spans="1:20" s="701" customFormat="1" ht="12.75" customHeight="1" x14ac:dyDescent="0.2">
      <c r="A220" s="593"/>
      <c r="B220" s="398"/>
      <c r="C220" s="398"/>
      <c r="D220" s="398"/>
      <c r="E220" s="44" t="str">
        <f>Translations!$B$1198</f>
        <v>Wsad paliwa do poszczególnych podinstalacji z arkuszy F i G:</v>
      </c>
      <c r="F220" s="398"/>
      <c r="G220" s="398"/>
      <c r="H220" s="398"/>
      <c r="I220" s="398"/>
      <c r="J220" s="398"/>
      <c r="K220" s="398"/>
      <c r="L220" s="398"/>
      <c r="M220" s="398"/>
      <c r="N220" s="398"/>
      <c r="O220" s="20"/>
      <c r="P220" s="422"/>
      <c r="Q220" s="422"/>
      <c r="R220" s="422"/>
      <c r="S220" s="422"/>
      <c r="T220" s="422"/>
    </row>
    <row r="221" spans="1:20" s="701" customFormat="1" ht="12.75" customHeight="1" x14ac:dyDescent="0.2">
      <c r="A221" s="422"/>
      <c r="B221" s="398"/>
      <c r="C221" s="398"/>
      <c r="D221" s="398"/>
      <c r="E221" s="1722" t="str">
        <f>E113</f>
        <v/>
      </c>
      <c r="F221" s="1722"/>
      <c r="G221" s="1722"/>
      <c r="H221" s="27" t="str">
        <f t="shared" si="9"/>
        <v>TJ / rok</v>
      </c>
      <c r="I221" s="1004" t="str">
        <f t="shared" ref="I221:M235" si="10">IF($E221="","",INDEX(I$485:I$1288,MATCH($P221,$P$485:$P$1288,0)))</f>
        <v/>
      </c>
      <c r="J221" s="1004" t="str">
        <f t="shared" si="10"/>
        <v/>
      </c>
      <c r="K221" s="1004" t="str">
        <f t="shared" si="10"/>
        <v/>
      </c>
      <c r="L221" s="1004" t="str">
        <f t="shared" si="10"/>
        <v/>
      </c>
      <c r="M221" s="1004" t="str">
        <f t="shared" si="10"/>
        <v/>
      </c>
      <c r="N221" s="398"/>
      <c r="O221" s="20"/>
      <c r="P221" s="830" t="str">
        <f t="shared" ref="P221:P235" si="11">EUconst_CNTR_FuelInput &amp; E221</f>
        <v>FuelInput_</v>
      </c>
      <c r="Q221" s="422"/>
      <c r="R221" s="422"/>
      <c r="S221" s="422"/>
      <c r="T221" s="422"/>
    </row>
    <row r="222" spans="1:20" s="701" customFormat="1" ht="12.75" customHeight="1" x14ac:dyDescent="0.2">
      <c r="A222" s="422"/>
      <c r="B222" s="398"/>
      <c r="C222" s="398"/>
      <c r="D222" s="398"/>
      <c r="E222" s="1648" t="str">
        <f t="shared" ref="E222:E230" si="12">E114</f>
        <v/>
      </c>
      <c r="F222" s="1648"/>
      <c r="G222" s="1648"/>
      <c r="H222" s="28" t="str">
        <f t="shared" si="9"/>
        <v>TJ / rok</v>
      </c>
      <c r="I222" s="585" t="str">
        <f t="shared" si="10"/>
        <v/>
      </c>
      <c r="J222" s="585" t="str">
        <f t="shared" si="10"/>
        <v/>
      </c>
      <c r="K222" s="585" t="str">
        <f t="shared" si="10"/>
        <v/>
      </c>
      <c r="L222" s="585" t="str">
        <f t="shared" si="10"/>
        <v/>
      </c>
      <c r="M222" s="585" t="str">
        <f t="shared" si="10"/>
        <v/>
      </c>
      <c r="N222" s="398"/>
      <c r="O222" s="20"/>
      <c r="P222" s="830" t="str">
        <f t="shared" si="11"/>
        <v>FuelInput_</v>
      </c>
      <c r="Q222" s="422"/>
      <c r="R222" s="422"/>
      <c r="S222" s="422"/>
      <c r="T222" s="422"/>
    </row>
    <row r="223" spans="1:20" s="701" customFormat="1" ht="12.75" customHeight="1" x14ac:dyDescent="0.2">
      <c r="A223" s="422"/>
      <c r="B223" s="398"/>
      <c r="C223" s="398"/>
      <c r="D223" s="398"/>
      <c r="E223" s="1648" t="str">
        <f t="shared" si="12"/>
        <v/>
      </c>
      <c r="F223" s="1648"/>
      <c r="G223" s="1648"/>
      <c r="H223" s="28" t="str">
        <f t="shared" si="9"/>
        <v>TJ / rok</v>
      </c>
      <c r="I223" s="585" t="str">
        <f t="shared" si="10"/>
        <v/>
      </c>
      <c r="J223" s="585" t="str">
        <f t="shared" si="10"/>
        <v/>
      </c>
      <c r="K223" s="585" t="str">
        <f t="shared" si="10"/>
        <v/>
      </c>
      <c r="L223" s="585" t="str">
        <f t="shared" si="10"/>
        <v/>
      </c>
      <c r="M223" s="585" t="str">
        <f t="shared" si="10"/>
        <v/>
      </c>
      <c r="N223" s="398"/>
      <c r="O223" s="20"/>
      <c r="P223" s="830" t="str">
        <f t="shared" si="11"/>
        <v>FuelInput_</v>
      </c>
      <c r="Q223" s="422"/>
      <c r="R223" s="422"/>
      <c r="S223" s="422"/>
      <c r="T223" s="422"/>
    </row>
    <row r="224" spans="1:20" s="701" customFormat="1" ht="12.75" customHeight="1" x14ac:dyDescent="0.2">
      <c r="A224" s="422"/>
      <c r="B224" s="398"/>
      <c r="C224" s="398"/>
      <c r="D224" s="398"/>
      <c r="E224" s="1648" t="str">
        <f t="shared" si="12"/>
        <v/>
      </c>
      <c r="F224" s="1648"/>
      <c r="G224" s="1648"/>
      <c r="H224" s="28" t="str">
        <f t="shared" si="9"/>
        <v>TJ / rok</v>
      </c>
      <c r="I224" s="585" t="str">
        <f t="shared" si="10"/>
        <v/>
      </c>
      <c r="J224" s="585" t="str">
        <f t="shared" si="10"/>
        <v/>
      </c>
      <c r="K224" s="585" t="str">
        <f t="shared" si="10"/>
        <v/>
      </c>
      <c r="L224" s="585" t="str">
        <f t="shared" si="10"/>
        <v/>
      </c>
      <c r="M224" s="585" t="str">
        <f t="shared" si="10"/>
        <v/>
      </c>
      <c r="N224" s="398"/>
      <c r="O224" s="20"/>
      <c r="P224" s="830" t="str">
        <f t="shared" si="11"/>
        <v>FuelInput_</v>
      </c>
      <c r="Q224" s="422"/>
      <c r="R224" s="422"/>
      <c r="S224" s="422"/>
      <c r="T224" s="422"/>
    </row>
    <row r="225" spans="1:20" s="701" customFormat="1" ht="12.75" customHeight="1" x14ac:dyDescent="0.2">
      <c r="A225" s="422"/>
      <c r="B225" s="398"/>
      <c r="C225" s="398"/>
      <c r="D225" s="398"/>
      <c r="E225" s="1648" t="str">
        <f t="shared" si="12"/>
        <v/>
      </c>
      <c r="F225" s="1648"/>
      <c r="G225" s="1648"/>
      <c r="H225" s="28" t="str">
        <f t="shared" si="9"/>
        <v>TJ / rok</v>
      </c>
      <c r="I225" s="585" t="str">
        <f t="shared" si="10"/>
        <v/>
      </c>
      <c r="J225" s="585" t="str">
        <f t="shared" si="10"/>
        <v/>
      </c>
      <c r="K225" s="585" t="str">
        <f t="shared" si="10"/>
        <v/>
      </c>
      <c r="L225" s="585" t="str">
        <f t="shared" si="10"/>
        <v/>
      </c>
      <c r="M225" s="585" t="str">
        <f t="shared" si="10"/>
        <v/>
      </c>
      <c r="N225" s="398"/>
      <c r="O225" s="20"/>
      <c r="P225" s="830" t="str">
        <f t="shared" si="11"/>
        <v>FuelInput_</v>
      </c>
      <c r="Q225" s="422"/>
      <c r="R225" s="422"/>
      <c r="S225" s="422"/>
      <c r="T225" s="422"/>
    </row>
    <row r="226" spans="1:20" s="701" customFormat="1" ht="12.75" customHeight="1" x14ac:dyDescent="0.2">
      <c r="A226" s="422"/>
      <c r="B226" s="398"/>
      <c r="C226" s="398"/>
      <c r="D226" s="398"/>
      <c r="E226" s="1648" t="str">
        <f t="shared" si="12"/>
        <v/>
      </c>
      <c r="F226" s="1648"/>
      <c r="G226" s="1648"/>
      <c r="H226" s="28" t="str">
        <f t="shared" si="9"/>
        <v>TJ / rok</v>
      </c>
      <c r="I226" s="585" t="str">
        <f t="shared" si="10"/>
        <v/>
      </c>
      <c r="J226" s="585" t="str">
        <f t="shared" si="10"/>
        <v/>
      </c>
      <c r="K226" s="585" t="str">
        <f t="shared" si="10"/>
        <v/>
      </c>
      <c r="L226" s="585" t="str">
        <f t="shared" si="10"/>
        <v/>
      </c>
      <c r="M226" s="585" t="str">
        <f t="shared" si="10"/>
        <v/>
      </c>
      <c r="N226" s="398"/>
      <c r="O226" s="20"/>
      <c r="P226" s="830" t="str">
        <f t="shared" si="11"/>
        <v>FuelInput_</v>
      </c>
      <c r="Q226" s="422"/>
      <c r="R226" s="422"/>
      <c r="S226" s="422"/>
      <c r="T226" s="422"/>
    </row>
    <row r="227" spans="1:20" s="701" customFormat="1" ht="12.75" customHeight="1" x14ac:dyDescent="0.2">
      <c r="A227" s="422"/>
      <c r="B227" s="398"/>
      <c r="C227" s="398"/>
      <c r="D227" s="398"/>
      <c r="E227" s="1648" t="str">
        <f t="shared" si="12"/>
        <v/>
      </c>
      <c r="F227" s="1648"/>
      <c r="G227" s="1648"/>
      <c r="H227" s="28" t="str">
        <f t="shared" si="9"/>
        <v>TJ / rok</v>
      </c>
      <c r="I227" s="585" t="str">
        <f t="shared" si="10"/>
        <v/>
      </c>
      <c r="J227" s="585" t="str">
        <f t="shared" si="10"/>
        <v/>
      </c>
      <c r="K227" s="585" t="str">
        <f t="shared" si="10"/>
        <v/>
      </c>
      <c r="L227" s="585" t="str">
        <f t="shared" si="10"/>
        <v/>
      </c>
      <c r="M227" s="585" t="str">
        <f t="shared" si="10"/>
        <v/>
      </c>
      <c r="N227" s="398"/>
      <c r="O227" s="20"/>
      <c r="P227" s="830" t="str">
        <f t="shared" si="11"/>
        <v>FuelInput_</v>
      </c>
      <c r="Q227" s="422"/>
      <c r="R227" s="422"/>
      <c r="S227" s="422"/>
      <c r="T227" s="422"/>
    </row>
    <row r="228" spans="1:20" s="701" customFormat="1" ht="12.75" customHeight="1" x14ac:dyDescent="0.2">
      <c r="A228" s="422"/>
      <c r="B228" s="398"/>
      <c r="C228" s="398"/>
      <c r="D228" s="398"/>
      <c r="E228" s="1648" t="str">
        <f t="shared" si="12"/>
        <v/>
      </c>
      <c r="F228" s="1648"/>
      <c r="G228" s="1648"/>
      <c r="H228" s="28" t="str">
        <f t="shared" si="9"/>
        <v>TJ / rok</v>
      </c>
      <c r="I228" s="585" t="str">
        <f t="shared" si="10"/>
        <v/>
      </c>
      <c r="J228" s="585" t="str">
        <f t="shared" si="10"/>
        <v/>
      </c>
      <c r="K228" s="585" t="str">
        <f t="shared" si="10"/>
        <v/>
      </c>
      <c r="L228" s="585" t="str">
        <f t="shared" si="10"/>
        <v/>
      </c>
      <c r="M228" s="585" t="str">
        <f t="shared" si="10"/>
        <v/>
      </c>
      <c r="N228" s="398"/>
      <c r="O228" s="20"/>
      <c r="P228" s="830" t="str">
        <f t="shared" si="11"/>
        <v>FuelInput_</v>
      </c>
      <c r="Q228" s="422"/>
      <c r="R228" s="422"/>
      <c r="S228" s="422"/>
      <c r="T228" s="422"/>
    </row>
    <row r="229" spans="1:20" s="701" customFormat="1" ht="12.75" customHeight="1" x14ac:dyDescent="0.2">
      <c r="A229" s="422"/>
      <c r="B229" s="398"/>
      <c r="C229" s="398"/>
      <c r="D229" s="398"/>
      <c r="E229" s="1648" t="str">
        <f t="shared" si="12"/>
        <v/>
      </c>
      <c r="F229" s="1648"/>
      <c r="G229" s="1648"/>
      <c r="H229" s="28" t="str">
        <f t="shared" si="9"/>
        <v>TJ / rok</v>
      </c>
      <c r="I229" s="585" t="str">
        <f t="shared" si="10"/>
        <v/>
      </c>
      <c r="J229" s="585" t="str">
        <f t="shared" si="10"/>
        <v/>
      </c>
      <c r="K229" s="585" t="str">
        <f t="shared" si="10"/>
        <v/>
      </c>
      <c r="L229" s="585" t="str">
        <f t="shared" si="10"/>
        <v/>
      </c>
      <c r="M229" s="585" t="str">
        <f t="shared" si="10"/>
        <v/>
      </c>
      <c r="N229" s="398"/>
      <c r="O229" s="20"/>
      <c r="P229" s="830" t="str">
        <f t="shared" si="11"/>
        <v>FuelInput_</v>
      </c>
      <c r="Q229" s="422"/>
      <c r="R229" s="422"/>
      <c r="S229" s="422"/>
      <c r="T229" s="422"/>
    </row>
    <row r="230" spans="1:20" s="701" customFormat="1" ht="12.75" customHeight="1" x14ac:dyDescent="0.2">
      <c r="A230" s="422"/>
      <c r="B230" s="398"/>
      <c r="C230" s="398"/>
      <c r="D230" s="398"/>
      <c r="E230" s="1649" t="str">
        <f t="shared" si="12"/>
        <v/>
      </c>
      <c r="F230" s="1649"/>
      <c r="G230" s="1649"/>
      <c r="H230" s="30" t="str">
        <f t="shared" si="9"/>
        <v>TJ / rok</v>
      </c>
      <c r="I230" s="1005" t="str">
        <f t="shared" si="10"/>
        <v/>
      </c>
      <c r="J230" s="1005" t="str">
        <f t="shared" si="10"/>
        <v/>
      </c>
      <c r="K230" s="1005" t="str">
        <f t="shared" si="10"/>
        <v/>
      </c>
      <c r="L230" s="1005" t="str">
        <f t="shared" si="10"/>
        <v/>
      </c>
      <c r="M230" s="1005" t="str">
        <f t="shared" si="10"/>
        <v/>
      </c>
      <c r="N230" s="398"/>
      <c r="O230" s="20"/>
      <c r="P230" s="830" t="str">
        <f t="shared" si="11"/>
        <v>FuelInput_</v>
      </c>
      <c r="Q230" s="422"/>
      <c r="R230" s="422"/>
      <c r="S230" s="422"/>
      <c r="T230" s="422"/>
    </row>
    <row r="231" spans="1:20" s="701" customFormat="1" ht="25.5" customHeight="1" x14ac:dyDescent="0.2">
      <c r="A231" s="422"/>
      <c r="B231" s="398"/>
      <c r="C231" s="398"/>
      <c r="D231" s="398"/>
      <c r="E231" s="1618" t="str">
        <f>E123</f>
        <v>Podinstalacja objęta wskaźnikiem emisyjności opartym na cieple, „CL”</v>
      </c>
      <c r="F231" s="1618"/>
      <c r="G231" s="1618"/>
      <c r="H231" s="434" t="str">
        <f t="shared" si="9"/>
        <v>TJ / rok</v>
      </c>
      <c r="I231" s="1004">
        <f t="shared" si="10"/>
        <v>922.56295696173515</v>
      </c>
      <c r="J231" s="1004">
        <f t="shared" si="10"/>
        <v>866.98209654222171</v>
      </c>
      <c r="K231" s="1004">
        <f t="shared" si="10"/>
        <v>960.42198401934661</v>
      </c>
      <c r="L231" s="1004">
        <f t="shared" si="10"/>
        <v>829.30008547193631</v>
      </c>
      <c r="M231" s="1004">
        <f t="shared" si="10"/>
        <v>931.0294694610003</v>
      </c>
      <c r="N231" s="398"/>
      <c r="O231" s="20"/>
      <c r="P231" s="830" t="str">
        <f t="shared" si="11"/>
        <v>FuelInput_Podinstalacja objęta wskaźnikiem emisyjności opartym na cieple, „CL”</v>
      </c>
      <c r="Q231" s="422"/>
      <c r="R231" s="422"/>
      <c r="S231" s="422"/>
      <c r="T231" s="422"/>
    </row>
    <row r="232" spans="1:20" s="701" customFormat="1" ht="25.5" customHeight="1" x14ac:dyDescent="0.2">
      <c r="A232" s="422"/>
      <c r="B232" s="398"/>
      <c r="C232" s="398"/>
      <c r="D232" s="398"/>
      <c r="E232" s="1613" t="str">
        <f>E124</f>
        <v>Podinstalacja objęta wskaźnikiem emisyjności opartym na cieple, „nie-CL”</v>
      </c>
      <c r="F232" s="1613"/>
      <c r="G232" s="1613"/>
      <c r="H232" s="435" t="str">
        <f t="shared" si="9"/>
        <v>TJ / rok</v>
      </c>
      <c r="I232" s="585">
        <f t="shared" si="10"/>
        <v>957.10243980858422</v>
      </c>
      <c r="J232" s="585">
        <f t="shared" si="10"/>
        <v>893.2225078585866</v>
      </c>
      <c r="K232" s="585">
        <f t="shared" si="10"/>
        <v>986.3136726833028</v>
      </c>
      <c r="L232" s="585">
        <f t="shared" si="10"/>
        <v>863.53981196174027</v>
      </c>
      <c r="M232" s="585">
        <f t="shared" si="10"/>
        <v>975.0903734686151</v>
      </c>
      <c r="N232" s="398"/>
      <c r="O232" s="20"/>
      <c r="P232" s="830" t="str">
        <f t="shared" si="11"/>
        <v>FuelInput_Podinstalacja objęta wskaźnikiem emisyjności opartym na cieple, „nie-CL”</v>
      </c>
      <c r="Q232" s="422"/>
      <c r="R232" s="422"/>
      <c r="S232" s="422"/>
      <c r="T232" s="422"/>
    </row>
    <row r="233" spans="1:20" s="701" customFormat="1" ht="12.75" customHeight="1" x14ac:dyDescent="0.2">
      <c r="A233" s="422"/>
      <c r="B233" s="398"/>
      <c r="C233" s="398"/>
      <c r="D233" s="398"/>
      <c r="E233" s="1613" t="str">
        <f>E125</f>
        <v>Podinstalacja sieci ciepłowniczej</v>
      </c>
      <c r="F233" s="1613"/>
      <c r="G233" s="1613"/>
      <c r="H233" s="435" t="str">
        <f t="shared" si="9"/>
        <v>TJ / rok</v>
      </c>
      <c r="I233" s="585">
        <f t="shared" si="10"/>
        <v>920.33460322968017</v>
      </c>
      <c r="J233" s="585">
        <f t="shared" si="10"/>
        <v>864.79539559919135</v>
      </c>
      <c r="K233" s="585">
        <f t="shared" si="10"/>
        <v>958.26434329735036</v>
      </c>
      <c r="L233" s="585">
        <f t="shared" si="10"/>
        <v>827.16010256632342</v>
      </c>
      <c r="M233" s="585">
        <f t="shared" si="10"/>
        <v>928.88015707038483</v>
      </c>
      <c r="N233" s="398"/>
      <c r="O233" s="20"/>
      <c r="P233" s="830" t="str">
        <f t="shared" si="11"/>
        <v>FuelInput_Podinstalacja sieci ciepłowniczej</v>
      </c>
      <c r="Q233" s="422"/>
      <c r="R233" s="422"/>
      <c r="S233" s="422"/>
      <c r="T233" s="422"/>
    </row>
    <row r="234" spans="1:20" s="701" customFormat="1" ht="25.5" customHeight="1" x14ac:dyDescent="0.2">
      <c r="A234" s="422"/>
      <c r="B234" s="398"/>
      <c r="C234" s="398"/>
      <c r="D234" s="398"/>
      <c r="E234" s="1613" t="str">
        <f>E126</f>
        <v>Podinstalacja objęta wskaźnikiem emisyjności opartym na paliwie, „CL”</v>
      </c>
      <c r="F234" s="1613"/>
      <c r="G234" s="1613"/>
      <c r="H234" s="435" t="str">
        <f t="shared" si="9"/>
        <v>TJ / rok</v>
      </c>
      <c r="I234" s="585" t="str">
        <f t="shared" si="10"/>
        <v/>
      </c>
      <c r="J234" s="585" t="str">
        <f t="shared" si="10"/>
        <v/>
      </c>
      <c r="K234" s="585" t="str">
        <f t="shared" si="10"/>
        <v/>
      </c>
      <c r="L234" s="585" t="str">
        <f t="shared" si="10"/>
        <v/>
      </c>
      <c r="M234" s="585" t="str">
        <f t="shared" si="10"/>
        <v/>
      </c>
      <c r="N234" s="398"/>
      <c r="O234" s="20"/>
      <c r="P234" s="830" t="str">
        <f t="shared" si="11"/>
        <v>FuelInput_Podinstalacja objęta wskaźnikiem emisyjności opartym na paliwie, „CL”</v>
      </c>
      <c r="Q234" s="422"/>
      <c r="R234" s="422"/>
      <c r="S234" s="422"/>
      <c r="T234" s="422"/>
    </row>
    <row r="235" spans="1:20" s="701" customFormat="1" ht="25.5" customHeight="1" x14ac:dyDescent="0.2">
      <c r="A235" s="422"/>
      <c r="B235" s="398"/>
      <c r="C235" s="398"/>
      <c r="D235" s="398"/>
      <c r="E235" s="1615" t="str">
        <f>E127</f>
        <v>Podinstalacja objęta wskaźnikiem emisyjności opartym na paliwie, „nie-CL”</v>
      </c>
      <c r="F235" s="1615"/>
      <c r="G235" s="1615"/>
      <c r="H235" s="436" t="str">
        <f t="shared" si="9"/>
        <v>TJ / rok</v>
      </c>
      <c r="I235" s="1005" t="str">
        <f t="shared" si="10"/>
        <v/>
      </c>
      <c r="J235" s="1005" t="str">
        <f t="shared" si="10"/>
        <v/>
      </c>
      <c r="K235" s="1005" t="str">
        <f t="shared" si="10"/>
        <v/>
      </c>
      <c r="L235" s="1005" t="str">
        <f t="shared" si="10"/>
        <v/>
      </c>
      <c r="M235" s="1005" t="str">
        <f t="shared" si="10"/>
        <v/>
      </c>
      <c r="N235" s="398"/>
      <c r="O235" s="20"/>
      <c r="P235" s="351" t="str">
        <f t="shared" si="11"/>
        <v>FuelInput_Podinstalacja objęta wskaźnikiem emisyjności opartym na paliwie, „nie-CL”</v>
      </c>
      <c r="Q235" s="422"/>
      <c r="R235" s="422"/>
      <c r="S235" s="422"/>
      <c r="T235" s="422"/>
    </row>
    <row r="236" spans="1:20" s="701" customFormat="1" ht="12.75" customHeight="1" x14ac:dyDescent="0.2">
      <c r="A236" s="422"/>
      <c r="B236" s="398"/>
      <c r="C236" s="398"/>
      <c r="D236" s="398"/>
      <c r="E236" s="398"/>
      <c r="F236" s="398"/>
      <c r="G236" s="398"/>
      <c r="H236" s="398"/>
      <c r="I236" s="398"/>
      <c r="J236" s="398"/>
      <c r="K236" s="398"/>
      <c r="L236" s="398"/>
      <c r="M236" s="398"/>
      <c r="N236" s="398"/>
      <c r="O236" s="20"/>
      <c r="P236" s="422"/>
      <c r="Q236" s="422"/>
      <c r="R236" s="422"/>
      <c r="S236" s="422"/>
      <c r="T236" s="422"/>
    </row>
    <row r="237" spans="1:20" s="575" customFormat="1" ht="15" x14ac:dyDescent="0.25">
      <c r="A237" s="422"/>
      <c r="B237" s="398"/>
      <c r="C237" s="18">
        <v>6</v>
      </c>
      <c r="D237" s="1439" t="str">
        <f>Translations!$B$1199</f>
        <v>Obliczenie mierzalnego ciepła (część E.II)</v>
      </c>
      <c r="E237" s="1370"/>
      <c r="F237" s="1370"/>
      <c r="G237" s="1370"/>
      <c r="H237" s="1370"/>
      <c r="I237" s="1370"/>
      <c r="J237" s="1370"/>
      <c r="K237" s="1370"/>
      <c r="L237" s="1370"/>
      <c r="M237" s="1370"/>
      <c r="N237" s="1370"/>
      <c r="O237" s="20"/>
      <c r="P237" s="422"/>
      <c r="Q237" s="422"/>
      <c r="R237" s="422"/>
      <c r="S237" s="422"/>
      <c r="T237" s="422"/>
    </row>
    <row r="238" spans="1:20" s="575" customFormat="1" ht="5.0999999999999996" customHeight="1" x14ac:dyDescent="0.2">
      <c r="A238" s="422"/>
      <c r="B238" s="3"/>
      <c r="C238" s="3"/>
      <c r="D238" s="3"/>
      <c r="E238" s="3"/>
      <c r="F238" s="3"/>
      <c r="G238" s="3"/>
      <c r="H238" s="3"/>
      <c r="I238" s="3"/>
      <c r="J238" s="3"/>
      <c r="K238" s="3"/>
      <c r="L238" s="3"/>
      <c r="M238" s="7"/>
      <c r="N238" s="7"/>
      <c r="O238" s="20"/>
      <c r="P238" s="422"/>
      <c r="Q238" s="422"/>
      <c r="R238" s="422"/>
      <c r="S238" s="422"/>
      <c r="T238" s="422"/>
    </row>
    <row r="239" spans="1:20" x14ac:dyDescent="0.2">
      <c r="A239" s="430"/>
      <c r="B239" s="3"/>
      <c r="C239" s="14"/>
      <c r="D239" s="14" t="str">
        <f>E_EnergyFlows!D80</f>
        <v>(a)</v>
      </c>
      <c r="E239" s="1653" t="str">
        <f>E_EnergyFlows!E80</f>
        <v>Całkowita ilość netto mierzalnego ciepła wytworzonego w instalacji:</v>
      </c>
      <c r="F239" s="1647"/>
      <c r="G239" s="1647"/>
      <c r="H239" s="1647"/>
      <c r="I239" s="1647"/>
      <c r="J239" s="1647"/>
      <c r="K239" s="1647"/>
      <c r="L239" s="1647"/>
      <c r="M239" s="1647"/>
      <c r="N239" s="1647"/>
      <c r="O239" s="20"/>
      <c r="P239" s="626"/>
      <c r="Q239" s="430"/>
      <c r="R239" s="430"/>
      <c r="S239" s="430"/>
      <c r="T239" s="422"/>
    </row>
    <row r="240" spans="1:20" x14ac:dyDescent="0.2">
      <c r="A240" s="430"/>
      <c r="B240" s="20"/>
      <c r="C240" s="20"/>
      <c r="D240" s="20"/>
      <c r="E240" s="25"/>
      <c r="F240" s="22"/>
      <c r="G240" s="22"/>
      <c r="H240" s="34" t="str">
        <f>E_EnergyFlows!H83</f>
        <v>Jednostka</v>
      </c>
      <c r="I240" s="396">
        <f>E_EnergyFlows!I83</f>
        <v>2014</v>
      </c>
      <c r="J240" s="396">
        <f>E_EnergyFlows!J83</f>
        <v>2015</v>
      </c>
      <c r="K240" s="396">
        <f>E_EnergyFlows!K83</f>
        <v>2016</v>
      </c>
      <c r="L240" s="396">
        <f>E_EnergyFlows!L83</f>
        <v>2017</v>
      </c>
      <c r="M240" s="396">
        <f>E_EnergyFlows!M83</f>
        <v>2018</v>
      </c>
      <c r="N240" s="7"/>
      <c r="O240" s="20"/>
      <c r="P240" s="430"/>
      <c r="Q240" s="430"/>
      <c r="R240" s="430"/>
      <c r="S240" s="430"/>
      <c r="T240" s="422"/>
    </row>
    <row r="241" spans="1:20" x14ac:dyDescent="0.2">
      <c r="A241" s="430"/>
      <c r="B241" s="20"/>
      <c r="C241" s="20"/>
      <c r="D241" s="20"/>
      <c r="E241" s="1652" t="str">
        <f>E_EnergyFlows!E84</f>
        <v>Wytworzone mierzalne ciepło</v>
      </c>
      <c r="F241" s="1652"/>
      <c r="G241" s="1652"/>
      <c r="H241" s="48" t="str">
        <f>E_EnergyFlows!H84</f>
        <v>TJ / rok</v>
      </c>
      <c r="I241" s="1019">
        <f>IF(ISBLANK(E_EnergyFlows!I84),"",E_EnergyFlows!I84)</f>
        <v>2319.0669474391434</v>
      </c>
      <c r="J241" s="433">
        <f>IF(ISBLANK(E_EnergyFlows!J84),"",E_EnergyFlows!J84)</f>
        <v>2206.877448052287</v>
      </c>
      <c r="K241" s="433">
        <f>IF(ISBLANK(E_EnergyFlows!K84),"",E_EnergyFlows!K84)</f>
        <v>2498.7548923123736</v>
      </c>
      <c r="L241" s="433">
        <f>IF(ISBLANK(E_EnergyFlows!L84),"",E_EnergyFlows!L84)</f>
        <v>2161.1584218177322</v>
      </c>
      <c r="M241" s="433">
        <f>IF(ISBLANK(E_EnergyFlows!M84),"",E_EnergyFlows!M84)</f>
        <v>2444.0539244421657</v>
      </c>
      <c r="N241" s="7"/>
      <c r="O241" s="20"/>
      <c r="P241" s="430"/>
      <c r="Q241" s="430"/>
      <c r="R241" s="430"/>
      <c r="S241" s="430"/>
      <c r="T241" s="422"/>
    </row>
    <row r="242" spans="1:20" ht="5.0999999999999996" customHeight="1" x14ac:dyDescent="0.2">
      <c r="A242" s="430"/>
      <c r="B242" s="3"/>
      <c r="C242" s="3"/>
      <c r="D242" s="3"/>
      <c r="E242" s="3"/>
      <c r="F242" s="3"/>
      <c r="G242" s="3"/>
      <c r="H242" s="3"/>
      <c r="I242" s="3"/>
      <c r="J242" s="3"/>
      <c r="K242" s="3"/>
      <c r="L242" s="3"/>
      <c r="M242" s="3"/>
      <c r="N242" s="3"/>
      <c r="O242" s="20"/>
      <c r="P242" s="626"/>
      <c r="Q242" s="430"/>
      <c r="R242" s="430"/>
      <c r="S242" s="430"/>
      <c r="T242" s="422"/>
    </row>
    <row r="243" spans="1:20" x14ac:dyDescent="0.2">
      <c r="A243" s="430"/>
      <c r="B243" s="3"/>
      <c r="C243" s="14"/>
      <c r="D243" s="14" t="str">
        <f>E_EnergyFlows!D86</f>
        <v>(b)</v>
      </c>
      <c r="E243" s="1653" t="str">
        <f>E_EnergyFlows!E86</f>
        <v>Mierzalne ciepło wprowadzone z instalacji objętych EU ETS:</v>
      </c>
      <c r="F243" s="1647"/>
      <c r="G243" s="1647"/>
      <c r="H243" s="1647"/>
      <c r="I243" s="1647"/>
      <c r="J243" s="1647"/>
      <c r="K243" s="1647"/>
      <c r="L243" s="1647"/>
      <c r="M243" s="1647"/>
      <c r="N243" s="1647"/>
      <c r="O243" s="20"/>
      <c r="P243" s="626"/>
      <c r="Q243" s="430"/>
      <c r="R243" s="430"/>
      <c r="S243" s="430"/>
      <c r="T243" s="422"/>
    </row>
    <row r="244" spans="1:20" x14ac:dyDescent="0.2">
      <c r="A244" s="430"/>
      <c r="B244" s="20"/>
      <c r="C244" s="20"/>
      <c r="D244" s="20"/>
      <c r="E244" s="1650" t="str">
        <f>E_EnergyFlows!E89</f>
        <v>Nazwa instalacji</v>
      </c>
      <c r="F244" s="1651"/>
      <c r="G244" s="1651"/>
      <c r="H244" s="34" t="str">
        <f>E_EnergyFlows!H89</f>
        <v>Jednostka</v>
      </c>
      <c r="I244" s="396">
        <f>E_EnergyFlows!I89</f>
        <v>2014</v>
      </c>
      <c r="J244" s="396">
        <f>E_EnergyFlows!J89</f>
        <v>2015</v>
      </c>
      <c r="K244" s="396">
        <f>E_EnergyFlows!K89</f>
        <v>2016</v>
      </c>
      <c r="L244" s="396">
        <f>E_EnergyFlows!L89</f>
        <v>2017</v>
      </c>
      <c r="M244" s="396">
        <f>E_EnergyFlows!M89</f>
        <v>2018</v>
      </c>
      <c r="N244" s="26"/>
      <c r="O244" s="20"/>
      <c r="P244" s="430"/>
      <c r="Q244" s="430"/>
      <c r="R244" s="430"/>
      <c r="S244" s="430"/>
      <c r="T244" s="422"/>
    </row>
    <row r="245" spans="1:20" x14ac:dyDescent="0.2">
      <c r="A245" s="430"/>
      <c r="B245" s="20"/>
      <c r="C245" s="195"/>
      <c r="D245" s="195"/>
      <c r="E245" s="1981" t="str">
        <f>IF(ISBLANK(E_EnergyFlows!E90),"",E_EnergyFlows!E90)</f>
        <v>Nie dotyczy</v>
      </c>
      <c r="F245" s="1981"/>
      <c r="G245" s="1981"/>
      <c r="H245" s="37" t="str">
        <f>E_EnergyFlows!H90</f>
        <v>TJ / rok</v>
      </c>
      <c r="I245" s="1020" t="str">
        <f>IF(ISBLANK(E_EnergyFlows!I90),"",E_EnergyFlows!I90)</f>
        <v/>
      </c>
      <c r="J245" s="703" t="str">
        <f>IF(ISBLANK(E_EnergyFlows!J90),"",E_EnergyFlows!J90)</f>
        <v/>
      </c>
      <c r="K245" s="703" t="str">
        <f>IF(ISBLANK(E_EnergyFlows!K90),"",E_EnergyFlows!K90)</f>
        <v/>
      </c>
      <c r="L245" s="703" t="str">
        <f>IF(ISBLANK(E_EnergyFlows!L90),"",E_EnergyFlows!L90)</f>
        <v/>
      </c>
      <c r="M245" s="703" t="str">
        <f>IF(ISBLANK(E_EnergyFlows!M90),"",E_EnergyFlows!M90)</f>
        <v/>
      </c>
      <c r="N245" s="7"/>
      <c r="O245" s="20"/>
      <c r="P245" s="430"/>
      <c r="Q245" s="430"/>
      <c r="R245" s="430"/>
      <c r="S245" s="430"/>
      <c r="T245" s="422"/>
    </row>
    <row r="246" spans="1:20" x14ac:dyDescent="0.2">
      <c r="A246" s="430"/>
      <c r="B246" s="20"/>
      <c r="C246" s="195"/>
      <c r="D246" s="195"/>
      <c r="E246" s="1979" t="str">
        <f>IF(ISBLANK(E_EnergyFlows!E91),"",E_EnergyFlows!E91)</f>
        <v>Nie dotyczy</v>
      </c>
      <c r="F246" s="1979"/>
      <c r="G246" s="1979"/>
      <c r="H246" s="38" t="str">
        <f>E_EnergyFlows!H91</f>
        <v>TJ / rok</v>
      </c>
      <c r="I246" s="1021" t="str">
        <f>IF(ISBLANK(E_EnergyFlows!I91),"",E_EnergyFlows!I91)</f>
        <v/>
      </c>
      <c r="J246" s="511" t="str">
        <f>IF(ISBLANK(E_EnergyFlows!J91),"",E_EnergyFlows!J91)</f>
        <v/>
      </c>
      <c r="K246" s="511" t="str">
        <f>IF(ISBLANK(E_EnergyFlows!K91),"",E_EnergyFlows!K91)</f>
        <v/>
      </c>
      <c r="L246" s="511" t="str">
        <f>IF(ISBLANK(E_EnergyFlows!L91),"",E_EnergyFlows!L91)</f>
        <v/>
      </c>
      <c r="M246" s="511" t="str">
        <f>IF(ISBLANK(E_EnergyFlows!M91),"",E_EnergyFlows!M91)</f>
        <v/>
      </c>
      <c r="N246" s="7"/>
      <c r="O246" s="20"/>
      <c r="P246" s="430"/>
      <c r="Q246" s="430"/>
      <c r="R246" s="430"/>
      <c r="S246" s="430"/>
      <c r="T246" s="422"/>
    </row>
    <row r="247" spans="1:20" x14ac:dyDescent="0.2">
      <c r="A247" s="430"/>
      <c r="B247" s="20"/>
      <c r="C247" s="195"/>
      <c r="D247" s="195"/>
      <c r="E247" s="1980" t="str">
        <f>IF(ISBLANK(E_EnergyFlows!E92),"",E_EnergyFlows!E92)</f>
        <v>Nie dotyczy</v>
      </c>
      <c r="F247" s="1980"/>
      <c r="G247" s="1980"/>
      <c r="H247" s="41" t="str">
        <f>E_EnergyFlows!H92</f>
        <v>TJ / rok</v>
      </c>
      <c r="I247" s="1022" t="str">
        <f>IF(ISBLANK(E_EnergyFlows!I92),"",E_EnergyFlows!I92)</f>
        <v/>
      </c>
      <c r="J247" s="704" t="str">
        <f>IF(ISBLANK(E_EnergyFlows!J92),"",E_EnergyFlows!J92)</f>
        <v/>
      </c>
      <c r="K247" s="704" t="str">
        <f>IF(ISBLANK(E_EnergyFlows!K92),"",E_EnergyFlows!K92)</f>
        <v/>
      </c>
      <c r="L247" s="704" t="str">
        <f>IF(ISBLANK(E_EnergyFlows!L92),"",E_EnergyFlows!L92)</f>
        <v/>
      </c>
      <c r="M247" s="704" t="str">
        <f>IF(ISBLANK(E_EnergyFlows!M92),"",E_EnergyFlows!M92)</f>
        <v/>
      </c>
      <c r="N247" s="7"/>
      <c r="O247" s="20"/>
      <c r="P247" s="430"/>
      <c r="Q247" s="430"/>
      <c r="R247" s="430"/>
      <c r="S247" s="430"/>
      <c r="T247" s="422"/>
    </row>
    <row r="248" spans="1:20" x14ac:dyDescent="0.2">
      <c r="A248" s="430"/>
      <c r="B248" s="20"/>
      <c r="C248" s="195"/>
      <c r="D248" s="195"/>
      <c r="E248" s="1652" t="str">
        <f>E_EnergyFlows!E93</f>
        <v>Suma częściowa</v>
      </c>
      <c r="F248" s="1652"/>
      <c r="G248" s="1652"/>
      <c r="H248" s="52" t="str">
        <f>E_EnergyFlows!H93</f>
        <v>TJ / rok</v>
      </c>
      <c r="I248" s="1019" t="str">
        <f>E_EnergyFlows!I93</f>
        <v/>
      </c>
      <c r="J248" s="311" t="str">
        <f>E_EnergyFlows!J93</f>
        <v/>
      </c>
      <c r="K248" s="311" t="str">
        <f>E_EnergyFlows!K93</f>
        <v/>
      </c>
      <c r="L248" s="311" t="str">
        <f>E_EnergyFlows!L93</f>
        <v/>
      </c>
      <c r="M248" s="311" t="str">
        <f>E_EnergyFlows!M93</f>
        <v/>
      </c>
      <c r="N248" s="7"/>
      <c r="O248" s="20"/>
      <c r="P248" s="430"/>
      <c r="Q248" s="430"/>
      <c r="R248" s="430"/>
      <c r="S248" s="430"/>
      <c r="T248" s="422"/>
    </row>
    <row r="249" spans="1:20" ht="5.0999999999999996" customHeight="1" x14ac:dyDescent="0.2">
      <c r="A249" s="430"/>
      <c r="B249" s="3"/>
      <c r="C249" s="3"/>
      <c r="D249" s="3"/>
      <c r="E249" s="3"/>
      <c r="F249" s="3"/>
      <c r="G249" s="3"/>
      <c r="H249" s="3"/>
      <c r="I249" s="3"/>
      <c r="J249" s="3"/>
      <c r="K249" s="3"/>
      <c r="L249" s="3"/>
      <c r="M249" s="3"/>
      <c r="N249" s="3"/>
      <c r="O249" s="20"/>
      <c r="P249" s="626"/>
      <c r="Q249" s="430"/>
      <c r="R249" s="430"/>
      <c r="S249" s="430"/>
      <c r="T249" s="422"/>
    </row>
    <row r="250" spans="1:20" x14ac:dyDescent="0.2">
      <c r="A250" s="430"/>
      <c r="B250" s="3"/>
      <c r="C250" s="14"/>
      <c r="D250" s="14" t="str">
        <f>E_EnergyFlows!D95</f>
        <v>(c)</v>
      </c>
      <c r="E250" s="1653" t="str">
        <f>E_EnergyFlows!E95</f>
        <v>Mierzalne ciepło wprowadzone z instalacji i od podmiotów nieobjętych EU ETS (niekwalifikujące się do objęcia wskaźnikiem emisyjności opartym na cieple):</v>
      </c>
      <c r="F250" s="1647"/>
      <c r="G250" s="1647"/>
      <c r="H250" s="1647"/>
      <c r="I250" s="1647"/>
      <c r="J250" s="1647"/>
      <c r="K250" s="1647"/>
      <c r="L250" s="1647"/>
      <c r="M250" s="1647"/>
      <c r="N250" s="1647"/>
      <c r="O250" s="20"/>
      <c r="P250" s="626"/>
      <c r="Q250" s="430"/>
      <c r="R250" s="430"/>
      <c r="S250" s="430"/>
      <c r="T250" s="422"/>
    </row>
    <row r="251" spans="1:20" x14ac:dyDescent="0.2">
      <c r="A251" s="430"/>
      <c r="B251" s="20"/>
      <c r="C251" s="20"/>
      <c r="D251" s="20"/>
      <c r="E251" s="1650" t="str">
        <f>E_EnergyFlows!E98</f>
        <v>Nazwa instalacji lub podmiotu</v>
      </c>
      <c r="F251" s="1651"/>
      <c r="G251" s="1651"/>
      <c r="H251" s="34" t="str">
        <f>E_EnergyFlows!H98</f>
        <v>Jednostka</v>
      </c>
      <c r="I251" s="396">
        <f>E_EnergyFlows!I98</f>
        <v>2014</v>
      </c>
      <c r="J251" s="396">
        <f>E_EnergyFlows!J98</f>
        <v>2015</v>
      </c>
      <c r="K251" s="396">
        <f>E_EnergyFlows!K98</f>
        <v>2016</v>
      </c>
      <c r="L251" s="396">
        <f>E_EnergyFlows!L98</f>
        <v>2017</v>
      </c>
      <c r="M251" s="396">
        <f>E_EnergyFlows!M98</f>
        <v>2018</v>
      </c>
      <c r="N251" s="7"/>
      <c r="O251" s="20"/>
      <c r="P251" s="430"/>
      <c r="Q251" s="430"/>
      <c r="R251" s="430"/>
      <c r="S251" s="430"/>
      <c r="T251" s="422"/>
    </row>
    <row r="252" spans="1:20" x14ac:dyDescent="0.2">
      <c r="A252" s="430"/>
      <c r="B252" s="20"/>
      <c r="C252" s="195"/>
      <c r="D252" s="195"/>
      <c r="E252" s="1981" t="str">
        <f>IF(ISBLANK(E_EnergyFlows!E99),"",E_EnergyFlows!E99)</f>
        <v>Import z instalacji non-ETS: Ciepło Wprowadzanie</v>
      </c>
      <c r="F252" s="1981"/>
      <c r="G252" s="1981"/>
      <c r="H252" s="37" t="str">
        <f>E_EnergyFlows!H99</f>
        <v>TJ / rok</v>
      </c>
      <c r="I252" s="1020">
        <f>IF(ISBLANK(E_EnergyFlows!I99),"",E_EnergyFlows!I99)</f>
        <v>500</v>
      </c>
      <c r="J252" s="703">
        <f>IF(ISBLANK(E_EnergyFlows!J99),"",E_EnergyFlows!J99)</f>
        <v>500</v>
      </c>
      <c r="K252" s="703">
        <f>IF(ISBLANK(E_EnergyFlows!K99),"",E_EnergyFlows!K99)</f>
        <v>500</v>
      </c>
      <c r="L252" s="703">
        <f>IF(ISBLANK(E_EnergyFlows!L99),"",E_EnergyFlows!L99)</f>
        <v>500</v>
      </c>
      <c r="M252" s="862">
        <f>IF(ISBLANK(E_EnergyFlows!M99),"",E_EnergyFlows!M99)</f>
        <v>500</v>
      </c>
      <c r="N252" s="7"/>
      <c r="O252" s="20"/>
      <c r="P252" s="430"/>
      <c r="Q252" s="430"/>
      <c r="R252" s="430"/>
      <c r="S252" s="430"/>
      <c r="T252" s="422"/>
    </row>
    <row r="253" spans="1:20" x14ac:dyDescent="0.2">
      <c r="A253" s="430"/>
      <c r="B253" s="20"/>
      <c r="C253" s="195"/>
      <c r="D253" s="195"/>
      <c r="E253" s="1979" t="str">
        <f>IF(ISBLANK(E_EnergyFlows!E100),"",E_EnergyFlows!E100)</f>
        <v/>
      </c>
      <c r="F253" s="1979"/>
      <c r="G253" s="1979"/>
      <c r="H253" s="38" t="str">
        <f>E_EnergyFlows!H100</f>
        <v>TJ / rok</v>
      </c>
      <c r="I253" s="1021" t="str">
        <f>IF(ISBLANK(E_EnergyFlows!I100),"",E_EnergyFlows!I100)</f>
        <v/>
      </c>
      <c r="J253" s="511" t="str">
        <f>IF(ISBLANK(E_EnergyFlows!J100),"",E_EnergyFlows!J100)</f>
        <v/>
      </c>
      <c r="K253" s="511" t="str">
        <f>IF(ISBLANK(E_EnergyFlows!K100),"",E_EnergyFlows!K100)</f>
        <v/>
      </c>
      <c r="L253" s="511" t="str">
        <f>IF(ISBLANK(E_EnergyFlows!L100),"",E_EnergyFlows!L100)</f>
        <v/>
      </c>
      <c r="M253" s="863" t="str">
        <f>IF(ISBLANK(E_EnergyFlows!M100),"",E_EnergyFlows!M100)</f>
        <v/>
      </c>
      <c r="N253" s="7"/>
      <c r="O253" s="20"/>
      <c r="P253" s="430"/>
      <c r="Q253" s="430"/>
      <c r="R253" s="430"/>
      <c r="S253" s="430"/>
      <c r="T253" s="422"/>
    </row>
    <row r="254" spans="1:20" x14ac:dyDescent="0.2">
      <c r="A254" s="430"/>
      <c r="B254" s="20"/>
      <c r="C254" s="195"/>
      <c r="D254" s="195"/>
      <c r="E254" s="1980" t="str">
        <f>IF(ISBLANK(E_EnergyFlows!E101),"",E_EnergyFlows!E101)</f>
        <v/>
      </c>
      <c r="F254" s="1980"/>
      <c r="G254" s="1980"/>
      <c r="H254" s="41" t="str">
        <f>E_EnergyFlows!H101</f>
        <v>TJ / rok</v>
      </c>
      <c r="I254" s="1022" t="str">
        <f>IF(ISBLANK(E_EnergyFlows!I101),"",E_EnergyFlows!I101)</f>
        <v/>
      </c>
      <c r="J254" s="704" t="str">
        <f>IF(ISBLANK(E_EnergyFlows!J101),"",E_EnergyFlows!J101)</f>
        <v/>
      </c>
      <c r="K254" s="704" t="str">
        <f>IF(ISBLANK(E_EnergyFlows!K101),"",E_EnergyFlows!K101)</f>
        <v/>
      </c>
      <c r="L254" s="704" t="str">
        <f>IF(ISBLANK(E_EnergyFlows!L101),"",E_EnergyFlows!L101)</f>
        <v/>
      </c>
      <c r="M254" s="864" t="str">
        <f>IF(ISBLANK(E_EnergyFlows!M101),"",E_EnergyFlows!M101)</f>
        <v/>
      </c>
      <c r="N254" s="7"/>
      <c r="O254" s="20"/>
      <c r="P254" s="430"/>
      <c r="Q254" s="430"/>
      <c r="R254" s="430"/>
      <c r="S254" s="430"/>
      <c r="T254" s="422"/>
    </row>
    <row r="255" spans="1:20" x14ac:dyDescent="0.2">
      <c r="A255" s="430"/>
      <c r="B255" s="20"/>
      <c r="C255" s="195"/>
      <c r="D255" s="195"/>
      <c r="E255" s="1652" t="str">
        <f>E_EnergyFlows!E102</f>
        <v>Suma częściowa</v>
      </c>
      <c r="F255" s="1652"/>
      <c r="G255" s="1652"/>
      <c r="H255" s="52" t="str">
        <f>E_EnergyFlows!H102</f>
        <v>TJ / rok</v>
      </c>
      <c r="I255" s="1019">
        <f>E_EnergyFlows!I102</f>
        <v>500</v>
      </c>
      <c r="J255" s="311">
        <f>E_EnergyFlows!J102</f>
        <v>500</v>
      </c>
      <c r="K255" s="311">
        <f>E_EnergyFlows!K102</f>
        <v>500</v>
      </c>
      <c r="L255" s="311">
        <f>E_EnergyFlows!L102</f>
        <v>500</v>
      </c>
      <c r="M255" s="310">
        <f>E_EnergyFlows!M102</f>
        <v>500</v>
      </c>
      <c r="N255" s="7"/>
      <c r="O255" s="20"/>
      <c r="P255" s="430"/>
      <c r="Q255" s="430"/>
      <c r="R255" s="430"/>
      <c r="S255" s="430"/>
      <c r="T255" s="422"/>
    </row>
    <row r="256" spans="1:20" ht="5.0999999999999996" customHeight="1" x14ac:dyDescent="0.2">
      <c r="A256" s="430"/>
      <c r="B256" s="3"/>
      <c r="C256" s="3"/>
      <c r="D256" s="3"/>
      <c r="E256" s="3"/>
      <c r="F256" s="3"/>
      <c r="G256" s="3"/>
      <c r="H256" s="3"/>
      <c r="I256" s="3"/>
      <c r="J256" s="3"/>
      <c r="K256" s="3"/>
      <c r="L256" s="3"/>
      <c r="M256" s="3"/>
      <c r="N256" s="3"/>
      <c r="O256" s="20"/>
      <c r="P256" s="626"/>
      <c r="Q256" s="430"/>
      <c r="R256" s="430"/>
      <c r="S256" s="430"/>
      <c r="T256" s="422"/>
    </row>
    <row r="257" spans="1:20" x14ac:dyDescent="0.2">
      <c r="A257" s="430"/>
      <c r="B257" s="3"/>
      <c r="C257" s="14"/>
      <c r="D257" s="14" t="str">
        <f>E_EnergyFlows!D104</f>
        <v>(d)</v>
      </c>
      <c r="E257" s="1653" t="str">
        <f>E_EnergyFlows!E104</f>
        <v>Mierzalne ciepło wytworzone z energii elektrycznej</v>
      </c>
      <c r="F257" s="1647"/>
      <c r="G257" s="1647"/>
      <c r="H257" s="1647"/>
      <c r="I257" s="1647"/>
      <c r="J257" s="1647"/>
      <c r="K257" s="1647"/>
      <c r="L257" s="1647"/>
      <c r="M257" s="1647"/>
      <c r="N257" s="1647"/>
      <c r="O257" s="20"/>
      <c r="P257" s="626"/>
      <c r="Q257" s="430"/>
      <c r="R257" s="430"/>
      <c r="S257" s="430"/>
      <c r="T257" s="422"/>
    </row>
    <row r="258" spans="1:20" x14ac:dyDescent="0.2">
      <c r="A258" s="430"/>
      <c r="B258" s="20"/>
      <c r="C258" s="20"/>
      <c r="D258" s="20"/>
      <c r="E258" s="1654" t="str">
        <f>E_EnergyFlows!E107</f>
        <v>Ciepło z energii elektrycznej</v>
      </c>
      <c r="F258" s="1652"/>
      <c r="G258" s="1652"/>
      <c r="H258" s="48" t="str">
        <f>E_EnergyFlows!H107</f>
        <v>TJ / rok</v>
      </c>
      <c r="I258" s="1019" t="str">
        <f>IF(ISBLANK(E_EnergyFlows!I107),"",E_EnergyFlows!I107)</f>
        <v/>
      </c>
      <c r="J258" s="433" t="str">
        <f>IF(ISBLANK(E_EnergyFlows!J107),"",E_EnergyFlows!J107)</f>
        <v/>
      </c>
      <c r="K258" s="433" t="str">
        <f>IF(ISBLANK(E_EnergyFlows!K107),"",E_EnergyFlows!K107)</f>
        <v/>
      </c>
      <c r="L258" s="433" t="str">
        <f>IF(ISBLANK(E_EnergyFlows!L107),"",E_EnergyFlows!L107)</f>
        <v/>
      </c>
      <c r="M258" s="433" t="str">
        <f>IF(ISBLANK(E_EnergyFlows!M107),"",E_EnergyFlows!M107)</f>
        <v/>
      </c>
      <c r="N258" s="7"/>
      <c r="O258" s="20"/>
      <c r="P258" s="430"/>
      <c r="Q258" s="430"/>
      <c r="R258" s="430"/>
      <c r="S258" s="430"/>
      <c r="T258" s="422"/>
    </row>
    <row r="259" spans="1:20" ht="5.0999999999999996" customHeight="1" x14ac:dyDescent="0.2">
      <c r="A259" s="430"/>
      <c r="B259" s="3"/>
      <c r="C259" s="3"/>
      <c r="D259" s="3"/>
      <c r="E259" s="3"/>
      <c r="F259" s="3"/>
      <c r="G259" s="3"/>
      <c r="H259" s="3"/>
      <c r="I259" s="3"/>
      <c r="J259" s="3"/>
      <c r="K259" s="3"/>
      <c r="L259" s="3"/>
      <c r="M259" s="3"/>
      <c r="N259" s="3"/>
      <c r="O259" s="20"/>
      <c r="P259" s="626"/>
      <c r="Q259" s="430"/>
      <c r="R259" s="430"/>
      <c r="S259" s="430"/>
      <c r="T259" s="422"/>
    </row>
    <row r="260" spans="1:20" x14ac:dyDescent="0.2">
      <c r="A260" s="430"/>
      <c r="B260" s="3"/>
      <c r="C260" s="14"/>
      <c r="D260" s="14" t="str">
        <f>E_EnergyFlows!D109</f>
        <v>(e)</v>
      </c>
      <c r="E260" s="1655" t="str">
        <f>E_EnergyFlows!E109</f>
        <v>Suma mierzalnego ciepła dostępnego w instalacji (=a+b+c)</v>
      </c>
      <c r="F260" s="1656"/>
      <c r="G260" s="1656"/>
      <c r="H260" s="1656"/>
      <c r="I260" s="1656"/>
      <c r="J260" s="1656"/>
      <c r="K260" s="1656"/>
      <c r="L260" s="1656"/>
      <c r="M260" s="1656"/>
      <c r="N260" s="1656"/>
      <c r="O260" s="20"/>
      <c r="P260" s="626"/>
      <c r="Q260" s="430"/>
      <c r="R260" s="430"/>
      <c r="S260" s="430"/>
      <c r="T260" s="422"/>
    </row>
    <row r="261" spans="1:20" x14ac:dyDescent="0.2">
      <c r="A261" s="430"/>
      <c r="B261" s="20"/>
      <c r="C261" s="20"/>
      <c r="D261" s="20"/>
      <c r="E261" s="1652" t="str">
        <f>E_EnergyFlows!E110</f>
        <v>Całkowite mierzalne ciepło</v>
      </c>
      <c r="F261" s="1652"/>
      <c r="G261" s="1652"/>
      <c r="H261" s="52" t="str">
        <f>E_EnergyFlows!H110</f>
        <v>TJ / rok</v>
      </c>
      <c r="I261" s="1019">
        <f>E_EnergyFlows!I110</f>
        <v>2819.0669474391434</v>
      </c>
      <c r="J261" s="311">
        <f>E_EnergyFlows!J110</f>
        <v>2706.877448052287</v>
      </c>
      <c r="K261" s="311">
        <f>E_EnergyFlows!K110</f>
        <v>2998.7548923123736</v>
      </c>
      <c r="L261" s="311">
        <f>E_EnergyFlows!L110</f>
        <v>2661.1584218177322</v>
      </c>
      <c r="M261" s="311">
        <f>E_EnergyFlows!M110</f>
        <v>2944.0539244421657</v>
      </c>
      <c r="N261" s="7"/>
      <c r="O261" s="20"/>
      <c r="P261" s="430"/>
      <c r="Q261" s="430"/>
      <c r="R261" s="430"/>
      <c r="S261" s="430"/>
      <c r="T261" s="422"/>
    </row>
    <row r="262" spans="1:20" ht="5.0999999999999996" customHeight="1" x14ac:dyDescent="0.2">
      <c r="A262" s="430"/>
      <c r="B262" s="3"/>
      <c r="C262" s="3"/>
      <c r="D262" s="3"/>
      <c r="E262" s="3"/>
      <c r="F262" s="3"/>
      <c r="G262" s="3"/>
      <c r="H262" s="3"/>
      <c r="I262" s="3"/>
      <c r="J262" s="3"/>
      <c r="K262" s="3"/>
      <c r="L262" s="3"/>
      <c r="M262" s="3"/>
      <c r="N262" s="3"/>
      <c r="O262" s="20"/>
      <c r="P262" s="626"/>
      <c r="Q262" s="430"/>
      <c r="R262" s="430"/>
      <c r="S262" s="430"/>
      <c r="T262" s="422"/>
    </row>
    <row r="263" spans="1:20" x14ac:dyDescent="0.2">
      <c r="A263" s="430"/>
      <c r="B263" s="3"/>
      <c r="C263" s="14"/>
      <c r="D263" s="14" t="str">
        <f>E_EnergyFlows!D112</f>
        <v>(f)</v>
      </c>
      <c r="E263" s="1653" t="str">
        <f>E_EnergyFlows!E112</f>
        <v>Stosunek „ciepła objętego EU ETS” do „całkowitego ciepła”</v>
      </c>
      <c r="F263" s="1647"/>
      <c r="G263" s="1647"/>
      <c r="H263" s="1647"/>
      <c r="I263" s="1647"/>
      <c r="J263" s="1647"/>
      <c r="K263" s="1647"/>
      <c r="L263" s="1647"/>
      <c r="M263" s="1647"/>
      <c r="N263" s="1647"/>
      <c r="O263" s="20"/>
      <c r="P263" s="626"/>
      <c r="Q263" s="430"/>
      <c r="R263" s="430"/>
      <c r="S263" s="430"/>
      <c r="T263" s="422"/>
    </row>
    <row r="264" spans="1:20" x14ac:dyDescent="0.2">
      <c r="A264" s="430"/>
      <c r="B264" s="20"/>
      <c r="C264" s="20"/>
      <c r="D264" s="20"/>
      <c r="E264" s="1652" t="str">
        <f>E_EnergyFlows!E116</f>
        <v>Stosunek wsadu ciepła (a+b) / (a+b+c):</v>
      </c>
      <c r="F264" s="1652"/>
      <c r="G264" s="1652"/>
      <c r="H264" s="52" t="str">
        <f>E_EnergyFlows!H116</f>
        <v>%</v>
      </c>
      <c r="I264" s="1023">
        <f>E_EnergyFlows!I116</f>
        <v>82.26363512032934</v>
      </c>
      <c r="J264" s="308">
        <f>E_EnergyFlows!J116</f>
        <v>81.528532059706976</v>
      </c>
      <c r="K264" s="308">
        <f>E_EnergyFlows!K116</f>
        <v>83.326413196296798</v>
      </c>
      <c r="L264" s="308">
        <f>E_EnergyFlows!L116</f>
        <v>81.211189987762182</v>
      </c>
      <c r="M264" s="308">
        <f>E_EnergyFlows!M116</f>
        <v>83.016615427832591</v>
      </c>
      <c r="N264" s="3"/>
      <c r="O264" s="20"/>
      <c r="P264" s="430"/>
      <c r="Q264" s="430"/>
      <c r="R264" s="430"/>
      <c r="S264" s="430"/>
      <c r="T264" s="422"/>
    </row>
    <row r="265" spans="1:20" ht="5.0999999999999996" customHeight="1" x14ac:dyDescent="0.2">
      <c r="A265" s="430"/>
      <c r="B265" s="3"/>
      <c r="C265" s="3"/>
      <c r="D265" s="3"/>
      <c r="E265" s="3"/>
      <c r="F265" s="3"/>
      <c r="G265" s="3"/>
      <c r="H265" s="3"/>
      <c r="I265" s="3"/>
      <c r="J265" s="3"/>
      <c r="K265" s="3"/>
      <c r="L265" s="3"/>
      <c r="M265" s="3"/>
      <c r="N265" s="3"/>
      <c r="O265" s="20"/>
      <c r="P265" s="626"/>
      <c r="Q265" s="430"/>
      <c r="R265" s="430"/>
      <c r="S265" s="430"/>
      <c r="T265" s="422"/>
    </row>
    <row r="266" spans="1:20" x14ac:dyDescent="0.2">
      <c r="A266" s="430"/>
      <c r="B266" s="3"/>
      <c r="C266" s="14"/>
      <c r="D266" s="14" t="str">
        <f>E_EnergyFlows!D123</f>
        <v>(g)</v>
      </c>
      <c r="E266" s="1653" t="str">
        <f>E_EnergyFlows!E123</f>
        <v>Mierzalne ciepło zużyte do wytworzenia energii elektrycznej w ramach instalacji (niekwalifikujące się do objęcia wskaźnikiem emisyjności opartym na cieple):</v>
      </c>
      <c r="F266" s="1647"/>
      <c r="G266" s="1647"/>
      <c r="H266" s="1647"/>
      <c r="I266" s="1647"/>
      <c r="J266" s="1647"/>
      <c r="K266" s="1647"/>
      <c r="L266" s="1647"/>
      <c r="M266" s="1647"/>
      <c r="N266" s="1647"/>
      <c r="O266" s="20"/>
      <c r="P266" s="626"/>
      <c r="Q266" s="430"/>
      <c r="R266" s="430"/>
      <c r="S266" s="430"/>
      <c r="T266" s="422"/>
    </row>
    <row r="267" spans="1:20" x14ac:dyDescent="0.2">
      <c r="A267" s="430"/>
      <c r="B267" s="20"/>
      <c r="C267" s="20"/>
      <c r="D267" s="20"/>
      <c r="E267" s="25"/>
      <c r="F267" s="22"/>
      <c r="G267" s="22"/>
      <c r="H267" s="34"/>
      <c r="I267" s="396">
        <f>E_EnergyFlows!I126</f>
        <v>2014</v>
      </c>
      <c r="J267" s="396">
        <f>E_EnergyFlows!J126</f>
        <v>2015</v>
      </c>
      <c r="K267" s="396">
        <f>E_EnergyFlows!K126</f>
        <v>2016</v>
      </c>
      <c r="L267" s="396">
        <f>E_EnergyFlows!L126</f>
        <v>2017</v>
      </c>
      <c r="M267" s="396">
        <f>E_EnergyFlows!M126</f>
        <v>2018</v>
      </c>
      <c r="N267" s="7"/>
      <c r="O267" s="20"/>
      <c r="P267" s="430"/>
      <c r="Q267" s="430"/>
      <c r="R267" s="430"/>
      <c r="S267" s="430"/>
      <c r="T267" s="422"/>
    </row>
    <row r="268" spans="1:20" ht="25.5" customHeight="1" x14ac:dyDescent="0.2">
      <c r="A268" s="430"/>
      <c r="B268" s="20"/>
      <c r="C268" s="195"/>
      <c r="D268" s="195"/>
      <c r="E268" s="1652" t="str">
        <f>E_EnergyFlows!E127</f>
        <v>Ciepło wykorzystane do wytworzenia energii elektrycznej</v>
      </c>
      <c r="F268" s="1652"/>
      <c r="G268" s="1652"/>
      <c r="H268" s="52" t="str">
        <f>E_EnergyFlows!H127</f>
        <v>TJ / rok</v>
      </c>
      <c r="I268" s="1019" t="str">
        <f>IF(ISBLANK(E_EnergyFlows!I127),"",E_EnergyFlows!I127)</f>
        <v/>
      </c>
      <c r="J268" s="433" t="str">
        <f>IF(ISBLANK(E_EnergyFlows!J127),"",E_EnergyFlows!J127)</f>
        <v/>
      </c>
      <c r="K268" s="433" t="str">
        <f>IF(ISBLANK(E_EnergyFlows!K127),"",E_EnergyFlows!K127)</f>
        <v/>
      </c>
      <c r="L268" s="433" t="str">
        <f>IF(ISBLANK(E_EnergyFlows!L127),"",E_EnergyFlows!L127)</f>
        <v/>
      </c>
      <c r="M268" s="433" t="str">
        <f>IF(ISBLANK(E_EnergyFlows!M127),"",E_EnergyFlows!M127)</f>
        <v/>
      </c>
      <c r="N268" s="7"/>
      <c r="O268" s="20"/>
      <c r="P268" s="626"/>
      <c r="Q268" s="626"/>
      <c r="R268" s="626"/>
      <c r="S268" s="626"/>
      <c r="T268" s="422"/>
    </row>
    <row r="269" spans="1:20" x14ac:dyDescent="0.2">
      <c r="A269" s="430"/>
      <c r="B269" s="20"/>
      <c r="C269" s="195"/>
      <c r="D269" s="195"/>
      <c r="E269" s="1652" t="str">
        <f>E_EnergyFlows!E128</f>
        <v>Ilość ciepła ze źródeł nieobjętych EU ETS</v>
      </c>
      <c r="F269" s="1652"/>
      <c r="G269" s="1652"/>
      <c r="H269" s="194" t="str">
        <f>E_EnergyFlows!H128</f>
        <v>TJ / rok</v>
      </c>
      <c r="I269" s="1023" t="str">
        <f>E_EnergyFlows!I128</f>
        <v/>
      </c>
      <c r="J269" s="308" t="str">
        <f>E_EnergyFlows!J128</f>
        <v/>
      </c>
      <c r="K269" s="308" t="str">
        <f>E_EnergyFlows!K128</f>
        <v/>
      </c>
      <c r="L269" s="308" t="str">
        <f>E_EnergyFlows!L128</f>
        <v/>
      </c>
      <c r="M269" s="308" t="str">
        <f>E_EnergyFlows!M128</f>
        <v/>
      </c>
      <c r="N269" s="7"/>
      <c r="O269" s="20"/>
      <c r="P269" s="626"/>
      <c r="Q269" s="626"/>
      <c r="R269" s="626"/>
      <c r="S269" s="626"/>
      <c r="T269" s="422"/>
    </row>
    <row r="270" spans="1:20" x14ac:dyDescent="0.2">
      <c r="A270" s="430"/>
      <c r="B270" s="20"/>
      <c r="C270" s="195"/>
      <c r="D270" s="195"/>
      <c r="E270" s="1652" t="str">
        <f>E_EnergyFlows!E129</f>
        <v>Ręczna zmiana w ppkt (ii)</v>
      </c>
      <c r="F270" s="1652"/>
      <c r="G270" s="1652"/>
      <c r="H270" s="194" t="str">
        <f>E_EnergyFlows!H129</f>
        <v>TJ / rok</v>
      </c>
      <c r="I270" s="1019" t="str">
        <f>IF(ISBLANK(E_EnergyFlows!I129),"",E_EnergyFlows!I129)</f>
        <v/>
      </c>
      <c r="J270" s="433" t="str">
        <f>IF(ISBLANK(E_EnergyFlows!J129),"",E_EnergyFlows!J129)</f>
        <v/>
      </c>
      <c r="K270" s="433" t="str">
        <f>IF(ISBLANK(E_EnergyFlows!K129),"",E_EnergyFlows!K129)</f>
        <v/>
      </c>
      <c r="L270" s="433" t="str">
        <f>IF(ISBLANK(E_EnergyFlows!L129),"",E_EnergyFlows!L129)</f>
        <v/>
      </c>
      <c r="M270" s="433" t="str">
        <f>IF(ISBLANK(E_EnergyFlows!M129),"",E_EnergyFlows!M129)</f>
        <v/>
      </c>
      <c r="N270" s="7"/>
      <c r="O270" s="20"/>
      <c r="P270" s="626"/>
      <c r="Q270" s="626"/>
      <c r="R270" s="626"/>
      <c r="S270" s="626"/>
      <c r="T270" s="422"/>
    </row>
    <row r="271" spans="1:20" ht="5.0999999999999996" customHeight="1" x14ac:dyDescent="0.2">
      <c r="A271" s="430"/>
      <c r="B271" s="3"/>
      <c r="C271" s="3"/>
      <c r="D271" s="3"/>
      <c r="E271" s="3"/>
      <c r="F271" s="3"/>
      <c r="G271" s="3"/>
      <c r="H271" s="3"/>
      <c r="I271" s="3"/>
      <c r="J271" s="3"/>
      <c r="K271" s="3"/>
      <c r="L271" s="3"/>
      <c r="M271" s="3"/>
      <c r="N271" s="3"/>
      <c r="O271" s="20"/>
      <c r="P271" s="626"/>
      <c r="Q271" s="626"/>
      <c r="R271" s="626"/>
      <c r="S271" s="626"/>
      <c r="T271" s="422"/>
    </row>
    <row r="272" spans="1:20" x14ac:dyDescent="0.2">
      <c r="A272" s="430"/>
      <c r="B272" s="3"/>
      <c r="C272" s="14"/>
      <c r="D272" s="14" t="str">
        <f>E_EnergyFlows!D131</f>
        <v>(h)</v>
      </c>
      <c r="E272" s="1653" t="str">
        <f>E_EnergyFlows!E131</f>
        <v>Mierzalne ciepło zużyte do celów podinstalacji objętych wskaźnikiem emisyjności dla produktów w ramach instalacji (niekwalifikujące się do objęcia wskaźnikiem emisyjności opartym na cieple):</v>
      </c>
      <c r="F272" s="1647"/>
      <c r="G272" s="1647"/>
      <c r="H272" s="1647"/>
      <c r="I272" s="1647"/>
      <c r="J272" s="1647"/>
      <c r="K272" s="1647"/>
      <c r="L272" s="1647"/>
      <c r="M272" s="1647"/>
      <c r="N272" s="1647"/>
      <c r="O272" s="20"/>
      <c r="P272" s="626"/>
      <c r="Q272" s="626"/>
      <c r="R272" s="626"/>
      <c r="S272" s="626"/>
      <c r="T272" s="422"/>
    </row>
    <row r="273" spans="1:20" x14ac:dyDescent="0.2">
      <c r="A273" s="430"/>
      <c r="B273" s="20"/>
      <c r="C273" s="20"/>
      <c r="D273" s="20"/>
      <c r="E273" s="25"/>
      <c r="F273" s="22"/>
      <c r="G273" s="22"/>
      <c r="H273" s="34" t="str">
        <f>E_EnergyFlows!H134</f>
        <v>Jednostka</v>
      </c>
      <c r="I273" s="396">
        <f>E_EnergyFlows!I134</f>
        <v>2014</v>
      </c>
      <c r="J273" s="396">
        <f>E_EnergyFlows!J134</f>
        <v>2015</v>
      </c>
      <c r="K273" s="396">
        <f>E_EnergyFlows!K134</f>
        <v>2016</v>
      </c>
      <c r="L273" s="396">
        <f>E_EnergyFlows!L134</f>
        <v>2017</v>
      </c>
      <c r="M273" s="396">
        <f>E_EnergyFlows!M134</f>
        <v>2018</v>
      </c>
      <c r="N273" s="7"/>
      <c r="O273" s="20"/>
      <c r="P273" s="626"/>
      <c r="Q273" s="626"/>
      <c r="R273" s="626"/>
      <c r="S273" s="626"/>
      <c r="T273" s="422"/>
    </row>
    <row r="274" spans="1:20" ht="12.75" customHeight="1" x14ac:dyDescent="0.2">
      <c r="A274" s="430"/>
      <c r="B274" s="20"/>
      <c r="C274" s="20"/>
      <c r="D274" s="425"/>
      <c r="E274" s="1648" t="str">
        <f>E_EnergyFlows!E135</f>
        <v/>
      </c>
      <c r="F274" s="1648"/>
      <c r="G274" s="1648"/>
      <c r="H274" s="434" t="str">
        <f>E_EnergyFlows!H135</f>
        <v>TJ / rok</v>
      </c>
      <c r="I274" s="1020" t="str">
        <f>IF(ISBLANK(E_EnergyFlows!I135),"",E_EnergyFlows!I135)</f>
        <v/>
      </c>
      <c r="J274" s="703" t="str">
        <f>IF(ISBLANK(E_EnergyFlows!J135),"",E_EnergyFlows!J135)</f>
        <v/>
      </c>
      <c r="K274" s="703" t="str">
        <f>IF(ISBLANK(E_EnergyFlows!K135),"",E_EnergyFlows!K135)</f>
        <v/>
      </c>
      <c r="L274" s="703" t="str">
        <f>IF(ISBLANK(E_EnergyFlows!L135),"",E_EnergyFlows!L135)</f>
        <v/>
      </c>
      <c r="M274" s="703" t="str">
        <f>IF(ISBLANK(E_EnergyFlows!M135),"",E_EnergyFlows!M135)</f>
        <v/>
      </c>
      <c r="N274" s="7"/>
      <c r="O274" s="20"/>
      <c r="P274" s="626"/>
      <c r="Q274" s="626"/>
      <c r="R274" s="626"/>
      <c r="S274" s="626"/>
      <c r="T274" s="422"/>
    </row>
    <row r="275" spans="1:20" x14ac:dyDescent="0.2">
      <c r="A275" s="430"/>
      <c r="B275" s="20"/>
      <c r="C275" s="20"/>
      <c r="D275" s="425"/>
      <c r="E275" s="1648" t="str">
        <f>E_EnergyFlows!E136</f>
        <v/>
      </c>
      <c r="F275" s="1648"/>
      <c r="G275" s="1648"/>
      <c r="H275" s="435" t="str">
        <f>E_EnergyFlows!H136</f>
        <v>TJ / rok</v>
      </c>
      <c r="I275" s="1021" t="str">
        <f>IF(ISBLANK(E_EnergyFlows!I136),"",E_EnergyFlows!I136)</f>
        <v/>
      </c>
      <c r="J275" s="511" t="str">
        <f>IF(ISBLANK(E_EnergyFlows!J136),"",E_EnergyFlows!J136)</f>
        <v/>
      </c>
      <c r="K275" s="511" t="str">
        <f>IF(ISBLANK(E_EnergyFlows!K136),"",E_EnergyFlows!K136)</f>
        <v/>
      </c>
      <c r="L275" s="511" t="str">
        <f>IF(ISBLANK(E_EnergyFlows!L136),"",E_EnergyFlows!L136)</f>
        <v/>
      </c>
      <c r="M275" s="511" t="str">
        <f>IF(ISBLANK(E_EnergyFlows!M136),"",E_EnergyFlows!M136)</f>
        <v/>
      </c>
      <c r="N275" s="7"/>
      <c r="O275" s="20"/>
      <c r="P275" s="626"/>
      <c r="Q275" s="626"/>
      <c r="R275" s="626"/>
      <c r="S275" s="626"/>
      <c r="T275" s="422"/>
    </row>
    <row r="276" spans="1:20" ht="12.75" customHeight="1" x14ac:dyDescent="0.2">
      <c r="A276" s="430"/>
      <c r="B276" s="20"/>
      <c r="C276" s="20"/>
      <c r="D276" s="425"/>
      <c r="E276" s="1648" t="str">
        <f>E_EnergyFlows!E137</f>
        <v/>
      </c>
      <c r="F276" s="1648"/>
      <c r="G276" s="1648"/>
      <c r="H276" s="435" t="str">
        <f>E_EnergyFlows!H137</f>
        <v>TJ / rok</v>
      </c>
      <c r="I276" s="1021" t="str">
        <f>IF(ISBLANK(E_EnergyFlows!I137),"",E_EnergyFlows!I137)</f>
        <v/>
      </c>
      <c r="J276" s="511" t="str">
        <f>IF(ISBLANK(E_EnergyFlows!J137),"",E_EnergyFlows!J137)</f>
        <v/>
      </c>
      <c r="K276" s="511" t="str">
        <f>IF(ISBLANK(E_EnergyFlows!K137),"",E_EnergyFlows!K137)</f>
        <v/>
      </c>
      <c r="L276" s="511" t="str">
        <f>IF(ISBLANK(E_EnergyFlows!L137),"",E_EnergyFlows!L137)</f>
        <v/>
      </c>
      <c r="M276" s="511" t="str">
        <f>IF(ISBLANK(E_EnergyFlows!M137),"",E_EnergyFlows!M137)</f>
        <v/>
      </c>
      <c r="N276" s="7"/>
      <c r="O276" s="20"/>
      <c r="P276" s="626"/>
      <c r="Q276" s="626"/>
      <c r="R276" s="626"/>
      <c r="S276" s="626"/>
      <c r="T276" s="422"/>
    </row>
    <row r="277" spans="1:20" x14ac:dyDescent="0.2">
      <c r="A277" s="430"/>
      <c r="B277" s="20"/>
      <c r="C277" s="20"/>
      <c r="D277" s="425"/>
      <c r="E277" s="1648" t="str">
        <f>E_EnergyFlows!E138</f>
        <v/>
      </c>
      <c r="F277" s="1648"/>
      <c r="G277" s="1648"/>
      <c r="H277" s="435" t="str">
        <f>E_EnergyFlows!H138</f>
        <v>TJ / rok</v>
      </c>
      <c r="I277" s="1021" t="str">
        <f>IF(ISBLANK(E_EnergyFlows!I138),"",E_EnergyFlows!I138)</f>
        <v/>
      </c>
      <c r="J277" s="511" t="str">
        <f>IF(ISBLANK(E_EnergyFlows!J138),"",E_EnergyFlows!J138)</f>
        <v/>
      </c>
      <c r="K277" s="511" t="str">
        <f>IF(ISBLANK(E_EnergyFlows!K138),"",E_EnergyFlows!K138)</f>
        <v/>
      </c>
      <c r="L277" s="511" t="str">
        <f>IF(ISBLANK(E_EnergyFlows!L138),"",E_EnergyFlows!L138)</f>
        <v/>
      </c>
      <c r="M277" s="511" t="str">
        <f>IF(ISBLANK(E_EnergyFlows!M138),"",E_EnergyFlows!M138)</f>
        <v/>
      </c>
      <c r="N277" s="7"/>
      <c r="O277" s="20"/>
      <c r="P277" s="626"/>
      <c r="Q277" s="626"/>
      <c r="R277" s="626"/>
      <c r="S277" s="626"/>
      <c r="T277" s="422"/>
    </row>
    <row r="278" spans="1:20" x14ac:dyDescent="0.2">
      <c r="A278" s="430"/>
      <c r="B278" s="20"/>
      <c r="C278" s="20"/>
      <c r="D278" s="425"/>
      <c r="E278" s="1648" t="str">
        <f>E_EnergyFlows!E139</f>
        <v/>
      </c>
      <c r="F278" s="1648"/>
      <c r="G278" s="1648"/>
      <c r="H278" s="435" t="str">
        <f>E_EnergyFlows!H139</f>
        <v>TJ / rok</v>
      </c>
      <c r="I278" s="1021" t="str">
        <f>IF(ISBLANK(E_EnergyFlows!I139),"",E_EnergyFlows!I139)</f>
        <v/>
      </c>
      <c r="J278" s="511" t="str">
        <f>IF(ISBLANK(E_EnergyFlows!J139),"",E_EnergyFlows!J139)</f>
        <v/>
      </c>
      <c r="K278" s="511" t="str">
        <f>IF(ISBLANK(E_EnergyFlows!K139),"",E_EnergyFlows!K139)</f>
        <v/>
      </c>
      <c r="L278" s="511" t="str">
        <f>IF(ISBLANK(E_EnergyFlows!L139),"",E_EnergyFlows!L139)</f>
        <v/>
      </c>
      <c r="M278" s="511" t="str">
        <f>IF(ISBLANK(E_EnergyFlows!M139),"",E_EnergyFlows!M139)</f>
        <v/>
      </c>
      <c r="N278" s="7"/>
      <c r="O278" s="20"/>
      <c r="P278" s="626"/>
      <c r="Q278" s="626"/>
      <c r="R278" s="626"/>
      <c r="S278" s="626"/>
      <c r="T278" s="422"/>
    </row>
    <row r="279" spans="1:20" x14ac:dyDescent="0.2">
      <c r="A279" s="430"/>
      <c r="B279" s="20"/>
      <c r="C279" s="20"/>
      <c r="D279" s="425"/>
      <c r="E279" s="1648" t="str">
        <f>E_EnergyFlows!E140</f>
        <v/>
      </c>
      <c r="F279" s="1648"/>
      <c r="G279" s="1648"/>
      <c r="H279" s="435" t="str">
        <f>E_EnergyFlows!H140</f>
        <v>TJ / rok</v>
      </c>
      <c r="I279" s="1021" t="str">
        <f>IF(ISBLANK(E_EnergyFlows!I140),"",E_EnergyFlows!I140)</f>
        <v/>
      </c>
      <c r="J279" s="511" t="str">
        <f>IF(ISBLANK(E_EnergyFlows!J140),"",E_EnergyFlows!J140)</f>
        <v/>
      </c>
      <c r="K279" s="511" t="str">
        <f>IF(ISBLANK(E_EnergyFlows!K140),"",E_EnergyFlows!K140)</f>
        <v/>
      </c>
      <c r="L279" s="511" t="str">
        <f>IF(ISBLANK(E_EnergyFlows!L140),"",E_EnergyFlows!L140)</f>
        <v/>
      </c>
      <c r="M279" s="511" t="str">
        <f>IF(ISBLANK(E_EnergyFlows!M140),"",E_EnergyFlows!M140)</f>
        <v/>
      </c>
      <c r="N279" s="7"/>
      <c r="O279" s="20"/>
      <c r="P279" s="626"/>
      <c r="Q279" s="626"/>
      <c r="R279" s="626"/>
      <c r="S279" s="626"/>
      <c r="T279" s="422"/>
    </row>
    <row r="280" spans="1:20" x14ac:dyDescent="0.2">
      <c r="A280" s="430"/>
      <c r="B280" s="20"/>
      <c r="C280" s="20"/>
      <c r="D280" s="425"/>
      <c r="E280" s="1648" t="str">
        <f>E_EnergyFlows!E141</f>
        <v/>
      </c>
      <c r="F280" s="1648"/>
      <c r="G280" s="1648"/>
      <c r="H280" s="435" t="str">
        <f>E_EnergyFlows!H141</f>
        <v>TJ / rok</v>
      </c>
      <c r="I280" s="1021" t="str">
        <f>IF(ISBLANK(E_EnergyFlows!I141),"",E_EnergyFlows!I141)</f>
        <v/>
      </c>
      <c r="J280" s="511" t="str">
        <f>IF(ISBLANK(E_EnergyFlows!J141),"",E_EnergyFlows!J141)</f>
        <v/>
      </c>
      <c r="K280" s="511" t="str">
        <f>IF(ISBLANK(E_EnergyFlows!K141),"",E_EnergyFlows!K141)</f>
        <v/>
      </c>
      <c r="L280" s="511" t="str">
        <f>IF(ISBLANK(E_EnergyFlows!L141),"",E_EnergyFlows!L141)</f>
        <v/>
      </c>
      <c r="M280" s="511" t="str">
        <f>IF(ISBLANK(E_EnergyFlows!M141),"",E_EnergyFlows!M141)</f>
        <v/>
      </c>
      <c r="N280" s="7"/>
      <c r="O280" s="20"/>
      <c r="P280" s="626"/>
      <c r="Q280" s="626"/>
      <c r="R280" s="626"/>
      <c r="S280" s="626"/>
      <c r="T280" s="422"/>
    </row>
    <row r="281" spans="1:20" x14ac:dyDescent="0.2">
      <c r="A281" s="430"/>
      <c r="B281" s="20"/>
      <c r="C281" s="20"/>
      <c r="D281" s="425"/>
      <c r="E281" s="1648" t="str">
        <f>E_EnergyFlows!E142</f>
        <v/>
      </c>
      <c r="F281" s="1648"/>
      <c r="G281" s="1648"/>
      <c r="H281" s="435" t="str">
        <f>E_EnergyFlows!H142</f>
        <v>TJ / rok</v>
      </c>
      <c r="I281" s="1021" t="str">
        <f>IF(ISBLANK(E_EnergyFlows!I142),"",E_EnergyFlows!I142)</f>
        <v/>
      </c>
      <c r="J281" s="511" t="str">
        <f>IF(ISBLANK(E_EnergyFlows!J142),"",E_EnergyFlows!J142)</f>
        <v/>
      </c>
      <c r="K281" s="511" t="str">
        <f>IF(ISBLANK(E_EnergyFlows!K142),"",E_EnergyFlows!K142)</f>
        <v/>
      </c>
      <c r="L281" s="511" t="str">
        <f>IF(ISBLANK(E_EnergyFlows!L142),"",E_EnergyFlows!L142)</f>
        <v/>
      </c>
      <c r="M281" s="511" t="str">
        <f>IF(ISBLANK(E_EnergyFlows!M142),"",E_EnergyFlows!M142)</f>
        <v/>
      </c>
      <c r="N281" s="7"/>
      <c r="O281" s="20"/>
      <c r="P281" s="626"/>
      <c r="Q281" s="626"/>
      <c r="R281" s="626"/>
      <c r="S281" s="626"/>
      <c r="T281" s="422"/>
    </row>
    <row r="282" spans="1:20" x14ac:dyDescent="0.2">
      <c r="A282" s="430"/>
      <c r="B282" s="20"/>
      <c r="C282" s="20"/>
      <c r="D282" s="425"/>
      <c r="E282" s="1648" t="str">
        <f>E_EnergyFlows!E143</f>
        <v/>
      </c>
      <c r="F282" s="1648"/>
      <c r="G282" s="1648"/>
      <c r="H282" s="435" t="str">
        <f>E_EnergyFlows!H143</f>
        <v>TJ / rok</v>
      </c>
      <c r="I282" s="1021" t="str">
        <f>IF(ISBLANK(E_EnergyFlows!I143),"",E_EnergyFlows!I143)</f>
        <v/>
      </c>
      <c r="J282" s="511" t="str">
        <f>IF(ISBLANK(E_EnergyFlows!J143),"",E_EnergyFlows!J143)</f>
        <v/>
      </c>
      <c r="K282" s="511" t="str">
        <f>IF(ISBLANK(E_EnergyFlows!K143),"",E_EnergyFlows!K143)</f>
        <v/>
      </c>
      <c r="L282" s="511" t="str">
        <f>IF(ISBLANK(E_EnergyFlows!L143),"",E_EnergyFlows!L143)</f>
        <v/>
      </c>
      <c r="M282" s="511" t="str">
        <f>IF(ISBLANK(E_EnergyFlows!M143),"",E_EnergyFlows!M143)</f>
        <v/>
      </c>
      <c r="N282" s="7"/>
      <c r="O282" s="20"/>
      <c r="P282" s="626"/>
      <c r="Q282" s="626"/>
      <c r="R282" s="626"/>
      <c r="S282" s="626"/>
      <c r="T282" s="422"/>
    </row>
    <row r="283" spans="1:20" x14ac:dyDescent="0.2">
      <c r="A283" s="430"/>
      <c r="B283" s="20"/>
      <c r="C283" s="20"/>
      <c r="D283" s="425"/>
      <c r="E283" s="1649" t="str">
        <f>E_EnergyFlows!E144</f>
        <v/>
      </c>
      <c r="F283" s="1649"/>
      <c r="G283" s="1649"/>
      <c r="H283" s="436" t="str">
        <f>E_EnergyFlows!H144</f>
        <v>TJ / rok</v>
      </c>
      <c r="I283" s="1022" t="str">
        <f>IF(ISBLANK(E_EnergyFlows!I144),"",E_EnergyFlows!I144)</f>
        <v/>
      </c>
      <c r="J283" s="704" t="str">
        <f>IF(ISBLANK(E_EnergyFlows!J144),"",E_EnergyFlows!J144)</f>
        <v/>
      </c>
      <c r="K283" s="704" t="str">
        <f>IF(ISBLANK(E_EnergyFlows!K144),"",E_EnergyFlows!K144)</f>
        <v/>
      </c>
      <c r="L283" s="704" t="str">
        <f>IF(ISBLANK(E_EnergyFlows!L144),"",E_EnergyFlows!L144)</f>
        <v/>
      </c>
      <c r="M283" s="704" t="str">
        <f>IF(ISBLANK(E_EnergyFlows!M144),"",E_EnergyFlows!M144)</f>
        <v/>
      </c>
      <c r="N283" s="7"/>
      <c r="O283" s="20"/>
      <c r="P283" s="626"/>
      <c r="Q283" s="626"/>
      <c r="R283" s="626"/>
      <c r="S283" s="626"/>
      <c r="T283" s="422"/>
    </row>
    <row r="284" spans="1:20" ht="12.75" customHeight="1" x14ac:dyDescent="0.2">
      <c r="A284" s="430"/>
      <c r="B284" s="20"/>
      <c r="C284" s="195"/>
      <c r="D284" s="425"/>
      <c r="E284" s="1652" t="str">
        <f>E_EnergyFlows!E145</f>
        <v>Suma częściowa</v>
      </c>
      <c r="F284" s="1652"/>
      <c r="G284" s="1652"/>
      <c r="H284" s="41" t="str">
        <f>E_EnergyFlows!H145</f>
        <v>TJ / rok</v>
      </c>
      <c r="I284" s="1019" t="str">
        <f>E_EnergyFlows!I145</f>
        <v/>
      </c>
      <c r="J284" s="433" t="str">
        <f>E_EnergyFlows!J145</f>
        <v/>
      </c>
      <c r="K284" s="433" t="str">
        <f>E_EnergyFlows!K145</f>
        <v/>
      </c>
      <c r="L284" s="433" t="str">
        <f>E_EnergyFlows!L145</f>
        <v/>
      </c>
      <c r="M284" s="433" t="str">
        <f>E_EnergyFlows!M145</f>
        <v/>
      </c>
      <c r="N284" s="7"/>
      <c r="O284" s="20"/>
      <c r="P284" s="626"/>
      <c r="Q284" s="626"/>
      <c r="R284" s="626"/>
      <c r="S284" s="626"/>
      <c r="T284" s="422"/>
    </row>
    <row r="285" spans="1:20" ht="5.0999999999999996" customHeight="1" x14ac:dyDescent="0.2">
      <c r="A285" s="430"/>
      <c r="B285" s="3"/>
      <c r="C285" s="3"/>
      <c r="D285" s="3"/>
      <c r="E285" s="3"/>
      <c r="F285" s="3"/>
      <c r="G285" s="3"/>
      <c r="H285" s="3"/>
      <c r="I285" s="3"/>
      <c r="J285" s="3"/>
      <c r="K285" s="3"/>
      <c r="L285" s="3"/>
      <c r="M285" s="3"/>
      <c r="N285" s="3"/>
      <c r="O285" s="20"/>
      <c r="P285" s="626"/>
      <c r="Q285" s="626"/>
      <c r="R285" s="626"/>
      <c r="S285" s="626"/>
      <c r="T285" s="422"/>
    </row>
    <row r="286" spans="1:20" x14ac:dyDescent="0.2">
      <c r="A286" s="430"/>
      <c r="B286" s="20"/>
      <c r="C286" s="20"/>
      <c r="D286" s="20"/>
      <c r="E286" s="1650" t="str">
        <f>E_EnergyFlows!E147</f>
        <v>Wartości podane w arkuszu „F_ProductBM”:</v>
      </c>
      <c r="F286" s="1651"/>
      <c r="G286" s="1651"/>
      <c r="H286" s="1651"/>
      <c r="I286" s="1651"/>
      <c r="J286" s="1651"/>
      <c r="K286" s="1651"/>
      <c r="L286" s="1651"/>
      <c r="M286" s="1651"/>
      <c r="N286" s="1656"/>
      <c r="O286" s="20"/>
      <c r="P286" s="626"/>
      <c r="Q286" s="626"/>
      <c r="R286" s="626"/>
      <c r="S286" s="626"/>
      <c r="T286" s="422"/>
    </row>
    <row r="287" spans="1:20" x14ac:dyDescent="0.2">
      <c r="A287" s="430"/>
      <c r="B287" s="20"/>
      <c r="C287" s="195"/>
      <c r="D287" s="425"/>
      <c r="E287" s="1652" t="str">
        <f>E_EnergyFlows!E148</f>
        <v>Ilość ciepła ze źródeł nieobjętych EU ETS</v>
      </c>
      <c r="F287" s="1652"/>
      <c r="G287" s="1652"/>
      <c r="H287" s="194" t="str">
        <f>E_EnergyFlows!H148</f>
        <v>TJ / rok</v>
      </c>
      <c r="I287" s="1023" t="str">
        <f>E_EnergyFlows!I148</f>
        <v/>
      </c>
      <c r="J287" s="308" t="str">
        <f>E_EnergyFlows!J148</f>
        <v/>
      </c>
      <c r="K287" s="308" t="str">
        <f>E_EnergyFlows!K148</f>
        <v/>
      </c>
      <c r="L287" s="308" t="str">
        <f>E_EnergyFlows!L148</f>
        <v/>
      </c>
      <c r="M287" s="308" t="str">
        <f>E_EnergyFlows!M148</f>
        <v/>
      </c>
      <c r="N287" s="26"/>
      <c r="O287" s="20"/>
      <c r="P287" s="430"/>
      <c r="Q287" s="430"/>
      <c r="R287" s="430"/>
      <c r="S287" s="430"/>
      <c r="T287" s="422"/>
    </row>
    <row r="288" spans="1:20" ht="5.0999999999999996" customHeight="1" x14ac:dyDescent="0.2">
      <c r="A288" s="430"/>
      <c r="B288" s="3"/>
      <c r="C288" s="3"/>
      <c r="D288" s="3"/>
      <c r="E288" s="3"/>
      <c r="F288" s="3"/>
      <c r="G288" s="3"/>
      <c r="H288" s="3"/>
      <c r="I288" s="3"/>
      <c r="J288" s="3"/>
      <c r="K288" s="3"/>
      <c r="L288" s="3"/>
      <c r="M288" s="3"/>
      <c r="N288" s="7"/>
      <c r="O288" s="20"/>
      <c r="P288" s="626"/>
      <c r="Q288" s="430"/>
      <c r="R288" s="430"/>
      <c r="S288" s="430"/>
      <c r="T288" s="422"/>
    </row>
    <row r="289" spans="1:20" x14ac:dyDescent="0.2">
      <c r="A289" s="430"/>
      <c r="B289" s="20"/>
      <c r="C289" s="20"/>
      <c r="D289" s="20"/>
      <c r="E289" s="1650" t="str">
        <f>E_EnergyFlows!E154</f>
        <v>Ciepło nieobjęte EU ETS podane w arkuszu „F_ProductBM” w stosunku do całkowitej ilości ciepła dla wszystkich wskaźników emisyjności dla produktów:</v>
      </c>
      <c r="F289" s="1651"/>
      <c r="G289" s="1651"/>
      <c r="H289" s="1651"/>
      <c r="I289" s="1651"/>
      <c r="J289" s="1651"/>
      <c r="K289" s="1651"/>
      <c r="L289" s="1651"/>
      <c r="M289" s="1651"/>
      <c r="N289" s="1656"/>
      <c r="O289" s="20"/>
      <c r="P289" s="430"/>
      <c r="Q289" s="430"/>
      <c r="R289" s="430"/>
      <c r="S289" s="430"/>
      <c r="T289" s="422"/>
    </row>
    <row r="290" spans="1:20" x14ac:dyDescent="0.2">
      <c r="A290" s="430"/>
      <c r="B290" s="20"/>
      <c r="C290" s="195"/>
      <c r="D290" s="425"/>
      <c r="E290" s="1654" t="str">
        <f>E_EnergyFlows!E155</f>
        <v>Ppkt (xii) w odniesieniu do ppkt (xi):</v>
      </c>
      <c r="F290" s="1652"/>
      <c r="G290" s="1652"/>
      <c r="H290" s="52" t="str">
        <f>E_EnergyFlows!H155</f>
        <v>%</v>
      </c>
      <c r="I290" s="1023" t="str">
        <f>E_EnergyFlows!I155</f>
        <v/>
      </c>
      <c r="J290" s="308" t="str">
        <f>E_EnergyFlows!J155</f>
        <v/>
      </c>
      <c r="K290" s="308" t="str">
        <f>E_EnergyFlows!K155</f>
        <v/>
      </c>
      <c r="L290" s="308" t="str">
        <f>E_EnergyFlows!L155</f>
        <v/>
      </c>
      <c r="M290" s="308" t="str">
        <f>E_EnergyFlows!M155</f>
        <v/>
      </c>
      <c r="N290" s="26"/>
      <c r="O290" s="20"/>
      <c r="P290" s="430"/>
      <c r="Q290" s="430"/>
      <c r="R290" s="430"/>
      <c r="S290" s="430"/>
      <c r="T290" s="422"/>
    </row>
    <row r="291" spans="1:20" ht="5.0999999999999996" customHeight="1" x14ac:dyDescent="0.2">
      <c r="A291" s="430"/>
      <c r="B291" s="3"/>
      <c r="C291" s="343"/>
      <c r="D291" s="343"/>
      <c r="E291" s="3"/>
      <c r="F291" s="3"/>
      <c r="G291" s="3"/>
      <c r="H291" s="3"/>
      <c r="I291" s="3"/>
      <c r="J291" s="3"/>
      <c r="K291" s="3"/>
      <c r="L291" s="3"/>
      <c r="M291" s="3"/>
      <c r="N291" s="3"/>
      <c r="O291" s="20"/>
      <c r="P291" s="626"/>
      <c r="Q291" s="430"/>
      <c r="R291" s="430"/>
      <c r="S291" s="430"/>
      <c r="T291" s="422"/>
    </row>
    <row r="292" spans="1:20" x14ac:dyDescent="0.2">
      <c r="A292" s="430"/>
      <c r="B292" s="20"/>
      <c r="C292" s="195"/>
      <c r="D292" s="195"/>
      <c r="E292" s="1650" t="str">
        <f>E_EnergyFlows!E157</f>
        <v>Ciepło nieobjęte EU ETS podane w arkuszu „F_ProductBM” w stosunku do całkowitej ilości wprowadzeń ciepła nieobjętego ETS podanej powyżej w lit. c):</v>
      </c>
      <c r="F292" s="1651"/>
      <c r="G292" s="1651"/>
      <c r="H292" s="1651"/>
      <c r="I292" s="1651"/>
      <c r="J292" s="1651"/>
      <c r="K292" s="1651"/>
      <c r="L292" s="1651"/>
      <c r="M292" s="1651"/>
      <c r="N292" s="1656"/>
      <c r="O292" s="20"/>
      <c r="P292" s="430"/>
      <c r="Q292" s="430"/>
      <c r="R292" s="430"/>
      <c r="S292" s="430"/>
      <c r="T292" s="422"/>
    </row>
    <row r="293" spans="1:20" x14ac:dyDescent="0.2">
      <c r="A293" s="430"/>
      <c r="B293" s="20"/>
      <c r="C293" s="195"/>
      <c r="D293" s="425"/>
      <c r="E293" s="1654" t="str">
        <f>E_EnergyFlows!E158</f>
        <v>Ppkt (xii) w odniesieniu do lit. c) powyżej:</v>
      </c>
      <c r="F293" s="1652"/>
      <c r="G293" s="1652"/>
      <c r="H293" s="52" t="str">
        <f>E_EnergyFlows!H158</f>
        <v>%</v>
      </c>
      <c r="I293" s="1023" t="str">
        <f>E_EnergyFlows!I158</f>
        <v/>
      </c>
      <c r="J293" s="308" t="str">
        <f>E_EnergyFlows!J158</f>
        <v/>
      </c>
      <c r="K293" s="308" t="str">
        <f>E_EnergyFlows!K158</f>
        <v/>
      </c>
      <c r="L293" s="308" t="str">
        <f>E_EnergyFlows!L158</f>
        <v/>
      </c>
      <c r="M293" s="308" t="str">
        <f>E_EnergyFlows!M158</f>
        <v/>
      </c>
      <c r="N293" s="26"/>
      <c r="O293" s="20"/>
      <c r="P293" s="430"/>
      <c r="Q293" s="430"/>
      <c r="R293" s="430"/>
      <c r="S293" s="430"/>
      <c r="T293" s="422"/>
    </row>
    <row r="294" spans="1:20" ht="5.0999999999999996" customHeight="1" x14ac:dyDescent="0.2">
      <c r="A294" s="430"/>
      <c r="B294" s="20"/>
      <c r="C294" s="20"/>
      <c r="D294" s="20"/>
      <c r="E294" s="20"/>
      <c r="F294" s="20"/>
      <c r="G294" s="20"/>
      <c r="H294" s="20"/>
      <c r="I294" s="20"/>
      <c r="J294" s="20"/>
      <c r="K294" s="20"/>
      <c r="L294" s="20"/>
      <c r="M294" s="20"/>
      <c r="N294" s="20"/>
      <c r="O294" s="20"/>
      <c r="P294" s="430"/>
      <c r="Q294" s="430"/>
      <c r="R294" s="430"/>
      <c r="S294" s="430"/>
      <c r="T294" s="422"/>
    </row>
    <row r="295" spans="1:20" x14ac:dyDescent="0.2">
      <c r="A295" s="430"/>
      <c r="B295" s="20"/>
      <c r="C295" s="14"/>
      <c r="D295" s="14" t="str">
        <f>E_EnergyFlows!D160</f>
        <v>(i)</v>
      </c>
      <c r="E295" s="1668" t="str">
        <f>E_EnergyFlows!E160</f>
        <v>Ciepło wyprowadzone do instalacji objętych EU ETS (niekwalifikujące się do objęcia wskaźnikiem emisyjności opartym na cieple):</v>
      </c>
      <c r="F295" s="1647"/>
      <c r="G295" s="1647"/>
      <c r="H295" s="1647"/>
      <c r="I295" s="1647"/>
      <c r="J295" s="1647"/>
      <c r="K295" s="1647"/>
      <c r="L295" s="1647"/>
      <c r="M295" s="1647"/>
      <c r="N295" s="1647"/>
      <c r="O295" s="20"/>
      <c r="P295" s="430"/>
      <c r="Q295" s="430"/>
      <c r="R295" s="430"/>
      <c r="S295" s="430"/>
      <c r="T295" s="422"/>
    </row>
    <row r="296" spans="1:20" x14ac:dyDescent="0.2">
      <c r="A296" s="430"/>
      <c r="B296" s="20"/>
      <c r="C296" s="20"/>
      <c r="D296" s="20"/>
      <c r="E296" s="1650" t="str">
        <f>E_EnergyFlows!E163</f>
        <v>Nazwa instalacji</v>
      </c>
      <c r="F296" s="1651"/>
      <c r="G296" s="1651"/>
      <c r="H296" s="34" t="str">
        <f>E_EnergyFlows!H163</f>
        <v>Jednostka</v>
      </c>
      <c r="I296" s="432">
        <f>E_EnergyFlows!I163</f>
        <v>2014</v>
      </c>
      <c r="J296" s="432">
        <f>E_EnergyFlows!J163</f>
        <v>2015</v>
      </c>
      <c r="K296" s="432">
        <f>E_EnergyFlows!K163</f>
        <v>2016</v>
      </c>
      <c r="L296" s="432">
        <f>E_EnergyFlows!L163</f>
        <v>2017</v>
      </c>
      <c r="M296" s="432">
        <f>E_EnergyFlows!M163</f>
        <v>2018</v>
      </c>
      <c r="N296" s="7"/>
      <c r="O296" s="20"/>
      <c r="P296" s="430"/>
      <c r="Q296" s="430"/>
      <c r="R296" s="430"/>
      <c r="S296" s="430"/>
      <c r="T296" s="422"/>
    </row>
    <row r="297" spans="1:20" x14ac:dyDescent="0.2">
      <c r="A297" s="430"/>
      <c r="B297" s="20"/>
      <c r="C297" s="195"/>
      <c r="D297" s="195"/>
      <c r="E297" s="2020" t="str">
        <f>IF(ISBLANK(E_EnergyFlows!E164),"",E_EnergyFlows!E164)</f>
        <v>Instalacja ETS: Ciepło Wyprowadzanie</v>
      </c>
      <c r="F297" s="2020"/>
      <c r="G297" s="2020"/>
      <c r="H297" s="40" t="str">
        <f>E_EnergyFlows!H164</f>
        <v>TJ / rok</v>
      </c>
      <c r="I297" s="1024">
        <f>IF(ISBLANK(E_EnergyFlows!I164),"",E_EnergyFlows!I164)</f>
        <v>300</v>
      </c>
      <c r="J297" s="865">
        <f>IF(ISBLANK(E_EnergyFlows!J164),"",E_EnergyFlows!J164)</f>
        <v>300</v>
      </c>
      <c r="K297" s="865">
        <f>IF(ISBLANK(E_EnergyFlows!K164),"",E_EnergyFlows!K164)</f>
        <v>300</v>
      </c>
      <c r="L297" s="865">
        <f>IF(ISBLANK(E_EnergyFlows!L164),"",E_EnergyFlows!L164)</f>
        <v>300</v>
      </c>
      <c r="M297" s="865">
        <f>IF(ISBLANK(E_EnergyFlows!M164),"",E_EnergyFlows!M164)</f>
        <v>300</v>
      </c>
      <c r="N297" s="7"/>
      <c r="O297" s="20"/>
      <c r="P297" s="430"/>
      <c r="Q297" s="430"/>
      <c r="R297" s="430"/>
      <c r="S297" s="430"/>
      <c r="T297" s="422"/>
    </row>
    <row r="298" spans="1:20" x14ac:dyDescent="0.2">
      <c r="A298" s="430"/>
      <c r="B298" s="20"/>
      <c r="C298" s="195"/>
      <c r="D298" s="195"/>
      <c r="E298" s="1979" t="str">
        <f>IF(ISBLANK(E_EnergyFlows!E165),"",E_EnergyFlows!E165)</f>
        <v/>
      </c>
      <c r="F298" s="1979"/>
      <c r="G298" s="1979"/>
      <c r="H298" s="38" t="str">
        <f>E_EnergyFlows!H165</f>
        <v>TJ / rok</v>
      </c>
      <c r="I298" s="1021" t="str">
        <f>IF(ISBLANK(E_EnergyFlows!I165),"",E_EnergyFlows!I165)</f>
        <v/>
      </c>
      <c r="J298" s="511" t="str">
        <f>IF(ISBLANK(E_EnergyFlows!J165),"",E_EnergyFlows!J165)</f>
        <v/>
      </c>
      <c r="K298" s="511" t="str">
        <f>IF(ISBLANK(E_EnergyFlows!K165),"",E_EnergyFlows!K165)</f>
        <v/>
      </c>
      <c r="L298" s="511" t="str">
        <f>IF(ISBLANK(E_EnergyFlows!L165),"",E_EnergyFlows!L165)</f>
        <v/>
      </c>
      <c r="M298" s="511" t="str">
        <f>IF(ISBLANK(E_EnergyFlows!M165),"",E_EnergyFlows!M165)</f>
        <v/>
      </c>
      <c r="N298" s="7"/>
      <c r="O298" s="20"/>
      <c r="P298" s="430"/>
      <c r="Q298" s="430"/>
      <c r="R298" s="430"/>
      <c r="S298" s="430"/>
      <c r="T298" s="422"/>
    </row>
    <row r="299" spans="1:20" x14ac:dyDescent="0.2">
      <c r="A299" s="430"/>
      <c r="B299" s="20"/>
      <c r="C299" s="195"/>
      <c r="D299" s="195"/>
      <c r="E299" s="1979" t="str">
        <f>IF(ISBLANK(E_EnergyFlows!E166),"",E_EnergyFlows!E166)</f>
        <v/>
      </c>
      <c r="F299" s="1979"/>
      <c r="G299" s="1979"/>
      <c r="H299" s="38" t="str">
        <f>E_EnergyFlows!H166</f>
        <v>TJ / rok</v>
      </c>
      <c r="I299" s="1021" t="str">
        <f>IF(ISBLANK(E_EnergyFlows!I166),"",E_EnergyFlows!I166)</f>
        <v/>
      </c>
      <c r="J299" s="511" t="str">
        <f>IF(ISBLANK(E_EnergyFlows!J166),"",E_EnergyFlows!J166)</f>
        <v/>
      </c>
      <c r="K299" s="511" t="str">
        <f>IF(ISBLANK(E_EnergyFlows!K166),"",E_EnergyFlows!K166)</f>
        <v/>
      </c>
      <c r="L299" s="511" t="str">
        <f>IF(ISBLANK(E_EnergyFlows!L166),"",E_EnergyFlows!L166)</f>
        <v/>
      </c>
      <c r="M299" s="511" t="str">
        <f>IF(ISBLANK(E_EnergyFlows!M166),"",E_EnergyFlows!M166)</f>
        <v/>
      </c>
      <c r="N299" s="7"/>
      <c r="O299" s="20"/>
      <c r="P299" s="430"/>
      <c r="Q299" s="430"/>
      <c r="R299" s="430"/>
      <c r="S299" s="430"/>
      <c r="T299" s="422"/>
    </row>
    <row r="300" spans="1:20" x14ac:dyDescent="0.2">
      <c r="A300" s="430"/>
      <c r="B300" s="20"/>
      <c r="C300" s="195"/>
      <c r="D300" s="195"/>
      <c r="E300" s="1979" t="str">
        <f>IF(ISBLANK(E_EnergyFlows!E167),"",E_EnergyFlows!E167)</f>
        <v/>
      </c>
      <c r="F300" s="1979"/>
      <c r="G300" s="1979"/>
      <c r="H300" s="38" t="str">
        <f>E_EnergyFlows!H167</f>
        <v>TJ / rok</v>
      </c>
      <c r="I300" s="1021" t="str">
        <f>IF(ISBLANK(E_EnergyFlows!I167),"",E_EnergyFlows!I167)</f>
        <v/>
      </c>
      <c r="J300" s="511" t="str">
        <f>IF(ISBLANK(E_EnergyFlows!J167),"",E_EnergyFlows!J167)</f>
        <v/>
      </c>
      <c r="K300" s="511" t="str">
        <f>IF(ISBLANK(E_EnergyFlows!K167),"",E_EnergyFlows!K167)</f>
        <v/>
      </c>
      <c r="L300" s="511" t="str">
        <f>IF(ISBLANK(E_EnergyFlows!L167),"",E_EnergyFlows!L167)</f>
        <v/>
      </c>
      <c r="M300" s="511" t="str">
        <f>IF(ISBLANK(E_EnergyFlows!M167),"",E_EnergyFlows!M167)</f>
        <v/>
      </c>
      <c r="N300" s="7"/>
      <c r="O300" s="20"/>
      <c r="P300" s="430"/>
      <c r="Q300" s="430"/>
      <c r="R300" s="430"/>
      <c r="S300" s="430"/>
      <c r="T300" s="422"/>
    </row>
    <row r="301" spans="1:20" x14ac:dyDescent="0.2">
      <c r="A301" s="430"/>
      <c r="B301" s="20"/>
      <c r="C301" s="195"/>
      <c r="D301" s="195"/>
      <c r="E301" s="1980" t="str">
        <f>IF(ISBLANK(E_EnergyFlows!E168),"",E_EnergyFlows!E168)</f>
        <v/>
      </c>
      <c r="F301" s="1980"/>
      <c r="G301" s="1980"/>
      <c r="H301" s="41" t="str">
        <f>E_EnergyFlows!H168</f>
        <v>TJ / rok</v>
      </c>
      <c r="I301" s="1022" t="str">
        <f>IF(ISBLANK(E_EnergyFlows!I168),"",E_EnergyFlows!I168)</f>
        <v/>
      </c>
      <c r="J301" s="704" t="str">
        <f>IF(ISBLANK(E_EnergyFlows!J168),"",E_EnergyFlows!J168)</f>
        <v/>
      </c>
      <c r="K301" s="704" t="str">
        <f>IF(ISBLANK(E_EnergyFlows!K168),"",E_EnergyFlows!K168)</f>
        <v/>
      </c>
      <c r="L301" s="704" t="str">
        <f>IF(ISBLANK(E_EnergyFlows!L168),"",E_EnergyFlows!L168)</f>
        <v/>
      </c>
      <c r="M301" s="704" t="str">
        <f>IF(ISBLANK(E_EnergyFlows!M168),"",E_EnergyFlows!M168)</f>
        <v/>
      </c>
      <c r="N301" s="7"/>
      <c r="O301" s="20"/>
      <c r="P301" s="430"/>
      <c r="Q301" s="430"/>
      <c r="R301" s="430"/>
      <c r="S301" s="430"/>
      <c r="T301" s="422"/>
    </row>
    <row r="302" spans="1:20" x14ac:dyDescent="0.2">
      <c r="A302" s="430"/>
      <c r="B302" s="20"/>
      <c r="C302" s="195"/>
      <c r="D302" s="195"/>
      <c r="E302" s="1652" t="str">
        <f>E_EnergyFlows!E169</f>
        <v>Całkowite ciepło wyprowadzone do instalacji objętych EU ETS</v>
      </c>
      <c r="F302" s="1652"/>
      <c r="G302" s="1652"/>
      <c r="H302" s="51" t="str">
        <f>E_EnergyFlows!H169</f>
        <v>TJ / rok</v>
      </c>
      <c r="I302" s="1025">
        <f>E_EnergyFlows!I169</f>
        <v>300</v>
      </c>
      <c r="J302" s="309">
        <f>E_EnergyFlows!J169</f>
        <v>300</v>
      </c>
      <c r="K302" s="309">
        <f>E_EnergyFlows!K169</f>
        <v>300</v>
      </c>
      <c r="L302" s="309">
        <f>E_EnergyFlows!L169</f>
        <v>300</v>
      </c>
      <c r="M302" s="309">
        <f>E_EnergyFlows!M169</f>
        <v>300</v>
      </c>
      <c r="N302" s="7"/>
      <c r="O302" s="20"/>
      <c r="P302" s="430"/>
      <c r="Q302" s="430"/>
      <c r="R302" s="430"/>
      <c r="S302" s="430"/>
      <c r="T302" s="422"/>
    </row>
    <row r="303" spans="1:20" ht="5.0999999999999996" customHeight="1" x14ac:dyDescent="0.2">
      <c r="A303" s="430"/>
      <c r="B303" s="3"/>
      <c r="C303" s="3"/>
      <c r="D303" s="3"/>
      <c r="E303" s="3"/>
      <c r="F303" s="3"/>
      <c r="G303" s="3"/>
      <c r="H303" s="3"/>
      <c r="I303" s="3"/>
      <c r="J303" s="3"/>
      <c r="K303" s="3"/>
      <c r="L303" s="3"/>
      <c r="M303" s="3"/>
      <c r="N303" s="3"/>
      <c r="O303" s="20"/>
      <c r="P303" s="626"/>
      <c r="Q303" s="430"/>
      <c r="R303" s="430"/>
      <c r="S303" s="430"/>
      <c r="T303" s="422"/>
    </row>
    <row r="304" spans="1:20" ht="25.5" customHeight="1" x14ac:dyDescent="0.2">
      <c r="A304" s="430"/>
      <c r="B304" s="3"/>
      <c r="C304" s="14"/>
      <c r="D304" s="14" t="str">
        <f>E_EnergyFlows!D173</f>
        <v>(j)</v>
      </c>
      <c r="E304" s="1653" t="str">
        <f>E_EnergyFlows!E173</f>
        <v>Suma częściowa: pozostałe całkowite mierzalne ciepło, potencjalnie należące do podinstalacji objętych wskaźnikiem emisyjności opartym na cieple (=e-g-h-i):</v>
      </c>
      <c r="F304" s="1647"/>
      <c r="G304" s="1647"/>
      <c r="H304" s="1647"/>
      <c r="I304" s="1647"/>
      <c r="J304" s="1647"/>
      <c r="K304" s="1647"/>
      <c r="L304" s="1647"/>
      <c r="M304" s="1647"/>
      <c r="N304" s="1647"/>
      <c r="O304" s="20"/>
      <c r="P304" s="626"/>
      <c r="Q304" s="430"/>
      <c r="R304" s="430"/>
      <c r="S304" s="430"/>
      <c r="T304" s="422"/>
    </row>
    <row r="305" spans="1:20" ht="5.0999999999999996" customHeight="1" x14ac:dyDescent="0.2">
      <c r="A305" s="430"/>
      <c r="B305" s="3"/>
      <c r="C305" s="3"/>
      <c r="D305" s="3"/>
      <c r="E305" s="3"/>
      <c r="F305" s="3"/>
      <c r="G305" s="3"/>
      <c r="H305" s="3"/>
      <c r="I305" s="3"/>
      <c r="J305" s="3"/>
      <c r="K305" s="3"/>
      <c r="L305" s="3"/>
      <c r="M305" s="3"/>
      <c r="N305" s="3"/>
      <c r="O305" s="20"/>
      <c r="P305" s="626"/>
      <c r="Q305" s="430"/>
      <c r="R305" s="430"/>
      <c r="S305" s="430"/>
      <c r="T305" s="422"/>
    </row>
    <row r="306" spans="1:20" x14ac:dyDescent="0.2">
      <c r="A306" s="430"/>
      <c r="B306" s="20"/>
      <c r="C306" s="20"/>
      <c r="D306" s="20"/>
      <c r="E306" s="25"/>
      <c r="F306" s="22"/>
      <c r="G306" s="22"/>
      <c r="H306" s="34" t="str">
        <f>E_EnergyFlows!H175</f>
        <v>Jednostka</v>
      </c>
      <c r="I306" s="396">
        <f>E_EnergyFlows!I175</f>
        <v>2014</v>
      </c>
      <c r="J306" s="396">
        <f>E_EnergyFlows!J175</f>
        <v>2015</v>
      </c>
      <c r="K306" s="396">
        <f>E_EnergyFlows!K175</f>
        <v>2016</v>
      </c>
      <c r="L306" s="396">
        <f>E_EnergyFlows!L175</f>
        <v>2017</v>
      </c>
      <c r="M306" s="396">
        <f>E_EnergyFlows!M175</f>
        <v>2018</v>
      </c>
      <c r="N306" s="7"/>
      <c r="O306" s="20"/>
      <c r="P306" s="430"/>
      <c r="Q306" s="430"/>
      <c r="R306" s="430"/>
      <c r="S306" s="430"/>
      <c r="T306" s="422"/>
    </row>
    <row r="307" spans="1:20" x14ac:dyDescent="0.2">
      <c r="A307" s="430"/>
      <c r="B307" s="20"/>
      <c r="C307" s="195"/>
      <c r="D307" s="195"/>
      <c r="E307" s="1654" t="str">
        <f>E_EnergyFlows!E176</f>
        <v>Suma częściowa:</v>
      </c>
      <c r="F307" s="1667"/>
      <c r="G307" s="1667"/>
      <c r="H307" s="52" t="str">
        <f>E_EnergyFlows!H176</f>
        <v>TJ / rok</v>
      </c>
      <c r="I307" s="1019">
        <f>E_EnergyFlows!I176</f>
        <v>2519.0669474391434</v>
      </c>
      <c r="J307" s="311">
        <f>E_EnergyFlows!J176</f>
        <v>2406.877448052287</v>
      </c>
      <c r="K307" s="311">
        <f>E_EnergyFlows!K176</f>
        <v>2698.7548923123736</v>
      </c>
      <c r="L307" s="311">
        <f>E_EnergyFlows!L176</f>
        <v>2361.1584218177322</v>
      </c>
      <c r="M307" s="311">
        <f>E_EnergyFlows!M176</f>
        <v>2644.0539244421657</v>
      </c>
      <c r="N307" s="7"/>
      <c r="O307" s="20"/>
      <c r="P307" s="430"/>
      <c r="Q307" s="430"/>
      <c r="R307" s="430"/>
      <c r="S307" s="430"/>
      <c r="T307" s="422"/>
    </row>
    <row r="308" spans="1:20" ht="5.0999999999999996" customHeight="1" x14ac:dyDescent="0.2">
      <c r="A308" s="430"/>
      <c r="B308" s="3"/>
      <c r="C308" s="3"/>
      <c r="D308" s="3"/>
      <c r="E308" s="3"/>
      <c r="F308" s="3"/>
      <c r="G308" s="3"/>
      <c r="H308" s="3"/>
      <c r="I308" s="3"/>
      <c r="J308" s="3"/>
      <c r="K308" s="3"/>
      <c r="L308" s="3"/>
      <c r="M308" s="3"/>
      <c r="N308" s="3"/>
      <c r="O308" s="20"/>
      <c r="P308" s="626"/>
      <c r="Q308" s="430"/>
      <c r="R308" s="430"/>
      <c r="S308" s="430"/>
      <c r="T308" s="422"/>
    </row>
    <row r="309" spans="1:20" x14ac:dyDescent="0.2">
      <c r="A309" s="430"/>
      <c r="B309" s="20"/>
      <c r="C309" s="195"/>
      <c r="D309" s="195"/>
      <c r="E309" s="1670" t="str">
        <f>E_EnergyFlows!E180</f>
        <v>kwalifikujące się na podstawie pochodzenia:</v>
      </c>
      <c r="F309" s="1671"/>
      <c r="G309" s="1671"/>
      <c r="H309" s="37" t="str">
        <f>E_EnergyFlows!H180</f>
        <v>TJ / rok</v>
      </c>
      <c r="I309" s="1020">
        <f>E_EnergyFlows!I180</f>
        <v>2019.0669474391434</v>
      </c>
      <c r="J309" s="328">
        <f>E_EnergyFlows!J180</f>
        <v>1906.8774480522866</v>
      </c>
      <c r="K309" s="328">
        <f>E_EnergyFlows!K180</f>
        <v>2198.7548923123736</v>
      </c>
      <c r="L309" s="328">
        <f>E_EnergyFlows!L180</f>
        <v>1861.1584218177322</v>
      </c>
      <c r="M309" s="328">
        <f>E_EnergyFlows!M180</f>
        <v>2144.0539244421657</v>
      </c>
      <c r="N309" s="26"/>
      <c r="O309" s="20"/>
      <c r="P309" s="430"/>
      <c r="Q309" s="430"/>
      <c r="R309" s="430"/>
      <c r="S309" s="430"/>
      <c r="T309" s="422"/>
    </row>
    <row r="310" spans="1:20" ht="25.5" customHeight="1" x14ac:dyDescent="0.2">
      <c r="A310" s="430"/>
      <c r="B310" s="20"/>
      <c r="C310" s="195"/>
      <c r="D310" s="195"/>
      <c r="E310" s="1728" t="str">
        <f>E_EnergyFlows!E181</f>
        <v>niekwalifikujące się na podstawie pochodzenia:</v>
      </c>
      <c r="F310" s="1729"/>
      <c r="G310" s="1729"/>
      <c r="H310" s="41" t="str">
        <f>E_EnergyFlows!H181</f>
        <v>TJ / rok</v>
      </c>
      <c r="I310" s="1022">
        <f>E_EnergyFlows!I181</f>
        <v>500.00000000000006</v>
      </c>
      <c r="J310" s="327">
        <f>E_EnergyFlows!J181</f>
        <v>500.00000000000028</v>
      </c>
      <c r="K310" s="327">
        <f>E_EnergyFlows!K181</f>
        <v>500</v>
      </c>
      <c r="L310" s="327">
        <f>E_EnergyFlows!L181</f>
        <v>500.00000000000011</v>
      </c>
      <c r="M310" s="327">
        <f>E_EnergyFlows!M181</f>
        <v>500.00000000000011</v>
      </c>
      <c r="N310" s="7"/>
      <c r="O310" s="20"/>
      <c r="P310" s="430"/>
      <c r="Q310" s="430"/>
      <c r="R310" s="430"/>
      <c r="S310" s="430"/>
      <c r="T310" s="422"/>
    </row>
    <row r="311" spans="1:20" ht="5.0999999999999996" customHeight="1" x14ac:dyDescent="0.2">
      <c r="A311" s="430"/>
      <c r="B311" s="20"/>
      <c r="C311" s="20"/>
      <c r="D311" s="20"/>
      <c r="E311" s="20"/>
      <c r="F311" s="20"/>
      <c r="G311" s="20"/>
      <c r="H311" s="20"/>
      <c r="I311" s="20"/>
      <c r="J311" s="20"/>
      <c r="K311" s="20"/>
      <c r="L311" s="20"/>
      <c r="M311" s="20"/>
      <c r="N311" s="20"/>
      <c r="O311" s="20"/>
      <c r="P311" s="430"/>
      <c r="Q311" s="430"/>
      <c r="R311" s="430"/>
      <c r="S311" s="430"/>
      <c r="T311" s="422"/>
    </row>
    <row r="312" spans="1:20" x14ac:dyDescent="0.2">
      <c r="A312" s="430"/>
      <c r="B312" s="3"/>
      <c r="C312" s="14"/>
      <c r="D312" s="14" t="str">
        <f>E_EnergyFlows!D183</f>
        <v>(k)</v>
      </c>
      <c r="E312" s="1655" t="str">
        <f>E_EnergyFlows!E183</f>
        <v>Współczynnik kwalifikowalności dla pozostałej ilości ciepła obliczonej w lit. j):</v>
      </c>
      <c r="F312" s="1656"/>
      <c r="G312" s="1656"/>
      <c r="H312" s="1656"/>
      <c r="I312" s="1656"/>
      <c r="J312" s="1656"/>
      <c r="K312" s="1656"/>
      <c r="L312" s="1656"/>
      <c r="M312" s="1656"/>
      <c r="N312" s="1656"/>
      <c r="O312" s="20"/>
      <c r="P312" s="626"/>
      <c r="Q312" s="430"/>
      <c r="R312" s="430"/>
      <c r="S312" s="430"/>
      <c r="T312" s="422"/>
    </row>
    <row r="313" spans="1:20" x14ac:dyDescent="0.2">
      <c r="A313" s="430"/>
      <c r="B313" s="20"/>
      <c r="C313" s="195"/>
      <c r="D313" s="195"/>
      <c r="E313" s="1690" t="str">
        <f>E_EnergyFlows!E184</f>
        <v>skorygowany współczynnik kwalifikowalności (=j).ii / j).i):</v>
      </c>
      <c r="F313" s="1690"/>
      <c r="G313" s="1690"/>
      <c r="H313" s="610" t="str">
        <f>E_EnergyFlows!H184</f>
        <v>%</v>
      </c>
      <c r="I313" s="1026">
        <f>E_EnergyFlows!I184</f>
        <v>80.151381029857319</v>
      </c>
      <c r="J313" s="307">
        <f>E_EnergyFlows!J184</f>
        <v>79.226196148681581</v>
      </c>
      <c r="K313" s="307">
        <f>E_EnergyFlows!K184</f>
        <v>81.472937708263487</v>
      </c>
      <c r="L313" s="307">
        <f>E_EnergyFlows!L184</f>
        <v>78.82395372627829</v>
      </c>
      <c r="M313" s="307">
        <f>E_EnergyFlows!M184</f>
        <v>81.089644376088572</v>
      </c>
      <c r="N313" s="26"/>
      <c r="O313" s="20"/>
      <c r="P313" s="430"/>
      <c r="Q313" s="430"/>
      <c r="R313" s="430"/>
      <c r="S313" s="430"/>
      <c r="T313" s="422"/>
    </row>
    <row r="314" spans="1:20" ht="5.0999999999999996" customHeight="1" x14ac:dyDescent="0.2">
      <c r="A314" s="430"/>
      <c r="B314" s="3"/>
      <c r="C314" s="3"/>
      <c r="D314" s="3"/>
      <c r="E314" s="3"/>
      <c r="F314" s="3"/>
      <c r="G314" s="3"/>
      <c r="H314" s="3"/>
      <c r="I314" s="3"/>
      <c r="J314" s="3"/>
      <c r="K314" s="3"/>
      <c r="L314" s="3"/>
      <c r="M314" s="3"/>
      <c r="N314" s="3"/>
      <c r="O314" s="20"/>
      <c r="P314" s="626"/>
      <c r="Q314" s="430"/>
      <c r="R314" s="430"/>
      <c r="S314" s="430"/>
      <c r="T314" s="422"/>
    </row>
    <row r="315" spans="1:20" x14ac:dyDescent="0.2">
      <c r="A315" s="430"/>
      <c r="B315" s="3"/>
      <c r="C315" s="14"/>
      <c r="D315" s="14" t="str">
        <f>E_EnergyFlows!D186</f>
        <v>(l)</v>
      </c>
      <c r="E315" s="1653" t="str">
        <f>E_EnergyFlows!E186</f>
        <v>Ilość mierzalnego ciepła netto zużytego przez instalację i kwalifikującego się do objęcia wskaźnikiem emisyjności opartym na cieple:</v>
      </c>
      <c r="F315" s="1647"/>
      <c r="G315" s="1647"/>
      <c r="H315" s="1647"/>
      <c r="I315" s="1647"/>
      <c r="J315" s="1647"/>
      <c r="K315" s="1647"/>
      <c r="L315" s="1647"/>
      <c r="M315" s="1647"/>
      <c r="N315" s="1647"/>
      <c r="O315" s="20"/>
      <c r="P315" s="626"/>
      <c r="Q315" s="430"/>
      <c r="R315" s="430"/>
      <c r="S315" s="430"/>
      <c r="T315" s="422"/>
    </row>
    <row r="316" spans="1:20" ht="12.75" customHeight="1" x14ac:dyDescent="0.2">
      <c r="A316" s="430"/>
      <c r="B316" s="20"/>
      <c r="C316" s="20"/>
      <c r="D316" s="20"/>
      <c r="E316" s="1654" t="str">
        <f>E_EnergyFlows!E188</f>
        <v>Ciepło zużyte w instalacji</v>
      </c>
      <c r="F316" s="1667"/>
      <c r="G316" s="1667"/>
      <c r="H316" s="52" t="str">
        <f>E_EnergyFlows!H188</f>
        <v>TJ / rok</v>
      </c>
      <c r="I316" s="1019">
        <f>IF(ISBLANK(E_EnergyFlows!I188),"",E_EnergyFlows!I188)</f>
        <v>32</v>
      </c>
      <c r="J316" s="433">
        <f>IF(ISBLANK(E_EnergyFlows!J188),"",E_EnergyFlows!J188)</f>
        <v>25</v>
      </c>
      <c r="K316" s="433">
        <f>IF(ISBLANK(E_EnergyFlows!K188),"",E_EnergyFlows!K188)</f>
        <v>25</v>
      </c>
      <c r="L316" s="433">
        <f>IF(ISBLANK(E_EnergyFlows!L188),"",E_EnergyFlows!L188)</f>
        <v>33</v>
      </c>
      <c r="M316" s="433">
        <f>IF(ISBLANK(E_EnergyFlows!M188),"",E_EnergyFlows!M188)</f>
        <v>42</v>
      </c>
      <c r="N316" s="26"/>
      <c r="O316" s="20"/>
      <c r="P316" s="430"/>
      <c r="Q316" s="430"/>
      <c r="R316" s="430"/>
      <c r="S316" s="430"/>
      <c r="T316" s="422"/>
    </row>
    <row r="317" spans="1:20" ht="5.0999999999999996" customHeight="1" x14ac:dyDescent="0.2">
      <c r="A317" s="430"/>
      <c r="B317" s="3"/>
      <c r="C317" s="3"/>
      <c r="D317" s="3"/>
      <c r="E317" s="3"/>
      <c r="F317" s="3"/>
      <c r="G317" s="3"/>
      <c r="H317" s="3"/>
      <c r="I317" s="3"/>
      <c r="J317" s="3"/>
      <c r="K317" s="3"/>
      <c r="L317" s="3"/>
      <c r="M317" s="3"/>
      <c r="N317" s="3"/>
      <c r="O317" s="20"/>
      <c r="P317" s="626"/>
      <c r="Q317" s="430"/>
      <c r="R317" s="430"/>
      <c r="S317" s="430"/>
      <c r="T317" s="422"/>
    </row>
    <row r="318" spans="1:20" x14ac:dyDescent="0.2">
      <c r="A318" s="430"/>
      <c r="B318" s="20"/>
      <c r="C318" s="14"/>
      <c r="D318" s="14" t="str">
        <f>E_EnergyFlows!D190</f>
        <v>(m)</v>
      </c>
      <c r="E318" s="1668" t="str">
        <f>E_EnergyFlows!E190</f>
        <v>Ciepło wyprowadzone do instalacji lub podmiotów nieobjętych EU ETS (np. sieci ciepłowniczych):</v>
      </c>
      <c r="F318" s="1647"/>
      <c r="G318" s="1647"/>
      <c r="H318" s="1647"/>
      <c r="I318" s="1647"/>
      <c r="J318" s="1647"/>
      <c r="K318" s="1647"/>
      <c r="L318" s="1647"/>
      <c r="M318" s="1647"/>
      <c r="N318" s="1647"/>
      <c r="O318" s="20"/>
      <c r="P318" s="430"/>
      <c r="Q318" s="430"/>
      <c r="R318" s="430"/>
      <c r="S318" s="430"/>
      <c r="T318" s="422"/>
    </row>
    <row r="319" spans="1:20" x14ac:dyDescent="0.2">
      <c r="A319" s="430"/>
      <c r="B319" s="20"/>
      <c r="C319" s="20"/>
      <c r="D319" s="20"/>
      <c r="E319" s="1650" t="str">
        <f>E_EnergyFlows!E193</f>
        <v>Nazwa podmiotu lub instalacji otrzymujących ciepło</v>
      </c>
      <c r="F319" s="1651"/>
      <c r="G319" s="1651"/>
      <c r="H319" s="34" t="str">
        <f>E_EnergyFlows!H193</f>
        <v>Jednostka</v>
      </c>
      <c r="I319" s="432">
        <f>E_EnergyFlows!I193</f>
        <v>2014</v>
      </c>
      <c r="J319" s="432">
        <f>E_EnergyFlows!J193</f>
        <v>2015</v>
      </c>
      <c r="K319" s="432">
        <f>E_EnergyFlows!K193</f>
        <v>2016</v>
      </c>
      <c r="L319" s="432">
        <f>E_EnergyFlows!L193</f>
        <v>2017</v>
      </c>
      <c r="M319" s="432">
        <f>E_EnergyFlows!M193</f>
        <v>2018</v>
      </c>
      <c r="N319" s="3"/>
      <c r="O319" s="20"/>
      <c r="P319" s="430"/>
      <c r="Q319" s="430"/>
      <c r="R319" s="430"/>
      <c r="S319" s="430"/>
      <c r="T319" s="422"/>
    </row>
    <row r="320" spans="1:20" x14ac:dyDescent="0.2">
      <c r="A320" s="430"/>
      <c r="B320" s="20"/>
      <c r="C320" s="195"/>
      <c r="D320" s="195"/>
      <c r="E320" s="1981" t="str">
        <f>IF(ISBLANK(E_EnergyFlows!E194),"",E_EnergyFlows!E194)</f>
        <v>Producent produktu CL: Ciepło Wyprowadzanie</v>
      </c>
      <c r="F320" s="1981"/>
      <c r="G320" s="1981"/>
      <c r="H320" s="38" t="str">
        <f>E_EnergyFlows!H194</f>
        <v>TJ / rok</v>
      </c>
      <c r="I320" s="1024">
        <f>IF(ISBLANK(E_EnergyFlows!I194),"",E_EnergyFlows!I194)</f>
        <v>828.02200000000005</v>
      </c>
      <c r="J320" s="865">
        <f>IF(ISBLANK(E_EnergyFlows!J194),"",E_EnergyFlows!J194)</f>
        <v>792.95899999999995</v>
      </c>
      <c r="K320" s="865">
        <f>IF(ISBLANK(E_EnergyFlows!K194),"",E_EnergyFlows!K194)</f>
        <v>890.25199999999995</v>
      </c>
      <c r="L320" s="865">
        <f>IF(ISBLANK(E_EnergyFlows!L194),"",E_EnergyFlows!L194)</f>
        <v>775.053</v>
      </c>
      <c r="M320" s="865">
        <f>IF(ISBLANK(E_EnergyFlows!M194),"",E_EnergyFlows!M194)</f>
        <v>866.351</v>
      </c>
      <c r="N320" s="7"/>
      <c r="O320" s="20"/>
      <c r="P320" s="430"/>
      <c r="Q320" s="430"/>
      <c r="R320" s="430"/>
      <c r="S320" s="430"/>
      <c r="T320" s="422"/>
    </row>
    <row r="321" spans="1:20" x14ac:dyDescent="0.2">
      <c r="A321" s="430"/>
      <c r="B321" s="20"/>
      <c r="C321" s="195"/>
      <c r="D321" s="195"/>
      <c r="E321" s="1979" t="str">
        <f>IF(ISBLANK(E_EnergyFlows!E195),"",E_EnergyFlows!E195)</f>
        <v>Sieć ciepłownicza: Ciepło Wyprowadzanie</v>
      </c>
      <c r="F321" s="1979"/>
      <c r="G321" s="1979"/>
      <c r="H321" s="38" t="str">
        <f>E_EnergyFlows!H195</f>
        <v>TJ / rok</v>
      </c>
      <c r="I321" s="1021">
        <f>IF(ISBLANK(E_EnergyFlows!I195),"",E_EnergyFlows!I195)</f>
        <v>827.02200000000005</v>
      </c>
      <c r="J321" s="511">
        <f>IF(ISBLANK(E_EnergyFlows!J195),"",E_EnergyFlows!J195)</f>
        <v>791.95899999999995</v>
      </c>
      <c r="K321" s="511">
        <f>IF(ISBLANK(E_EnergyFlows!K195),"",E_EnergyFlows!K195)</f>
        <v>889.25199999999995</v>
      </c>
      <c r="L321" s="511">
        <f>IF(ISBLANK(E_EnergyFlows!L195),"",E_EnergyFlows!L195)</f>
        <v>774.053</v>
      </c>
      <c r="M321" s="511">
        <f>IF(ISBLANK(E_EnergyFlows!M195),"",E_EnergyFlows!M195)</f>
        <v>865.351</v>
      </c>
      <c r="N321" s="7"/>
      <c r="O321" s="20"/>
      <c r="P321" s="430"/>
      <c r="Q321" s="430"/>
      <c r="R321" s="430"/>
      <c r="S321" s="430"/>
      <c r="T321" s="422"/>
    </row>
    <row r="322" spans="1:20" x14ac:dyDescent="0.2">
      <c r="A322" s="430"/>
      <c r="B322" s="20"/>
      <c r="C322" s="195"/>
      <c r="D322" s="195"/>
      <c r="E322" s="1979" t="str">
        <f>IF(ISBLANK(E_EnergyFlows!E196),"",E_EnergyFlows!E196)</f>
        <v>Producent produktu non-CL: Ciepło Wyprowadzanie</v>
      </c>
      <c r="F322" s="1979"/>
      <c r="G322" s="1979"/>
      <c r="H322" s="38" t="str">
        <f>E_EnergyFlows!H196</f>
        <v>TJ / rok</v>
      </c>
      <c r="I322" s="1021">
        <f>IF(ISBLANK(E_EnergyFlows!I196),"",E_EnergyFlows!I196)</f>
        <v>826.02200000000005</v>
      </c>
      <c r="J322" s="511">
        <f>IF(ISBLANK(E_EnergyFlows!J196),"",E_EnergyFlows!J196)</f>
        <v>790.95899999999995</v>
      </c>
      <c r="K322" s="511">
        <f>IF(ISBLANK(E_EnergyFlows!K196),"",E_EnergyFlows!K196)</f>
        <v>888.25199999999995</v>
      </c>
      <c r="L322" s="511">
        <f>IF(ISBLANK(E_EnergyFlows!L196),"",E_EnergyFlows!L196)</f>
        <v>773.053</v>
      </c>
      <c r="M322" s="511">
        <f>IF(ISBLANK(E_EnergyFlows!M196),"",E_EnergyFlows!M196)</f>
        <v>864.351</v>
      </c>
      <c r="N322" s="7"/>
      <c r="O322" s="20"/>
      <c r="P322" s="430"/>
      <c r="Q322" s="430"/>
      <c r="R322" s="430"/>
      <c r="S322" s="430"/>
      <c r="T322" s="422"/>
    </row>
    <row r="323" spans="1:20" x14ac:dyDescent="0.2">
      <c r="A323" s="430"/>
      <c r="B323" s="20"/>
      <c r="C323" s="195"/>
      <c r="D323" s="195"/>
      <c r="E323" s="1979" t="str">
        <f>IF(ISBLANK(E_EnergyFlows!E197),"",E_EnergyFlows!E197)</f>
        <v/>
      </c>
      <c r="F323" s="1979"/>
      <c r="G323" s="1979"/>
      <c r="H323" s="38" t="str">
        <f>E_EnergyFlows!H197</f>
        <v>TJ / rok</v>
      </c>
      <c r="I323" s="1021" t="str">
        <f>IF(ISBLANK(E_EnergyFlows!I197),"",E_EnergyFlows!I197)</f>
        <v/>
      </c>
      <c r="J323" s="511" t="str">
        <f>IF(ISBLANK(E_EnergyFlows!J197),"",E_EnergyFlows!J197)</f>
        <v/>
      </c>
      <c r="K323" s="511" t="str">
        <f>IF(ISBLANK(E_EnergyFlows!K197),"",E_EnergyFlows!K197)</f>
        <v/>
      </c>
      <c r="L323" s="511" t="str">
        <f>IF(ISBLANK(E_EnergyFlows!L197),"",E_EnergyFlows!L197)</f>
        <v/>
      </c>
      <c r="M323" s="511" t="str">
        <f>IF(ISBLANK(E_EnergyFlows!M197),"",E_EnergyFlows!M197)</f>
        <v/>
      </c>
      <c r="N323" s="7"/>
      <c r="O323" s="20"/>
      <c r="P323" s="430"/>
      <c r="Q323" s="430"/>
      <c r="R323" s="430"/>
      <c r="S323" s="430"/>
      <c r="T323" s="422"/>
    </row>
    <row r="324" spans="1:20" x14ac:dyDescent="0.2">
      <c r="A324" s="430"/>
      <c r="B324" s="20"/>
      <c r="C324" s="195"/>
      <c r="D324" s="195"/>
      <c r="E324" s="1980" t="str">
        <f>IF(ISBLANK(E_EnergyFlows!E198),"",E_EnergyFlows!E198)</f>
        <v/>
      </c>
      <c r="F324" s="1980"/>
      <c r="G324" s="1980"/>
      <c r="H324" s="41" t="str">
        <f>E_EnergyFlows!H198</f>
        <v>TJ / rok</v>
      </c>
      <c r="I324" s="1022" t="str">
        <f>IF(ISBLANK(E_EnergyFlows!I198),"",E_EnergyFlows!I198)</f>
        <v/>
      </c>
      <c r="J324" s="704" t="str">
        <f>IF(ISBLANK(E_EnergyFlows!J198),"",E_EnergyFlows!J198)</f>
        <v/>
      </c>
      <c r="K324" s="704" t="str">
        <f>IF(ISBLANK(E_EnergyFlows!K198),"",E_EnergyFlows!K198)</f>
        <v/>
      </c>
      <c r="L324" s="704" t="str">
        <f>IF(ISBLANK(E_EnergyFlows!L198),"",E_EnergyFlows!L198)</f>
        <v/>
      </c>
      <c r="M324" s="704" t="str">
        <f>IF(ISBLANK(E_EnergyFlows!M198),"",E_EnergyFlows!M198)</f>
        <v/>
      </c>
      <c r="N324" s="7"/>
      <c r="O324" s="20"/>
      <c r="P324" s="430"/>
      <c r="Q324" s="430"/>
      <c r="R324" s="430"/>
      <c r="S324" s="430"/>
      <c r="T324" s="422"/>
    </row>
    <row r="325" spans="1:20" x14ac:dyDescent="0.2">
      <c r="A325" s="430"/>
      <c r="B325" s="20"/>
      <c r="C325" s="195"/>
      <c r="D325" s="195"/>
      <c r="E325" s="1652" t="str">
        <f>E_EnergyFlows!E199</f>
        <v>Całkowite ciepło wyprowadzone poza EU ETS:</v>
      </c>
      <c r="F325" s="1652"/>
      <c r="G325" s="1652"/>
      <c r="H325" s="51" t="str">
        <f>E_EnergyFlows!H199</f>
        <v>TJ / rok</v>
      </c>
      <c r="I325" s="309">
        <f>E_EnergyFlows!I199</f>
        <v>2481.0660000000003</v>
      </c>
      <c r="J325" s="309">
        <f>E_EnergyFlows!J199</f>
        <v>2375.877</v>
      </c>
      <c r="K325" s="309">
        <f>E_EnergyFlows!K199</f>
        <v>2667.7559999999999</v>
      </c>
      <c r="L325" s="309">
        <f>E_EnergyFlows!L199</f>
        <v>2322.1590000000001</v>
      </c>
      <c r="M325" s="309">
        <f>E_EnergyFlows!M199</f>
        <v>2596.0529999999999</v>
      </c>
      <c r="N325" s="7"/>
      <c r="O325" s="20"/>
      <c r="P325" s="430"/>
      <c r="Q325" s="430"/>
      <c r="R325" s="430"/>
      <c r="S325" s="430"/>
      <c r="T325" s="422"/>
    </row>
    <row r="326" spans="1:20" ht="5.0999999999999996" customHeight="1" x14ac:dyDescent="0.2">
      <c r="A326" s="430"/>
      <c r="B326" s="3"/>
      <c r="C326" s="3"/>
      <c r="D326" s="3"/>
      <c r="E326" s="3"/>
      <c r="F326" s="3"/>
      <c r="G326" s="3"/>
      <c r="H326" s="3"/>
      <c r="I326" s="3"/>
      <c r="J326" s="3"/>
      <c r="K326" s="3"/>
      <c r="L326" s="3"/>
      <c r="M326" s="3"/>
      <c r="N326" s="3"/>
      <c r="O326" s="20"/>
      <c r="P326" s="626"/>
      <c r="Q326" s="430"/>
      <c r="R326" s="430"/>
      <c r="S326" s="430"/>
      <c r="T326" s="422"/>
    </row>
    <row r="327" spans="1:20" x14ac:dyDescent="0.2">
      <c r="A327" s="430"/>
      <c r="B327" s="20"/>
      <c r="C327" s="14"/>
      <c r="D327" s="14" t="str">
        <f>E_EnergyFlows!D201</f>
        <v>(n)</v>
      </c>
      <c r="E327" s="1668" t="str">
        <f>E_EnergyFlows!E201</f>
        <v>Straty ciepła (=j-l-m)</v>
      </c>
      <c r="F327" s="1647"/>
      <c r="G327" s="1647"/>
      <c r="H327" s="1647"/>
      <c r="I327" s="1647"/>
      <c r="J327" s="1647"/>
      <c r="K327" s="1647"/>
      <c r="L327" s="1647"/>
      <c r="M327" s="1647"/>
      <c r="N327" s="1647"/>
      <c r="O327" s="20"/>
      <c r="P327" s="430"/>
      <c r="Q327" s="430"/>
      <c r="R327" s="430"/>
      <c r="S327" s="430"/>
      <c r="T327" s="422"/>
    </row>
    <row r="328" spans="1:20" x14ac:dyDescent="0.2">
      <c r="A328" s="430"/>
      <c r="B328" s="20"/>
      <c r="C328" s="20"/>
      <c r="D328" s="20"/>
      <c r="E328" s="25"/>
      <c r="F328" s="22"/>
      <c r="G328" s="22"/>
      <c r="H328" s="34" t="str">
        <f>E_EnergyFlows!H204</f>
        <v>Jednostka</v>
      </c>
      <c r="I328" s="396">
        <f>E_EnergyFlows!I204</f>
        <v>2014</v>
      </c>
      <c r="J328" s="396">
        <f>E_EnergyFlows!J204</f>
        <v>2015</v>
      </c>
      <c r="K328" s="396">
        <f>E_EnergyFlows!K204</f>
        <v>2016</v>
      </c>
      <c r="L328" s="396">
        <f>E_EnergyFlows!L204</f>
        <v>2017</v>
      </c>
      <c r="M328" s="396">
        <f>E_EnergyFlows!M204</f>
        <v>2018</v>
      </c>
      <c r="N328" s="7"/>
      <c r="O328" s="20"/>
      <c r="P328" s="430"/>
      <c r="Q328" s="430"/>
      <c r="R328" s="430"/>
      <c r="S328" s="430"/>
      <c r="T328" s="422"/>
    </row>
    <row r="329" spans="1:20" x14ac:dyDescent="0.2">
      <c r="A329" s="430"/>
      <c r="B329" s="20"/>
      <c r="C329" s="20"/>
      <c r="D329" s="195"/>
      <c r="E329" s="1654" t="str">
        <f>E_EnergyFlows!E205</f>
        <v>Straty ciepła (obliczone)</v>
      </c>
      <c r="F329" s="1667"/>
      <c r="G329" s="1667"/>
      <c r="H329" s="52" t="str">
        <f>E_EnergyFlows!H205</f>
        <v>TJ / rok</v>
      </c>
      <c r="I329" s="1019">
        <f>E_EnergyFlows!I205</f>
        <v>6.0009474391431468</v>
      </c>
      <c r="J329" s="311">
        <f>E_EnergyFlows!J205</f>
        <v>6.0004480522870836</v>
      </c>
      <c r="K329" s="311">
        <f>E_EnergyFlows!K205</f>
        <v>5.998892312373755</v>
      </c>
      <c r="L329" s="311">
        <f>E_EnergyFlows!L205</f>
        <v>5.9994218177321272</v>
      </c>
      <c r="M329" s="311">
        <f>E_EnergyFlows!M205</f>
        <v>6.0009244421657968</v>
      </c>
      <c r="N329" s="7"/>
      <c r="O329" s="20"/>
      <c r="P329" s="430"/>
      <c r="Q329" s="430"/>
      <c r="R329" s="430"/>
      <c r="S329" s="430"/>
      <c r="T329" s="422"/>
    </row>
    <row r="330" spans="1:20" x14ac:dyDescent="0.2">
      <c r="A330" s="430"/>
      <c r="B330" s="20"/>
      <c r="C330" s="20"/>
      <c r="D330" s="195"/>
      <c r="E330" s="1654" t="str">
        <f>E_EnergyFlows!E206</f>
        <v>Straty ciepła (ułamek dostępnego ciepła =e)</v>
      </c>
      <c r="F330" s="1667"/>
      <c r="G330" s="1667"/>
      <c r="H330" s="52" t="str">
        <f>E_EnergyFlows!H206</f>
        <v>%</v>
      </c>
      <c r="I330" s="1019">
        <f>E_EnergyFlows!I206</f>
        <v>0.2128699868087362</v>
      </c>
      <c r="J330" s="311">
        <f>E_EnergyFlows!J206</f>
        <v>0.22167416765042908</v>
      </c>
      <c r="K330" s="311">
        <f>E_EnergyFlows!K206</f>
        <v>0.20004610339286322</v>
      </c>
      <c r="L330" s="311">
        <f>E_EnergyFlows!L206</f>
        <v>0.2254439934332868</v>
      </c>
      <c r="M330" s="311">
        <f>E_EnergyFlows!M206</f>
        <v>0.20383201517964183</v>
      </c>
      <c r="N330" s="7"/>
      <c r="O330" s="20"/>
      <c r="P330" s="430"/>
      <c r="Q330" s="430"/>
      <c r="R330" s="430"/>
      <c r="S330" s="430"/>
      <c r="T330" s="422"/>
    </row>
    <row r="331" spans="1:20" ht="5.0999999999999996" customHeight="1" x14ac:dyDescent="0.2">
      <c r="A331" s="430"/>
      <c r="B331" s="20"/>
      <c r="C331" s="20"/>
      <c r="D331" s="20"/>
      <c r="E331" s="20"/>
      <c r="F331" s="20"/>
      <c r="G331" s="20"/>
      <c r="H331" s="20"/>
      <c r="I331" s="20"/>
      <c r="J331" s="20"/>
      <c r="K331" s="20"/>
      <c r="L331" s="20"/>
      <c r="M331" s="20"/>
      <c r="N331" s="20"/>
      <c r="O331" s="20"/>
      <c r="P331" s="430"/>
      <c r="Q331" s="430"/>
      <c r="R331" s="430"/>
      <c r="S331" s="430"/>
      <c r="T331" s="422"/>
    </row>
    <row r="332" spans="1:20" ht="25.5" customHeight="1" x14ac:dyDescent="0.2">
      <c r="A332" s="430"/>
      <c r="B332" s="3"/>
      <c r="C332" s="14"/>
      <c r="D332" s="14" t="str">
        <f>E_EnergyFlows!D208</f>
        <v>(o)</v>
      </c>
      <c r="E332" s="1650" t="str">
        <f>E_EnergyFlows!E208</f>
        <v>Całkowita ilość ciepła potencjalnie stanowiącego część podinstalacji objętych wskaźnikiem emisyjności opartym na cieple lub podinstalacji sieci ciepłowniczej (=l+m):</v>
      </c>
      <c r="F332" s="1651"/>
      <c r="G332" s="1651"/>
      <c r="H332" s="1651"/>
      <c r="I332" s="1651"/>
      <c r="J332" s="1651"/>
      <c r="K332" s="1651"/>
      <c r="L332" s="1651"/>
      <c r="M332" s="1651"/>
      <c r="N332" s="1656"/>
      <c r="O332" s="20"/>
      <c r="P332" s="626"/>
      <c r="Q332" s="430"/>
      <c r="R332" s="430"/>
      <c r="S332" s="430"/>
      <c r="T332" s="422"/>
    </row>
    <row r="333" spans="1:20" ht="25.5" customHeight="1" x14ac:dyDescent="0.2">
      <c r="A333" s="430"/>
      <c r="B333" s="20"/>
      <c r="C333" s="20"/>
      <c r="D333" s="20"/>
      <c r="E333" s="1654" t="str">
        <f>E_EnergyFlows!E209</f>
        <v>Wszystkie podinstalacje objęte wskaźnikiem emisyjności opartym na cieple:</v>
      </c>
      <c r="F333" s="1667"/>
      <c r="G333" s="1667"/>
      <c r="H333" s="52" t="str">
        <f>E_EnergyFlows!H209</f>
        <v>TJ / rok</v>
      </c>
      <c r="I333" s="1019">
        <f>E_EnergyFlows!I209</f>
        <v>2513.0660000000003</v>
      </c>
      <c r="J333" s="311">
        <f>E_EnergyFlows!J209</f>
        <v>2400.877</v>
      </c>
      <c r="K333" s="311">
        <f>E_EnergyFlows!K209</f>
        <v>2692.7559999999999</v>
      </c>
      <c r="L333" s="311">
        <f>E_EnergyFlows!L209</f>
        <v>2355.1590000000001</v>
      </c>
      <c r="M333" s="311">
        <f>E_EnergyFlows!M209</f>
        <v>2638.0529999999999</v>
      </c>
      <c r="N333" s="26"/>
      <c r="O333" s="20"/>
      <c r="P333" s="430"/>
      <c r="Q333" s="430"/>
      <c r="R333" s="430"/>
      <c r="S333" s="430"/>
      <c r="T333" s="422"/>
    </row>
    <row r="334" spans="1:20" ht="5.0999999999999996" customHeight="1" x14ac:dyDescent="0.2">
      <c r="A334" s="430"/>
      <c r="B334" s="3"/>
      <c r="C334" s="3"/>
      <c r="D334" s="3"/>
      <c r="E334" s="3"/>
      <c r="F334" s="3"/>
      <c r="G334" s="3"/>
      <c r="H334" s="3"/>
      <c r="I334" s="3"/>
      <c r="J334" s="3"/>
      <c r="K334" s="3"/>
      <c r="L334" s="3"/>
      <c r="M334" s="3"/>
      <c r="N334" s="3"/>
      <c r="O334" s="20"/>
      <c r="P334" s="626"/>
      <c r="Q334" s="430"/>
      <c r="R334" s="430"/>
      <c r="S334" s="430"/>
      <c r="T334" s="422"/>
    </row>
    <row r="335" spans="1:20" ht="25.5" customHeight="1" x14ac:dyDescent="0.2">
      <c r="A335" s="430"/>
      <c r="B335" s="3"/>
      <c r="C335" s="14"/>
      <c r="D335" s="14" t="str">
        <f>E_EnergyFlows!D211</f>
        <v>(p)</v>
      </c>
      <c r="E335" s="1653" t="str">
        <f>E_EnergyFlows!E211</f>
        <v>Wynik końcowy: Ilość ciepła przypadająca na podinstalacje objęte wskaźnikiem emisyjności opartym na cieple lub podinstalacje sieci ciepłowniczej</v>
      </c>
      <c r="F335" s="1647"/>
      <c r="G335" s="1647"/>
      <c r="H335" s="1647"/>
      <c r="I335" s="1647"/>
      <c r="J335" s="1647"/>
      <c r="K335" s="1647"/>
      <c r="L335" s="1647"/>
      <c r="M335" s="1647"/>
      <c r="N335" s="1647"/>
      <c r="O335" s="20"/>
      <c r="P335" s="626"/>
      <c r="Q335" s="430"/>
      <c r="R335" s="430"/>
      <c r="S335" s="430"/>
      <c r="T335" s="422"/>
    </row>
    <row r="336" spans="1:20" x14ac:dyDescent="0.2">
      <c r="A336" s="430"/>
      <c r="B336" s="20"/>
      <c r="C336" s="20"/>
      <c r="D336" s="20"/>
      <c r="E336" s="25"/>
      <c r="F336" s="22"/>
      <c r="G336" s="22"/>
      <c r="H336" s="34" t="str">
        <f>E_EnergyFlows!H214</f>
        <v>Jednostka</v>
      </c>
      <c r="I336" s="396">
        <f>E_EnergyFlows!I214</f>
        <v>2014</v>
      </c>
      <c r="J336" s="396">
        <f>E_EnergyFlows!J214</f>
        <v>2015</v>
      </c>
      <c r="K336" s="396">
        <f>E_EnergyFlows!K214</f>
        <v>2016</v>
      </c>
      <c r="L336" s="396">
        <f>E_EnergyFlows!L214</f>
        <v>2017</v>
      </c>
      <c r="M336" s="396">
        <f>E_EnergyFlows!M214</f>
        <v>2018</v>
      </c>
      <c r="N336" s="7"/>
      <c r="O336" s="20"/>
      <c r="P336" s="430"/>
      <c r="Q336" s="430"/>
      <c r="R336" s="430"/>
      <c r="S336" s="430"/>
      <c r="T336" s="422"/>
    </row>
    <row r="337" spans="1:256" ht="38.25" customHeight="1" x14ac:dyDescent="0.2">
      <c r="A337" s="430"/>
      <c r="B337" s="20"/>
      <c r="C337" s="20"/>
      <c r="D337" s="20"/>
      <c r="E337" s="1611" t="str">
        <f>E_EnergyFlows!E215</f>
        <v>Ciepło kwalifikujące się do podinstalacji objętych wskaźnikiem emisyjności opartym na cieple</v>
      </c>
      <c r="F337" s="1666"/>
      <c r="G337" s="1666"/>
      <c r="H337" s="53" t="str">
        <f>E_EnergyFlows!H215</f>
        <v>TJ / rok</v>
      </c>
      <c r="I337" s="307">
        <f>E_EnergyFlows!I215</f>
        <v>2014.2571051917944</v>
      </c>
      <c r="J337" s="307">
        <f>E_EnergyFlows!J215</f>
        <v>1902.1235213085818</v>
      </c>
      <c r="K337" s="307">
        <f>E_EnergyFlows!K215</f>
        <v>2193.8674185155273</v>
      </c>
      <c r="L337" s="307">
        <f>E_EnergyFlows!L215</f>
        <v>1856.4294403402787</v>
      </c>
      <c r="M337" s="307">
        <f>E_EnergyFlows!M215</f>
        <v>2139.1877961527357</v>
      </c>
      <c r="N337" s="7"/>
      <c r="O337" s="20"/>
      <c r="P337" s="430"/>
      <c r="Q337" s="430"/>
      <c r="R337" s="430"/>
      <c r="S337" s="430"/>
      <c r="T337" s="422"/>
    </row>
    <row r="338" spans="1:256" s="701" customFormat="1" ht="5.0999999999999996" customHeight="1" x14ac:dyDescent="0.2">
      <c r="A338" s="422"/>
      <c r="B338" s="398"/>
      <c r="C338" s="398"/>
      <c r="D338" s="398"/>
      <c r="E338" s="398"/>
      <c r="F338" s="398"/>
      <c r="G338" s="398"/>
      <c r="H338" s="398"/>
      <c r="I338" s="398"/>
      <c r="J338" s="398"/>
      <c r="K338" s="398"/>
      <c r="L338" s="398"/>
      <c r="M338" s="398"/>
      <c r="N338" s="398"/>
      <c r="O338" s="20"/>
      <c r="P338" s="422"/>
      <c r="Q338" s="422"/>
      <c r="R338" s="422"/>
      <c r="S338" s="422"/>
      <c r="T338" s="422"/>
      <c r="U338" s="700"/>
      <c r="V338" s="700"/>
      <c r="W338" s="700"/>
      <c r="X338" s="700"/>
      <c r="Y338" s="700"/>
      <c r="Z338" s="700"/>
      <c r="AA338" s="700"/>
      <c r="AB338" s="700"/>
      <c r="AC338" s="700"/>
      <c r="AD338" s="700"/>
      <c r="AE338" s="700"/>
      <c r="AF338" s="700"/>
      <c r="AG338" s="700"/>
      <c r="AH338" s="700"/>
      <c r="AI338" s="700"/>
      <c r="AJ338" s="700"/>
      <c r="AK338" s="700"/>
      <c r="AL338" s="700"/>
      <c r="AM338" s="700"/>
      <c r="AN338" s="700"/>
      <c r="AO338" s="700"/>
      <c r="AP338" s="700"/>
      <c r="AQ338" s="700"/>
      <c r="AR338" s="700"/>
      <c r="AS338" s="700"/>
      <c r="AT338" s="700"/>
      <c r="AU338" s="700"/>
      <c r="AV338" s="700"/>
      <c r="AW338" s="700"/>
      <c r="AX338" s="700"/>
      <c r="AY338" s="700"/>
      <c r="AZ338" s="700"/>
      <c r="BA338" s="700"/>
      <c r="BB338" s="700"/>
      <c r="BC338" s="700"/>
      <c r="BD338" s="700"/>
      <c r="BE338" s="700"/>
      <c r="BF338" s="700"/>
      <c r="BG338" s="700"/>
      <c r="BH338" s="700"/>
      <c r="BI338" s="700"/>
      <c r="BJ338" s="700"/>
      <c r="BK338" s="700"/>
      <c r="BL338" s="700"/>
      <c r="BM338" s="700"/>
      <c r="BN338" s="700"/>
      <c r="BO338" s="700"/>
      <c r="BP338" s="700"/>
      <c r="BQ338" s="700"/>
      <c r="BR338" s="700"/>
      <c r="BS338" s="700"/>
      <c r="BT338" s="700"/>
      <c r="BU338" s="700"/>
      <c r="BV338" s="700"/>
      <c r="BW338" s="700"/>
      <c r="BX338" s="700"/>
      <c r="BY338" s="700"/>
      <c r="BZ338" s="700"/>
      <c r="CA338" s="700"/>
      <c r="CB338" s="700"/>
      <c r="CC338" s="700"/>
      <c r="CD338" s="700"/>
      <c r="CE338" s="700"/>
      <c r="CF338" s="700"/>
      <c r="CG338" s="700"/>
      <c r="CH338" s="700"/>
      <c r="CI338" s="700"/>
      <c r="CJ338" s="700"/>
      <c r="CK338" s="700"/>
      <c r="CL338" s="700"/>
      <c r="CM338" s="700"/>
      <c r="CN338" s="700"/>
      <c r="CO338" s="700"/>
      <c r="CP338" s="700"/>
      <c r="CQ338" s="700"/>
      <c r="CR338" s="700"/>
      <c r="CS338" s="700"/>
      <c r="CT338" s="700"/>
      <c r="CU338" s="700"/>
      <c r="CV338" s="700"/>
      <c r="CW338" s="700"/>
      <c r="CX338" s="700"/>
      <c r="CY338" s="700"/>
      <c r="CZ338" s="700"/>
      <c r="DA338" s="700"/>
      <c r="DB338" s="700"/>
      <c r="DC338" s="700"/>
      <c r="DD338" s="700"/>
      <c r="DE338" s="700"/>
      <c r="DF338" s="700"/>
      <c r="DG338" s="700"/>
      <c r="DH338" s="700"/>
      <c r="DI338" s="700"/>
      <c r="DJ338" s="700"/>
      <c r="DK338" s="700"/>
      <c r="DL338" s="700"/>
      <c r="DM338" s="700"/>
      <c r="DN338" s="700"/>
      <c r="DO338" s="700"/>
      <c r="DP338" s="700"/>
      <c r="DQ338" s="700"/>
      <c r="DR338" s="700"/>
      <c r="DS338" s="700"/>
      <c r="DT338" s="700"/>
      <c r="DU338" s="700"/>
      <c r="DV338" s="700"/>
      <c r="DW338" s="700"/>
      <c r="DX338" s="700"/>
      <c r="DY338" s="700"/>
      <c r="DZ338" s="700"/>
      <c r="EA338" s="700"/>
      <c r="EB338" s="700"/>
      <c r="EC338" s="700"/>
      <c r="ED338" s="700"/>
      <c r="EE338" s="700"/>
      <c r="EF338" s="700"/>
      <c r="EG338" s="700"/>
      <c r="EH338" s="700"/>
      <c r="EI338" s="700"/>
      <c r="EJ338" s="700"/>
      <c r="EK338" s="700"/>
      <c r="EL338" s="700"/>
      <c r="EM338" s="700"/>
      <c r="EN338" s="700"/>
      <c r="EO338" s="700"/>
      <c r="EP338" s="700"/>
      <c r="EQ338" s="700"/>
      <c r="ER338" s="700"/>
      <c r="ES338" s="700"/>
      <c r="ET338" s="700"/>
      <c r="EU338" s="700"/>
      <c r="EV338" s="700"/>
      <c r="EW338" s="700"/>
      <c r="EX338" s="700"/>
      <c r="EY338" s="700"/>
      <c r="EZ338" s="700"/>
      <c r="FA338" s="700"/>
      <c r="FB338" s="700"/>
      <c r="FC338" s="700"/>
      <c r="FD338" s="700"/>
      <c r="FE338" s="700"/>
      <c r="FF338" s="700"/>
      <c r="FG338" s="700"/>
      <c r="FH338" s="700"/>
      <c r="FI338" s="700"/>
      <c r="FJ338" s="700"/>
      <c r="FK338" s="700"/>
      <c r="FL338" s="700"/>
      <c r="FM338" s="700"/>
      <c r="FN338" s="700"/>
      <c r="FO338" s="700"/>
      <c r="FP338" s="700"/>
      <c r="FQ338" s="700"/>
      <c r="FR338" s="700"/>
      <c r="FS338" s="700"/>
      <c r="FT338" s="700"/>
      <c r="FU338" s="700"/>
      <c r="FV338" s="700"/>
      <c r="FW338" s="700"/>
      <c r="FX338" s="700"/>
      <c r="FY338" s="700"/>
      <c r="FZ338" s="700"/>
      <c r="GA338" s="700"/>
      <c r="GB338" s="700"/>
      <c r="GC338" s="700"/>
      <c r="GD338" s="700"/>
      <c r="GE338" s="700"/>
      <c r="GF338" s="700"/>
      <c r="GG338" s="700"/>
      <c r="GH338" s="700"/>
      <c r="GI338" s="700"/>
      <c r="GJ338" s="700"/>
      <c r="GK338" s="700"/>
      <c r="GL338" s="700"/>
      <c r="GM338" s="700"/>
      <c r="GN338" s="700"/>
      <c r="GO338" s="700"/>
      <c r="GP338" s="700"/>
      <c r="GQ338" s="700"/>
      <c r="GR338" s="700"/>
      <c r="GS338" s="700"/>
      <c r="GT338" s="700"/>
      <c r="GU338" s="700"/>
      <c r="GV338" s="700"/>
      <c r="GW338" s="700"/>
      <c r="GX338" s="700"/>
      <c r="GY338" s="700"/>
      <c r="GZ338" s="700"/>
      <c r="HA338" s="700"/>
      <c r="HB338" s="700"/>
      <c r="HC338" s="700"/>
      <c r="HD338" s="700"/>
      <c r="HE338" s="700"/>
      <c r="HF338" s="700"/>
      <c r="HG338" s="700"/>
      <c r="HH338" s="700"/>
      <c r="HI338" s="700"/>
      <c r="HJ338" s="700"/>
      <c r="HK338" s="700"/>
      <c r="HL338" s="700"/>
      <c r="HM338" s="700"/>
      <c r="HN338" s="700"/>
      <c r="HO338" s="700"/>
      <c r="HP338" s="700"/>
      <c r="HQ338" s="700"/>
      <c r="HR338" s="700"/>
      <c r="HS338" s="700"/>
      <c r="HT338" s="700"/>
      <c r="HU338" s="700"/>
      <c r="HV338" s="700"/>
      <c r="HW338" s="700"/>
      <c r="HX338" s="700"/>
      <c r="HY338" s="700"/>
      <c r="HZ338" s="700"/>
      <c r="IA338" s="700"/>
      <c r="IB338" s="700"/>
      <c r="IC338" s="700"/>
      <c r="ID338" s="700"/>
      <c r="IE338" s="700"/>
      <c r="IF338" s="700"/>
      <c r="IG338" s="700"/>
      <c r="IH338" s="700"/>
      <c r="II338" s="700"/>
      <c r="IJ338" s="700"/>
      <c r="IK338" s="700"/>
      <c r="IL338" s="700"/>
      <c r="IM338" s="700"/>
      <c r="IN338" s="700"/>
      <c r="IO338" s="700"/>
      <c r="IP338" s="700"/>
      <c r="IQ338" s="700"/>
      <c r="IR338" s="700"/>
      <c r="IS338" s="700"/>
      <c r="IT338" s="700"/>
      <c r="IU338" s="700"/>
      <c r="IV338" s="700"/>
    </row>
    <row r="339" spans="1:256" s="575" customFormat="1" ht="15" x14ac:dyDescent="0.25">
      <c r="A339" s="422"/>
      <c r="B339" s="3"/>
      <c r="C339" s="18"/>
      <c r="D339" s="1657" t="str">
        <f>Translations!$B$1200</f>
        <v>Podsumowanie dotyczące podinstalacji objętych wskaźnikiem opartym na cieple i podinstalacji sieci ciepłowniczej</v>
      </c>
      <c r="E339" s="1647"/>
      <c r="F339" s="1647"/>
      <c r="G339" s="1647"/>
      <c r="H339" s="1647"/>
      <c r="I339" s="1647"/>
      <c r="J339" s="1647"/>
      <c r="K339" s="1647"/>
      <c r="L339" s="1647"/>
      <c r="M339" s="1647"/>
      <c r="N339" s="1647"/>
      <c r="O339" s="20"/>
      <c r="P339" s="422"/>
      <c r="Q339" s="422"/>
      <c r="R339" s="422"/>
      <c r="S339" s="422"/>
      <c r="T339" s="422"/>
      <c r="U339" s="700"/>
      <c r="V339" s="700"/>
      <c r="W339" s="700"/>
      <c r="X339" s="700"/>
      <c r="Y339" s="700"/>
      <c r="Z339" s="700"/>
      <c r="AA339" s="700"/>
      <c r="AB339" s="700"/>
      <c r="AC339" s="700"/>
      <c r="AD339" s="700"/>
      <c r="AE339" s="700"/>
      <c r="AF339" s="700"/>
      <c r="AG339" s="700"/>
      <c r="AH339" s="700"/>
      <c r="AI339" s="700"/>
      <c r="AJ339" s="700"/>
      <c r="AK339" s="700"/>
      <c r="AL339" s="700"/>
      <c r="AM339" s="700"/>
      <c r="AN339" s="700"/>
      <c r="AO339" s="700"/>
      <c r="AP339" s="700"/>
      <c r="AQ339" s="700"/>
      <c r="AR339" s="700"/>
      <c r="AS339" s="700"/>
      <c r="AT339" s="700"/>
      <c r="AU339" s="700"/>
      <c r="AV339" s="700"/>
      <c r="AW339" s="700"/>
      <c r="AX339" s="700"/>
      <c r="AY339" s="700"/>
      <c r="AZ339" s="700"/>
      <c r="BA339" s="700"/>
      <c r="BB339" s="700"/>
      <c r="BC339" s="700"/>
      <c r="BD339" s="700"/>
      <c r="BE339" s="700"/>
      <c r="BF339" s="700"/>
      <c r="BG339" s="700"/>
      <c r="BH339" s="700"/>
      <c r="BI339" s="700"/>
      <c r="BJ339" s="700"/>
      <c r="BK339" s="700"/>
      <c r="BL339" s="700"/>
      <c r="BM339" s="700"/>
      <c r="BN339" s="700"/>
      <c r="BO339" s="700"/>
      <c r="BP339" s="700"/>
      <c r="BQ339" s="700"/>
      <c r="BR339" s="700"/>
      <c r="BS339" s="700"/>
      <c r="BT339" s="700"/>
      <c r="BU339" s="700"/>
      <c r="BV339" s="700"/>
      <c r="BW339" s="700"/>
      <c r="BX339" s="700"/>
      <c r="BY339" s="700"/>
      <c r="BZ339" s="700"/>
      <c r="CA339" s="700"/>
      <c r="CB339" s="700"/>
      <c r="CC339" s="700"/>
      <c r="CD339" s="700"/>
      <c r="CE339" s="700"/>
      <c r="CF339" s="700"/>
      <c r="CG339" s="700"/>
      <c r="CH339" s="700"/>
      <c r="CI339" s="700"/>
      <c r="CJ339" s="700"/>
      <c r="CK339" s="700"/>
      <c r="CL339" s="700"/>
      <c r="CM339" s="700"/>
      <c r="CN339" s="700"/>
      <c r="CO339" s="700"/>
      <c r="CP339" s="700"/>
      <c r="CQ339" s="700"/>
      <c r="CR339" s="700"/>
      <c r="CS339" s="700"/>
      <c r="CT339" s="700"/>
      <c r="CU339" s="700"/>
      <c r="CV339" s="700"/>
      <c r="CW339" s="700"/>
      <c r="CX339" s="700"/>
      <c r="CY339" s="700"/>
      <c r="CZ339" s="700"/>
      <c r="DA339" s="700"/>
      <c r="DB339" s="700"/>
      <c r="DC339" s="700"/>
      <c r="DD339" s="700"/>
      <c r="DE339" s="700"/>
      <c r="DF339" s="700"/>
      <c r="DG339" s="700"/>
      <c r="DH339" s="700"/>
      <c r="DI339" s="700"/>
      <c r="DJ339" s="700"/>
      <c r="DK339" s="700"/>
      <c r="DL339" s="700"/>
      <c r="DM339" s="700"/>
      <c r="DN339" s="700"/>
      <c r="DO339" s="700"/>
      <c r="DP339" s="700"/>
      <c r="DQ339" s="700"/>
      <c r="DR339" s="700"/>
      <c r="DS339" s="700"/>
      <c r="DT339" s="700"/>
      <c r="DU339" s="700"/>
      <c r="DV339" s="700"/>
      <c r="DW339" s="700"/>
      <c r="DX339" s="700"/>
      <c r="DY339" s="700"/>
      <c r="DZ339" s="700"/>
      <c r="EA339" s="700"/>
      <c r="EB339" s="700"/>
      <c r="EC339" s="700"/>
      <c r="ED339" s="700"/>
      <c r="EE339" s="700"/>
      <c r="EF339" s="700"/>
      <c r="EG339" s="700"/>
      <c r="EH339" s="700"/>
      <c r="EI339" s="700"/>
      <c r="EJ339" s="700"/>
      <c r="EK339" s="700"/>
      <c r="EL339" s="700"/>
      <c r="EM339" s="700"/>
      <c r="EN339" s="700"/>
      <c r="EO339" s="700"/>
      <c r="EP339" s="700"/>
      <c r="EQ339" s="700"/>
      <c r="ER339" s="700"/>
      <c r="ES339" s="700"/>
      <c r="ET339" s="700"/>
      <c r="EU339" s="700"/>
      <c r="EV339" s="700"/>
      <c r="EW339" s="700"/>
      <c r="EX339" s="700"/>
      <c r="EY339" s="700"/>
      <c r="EZ339" s="700"/>
      <c r="FA339" s="700"/>
      <c r="FB339" s="700"/>
      <c r="FC339" s="700"/>
      <c r="FD339" s="700"/>
      <c r="FE339" s="700"/>
      <c r="FF339" s="700"/>
      <c r="FG339" s="700"/>
      <c r="FH339" s="700"/>
      <c r="FI339" s="700"/>
      <c r="FJ339" s="700"/>
      <c r="FK339" s="700"/>
      <c r="FL339" s="700"/>
      <c r="FM339" s="700"/>
      <c r="FN339" s="700"/>
      <c r="FO339" s="700"/>
      <c r="FP339" s="700"/>
      <c r="FQ339" s="700"/>
      <c r="FR339" s="700"/>
      <c r="FS339" s="700"/>
      <c r="FT339" s="700"/>
      <c r="FU339" s="700"/>
      <c r="FV339" s="700"/>
      <c r="FW339" s="700"/>
      <c r="FX339" s="700"/>
      <c r="FY339" s="700"/>
      <c r="FZ339" s="700"/>
      <c r="GA339" s="700"/>
      <c r="GB339" s="700"/>
      <c r="GC339" s="700"/>
      <c r="GD339" s="700"/>
      <c r="GE339" s="700"/>
      <c r="GF339" s="700"/>
      <c r="GG339" s="700"/>
      <c r="GH339" s="700"/>
      <c r="GI339" s="700"/>
      <c r="GJ339" s="700"/>
      <c r="GK339" s="700"/>
      <c r="GL339" s="700"/>
      <c r="GM339" s="700"/>
      <c r="GN339" s="700"/>
      <c r="GO339" s="700"/>
      <c r="GP339" s="700"/>
      <c r="GQ339" s="700"/>
      <c r="GR339" s="700"/>
      <c r="GS339" s="700"/>
      <c r="GT339" s="700"/>
      <c r="GU339" s="700"/>
      <c r="GV339" s="700"/>
      <c r="GW339" s="700"/>
      <c r="GX339" s="700"/>
      <c r="GY339" s="700"/>
      <c r="GZ339" s="700"/>
      <c r="HA339" s="700"/>
      <c r="HB339" s="700"/>
      <c r="HC339" s="700"/>
      <c r="HD339" s="700"/>
      <c r="HE339" s="700"/>
      <c r="HF339" s="700"/>
      <c r="HG339" s="700"/>
      <c r="HH339" s="700"/>
      <c r="HI339" s="700"/>
      <c r="HJ339" s="700"/>
      <c r="HK339" s="700"/>
      <c r="HL339" s="700"/>
      <c r="HM339" s="700"/>
      <c r="HN339" s="700"/>
      <c r="HO339" s="700"/>
      <c r="HP339" s="700"/>
      <c r="HQ339" s="700"/>
      <c r="HR339" s="700"/>
      <c r="HS339" s="700"/>
      <c r="HT339" s="700"/>
      <c r="HU339" s="700"/>
      <c r="HV339" s="700"/>
      <c r="HW339" s="700"/>
      <c r="HX339" s="700"/>
      <c r="HY339" s="700"/>
      <c r="HZ339" s="700"/>
      <c r="IA339" s="700"/>
      <c r="IB339" s="700"/>
      <c r="IC339" s="700"/>
      <c r="ID339" s="700"/>
      <c r="IE339" s="700"/>
      <c r="IF339" s="700"/>
      <c r="IG339" s="700"/>
      <c r="IH339" s="700"/>
      <c r="II339" s="700"/>
      <c r="IJ339" s="700"/>
      <c r="IK339" s="700"/>
      <c r="IL339" s="700"/>
      <c r="IM339" s="700"/>
      <c r="IN339" s="700"/>
      <c r="IO339" s="700"/>
      <c r="IP339" s="700"/>
      <c r="IQ339" s="700"/>
      <c r="IR339" s="700"/>
      <c r="IS339" s="700"/>
      <c r="IT339" s="700"/>
      <c r="IU339" s="700"/>
      <c r="IV339" s="700"/>
    </row>
    <row r="340" spans="1:256" s="575" customFormat="1" ht="13.5" thickBot="1" x14ac:dyDescent="0.25">
      <c r="A340" s="422"/>
      <c r="B340" s="398"/>
      <c r="C340" s="398"/>
      <c r="D340" s="398"/>
      <c r="E340" s="33"/>
      <c r="F340" s="398"/>
      <c r="G340" s="398"/>
      <c r="H340" s="35" t="str">
        <f>Translations!$B$1196</f>
        <v>Jednostka</v>
      </c>
      <c r="I340" s="396">
        <f>I$1397</f>
        <v>2014</v>
      </c>
      <c r="J340" s="396">
        <f>J$1397</f>
        <v>2015</v>
      </c>
      <c r="K340" s="396">
        <f>K$1397</f>
        <v>2016</v>
      </c>
      <c r="L340" s="396">
        <f>L$1397</f>
        <v>2017</v>
      </c>
      <c r="M340" s="396">
        <f>M$1397</f>
        <v>2018</v>
      </c>
      <c r="N340" s="398"/>
      <c r="O340" s="20"/>
      <c r="P340" s="422"/>
      <c r="Q340" s="422"/>
      <c r="R340" s="422"/>
      <c r="S340" s="422"/>
      <c r="T340" s="422"/>
      <c r="U340" s="700"/>
      <c r="V340" s="700"/>
      <c r="W340" s="700"/>
      <c r="X340" s="700"/>
      <c r="Y340" s="700"/>
      <c r="Z340" s="700"/>
      <c r="AA340" s="700"/>
      <c r="AB340" s="700"/>
      <c r="AC340" s="700"/>
      <c r="AD340" s="700"/>
      <c r="AE340" s="700"/>
      <c r="AF340" s="700"/>
      <c r="AG340" s="700"/>
      <c r="AH340" s="700"/>
      <c r="AI340" s="700"/>
      <c r="AJ340" s="700"/>
      <c r="AK340" s="700"/>
      <c r="AL340" s="700"/>
      <c r="AM340" s="700"/>
      <c r="AN340" s="700"/>
      <c r="AO340" s="700"/>
      <c r="AP340" s="700"/>
      <c r="AQ340" s="700"/>
      <c r="AR340" s="700"/>
      <c r="AS340" s="700"/>
      <c r="AT340" s="700"/>
      <c r="AU340" s="700"/>
      <c r="AV340" s="700"/>
      <c r="AW340" s="700"/>
      <c r="AX340" s="700"/>
      <c r="AY340" s="700"/>
      <c r="AZ340" s="700"/>
      <c r="BA340" s="700"/>
      <c r="BB340" s="700"/>
      <c r="BC340" s="700"/>
      <c r="BD340" s="700"/>
      <c r="BE340" s="700"/>
      <c r="BF340" s="700"/>
      <c r="BG340" s="700"/>
      <c r="BH340" s="700"/>
      <c r="BI340" s="700"/>
      <c r="BJ340" s="700"/>
      <c r="BK340" s="700"/>
      <c r="BL340" s="700"/>
      <c r="BM340" s="700"/>
      <c r="BN340" s="700"/>
      <c r="BO340" s="700"/>
      <c r="BP340" s="700"/>
      <c r="BQ340" s="700"/>
      <c r="BR340" s="700"/>
      <c r="BS340" s="700"/>
      <c r="BT340" s="700"/>
      <c r="BU340" s="700"/>
      <c r="BV340" s="700"/>
      <c r="BW340" s="700"/>
      <c r="BX340" s="700"/>
      <c r="BY340" s="700"/>
      <c r="BZ340" s="700"/>
      <c r="CA340" s="700"/>
      <c r="CB340" s="700"/>
      <c r="CC340" s="700"/>
      <c r="CD340" s="700"/>
      <c r="CE340" s="700"/>
      <c r="CF340" s="700"/>
      <c r="CG340" s="700"/>
      <c r="CH340" s="700"/>
      <c r="CI340" s="700"/>
      <c r="CJ340" s="700"/>
      <c r="CK340" s="700"/>
      <c r="CL340" s="700"/>
      <c r="CM340" s="700"/>
      <c r="CN340" s="700"/>
      <c r="CO340" s="700"/>
      <c r="CP340" s="700"/>
      <c r="CQ340" s="700"/>
      <c r="CR340" s="700"/>
      <c r="CS340" s="700"/>
      <c r="CT340" s="700"/>
      <c r="CU340" s="700"/>
      <c r="CV340" s="700"/>
      <c r="CW340" s="700"/>
      <c r="CX340" s="700"/>
      <c r="CY340" s="700"/>
      <c r="CZ340" s="700"/>
      <c r="DA340" s="700"/>
      <c r="DB340" s="700"/>
      <c r="DC340" s="700"/>
      <c r="DD340" s="700"/>
      <c r="DE340" s="700"/>
      <c r="DF340" s="700"/>
      <c r="DG340" s="700"/>
      <c r="DH340" s="700"/>
      <c r="DI340" s="700"/>
      <c r="DJ340" s="700"/>
      <c r="DK340" s="700"/>
      <c r="DL340" s="700"/>
      <c r="DM340" s="700"/>
      <c r="DN340" s="700"/>
      <c r="DO340" s="700"/>
      <c r="DP340" s="700"/>
      <c r="DQ340" s="700"/>
      <c r="DR340" s="700"/>
      <c r="DS340" s="700"/>
      <c r="DT340" s="700"/>
      <c r="DU340" s="700"/>
      <c r="DV340" s="700"/>
      <c r="DW340" s="700"/>
      <c r="DX340" s="700"/>
      <c r="DY340" s="700"/>
      <c r="DZ340" s="700"/>
      <c r="EA340" s="700"/>
      <c r="EB340" s="700"/>
      <c r="EC340" s="700"/>
      <c r="ED340" s="700"/>
      <c r="EE340" s="700"/>
      <c r="EF340" s="700"/>
      <c r="EG340" s="700"/>
      <c r="EH340" s="700"/>
      <c r="EI340" s="700"/>
      <c r="EJ340" s="700"/>
      <c r="EK340" s="700"/>
      <c r="EL340" s="700"/>
      <c r="EM340" s="700"/>
      <c r="EN340" s="700"/>
      <c r="EO340" s="700"/>
      <c r="EP340" s="700"/>
      <c r="EQ340" s="700"/>
      <c r="ER340" s="700"/>
      <c r="ES340" s="700"/>
      <c r="ET340" s="700"/>
      <c r="EU340" s="700"/>
      <c r="EV340" s="700"/>
      <c r="EW340" s="700"/>
      <c r="EX340" s="700"/>
      <c r="EY340" s="700"/>
      <c r="EZ340" s="700"/>
      <c r="FA340" s="700"/>
      <c r="FB340" s="700"/>
      <c r="FC340" s="700"/>
      <c r="FD340" s="700"/>
      <c r="FE340" s="700"/>
      <c r="FF340" s="700"/>
      <c r="FG340" s="700"/>
      <c r="FH340" s="700"/>
      <c r="FI340" s="700"/>
      <c r="FJ340" s="700"/>
      <c r="FK340" s="700"/>
      <c r="FL340" s="700"/>
      <c r="FM340" s="700"/>
      <c r="FN340" s="700"/>
      <c r="FO340" s="700"/>
      <c r="FP340" s="700"/>
      <c r="FQ340" s="700"/>
      <c r="FR340" s="700"/>
      <c r="FS340" s="700"/>
      <c r="FT340" s="700"/>
      <c r="FU340" s="700"/>
      <c r="FV340" s="700"/>
      <c r="FW340" s="700"/>
      <c r="FX340" s="700"/>
      <c r="FY340" s="700"/>
      <c r="FZ340" s="700"/>
      <c r="GA340" s="700"/>
      <c r="GB340" s="700"/>
      <c r="GC340" s="700"/>
      <c r="GD340" s="700"/>
      <c r="GE340" s="700"/>
      <c r="GF340" s="700"/>
      <c r="GG340" s="700"/>
      <c r="GH340" s="700"/>
      <c r="GI340" s="700"/>
      <c r="GJ340" s="700"/>
      <c r="GK340" s="700"/>
      <c r="GL340" s="700"/>
      <c r="GM340" s="700"/>
      <c r="GN340" s="700"/>
      <c r="GO340" s="700"/>
      <c r="GP340" s="700"/>
      <c r="GQ340" s="700"/>
      <c r="GR340" s="700"/>
      <c r="GS340" s="700"/>
      <c r="GT340" s="700"/>
      <c r="GU340" s="700"/>
      <c r="GV340" s="700"/>
      <c r="GW340" s="700"/>
      <c r="GX340" s="700"/>
      <c r="GY340" s="700"/>
      <c r="GZ340" s="700"/>
      <c r="HA340" s="700"/>
      <c r="HB340" s="700"/>
      <c r="HC340" s="700"/>
      <c r="HD340" s="700"/>
      <c r="HE340" s="700"/>
      <c r="HF340" s="700"/>
      <c r="HG340" s="700"/>
      <c r="HH340" s="700"/>
      <c r="HI340" s="700"/>
      <c r="HJ340" s="700"/>
      <c r="HK340" s="700"/>
      <c r="HL340" s="700"/>
      <c r="HM340" s="700"/>
      <c r="HN340" s="700"/>
      <c r="HO340" s="700"/>
      <c r="HP340" s="700"/>
      <c r="HQ340" s="700"/>
      <c r="HR340" s="700"/>
      <c r="HS340" s="700"/>
      <c r="HT340" s="700"/>
      <c r="HU340" s="700"/>
      <c r="HV340" s="700"/>
      <c r="HW340" s="700"/>
      <c r="HX340" s="700"/>
      <c r="HY340" s="700"/>
      <c r="HZ340" s="700"/>
      <c r="IA340" s="700"/>
      <c r="IB340" s="700"/>
      <c r="IC340" s="700"/>
      <c r="ID340" s="700"/>
      <c r="IE340" s="700"/>
      <c r="IF340" s="700"/>
      <c r="IG340" s="700"/>
      <c r="IH340" s="700"/>
      <c r="II340" s="700"/>
      <c r="IJ340" s="700"/>
      <c r="IK340" s="700"/>
      <c r="IL340" s="700"/>
      <c r="IM340" s="700"/>
      <c r="IN340" s="700"/>
      <c r="IO340" s="700"/>
      <c r="IP340" s="700"/>
      <c r="IQ340" s="700"/>
      <c r="IR340" s="700"/>
      <c r="IS340" s="700"/>
      <c r="IT340" s="700"/>
      <c r="IU340" s="700"/>
      <c r="IV340" s="700"/>
    </row>
    <row r="341" spans="1:256" s="575" customFormat="1" ht="25.5" customHeight="1" x14ac:dyDescent="0.2">
      <c r="A341" s="422"/>
      <c r="B341" s="398"/>
      <c r="C341" s="398"/>
      <c r="D341" s="425"/>
      <c r="E341" s="2028" t="str">
        <f>E_EnergyFlows!E387</f>
        <v>Podinstalacja objęta wskaźnikiem emisyjności opartym na cieple, „CL”</v>
      </c>
      <c r="F341" s="2029"/>
      <c r="G341" s="2029"/>
      <c r="H341" s="867" t="str">
        <f>EUconst_TJpa</f>
        <v>TJ / rok</v>
      </c>
      <c r="I341" s="1027">
        <f>E_EnergyFlows!I387</f>
        <v>663.67106823104518</v>
      </c>
      <c r="J341" s="1027">
        <f>E_EnergyFlows!J387</f>
        <v>628.23125271862386</v>
      </c>
      <c r="K341" s="1027">
        <f>E_EnergyFlows!K387</f>
        <v>725.31445740656966</v>
      </c>
      <c r="L341" s="1027">
        <f>E_EnergyFlows!L387</f>
        <v>610.92741807413177</v>
      </c>
      <c r="M341" s="1028">
        <f>E_EnergyFlows!M387</f>
        <v>702.52094494868709</v>
      </c>
      <c r="N341" s="398"/>
      <c r="O341" s="20"/>
      <c r="P341" s="422"/>
      <c r="Q341" s="422"/>
      <c r="R341" s="422"/>
      <c r="S341" s="422"/>
      <c r="T341" s="422"/>
      <c r="U341" s="700"/>
      <c r="V341" s="700"/>
      <c r="W341" s="700"/>
      <c r="X341" s="700"/>
      <c r="Y341" s="700"/>
      <c r="Z341" s="700"/>
      <c r="AA341" s="700"/>
      <c r="AB341" s="700"/>
      <c r="AC341" s="700"/>
      <c r="AD341" s="700"/>
      <c r="AE341" s="700"/>
      <c r="AF341" s="700"/>
      <c r="AG341" s="700"/>
      <c r="AH341" s="700"/>
      <c r="AI341" s="700"/>
      <c r="AJ341" s="700"/>
      <c r="AK341" s="700"/>
      <c r="AL341" s="700"/>
      <c r="AM341" s="700"/>
      <c r="AN341" s="700"/>
      <c r="AO341" s="700"/>
      <c r="AP341" s="700"/>
      <c r="AQ341" s="700"/>
      <c r="AR341" s="700"/>
      <c r="AS341" s="700"/>
      <c r="AT341" s="700"/>
      <c r="AU341" s="700"/>
      <c r="AV341" s="700"/>
      <c r="AW341" s="700"/>
      <c r="AX341" s="700"/>
      <c r="AY341" s="700"/>
      <c r="AZ341" s="700"/>
      <c r="BA341" s="700"/>
      <c r="BB341" s="700"/>
      <c r="BC341" s="700"/>
      <c r="BD341" s="700"/>
      <c r="BE341" s="700"/>
      <c r="BF341" s="700"/>
      <c r="BG341" s="700"/>
      <c r="BH341" s="700"/>
      <c r="BI341" s="700"/>
      <c r="BJ341" s="700"/>
      <c r="BK341" s="700"/>
      <c r="BL341" s="700"/>
      <c r="BM341" s="700"/>
      <c r="BN341" s="700"/>
      <c r="BO341" s="700"/>
      <c r="BP341" s="700"/>
      <c r="BQ341" s="700"/>
      <c r="BR341" s="700"/>
      <c r="BS341" s="700"/>
      <c r="BT341" s="700"/>
      <c r="BU341" s="700"/>
      <c r="BV341" s="700"/>
      <c r="BW341" s="700"/>
      <c r="BX341" s="700"/>
      <c r="BY341" s="700"/>
      <c r="BZ341" s="700"/>
      <c r="CA341" s="700"/>
      <c r="CB341" s="700"/>
      <c r="CC341" s="700"/>
      <c r="CD341" s="700"/>
      <c r="CE341" s="700"/>
      <c r="CF341" s="700"/>
      <c r="CG341" s="700"/>
      <c r="CH341" s="700"/>
      <c r="CI341" s="700"/>
      <c r="CJ341" s="700"/>
      <c r="CK341" s="700"/>
      <c r="CL341" s="700"/>
      <c r="CM341" s="700"/>
      <c r="CN341" s="700"/>
      <c r="CO341" s="700"/>
      <c r="CP341" s="700"/>
      <c r="CQ341" s="700"/>
      <c r="CR341" s="700"/>
      <c r="CS341" s="700"/>
      <c r="CT341" s="700"/>
      <c r="CU341" s="700"/>
      <c r="CV341" s="700"/>
      <c r="CW341" s="700"/>
      <c r="CX341" s="700"/>
      <c r="CY341" s="700"/>
      <c r="CZ341" s="700"/>
      <c r="DA341" s="700"/>
      <c r="DB341" s="700"/>
      <c r="DC341" s="700"/>
      <c r="DD341" s="700"/>
      <c r="DE341" s="700"/>
      <c r="DF341" s="700"/>
      <c r="DG341" s="700"/>
      <c r="DH341" s="700"/>
      <c r="DI341" s="700"/>
      <c r="DJ341" s="700"/>
      <c r="DK341" s="700"/>
      <c r="DL341" s="700"/>
      <c r="DM341" s="700"/>
      <c r="DN341" s="700"/>
      <c r="DO341" s="700"/>
      <c r="DP341" s="700"/>
      <c r="DQ341" s="700"/>
      <c r="DR341" s="700"/>
      <c r="DS341" s="700"/>
      <c r="DT341" s="700"/>
      <c r="DU341" s="700"/>
      <c r="DV341" s="700"/>
      <c r="DW341" s="700"/>
      <c r="DX341" s="700"/>
      <c r="DY341" s="700"/>
      <c r="DZ341" s="700"/>
      <c r="EA341" s="700"/>
      <c r="EB341" s="700"/>
      <c r="EC341" s="700"/>
      <c r="ED341" s="700"/>
      <c r="EE341" s="700"/>
      <c r="EF341" s="700"/>
      <c r="EG341" s="700"/>
      <c r="EH341" s="700"/>
      <c r="EI341" s="700"/>
      <c r="EJ341" s="700"/>
      <c r="EK341" s="700"/>
      <c r="EL341" s="700"/>
      <c r="EM341" s="700"/>
      <c r="EN341" s="700"/>
      <c r="EO341" s="700"/>
      <c r="EP341" s="700"/>
      <c r="EQ341" s="700"/>
      <c r="ER341" s="700"/>
      <c r="ES341" s="700"/>
      <c r="ET341" s="700"/>
      <c r="EU341" s="700"/>
      <c r="EV341" s="700"/>
      <c r="EW341" s="700"/>
      <c r="EX341" s="700"/>
      <c r="EY341" s="700"/>
      <c r="EZ341" s="700"/>
      <c r="FA341" s="700"/>
      <c r="FB341" s="700"/>
      <c r="FC341" s="700"/>
      <c r="FD341" s="700"/>
      <c r="FE341" s="700"/>
      <c r="FF341" s="700"/>
      <c r="FG341" s="700"/>
      <c r="FH341" s="700"/>
      <c r="FI341" s="700"/>
      <c r="FJ341" s="700"/>
      <c r="FK341" s="700"/>
      <c r="FL341" s="700"/>
      <c r="FM341" s="700"/>
      <c r="FN341" s="700"/>
      <c r="FO341" s="700"/>
      <c r="FP341" s="700"/>
      <c r="FQ341" s="700"/>
      <c r="FR341" s="700"/>
      <c r="FS341" s="700"/>
      <c r="FT341" s="700"/>
      <c r="FU341" s="700"/>
      <c r="FV341" s="700"/>
      <c r="FW341" s="700"/>
      <c r="FX341" s="700"/>
      <c r="FY341" s="700"/>
      <c r="FZ341" s="700"/>
      <c r="GA341" s="700"/>
      <c r="GB341" s="700"/>
      <c r="GC341" s="700"/>
      <c r="GD341" s="700"/>
      <c r="GE341" s="700"/>
      <c r="GF341" s="700"/>
      <c r="GG341" s="700"/>
      <c r="GH341" s="700"/>
      <c r="GI341" s="700"/>
      <c r="GJ341" s="700"/>
      <c r="GK341" s="700"/>
      <c r="GL341" s="700"/>
      <c r="GM341" s="700"/>
      <c r="GN341" s="700"/>
      <c r="GO341" s="700"/>
      <c r="GP341" s="700"/>
      <c r="GQ341" s="700"/>
      <c r="GR341" s="700"/>
      <c r="GS341" s="700"/>
      <c r="GT341" s="700"/>
      <c r="GU341" s="700"/>
      <c r="GV341" s="700"/>
      <c r="GW341" s="700"/>
      <c r="GX341" s="700"/>
      <c r="GY341" s="700"/>
      <c r="GZ341" s="700"/>
      <c r="HA341" s="700"/>
      <c r="HB341" s="700"/>
      <c r="HC341" s="700"/>
      <c r="HD341" s="700"/>
      <c r="HE341" s="700"/>
      <c r="HF341" s="700"/>
      <c r="HG341" s="700"/>
      <c r="HH341" s="700"/>
      <c r="HI341" s="700"/>
      <c r="HJ341" s="700"/>
      <c r="HK341" s="700"/>
      <c r="HL341" s="700"/>
      <c r="HM341" s="700"/>
      <c r="HN341" s="700"/>
      <c r="HO341" s="700"/>
      <c r="HP341" s="700"/>
      <c r="HQ341" s="700"/>
      <c r="HR341" s="700"/>
      <c r="HS341" s="700"/>
      <c r="HT341" s="700"/>
      <c r="HU341" s="700"/>
      <c r="HV341" s="700"/>
      <c r="HW341" s="700"/>
      <c r="HX341" s="700"/>
      <c r="HY341" s="700"/>
      <c r="HZ341" s="700"/>
      <c r="IA341" s="700"/>
      <c r="IB341" s="700"/>
      <c r="IC341" s="700"/>
      <c r="ID341" s="700"/>
      <c r="IE341" s="700"/>
      <c r="IF341" s="700"/>
      <c r="IG341" s="700"/>
      <c r="IH341" s="700"/>
      <c r="II341" s="700"/>
      <c r="IJ341" s="700"/>
      <c r="IK341" s="700"/>
      <c r="IL341" s="700"/>
      <c r="IM341" s="700"/>
      <c r="IN341" s="700"/>
      <c r="IO341" s="700"/>
      <c r="IP341" s="700"/>
      <c r="IQ341" s="700"/>
      <c r="IR341" s="700"/>
      <c r="IS341" s="700"/>
      <c r="IT341" s="700"/>
      <c r="IU341" s="700"/>
      <c r="IV341" s="700"/>
    </row>
    <row r="342" spans="1:256" s="575" customFormat="1" ht="25.5" customHeight="1" x14ac:dyDescent="0.2">
      <c r="A342" s="422"/>
      <c r="B342" s="398"/>
      <c r="C342" s="398"/>
      <c r="D342" s="425"/>
      <c r="E342" s="2030" t="str">
        <f>E_EnergyFlows!E388</f>
        <v>Podinstalacja objęta wskaźnikiem emisyjności opartym na cieple, „nie-CL”</v>
      </c>
      <c r="F342" s="2031"/>
      <c r="G342" s="2031"/>
      <c r="H342" s="866" t="str">
        <f>EUconst_TJpa</f>
        <v>TJ / rok</v>
      </c>
      <c r="I342" s="1007">
        <f>E_EnergyFlows!I388</f>
        <v>688.51799635030102</v>
      </c>
      <c r="J342" s="1007">
        <f>E_EnergyFlows!J388</f>
        <v>647.24553979430743</v>
      </c>
      <c r="K342" s="1007">
        <f>E_EnergyFlows!K388</f>
        <v>744.86796245655296</v>
      </c>
      <c r="L342" s="1007">
        <f>E_EnergyFlows!L388</f>
        <v>636.15108326654081</v>
      </c>
      <c r="M342" s="1029">
        <f>E_EnergyFlows!M388</f>
        <v>735.76769914288332</v>
      </c>
      <c r="N342" s="398"/>
      <c r="O342" s="20"/>
      <c r="P342" s="422"/>
      <c r="Q342" s="422"/>
      <c r="R342" s="422"/>
      <c r="S342" s="422"/>
      <c r="T342" s="422"/>
      <c r="U342" s="700"/>
      <c r="V342" s="700"/>
      <c r="W342" s="700"/>
      <c r="X342" s="700"/>
      <c r="Y342" s="700"/>
      <c r="Z342" s="700"/>
      <c r="AA342" s="700"/>
      <c r="AB342" s="700"/>
      <c r="AC342" s="700"/>
      <c r="AD342" s="700"/>
      <c r="AE342" s="700"/>
      <c r="AF342" s="700"/>
      <c r="AG342" s="700"/>
      <c r="AH342" s="700"/>
      <c r="AI342" s="700"/>
      <c r="AJ342" s="700"/>
      <c r="AK342" s="700"/>
      <c r="AL342" s="700"/>
      <c r="AM342" s="700"/>
      <c r="AN342" s="700"/>
      <c r="AO342" s="700"/>
      <c r="AP342" s="700"/>
      <c r="AQ342" s="700"/>
      <c r="AR342" s="700"/>
      <c r="AS342" s="700"/>
      <c r="AT342" s="700"/>
      <c r="AU342" s="700"/>
      <c r="AV342" s="700"/>
      <c r="AW342" s="700"/>
      <c r="AX342" s="700"/>
      <c r="AY342" s="700"/>
      <c r="AZ342" s="700"/>
      <c r="BA342" s="700"/>
      <c r="BB342" s="700"/>
      <c r="BC342" s="700"/>
      <c r="BD342" s="700"/>
      <c r="BE342" s="700"/>
      <c r="BF342" s="700"/>
      <c r="BG342" s="700"/>
      <c r="BH342" s="700"/>
      <c r="BI342" s="700"/>
      <c r="BJ342" s="700"/>
      <c r="BK342" s="700"/>
      <c r="BL342" s="700"/>
      <c r="BM342" s="700"/>
      <c r="BN342" s="700"/>
      <c r="BO342" s="700"/>
      <c r="BP342" s="700"/>
      <c r="BQ342" s="700"/>
      <c r="BR342" s="700"/>
      <c r="BS342" s="700"/>
      <c r="BT342" s="700"/>
      <c r="BU342" s="700"/>
      <c r="BV342" s="700"/>
      <c r="BW342" s="700"/>
      <c r="BX342" s="700"/>
      <c r="BY342" s="700"/>
      <c r="BZ342" s="700"/>
      <c r="CA342" s="700"/>
      <c r="CB342" s="700"/>
      <c r="CC342" s="700"/>
      <c r="CD342" s="700"/>
      <c r="CE342" s="700"/>
      <c r="CF342" s="700"/>
      <c r="CG342" s="700"/>
      <c r="CH342" s="700"/>
      <c r="CI342" s="700"/>
      <c r="CJ342" s="700"/>
      <c r="CK342" s="700"/>
      <c r="CL342" s="700"/>
      <c r="CM342" s="700"/>
      <c r="CN342" s="700"/>
      <c r="CO342" s="700"/>
      <c r="CP342" s="700"/>
      <c r="CQ342" s="700"/>
      <c r="CR342" s="700"/>
      <c r="CS342" s="700"/>
      <c r="CT342" s="700"/>
      <c r="CU342" s="700"/>
      <c r="CV342" s="700"/>
      <c r="CW342" s="700"/>
      <c r="CX342" s="700"/>
      <c r="CY342" s="700"/>
      <c r="CZ342" s="700"/>
      <c r="DA342" s="700"/>
      <c r="DB342" s="700"/>
      <c r="DC342" s="700"/>
      <c r="DD342" s="700"/>
      <c r="DE342" s="700"/>
      <c r="DF342" s="700"/>
      <c r="DG342" s="700"/>
      <c r="DH342" s="700"/>
      <c r="DI342" s="700"/>
      <c r="DJ342" s="700"/>
      <c r="DK342" s="700"/>
      <c r="DL342" s="700"/>
      <c r="DM342" s="700"/>
      <c r="DN342" s="700"/>
      <c r="DO342" s="700"/>
      <c r="DP342" s="700"/>
      <c r="DQ342" s="700"/>
      <c r="DR342" s="700"/>
      <c r="DS342" s="700"/>
      <c r="DT342" s="700"/>
      <c r="DU342" s="700"/>
      <c r="DV342" s="700"/>
      <c r="DW342" s="700"/>
      <c r="DX342" s="700"/>
      <c r="DY342" s="700"/>
      <c r="DZ342" s="700"/>
      <c r="EA342" s="700"/>
      <c r="EB342" s="700"/>
      <c r="EC342" s="700"/>
      <c r="ED342" s="700"/>
      <c r="EE342" s="700"/>
      <c r="EF342" s="700"/>
      <c r="EG342" s="700"/>
      <c r="EH342" s="700"/>
      <c r="EI342" s="700"/>
      <c r="EJ342" s="700"/>
      <c r="EK342" s="700"/>
      <c r="EL342" s="700"/>
      <c r="EM342" s="700"/>
      <c r="EN342" s="700"/>
      <c r="EO342" s="700"/>
      <c r="EP342" s="700"/>
      <c r="EQ342" s="700"/>
      <c r="ER342" s="700"/>
      <c r="ES342" s="700"/>
      <c r="ET342" s="700"/>
      <c r="EU342" s="700"/>
      <c r="EV342" s="700"/>
      <c r="EW342" s="700"/>
      <c r="EX342" s="700"/>
      <c r="EY342" s="700"/>
      <c r="EZ342" s="700"/>
      <c r="FA342" s="700"/>
      <c r="FB342" s="700"/>
      <c r="FC342" s="700"/>
      <c r="FD342" s="700"/>
      <c r="FE342" s="700"/>
      <c r="FF342" s="700"/>
      <c r="FG342" s="700"/>
      <c r="FH342" s="700"/>
      <c r="FI342" s="700"/>
      <c r="FJ342" s="700"/>
      <c r="FK342" s="700"/>
      <c r="FL342" s="700"/>
      <c r="FM342" s="700"/>
      <c r="FN342" s="700"/>
      <c r="FO342" s="700"/>
      <c r="FP342" s="700"/>
      <c r="FQ342" s="700"/>
      <c r="FR342" s="700"/>
      <c r="FS342" s="700"/>
      <c r="FT342" s="700"/>
      <c r="FU342" s="700"/>
      <c r="FV342" s="700"/>
      <c r="FW342" s="700"/>
      <c r="FX342" s="700"/>
      <c r="FY342" s="700"/>
      <c r="FZ342" s="700"/>
      <c r="GA342" s="700"/>
      <c r="GB342" s="700"/>
      <c r="GC342" s="700"/>
      <c r="GD342" s="700"/>
      <c r="GE342" s="700"/>
      <c r="GF342" s="700"/>
      <c r="GG342" s="700"/>
      <c r="GH342" s="700"/>
      <c r="GI342" s="700"/>
      <c r="GJ342" s="700"/>
      <c r="GK342" s="700"/>
      <c r="GL342" s="700"/>
      <c r="GM342" s="700"/>
      <c r="GN342" s="700"/>
      <c r="GO342" s="700"/>
      <c r="GP342" s="700"/>
      <c r="GQ342" s="700"/>
      <c r="GR342" s="700"/>
      <c r="GS342" s="700"/>
      <c r="GT342" s="700"/>
      <c r="GU342" s="700"/>
      <c r="GV342" s="700"/>
      <c r="GW342" s="700"/>
      <c r="GX342" s="700"/>
      <c r="GY342" s="700"/>
      <c r="GZ342" s="700"/>
      <c r="HA342" s="700"/>
      <c r="HB342" s="700"/>
      <c r="HC342" s="700"/>
      <c r="HD342" s="700"/>
      <c r="HE342" s="700"/>
      <c r="HF342" s="700"/>
      <c r="HG342" s="700"/>
      <c r="HH342" s="700"/>
      <c r="HI342" s="700"/>
      <c r="HJ342" s="700"/>
      <c r="HK342" s="700"/>
      <c r="HL342" s="700"/>
      <c r="HM342" s="700"/>
      <c r="HN342" s="700"/>
      <c r="HO342" s="700"/>
      <c r="HP342" s="700"/>
      <c r="HQ342" s="700"/>
      <c r="HR342" s="700"/>
      <c r="HS342" s="700"/>
      <c r="HT342" s="700"/>
      <c r="HU342" s="700"/>
      <c r="HV342" s="700"/>
      <c r="HW342" s="700"/>
      <c r="HX342" s="700"/>
      <c r="HY342" s="700"/>
      <c r="HZ342" s="700"/>
      <c r="IA342" s="700"/>
      <c r="IB342" s="700"/>
      <c r="IC342" s="700"/>
      <c r="ID342" s="700"/>
      <c r="IE342" s="700"/>
      <c r="IF342" s="700"/>
      <c r="IG342" s="700"/>
      <c r="IH342" s="700"/>
      <c r="II342" s="700"/>
      <c r="IJ342" s="700"/>
      <c r="IK342" s="700"/>
      <c r="IL342" s="700"/>
      <c r="IM342" s="700"/>
      <c r="IN342" s="700"/>
      <c r="IO342" s="700"/>
      <c r="IP342" s="700"/>
      <c r="IQ342" s="700"/>
      <c r="IR342" s="700"/>
      <c r="IS342" s="700"/>
      <c r="IT342" s="700"/>
      <c r="IU342" s="700"/>
      <c r="IV342" s="700"/>
    </row>
    <row r="343" spans="1:256" s="701" customFormat="1" ht="12.75" customHeight="1" thickBot="1" x14ac:dyDescent="0.25">
      <c r="A343" s="422"/>
      <c r="B343" s="398"/>
      <c r="C343" s="398"/>
      <c r="D343" s="398"/>
      <c r="E343" s="868" t="str">
        <f>E_EnergyFlows!E389</f>
        <v>Podinstalacja sieci ciepłowniczej</v>
      </c>
      <c r="F343" s="869"/>
      <c r="G343" s="869"/>
      <c r="H343" s="870" t="str">
        <f>EUconst_TJpa</f>
        <v>TJ / rok</v>
      </c>
      <c r="I343" s="1030">
        <f>E_EnergyFlows!I389</f>
        <v>662.06804061044795</v>
      </c>
      <c r="J343" s="1030">
        <f>E_EnergyFlows!J389</f>
        <v>626.64672879565023</v>
      </c>
      <c r="K343" s="1030">
        <f>E_EnergyFlows!K389</f>
        <v>723.68499865240449</v>
      </c>
      <c r="L343" s="1030">
        <f>E_EnergyFlows!L389</f>
        <v>609.35093899960611</v>
      </c>
      <c r="M343" s="1031">
        <f>E_EnergyFlows!M389</f>
        <v>700.89915206116541</v>
      </c>
      <c r="N343" s="398"/>
      <c r="O343" s="20"/>
      <c r="P343" s="422"/>
      <c r="Q343" s="422"/>
      <c r="R343" s="422"/>
      <c r="S343" s="422"/>
      <c r="T343" s="422"/>
      <c r="U343" s="700"/>
      <c r="V343" s="700"/>
      <c r="W343" s="700"/>
      <c r="X343" s="700"/>
      <c r="Y343" s="700"/>
      <c r="Z343" s="700"/>
      <c r="AA343" s="700"/>
      <c r="AB343" s="700"/>
      <c r="AC343" s="700"/>
      <c r="AD343" s="700"/>
      <c r="AE343" s="700"/>
      <c r="AF343" s="700"/>
      <c r="AG343" s="700"/>
      <c r="AH343" s="700"/>
      <c r="AI343" s="700"/>
      <c r="AJ343" s="700"/>
      <c r="AK343" s="700"/>
      <c r="AL343" s="700"/>
      <c r="AM343" s="700"/>
      <c r="AN343" s="700"/>
      <c r="AO343" s="700"/>
      <c r="AP343" s="700"/>
      <c r="AQ343" s="700"/>
      <c r="AR343" s="700"/>
      <c r="AS343" s="700"/>
      <c r="AT343" s="700"/>
      <c r="AU343" s="700"/>
      <c r="AV343" s="700"/>
      <c r="AW343" s="700"/>
      <c r="AX343" s="700"/>
      <c r="AY343" s="700"/>
      <c r="AZ343" s="700"/>
      <c r="BA343" s="700"/>
      <c r="BB343" s="700"/>
      <c r="BC343" s="700"/>
      <c r="BD343" s="700"/>
      <c r="BE343" s="700"/>
      <c r="BF343" s="700"/>
      <c r="BG343" s="700"/>
      <c r="BH343" s="700"/>
      <c r="BI343" s="700"/>
      <c r="BJ343" s="700"/>
      <c r="BK343" s="700"/>
      <c r="BL343" s="700"/>
      <c r="BM343" s="700"/>
      <c r="BN343" s="700"/>
      <c r="BO343" s="700"/>
      <c r="BP343" s="700"/>
      <c r="BQ343" s="700"/>
      <c r="BR343" s="700"/>
      <c r="BS343" s="700"/>
      <c r="BT343" s="700"/>
      <c r="BU343" s="700"/>
      <c r="BV343" s="700"/>
      <c r="BW343" s="700"/>
      <c r="BX343" s="700"/>
      <c r="BY343" s="700"/>
      <c r="BZ343" s="700"/>
      <c r="CA343" s="700"/>
      <c r="CB343" s="700"/>
      <c r="CC343" s="700"/>
      <c r="CD343" s="700"/>
      <c r="CE343" s="700"/>
      <c r="CF343" s="700"/>
      <c r="CG343" s="700"/>
      <c r="CH343" s="700"/>
      <c r="CI343" s="700"/>
      <c r="CJ343" s="700"/>
      <c r="CK343" s="700"/>
      <c r="CL343" s="700"/>
      <c r="CM343" s="700"/>
      <c r="CN343" s="700"/>
      <c r="CO343" s="700"/>
      <c r="CP343" s="700"/>
      <c r="CQ343" s="700"/>
      <c r="CR343" s="700"/>
      <c r="CS343" s="700"/>
      <c r="CT343" s="700"/>
      <c r="CU343" s="700"/>
      <c r="CV343" s="700"/>
      <c r="CW343" s="700"/>
      <c r="CX343" s="700"/>
      <c r="CY343" s="700"/>
      <c r="CZ343" s="700"/>
      <c r="DA343" s="700"/>
      <c r="DB343" s="700"/>
      <c r="DC343" s="700"/>
      <c r="DD343" s="700"/>
      <c r="DE343" s="700"/>
      <c r="DF343" s="700"/>
      <c r="DG343" s="700"/>
      <c r="DH343" s="700"/>
      <c r="DI343" s="700"/>
      <c r="DJ343" s="700"/>
      <c r="DK343" s="700"/>
      <c r="DL343" s="700"/>
      <c r="DM343" s="700"/>
      <c r="DN343" s="700"/>
      <c r="DO343" s="700"/>
      <c r="DP343" s="700"/>
      <c r="DQ343" s="700"/>
      <c r="DR343" s="700"/>
      <c r="DS343" s="700"/>
      <c r="DT343" s="700"/>
      <c r="DU343" s="700"/>
      <c r="DV343" s="700"/>
      <c r="DW343" s="700"/>
      <c r="DX343" s="700"/>
      <c r="DY343" s="700"/>
      <c r="DZ343" s="700"/>
      <c r="EA343" s="700"/>
      <c r="EB343" s="700"/>
      <c r="EC343" s="700"/>
      <c r="ED343" s="700"/>
      <c r="EE343" s="700"/>
      <c r="EF343" s="700"/>
      <c r="EG343" s="700"/>
      <c r="EH343" s="700"/>
      <c r="EI343" s="700"/>
      <c r="EJ343" s="700"/>
      <c r="EK343" s="700"/>
      <c r="EL343" s="700"/>
      <c r="EM343" s="700"/>
      <c r="EN343" s="700"/>
      <c r="EO343" s="700"/>
      <c r="EP343" s="700"/>
      <c r="EQ343" s="700"/>
      <c r="ER343" s="700"/>
      <c r="ES343" s="700"/>
      <c r="ET343" s="700"/>
      <c r="EU343" s="700"/>
      <c r="EV343" s="700"/>
      <c r="EW343" s="700"/>
      <c r="EX343" s="700"/>
      <c r="EY343" s="700"/>
      <c r="EZ343" s="700"/>
      <c r="FA343" s="700"/>
      <c r="FB343" s="700"/>
      <c r="FC343" s="700"/>
      <c r="FD343" s="700"/>
      <c r="FE343" s="700"/>
      <c r="FF343" s="700"/>
      <c r="FG343" s="700"/>
      <c r="FH343" s="700"/>
      <c r="FI343" s="700"/>
      <c r="FJ343" s="700"/>
      <c r="FK343" s="700"/>
      <c r="FL343" s="700"/>
      <c r="FM343" s="700"/>
      <c r="FN343" s="700"/>
      <c r="FO343" s="700"/>
      <c r="FP343" s="700"/>
      <c r="FQ343" s="700"/>
      <c r="FR343" s="700"/>
      <c r="FS343" s="700"/>
      <c r="FT343" s="700"/>
      <c r="FU343" s="700"/>
      <c r="FV343" s="700"/>
      <c r="FW343" s="700"/>
      <c r="FX343" s="700"/>
      <c r="FY343" s="700"/>
      <c r="FZ343" s="700"/>
      <c r="GA343" s="700"/>
      <c r="GB343" s="700"/>
      <c r="GC343" s="700"/>
      <c r="GD343" s="700"/>
      <c r="GE343" s="700"/>
      <c r="GF343" s="700"/>
      <c r="GG343" s="700"/>
      <c r="GH343" s="700"/>
      <c r="GI343" s="700"/>
      <c r="GJ343" s="700"/>
      <c r="GK343" s="700"/>
      <c r="GL343" s="700"/>
      <c r="GM343" s="700"/>
      <c r="GN343" s="700"/>
      <c r="GO343" s="700"/>
      <c r="GP343" s="700"/>
      <c r="GQ343" s="700"/>
      <c r="GR343" s="700"/>
      <c r="GS343" s="700"/>
      <c r="GT343" s="700"/>
      <c r="GU343" s="700"/>
      <c r="GV343" s="700"/>
      <c r="GW343" s="700"/>
      <c r="GX343" s="700"/>
      <c r="GY343" s="700"/>
      <c r="GZ343" s="700"/>
      <c r="HA343" s="700"/>
      <c r="HB343" s="700"/>
      <c r="HC343" s="700"/>
      <c r="HD343" s="700"/>
      <c r="HE343" s="700"/>
      <c r="HF343" s="700"/>
      <c r="HG343" s="700"/>
      <c r="HH343" s="700"/>
      <c r="HI343" s="700"/>
      <c r="HJ343" s="700"/>
      <c r="HK343" s="700"/>
      <c r="HL343" s="700"/>
      <c r="HM343" s="700"/>
      <c r="HN343" s="700"/>
      <c r="HO343" s="700"/>
      <c r="HP343" s="700"/>
      <c r="HQ343" s="700"/>
      <c r="HR343" s="700"/>
      <c r="HS343" s="700"/>
      <c r="HT343" s="700"/>
      <c r="HU343" s="700"/>
      <c r="HV343" s="700"/>
      <c r="HW343" s="700"/>
      <c r="HX343" s="700"/>
      <c r="HY343" s="700"/>
      <c r="HZ343" s="700"/>
      <c r="IA343" s="700"/>
      <c r="IB343" s="700"/>
      <c r="IC343" s="700"/>
      <c r="ID343" s="700"/>
      <c r="IE343" s="700"/>
      <c r="IF343" s="700"/>
      <c r="IG343" s="700"/>
      <c r="IH343" s="700"/>
      <c r="II343" s="700"/>
      <c r="IJ343" s="700"/>
      <c r="IK343" s="700"/>
      <c r="IL343" s="700"/>
      <c r="IM343" s="700"/>
      <c r="IN343" s="700"/>
      <c r="IO343" s="700"/>
      <c r="IP343" s="700"/>
      <c r="IQ343" s="700"/>
      <c r="IR343" s="700"/>
      <c r="IS343" s="700"/>
      <c r="IT343" s="700"/>
      <c r="IU343" s="700"/>
      <c r="IV343" s="700"/>
    </row>
    <row r="344" spans="1:256" s="701" customFormat="1" ht="12.75" customHeight="1" x14ac:dyDescent="0.2">
      <c r="A344" s="422"/>
      <c r="B344" s="398"/>
      <c r="C344" s="398"/>
      <c r="D344" s="398"/>
      <c r="E344" s="398"/>
      <c r="F344" s="398"/>
      <c r="G344" s="398"/>
      <c r="H344" s="398"/>
      <c r="I344" s="398"/>
      <c r="J344" s="398"/>
      <c r="K344" s="398"/>
      <c r="L344" s="398"/>
      <c r="M344" s="398"/>
      <c r="N344" s="398"/>
      <c r="O344" s="20"/>
      <c r="P344" s="422"/>
      <c r="Q344" s="422"/>
      <c r="R344" s="422"/>
      <c r="S344" s="422"/>
      <c r="T344" s="422"/>
      <c r="U344" s="700"/>
      <c r="V344" s="700"/>
      <c r="W344" s="700"/>
      <c r="X344" s="700"/>
      <c r="Y344" s="700"/>
      <c r="Z344" s="700"/>
      <c r="AA344" s="700"/>
      <c r="AB344" s="700"/>
      <c r="AC344" s="700"/>
      <c r="AD344" s="700"/>
      <c r="AE344" s="700"/>
      <c r="AF344" s="700"/>
      <c r="AG344" s="700"/>
      <c r="AH344" s="700"/>
      <c r="AI344" s="700"/>
      <c r="AJ344" s="700"/>
      <c r="AK344" s="700"/>
      <c r="AL344" s="700"/>
      <c r="AM344" s="700"/>
      <c r="AN344" s="700"/>
      <c r="AO344" s="700"/>
      <c r="AP344" s="700"/>
      <c r="AQ344" s="700"/>
      <c r="AR344" s="700"/>
      <c r="AS344" s="700"/>
      <c r="AT344" s="700"/>
      <c r="AU344" s="700"/>
      <c r="AV344" s="700"/>
      <c r="AW344" s="700"/>
      <c r="AX344" s="700"/>
      <c r="AY344" s="700"/>
      <c r="AZ344" s="700"/>
      <c r="BA344" s="700"/>
      <c r="BB344" s="700"/>
      <c r="BC344" s="700"/>
      <c r="BD344" s="700"/>
      <c r="BE344" s="700"/>
      <c r="BF344" s="700"/>
      <c r="BG344" s="700"/>
      <c r="BH344" s="700"/>
      <c r="BI344" s="700"/>
      <c r="BJ344" s="700"/>
      <c r="BK344" s="700"/>
      <c r="BL344" s="700"/>
      <c r="BM344" s="700"/>
      <c r="BN344" s="700"/>
      <c r="BO344" s="700"/>
      <c r="BP344" s="700"/>
      <c r="BQ344" s="700"/>
      <c r="BR344" s="700"/>
      <c r="BS344" s="700"/>
      <c r="BT344" s="700"/>
      <c r="BU344" s="700"/>
      <c r="BV344" s="700"/>
      <c r="BW344" s="700"/>
      <c r="BX344" s="700"/>
      <c r="BY344" s="700"/>
      <c r="BZ344" s="700"/>
      <c r="CA344" s="700"/>
      <c r="CB344" s="700"/>
      <c r="CC344" s="700"/>
      <c r="CD344" s="700"/>
      <c r="CE344" s="700"/>
      <c r="CF344" s="700"/>
      <c r="CG344" s="700"/>
      <c r="CH344" s="700"/>
      <c r="CI344" s="700"/>
      <c r="CJ344" s="700"/>
      <c r="CK344" s="700"/>
      <c r="CL344" s="700"/>
      <c r="CM344" s="700"/>
      <c r="CN344" s="700"/>
      <c r="CO344" s="700"/>
      <c r="CP344" s="700"/>
      <c r="CQ344" s="700"/>
      <c r="CR344" s="700"/>
      <c r="CS344" s="700"/>
      <c r="CT344" s="700"/>
      <c r="CU344" s="700"/>
      <c r="CV344" s="700"/>
      <c r="CW344" s="700"/>
      <c r="CX344" s="700"/>
      <c r="CY344" s="700"/>
      <c r="CZ344" s="700"/>
      <c r="DA344" s="700"/>
      <c r="DB344" s="700"/>
      <c r="DC344" s="700"/>
      <c r="DD344" s="700"/>
      <c r="DE344" s="700"/>
      <c r="DF344" s="700"/>
      <c r="DG344" s="700"/>
      <c r="DH344" s="700"/>
      <c r="DI344" s="700"/>
      <c r="DJ344" s="700"/>
      <c r="DK344" s="700"/>
      <c r="DL344" s="700"/>
      <c r="DM344" s="700"/>
      <c r="DN344" s="700"/>
      <c r="DO344" s="700"/>
      <c r="DP344" s="700"/>
      <c r="DQ344" s="700"/>
      <c r="DR344" s="700"/>
      <c r="DS344" s="700"/>
      <c r="DT344" s="700"/>
      <c r="DU344" s="700"/>
      <c r="DV344" s="700"/>
      <c r="DW344" s="700"/>
      <c r="DX344" s="700"/>
      <c r="DY344" s="700"/>
      <c r="DZ344" s="700"/>
      <c r="EA344" s="700"/>
      <c r="EB344" s="700"/>
      <c r="EC344" s="700"/>
      <c r="ED344" s="700"/>
      <c r="EE344" s="700"/>
      <c r="EF344" s="700"/>
      <c r="EG344" s="700"/>
      <c r="EH344" s="700"/>
      <c r="EI344" s="700"/>
      <c r="EJ344" s="700"/>
      <c r="EK344" s="700"/>
      <c r="EL344" s="700"/>
      <c r="EM344" s="700"/>
      <c r="EN344" s="700"/>
      <c r="EO344" s="700"/>
      <c r="EP344" s="700"/>
      <c r="EQ344" s="700"/>
      <c r="ER344" s="700"/>
      <c r="ES344" s="700"/>
      <c r="ET344" s="700"/>
      <c r="EU344" s="700"/>
      <c r="EV344" s="700"/>
      <c r="EW344" s="700"/>
      <c r="EX344" s="700"/>
      <c r="EY344" s="700"/>
      <c r="EZ344" s="700"/>
      <c r="FA344" s="700"/>
      <c r="FB344" s="700"/>
      <c r="FC344" s="700"/>
      <c r="FD344" s="700"/>
      <c r="FE344" s="700"/>
      <c r="FF344" s="700"/>
      <c r="FG344" s="700"/>
      <c r="FH344" s="700"/>
      <c r="FI344" s="700"/>
      <c r="FJ344" s="700"/>
      <c r="FK344" s="700"/>
      <c r="FL344" s="700"/>
      <c r="FM344" s="700"/>
      <c r="FN344" s="700"/>
      <c r="FO344" s="700"/>
      <c r="FP344" s="700"/>
      <c r="FQ344" s="700"/>
      <c r="FR344" s="700"/>
      <c r="FS344" s="700"/>
      <c r="FT344" s="700"/>
      <c r="FU344" s="700"/>
      <c r="FV344" s="700"/>
      <c r="FW344" s="700"/>
      <c r="FX344" s="700"/>
      <c r="FY344" s="700"/>
      <c r="FZ344" s="700"/>
      <c r="GA344" s="700"/>
      <c r="GB344" s="700"/>
      <c r="GC344" s="700"/>
      <c r="GD344" s="700"/>
      <c r="GE344" s="700"/>
      <c r="GF344" s="700"/>
      <c r="GG344" s="700"/>
      <c r="GH344" s="700"/>
      <c r="GI344" s="700"/>
      <c r="GJ344" s="700"/>
      <c r="GK344" s="700"/>
      <c r="GL344" s="700"/>
      <c r="GM344" s="700"/>
      <c r="GN344" s="700"/>
      <c r="GO344" s="700"/>
      <c r="GP344" s="700"/>
      <c r="GQ344" s="700"/>
      <c r="GR344" s="700"/>
      <c r="GS344" s="700"/>
      <c r="GT344" s="700"/>
      <c r="GU344" s="700"/>
      <c r="GV344" s="700"/>
      <c r="GW344" s="700"/>
      <c r="GX344" s="700"/>
      <c r="GY344" s="700"/>
      <c r="GZ344" s="700"/>
      <c r="HA344" s="700"/>
      <c r="HB344" s="700"/>
      <c r="HC344" s="700"/>
      <c r="HD344" s="700"/>
      <c r="HE344" s="700"/>
      <c r="HF344" s="700"/>
      <c r="HG344" s="700"/>
      <c r="HH344" s="700"/>
      <c r="HI344" s="700"/>
      <c r="HJ344" s="700"/>
      <c r="HK344" s="700"/>
      <c r="HL344" s="700"/>
      <c r="HM344" s="700"/>
      <c r="HN344" s="700"/>
      <c r="HO344" s="700"/>
      <c r="HP344" s="700"/>
      <c r="HQ344" s="700"/>
      <c r="HR344" s="700"/>
      <c r="HS344" s="700"/>
      <c r="HT344" s="700"/>
      <c r="HU344" s="700"/>
      <c r="HV344" s="700"/>
      <c r="HW344" s="700"/>
      <c r="HX344" s="700"/>
      <c r="HY344" s="700"/>
      <c r="HZ344" s="700"/>
      <c r="IA344" s="700"/>
      <c r="IB344" s="700"/>
      <c r="IC344" s="700"/>
      <c r="ID344" s="700"/>
      <c r="IE344" s="700"/>
      <c r="IF344" s="700"/>
      <c r="IG344" s="700"/>
      <c r="IH344" s="700"/>
      <c r="II344" s="700"/>
      <c r="IJ344" s="700"/>
      <c r="IK344" s="700"/>
      <c r="IL344" s="700"/>
      <c r="IM344" s="700"/>
      <c r="IN344" s="700"/>
      <c r="IO344" s="700"/>
      <c r="IP344" s="700"/>
      <c r="IQ344" s="700"/>
      <c r="IR344" s="700"/>
      <c r="IS344" s="700"/>
      <c r="IT344" s="700"/>
      <c r="IU344" s="700"/>
      <c r="IV344" s="700"/>
    </row>
    <row r="345" spans="1:256" ht="15" customHeight="1" x14ac:dyDescent="0.25">
      <c r="A345" s="430"/>
      <c r="B345" s="3"/>
      <c r="C345" s="18">
        <v>7</v>
      </c>
      <c r="D345" s="1439" t="str">
        <f>E_EnergyFlows!D237</f>
        <v>Pełny bilans gazów odlotowych w instalacji</v>
      </c>
      <c r="E345" s="1370"/>
      <c r="F345" s="1370"/>
      <c r="G345" s="1370"/>
      <c r="H345" s="1370"/>
      <c r="I345" s="1370"/>
      <c r="J345" s="1370"/>
      <c r="K345" s="1370"/>
      <c r="L345" s="1370"/>
      <c r="M345" s="1370"/>
      <c r="N345" s="1370"/>
      <c r="O345" s="20"/>
      <c r="P345" s="626"/>
      <c r="Q345" s="430"/>
      <c r="R345" s="430"/>
      <c r="S345" s="430"/>
      <c r="T345" s="422"/>
    </row>
    <row r="346" spans="1:256" ht="5.0999999999999996" customHeight="1" x14ac:dyDescent="0.2">
      <c r="A346" s="430"/>
      <c r="B346" s="3"/>
      <c r="C346" s="3"/>
      <c r="D346" s="3"/>
      <c r="E346" s="3"/>
      <c r="F346" s="3"/>
      <c r="G346" s="3"/>
      <c r="H346" s="3"/>
      <c r="I346" s="3"/>
      <c r="J346" s="3"/>
      <c r="K346" s="3"/>
      <c r="L346" s="3"/>
      <c r="M346" s="3"/>
      <c r="N346" s="3"/>
      <c r="O346" s="20"/>
      <c r="P346" s="626"/>
      <c r="Q346" s="430"/>
      <c r="R346" s="430"/>
      <c r="S346" s="430"/>
      <c r="T346" s="422"/>
    </row>
    <row r="347" spans="1:256" ht="25.5" customHeight="1" x14ac:dyDescent="0.2">
      <c r="A347" s="430"/>
      <c r="B347" s="3"/>
      <c r="C347" s="14"/>
      <c r="D347" s="14" t="str">
        <f>E_EnergyFlows!D245</f>
        <v>(a)</v>
      </c>
      <c r="E347" s="1653" t="str">
        <f>E_EnergyFlows!E245</f>
        <v>Gazy odlotowe wytworzone w granicach systemowych podinstalacji objętej wskaźnikiem emisyjności dla produktów</v>
      </c>
      <c r="F347" s="1647"/>
      <c r="G347" s="1647"/>
      <c r="H347" s="1647"/>
      <c r="I347" s="1647"/>
      <c r="J347" s="1647"/>
      <c r="K347" s="1647"/>
      <c r="L347" s="1647"/>
      <c r="M347" s="1647"/>
      <c r="N347" s="1647"/>
      <c r="O347" s="20"/>
      <c r="P347" s="626"/>
      <c r="Q347" s="626"/>
      <c r="R347" s="626"/>
      <c r="S347" s="430"/>
      <c r="T347" s="422"/>
    </row>
    <row r="348" spans="1:256" ht="12.75" customHeight="1" x14ac:dyDescent="0.2">
      <c r="A348" s="430"/>
      <c r="B348" s="20"/>
      <c r="C348" s="20"/>
      <c r="D348" s="20"/>
      <c r="E348" s="1650" t="str">
        <f>E_EnergyFlows!E247</f>
        <v>Podinstalacja</v>
      </c>
      <c r="F348" s="1651"/>
      <c r="G348" s="1651"/>
      <c r="H348" s="34" t="str">
        <f>E_EnergyFlows!H247</f>
        <v>Jednostka</v>
      </c>
      <c r="I348" s="396">
        <f>E_EnergyFlows!I247</f>
        <v>2014</v>
      </c>
      <c r="J348" s="396">
        <f>E_EnergyFlows!J247</f>
        <v>2015</v>
      </c>
      <c r="K348" s="396">
        <f>E_EnergyFlows!K247</f>
        <v>2016</v>
      </c>
      <c r="L348" s="396">
        <f>E_EnergyFlows!L247</f>
        <v>2017</v>
      </c>
      <c r="M348" s="421">
        <f>E_EnergyFlows!M247</f>
        <v>2018</v>
      </c>
      <c r="N348" s="570"/>
      <c r="O348" s="20"/>
      <c r="P348" s="626"/>
      <c r="Q348" s="626"/>
      <c r="R348" s="626"/>
      <c r="S348" s="430"/>
      <c r="T348" s="422"/>
    </row>
    <row r="349" spans="1:256" x14ac:dyDescent="0.2">
      <c r="A349" s="430"/>
      <c r="B349" s="20"/>
      <c r="C349" s="20"/>
      <c r="D349" s="195"/>
      <c r="E349" s="1672" t="str">
        <f>E_EnergyFlows!E248</f>
        <v/>
      </c>
      <c r="F349" s="1672"/>
      <c r="G349" s="1672"/>
      <c r="H349" s="27" t="str">
        <f>E_EnergyFlows!H248</f>
        <v>TJ / rok</v>
      </c>
      <c r="I349" s="703" t="str">
        <f>E_EnergyFlows!I248</f>
        <v/>
      </c>
      <c r="J349" s="703" t="str">
        <f>E_EnergyFlows!J248</f>
        <v/>
      </c>
      <c r="K349" s="703" t="str">
        <f>E_EnergyFlows!K248</f>
        <v/>
      </c>
      <c r="L349" s="703" t="str">
        <f>E_EnergyFlows!L248</f>
        <v/>
      </c>
      <c r="M349" s="703" t="str">
        <f>E_EnergyFlows!M248</f>
        <v/>
      </c>
      <c r="N349" s="7"/>
      <c r="O349" s="20"/>
      <c r="P349" s="626"/>
      <c r="Q349" s="626"/>
      <c r="R349" s="626"/>
      <c r="S349" s="430"/>
      <c r="T349" s="422"/>
    </row>
    <row r="350" spans="1:256" x14ac:dyDescent="0.2">
      <c r="A350" s="430"/>
      <c r="B350" s="20"/>
      <c r="C350" s="20"/>
      <c r="D350" s="195"/>
      <c r="E350" s="1673" t="str">
        <f>E_EnergyFlows!E249</f>
        <v/>
      </c>
      <c r="F350" s="1673"/>
      <c r="G350" s="1673"/>
      <c r="H350" s="28" t="str">
        <f>E_EnergyFlows!H249</f>
        <v>TJ / rok</v>
      </c>
      <c r="I350" s="511" t="str">
        <f>E_EnergyFlows!I249</f>
        <v/>
      </c>
      <c r="J350" s="511" t="str">
        <f>E_EnergyFlows!J249</f>
        <v/>
      </c>
      <c r="K350" s="511" t="str">
        <f>E_EnergyFlows!K249</f>
        <v/>
      </c>
      <c r="L350" s="511" t="str">
        <f>E_EnergyFlows!L249</f>
        <v/>
      </c>
      <c r="M350" s="511" t="str">
        <f>E_EnergyFlows!M249</f>
        <v/>
      </c>
      <c r="N350" s="7"/>
      <c r="O350" s="20"/>
      <c r="P350" s="626"/>
      <c r="Q350" s="626"/>
      <c r="R350" s="626"/>
      <c r="S350" s="430"/>
      <c r="T350" s="422"/>
    </row>
    <row r="351" spans="1:256" x14ac:dyDescent="0.2">
      <c r="A351" s="430"/>
      <c r="B351" s="20"/>
      <c r="C351" s="20"/>
      <c r="D351" s="195"/>
      <c r="E351" s="1673" t="str">
        <f>E_EnergyFlows!E250</f>
        <v/>
      </c>
      <c r="F351" s="1673"/>
      <c r="G351" s="1673"/>
      <c r="H351" s="28" t="str">
        <f>E_EnergyFlows!H250</f>
        <v>TJ / rok</v>
      </c>
      <c r="I351" s="511" t="str">
        <f>E_EnergyFlows!I250</f>
        <v/>
      </c>
      <c r="J351" s="511" t="str">
        <f>E_EnergyFlows!J250</f>
        <v/>
      </c>
      <c r="K351" s="511" t="str">
        <f>E_EnergyFlows!K250</f>
        <v/>
      </c>
      <c r="L351" s="511" t="str">
        <f>E_EnergyFlows!L250</f>
        <v/>
      </c>
      <c r="M351" s="511" t="str">
        <f>E_EnergyFlows!M250</f>
        <v/>
      </c>
      <c r="N351" s="7"/>
      <c r="O351" s="20"/>
      <c r="P351" s="626"/>
      <c r="Q351" s="626"/>
      <c r="R351" s="626"/>
      <c r="S351" s="430"/>
      <c r="T351" s="422"/>
    </row>
    <row r="352" spans="1:256" x14ac:dyDescent="0.2">
      <c r="A352" s="430"/>
      <c r="B352" s="20"/>
      <c r="C352" s="20"/>
      <c r="D352" s="195"/>
      <c r="E352" s="1673" t="str">
        <f>E_EnergyFlows!E251</f>
        <v/>
      </c>
      <c r="F352" s="1673"/>
      <c r="G352" s="1673"/>
      <c r="H352" s="28" t="str">
        <f>E_EnergyFlows!H251</f>
        <v>TJ / rok</v>
      </c>
      <c r="I352" s="511" t="str">
        <f>E_EnergyFlows!I251</f>
        <v/>
      </c>
      <c r="J352" s="511" t="str">
        <f>E_EnergyFlows!J251</f>
        <v/>
      </c>
      <c r="K352" s="511" t="str">
        <f>E_EnergyFlows!K251</f>
        <v/>
      </c>
      <c r="L352" s="511" t="str">
        <f>E_EnergyFlows!L251</f>
        <v/>
      </c>
      <c r="M352" s="511" t="str">
        <f>E_EnergyFlows!M251</f>
        <v/>
      </c>
      <c r="N352" s="7"/>
      <c r="O352" s="20"/>
      <c r="P352" s="626"/>
      <c r="Q352" s="626"/>
      <c r="R352" s="626"/>
      <c r="S352" s="430"/>
      <c r="T352" s="422"/>
    </row>
    <row r="353" spans="1:20" x14ac:dyDescent="0.2">
      <c r="A353" s="430"/>
      <c r="B353" s="20"/>
      <c r="C353" s="20"/>
      <c r="D353" s="425"/>
      <c r="E353" s="1673" t="str">
        <f>E_EnergyFlows!E252</f>
        <v/>
      </c>
      <c r="F353" s="1673"/>
      <c r="G353" s="1673"/>
      <c r="H353" s="28" t="str">
        <f>E_EnergyFlows!H252</f>
        <v>TJ / rok</v>
      </c>
      <c r="I353" s="511" t="str">
        <f>E_EnergyFlows!I252</f>
        <v/>
      </c>
      <c r="J353" s="511" t="str">
        <f>E_EnergyFlows!J252</f>
        <v/>
      </c>
      <c r="K353" s="511" t="str">
        <f>E_EnergyFlows!K252</f>
        <v/>
      </c>
      <c r="L353" s="511" t="str">
        <f>E_EnergyFlows!L252</f>
        <v/>
      </c>
      <c r="M353" s="511" t="str">
        <f>E_EnergyFlows!M252</f>
        <v/>
      </c>
      <c r="N353" s="7"/>
      <c r="O353" s="20"/>
      <c r="P353" s="626"/>
      <c r="Q353" s="626"/>
      <c r="R353" s="626"/>
      <c r="S353" s="430"/>
      <c r="T353" s="422"/>
    </row>
    <row r="354" spans="1:20" x14ac:dyDescent="0.2">
      <c r="A354" s="430"/>
      <c r="B354" s="20"/>
      <c r="C354" s="20"/>
      <c r="D354" s="425"/>
      <c r="E354" s="1673" t="str">
        <f>E_EnergyFlows!E253</f>
        <v/>
      </c>
      <c r="F354" s="1673"/>
      <c r="G354" s="1673"/>
      <c r="H354" s="28" t="str">
        <f>E_EnergyFlows!H253</f>
        <v>TJ / rok</v>
      </c>
      <c r="I354" s="511" t="str">
        <f>E_EnergyFlows!I253</f>
        <v/>
      </c>
      <c r="J354" s="511" t="str">
        <f>E_EnergyFlows!J253</f>
        <v/>
      </c>
      <c r="K354" s="511" t="str">
        <f>E_EnergyFlows!K253</f>
        <v/>
      </c>
      <c r="L354" s="511" t="str">
        <f>E_EnergyFlows!L253</f>
        <v/>
      </c>
      <c r="M354" s="511" t="str">
        <f>E_EnergyFlows!M253</f>
        <v/>
      </c>
      <c r="N354" s="7"/>
      <c r="O354" s="20"/>
      <c r="P354" s="626"/>
      <c r="Q354" s="626"/>
      <c r="R354" s="626"/>
      <c r="S354" s="430"/>
      <c r="T354" s="422"/>
    </row>
    <row r="355" spans="1:20" x14ac:dyDescent="0.2">
      <c r="A355" s="430"/>
      <c r="B355" s="20"/>
      <c r="C355" s="20"/>
      <c r="D355" s="425"/>
      <c r="E355" s="1673" t="str">
        <f>E_EnergyFlows!E254</f>
        <v/>
      </c>
      <c r="F355" s="1673"/>
      <c r="G355" s="1673"/>
      <c r="H355" s="28" t="str">
        <f>E_EnergyFlows!H254</f>
        <v>TJ / rok</v>
      </c>
      <c r="I355" s="511" t="str">
        <f>E_EnergyFlows!I254</f>
        <v/>
      </c>
      <c r="J355" s="511" t="str">
        <f>E_EnergyFlows!J254</f>
        <v/>
      </c>
      <c r="K355" s="511" t="str">
        <f>E_EnergyFlows!K254</f>
        <v/>
      </c>
      <c r="L355" s="511" t="str">
        <f>E_EnergyFlows!L254</f>
        <v/>
      </c>
      <c r="M355" s="511" t="str">
        <f>E_EnergyFlows!M254</f>
        <v/>
      </c>
      <c r="N355" s="7"/>
      <c r="O355" s="20"/>
      <c r="P355" s="626"/>
      <c r="Q355" s="626"/>
      <c r="R355" s="626"/>
      <c r="S355" s="430"/>
      <c r="T355" s="422"/>
    </row>
    <row r="356" spans="1:20" x14ac:dyDescent="0.2">
      <c r="A356" s="430"/>
      <c r="B356" s="20"/>
      <c r="C356" s="20"/>
      <c r="D356" s="425"/>
      <c r="E356" s="1673" t="str">
        <f>E_EnergyFlows!E255</f>
        <v/>
      </c>
      <c r="F356" s="1673"/>
      <c r="G356" s="1673"/>
      <c r="H356" s="28" t="str">
        <f>E_EnergyFlows!H255</f>
        <v>TJ / rok</v>
      </c>
      <c r="I356" s="511" t="str">
        <f>E_EnergyFlows!I255</f>
        <v/>
      </c>
      <c r="J356" s="511" t="str">
        <f>E_EnergyFlows!J255</f>
        <v/>
      </c>
      <c r="K356" s="511" t="str">
        <f>E_EnergyFlows!K255</f>
        <v/>
      </c>
      <c r="L356" s="511" t="str">
        <f>E_EnergyFlows!L255</f>
        <v/>
      </c>
      <c r="M356" s="511" t="str">
        <f>E_EnergyFlows!M255</f>
        <v/>
      </c>
      <c r="N356" s="7"/>
      <c r="O356" s="20"/>
      <c r="P356" s="626"/>
      <c r="Q356" s="626"/>
      <c r="R356" s="626"/>
      <c r="S356" s="430"/>
      <c r="T356" s="422"/>
    </row>
    <row r="357" spans="1:20" x14ac:dyDescent="0.2">
      <c r="A357" s="430"/>
      <c r="B357" s="20"/>
      <c r="C357" s="20"/>
      <c r="D357" s="425"/>
      <c r="E357" s="1673" t="str">
        <f>E_EnergyFlows!E256</f>
        <v/>
      </c>
      <c r="F357" s="1673"/>
      <c r="G357" s="1673"/>
      <c r="H357" s="28" t="str">
        <f>E_EnergyFlows!H256</f>
        <v>TJ / rok</v>
      </c>
      <c r="I357" s="511" t="str">
        <f>E_EnergyFlows!I256</f>
        <v/>
      </c>
      <c r="J357" s="511" t="str">
        <f>E_EnergyFlows!J256</f>
        <v/>
      </c>
      <c r="K357" s="511" t="str">
        <f>E_EnergyFlows!K256</f>
        <v/>
      </c>
      <c r="L357" s="511" t="str">
        <f>E_EnergyFlows!L256</f>
        <v/>
      </c>
      <c r="M357" s="511" t="str">
        <f>E_EnergyFlows!M256</f>
        <v/>
      </c>
      <c r="N357" s="7"/>
      <c r="O357" s="20"/>
      <c r="P357" s="626"/>
      <c r="Q357" s="626"/>
      <c r="R357" s="626"/>
      <c r="S357" s="430"/>
      <c r="T357" s="422"/>
    </row>
    <row r="358" spans="1:20" x14ac:dyDescent="0.2">
      <c r="A358" s="430"/>
      <c r="B358" s="20"/>
      <c r="C358" s="20"/>
      <c r="D358" s="425"/>
      <c r="E358" s="1723" t="str">
        <f>E_EnergyFlows!E257</f>
        <v/>
      </c>
      <c r="F358" s="1723"/>
      <c r="G358" s="1723"/>
      <c r="H358" s="30" t="str">
        <f>E_EnergyFlows!H257</f>
        <v>TJ / rok</v>
      </c>
      <c r="I358" s="704" t="str">
        <f>E_EnergyFlows!I257</f>
        <v/>
      </c>
      <c r="J358" s="704" t="str">
        <f>E_EnergyFlows!J257</f>
        <v/>
      </c>
      <c r="K358" s="704" t="str">
        <f>E_EnergyFlows!K257</f>
        <v/>
      </c>
      <c r="L358" s="704" t="str">
        <f>E_EnergyFlows!L257</f>
        <v/>
      </c>
      <c r="M358" s="704" t="str">
        <f>E_EnergyFlows!M257</f>
        <v/>
      </c>
      <c r="N358" s="7"/>
      <c r="O358" s="20"/>
      <c r="P358" s="626"/>
      <c r="Q358" s="626"/>
      <c r="R358" s="626"/>
      <c r="S358" s="430"/>
      <c r="T358" s="422"/>
    </row>
    <row r="359" spans="1:20" ht="12.75" customHeight="1" x14ac:dyDescent="0.2">
      <c r="A359" s="430"/>
      <c r="B359" s="20"/>
      <c r="C359" s="20"/>
      <c r="D359" s="425"/>
      <c r="E359" s="1652" t="str">
        <f>E_EnergyFlows!E258</f>
        <v>Suma częściowa</v>
      </c>
      <c r="F359" s="1652"/>
      <c r="G359" s="1652"/>
      <c r="H359" s="48" t="str">
        <f>E_EnergyFlows!H258</f>
        <v>TJ / rok</v>
      </c>
      <c r="I359" s="311" t="str">
        <f>E_EnergyFlows!I258</f>
        <v/>
      </c>
      <c r="J359" s="311" t="str">
        <f>E_EnergyFlows!J258</f>
        <v/>
      </c>
      <c r="K359" s="311" t="str">
        <f>E_EnergyFlows!K258</f>
        <v/>
      </c>
      <c r="L359" s="311" t="str">
        <f>E_EnergyFlows!L258</f>
        <v/>
      </c>
      <c r="M359" s="311" t="str">
        <f>E_EnergyFlows!M258</f>
        <v/>
      </c>
      <c r="N359" s="7"/>
      <c r="O359" s="20"/>
      <c r="P359" s="626"/>
      <c r="Q359" s="626"/>
      <c r="R359" s="626"/>
      <c r="S359" s="430"/>
      <c r="T359" s="422"/>
    </row>
    <row r="360" spans="1:20" ht="5.0999999999999996" customHeight="1" x14ac:dyDescent="0.2">
      <c r="A360" s="430"/>
      <c r="B360" s="3"/>
      <c r="C360" s="3"/>
      <c r="D360" s="3"/>
      <c r="E360" s="3"/>
      <c r="F360" s="3"/>
      <c r="G360" s="3"/>
      <c r="H360" s="3"/>
      <c r="I360" s="3"/>
      <c r="J360" s="3"/>
      <c r="K360" s="3"/>
      <c r="L360" s="3"/>
      <c r="M360" s="3"/>
      <c r="N360" s="3"/>
      <c r="O360" s="20"/>
      <c r="P360" s="626"/>
      <c r="Q360" s="626"/>
      <c r="R360" s="626"/>
      <c r="S360" s="430"/>
      <c r="T360" s="422"/>
    </row>
    <row r="361" spans="1:20" ht="12.75" customHeight="1" x14ac:dyDescent="0.2">
      <c r="A361" s="430"/>
      <c r="B361" s="3"/>
      <c r="C361" s="14"/>
      <c r="D361" s="14" t="str">
        <f>E_EnergyFlows!D260</f>
        <v>(b)</v>
      </c>
      <c r="E361" s="1653" t="str">
        <f>E_EnergyFlows!E260</f>
        <v>Gazy odlotowe wytworzone poza granicami systemowymi podinstalacji objętej wskaźnikiem emisyjności dla produktów</v>
      </c>
      <c r="F361" s="1647"/>
      <c r="G361" s="1647"/>
      <c r="H361" s="1647"/>
      <c r="I361" s="1647"/>
      <c r="J361" s="1647"/>
      <c r="K361" s="1647"/>
      <c r="L361" s="1647"/>
      <c r="M361" s="1647"/>
      <c r="N361" s="1647"/>
      <c r="O361" s="20"/>
      <c r="P361" s="626"/>
      <c r="Q361" s="626"/>
      <c r="R361" s="626"/>
      <c r="S361" s="430"/>
      <c r="T361" s="422"/>
    </row>
    <row r="362" spans="1:20" x14ac:dyDescent="0.2">
      <c r="A362" s="430"/>
      <c r="B362" s="20"/>
      <c r="C362" s="20"/>
      <c r="D362" s="20"/>
      <c r="E362" s="1650" t="str">
        <f>E_EnergyFlows!E263</f>
        <v>z części D.IV.</v>
      </c>
      <c r="F362" s="1651"/>
      <c r="G362" s="1651"/>
      <c r="H362" s="34" t="str">
        <f>E_EnergyFlows!H263</f>
        <v>Jednostka</v>
      </c>
      <c r="I362" s="396">
        <f>E_EnergyFlows!I263</f>
        <v>2014</v>
      </c>
      <c r="J362" s="396">
        <f>E_EnergyFlows!J263</f>
        <v>2015</v>
      </c>
      <c r="K362" s="396">
        <f>E_EnergyFlows!K263</f>
        <v>2016</v>
      </c>
      <c r="L362" s="396">
        <f>E_EnergyFlows!L263</f>
        <v>2017</v>
      </c>
      <c r="M362" s="421">
        <f>E_EnergyFlows!M263</f>
        <v>2018</v>
      </c>
      <c r="N362" s="570"/>
      <c r="O362" s="20"/>
      <c r="P362" s="626"/>
      <c r="Q362" s="626"/>
      <c r="R362" s="626"/>
      <c r="S362" s="430"/>
      <c r="T362" s="422"/>
    </row>
    <row r="363" spans="1:20" x14ac:dyDescent="0.2">
      <c r="A363" s="430"/>
      <c r="B363" s="20"/>
      <c r="C363" s="20"/>
      <c r="D363" s="195"/>
      <c r="E363" s="1692" t="str">
        <f>E_EnergyFlows!E264</f>
        <v>Gazy odlotowe 1</v>
      </c>
      <c r="F363" s="1693"/>
      <c r="G363" s="1693"/>
      <c r="H363" s="27" t="str">
        <f>E_EnergyFlows!H264</f>
        <v>TJ / rok</v>
      </c>
      <c r="I363" s="703" t="str">
        <f>E_EnergyFlows!I264</f>
        <v/>
      </c>
      <c r="J363" s="703" t="str">
        <f>E_EnergyFlows!J264</f>
        <v/>
      </c>
      <c r="K363" s="703" t="str">
        <f>E_EnergyFlows!K264</f>
        <v/>
      </c>
      <c r="L363" s="703" t="str">
        <f>E_EnergyFlows!L264</f>
        <v/>
      </c>
      <c r="M363" s="703" t="str">
        <f>E_EnergyFlows!M264</f>
        <v/>
      </c>
      <c r="N363" s="7"/>
      <c r="O363" s="20"/>
      <c r="P363" s="626"/>
      <c r="Q363" s="626"/>
      <c r="R363" s="626"/>
      <c r="S363" s="430"/>
      <c r="T363" s="422"/>
    </row>
    <row r="364" spans="1:20" x14ac:dyDescent="0.2">
      <c r="A364" s="430"/>
      <c r="B364" s="20"/>
      <c r="C364" s="20"/>
      <c r="D364" s="195"/>
      <c r="E364" s="1694" t="str">
        <f>E_EnergyFlows!E265</f>
        <v>Gazy odlotowe 2</v>
      </c>
      <c r="F364" s="1695"/>
      <c r="G364" s="1695"/>
      <c r="H364" s="28" t="str">
        <f>E_EnergyFlows!H265</f>
        <v>TJ / rok</v>
      </c>
      <c r="I364" s="704" t="str">
        <f>E_EnergyFlows!I265</f>
        <v/>
      </c>
      <c r="J364" s="704" t="str">
        <f>E_EnergyFlows!J265</f>
        <v/>
      </c>
      <c r="K364" s="704" t="str">
        <f>E_EnergyFlows!K265</f>
        <v/>
      </c>
      <c r="L364" s="704" t="str">
        <f>E_EnergyFlows!L265</f>
        <v/>
      </c>
      <c r="M364" s="704" t="str">
        <f>E_EnergyFlows!M265</f>
        <v/>
      </c>
      <c r="N364" s="7"/>
      <c r="O364" s="20"/>
      <c r="P364" s="626"/>
      <c r="Q364" s="626"/>
      <c r="R364" s="626"/>
      <c r="S364" s="430"/>
      <c r="T364" s="422"/>
    </row>
    <row r="365" spans="1:20" ht="12.75" customHeight="1" x14ac:dyDescent="0.2">
      <c r="A365" s="430"/>
      <c r="B365" s="20"/>
      <c r="C365" s="20"/>
      <c r="D365" s="425"/>
      <c r="E365" s="1652" t="str">
        <f>E_EnergyFlows!E266</f>
        <v>Suma częściowa</v>
      </c>
      <c r="F365" s="1652"/>
      <c r="G365" s="1652"/>
      <c r="H365" s="48" t="str">
        <f>E_EnergyFlows!H266</f>
        <v>TJ / rok</v>
      </c>
      <c r="I365" s="311" t="str">
        <f>E_EnergyFlows!I266</f>
        <v/>
      </c>
      <c r="J365" s="311" t="str">
        <f>E_EnergyFlows!J266</f>
        <v/>
      </c>
      <c r="K365" s="311" t="str">
        <f>E_EnergyFlows!K266</f>
        <v/>
      </c>
      <c r="L365" s="311" t="str">
        <f>E_EnergyFlows!L266</f>
        <v/>
      </c>
      <c r="M365" s="311" t="str">
        <f>E_EnergyFlows!M266</f>
        <v/>
      </c>
      <c r="N365" s="7"/>
      <c r="O365" s="20"/>
      <c r="P365" s="626"/>
      <c r="Q365" s="626"/>
      <c r="R365" s="626"/>
      <c r="S365" s="430"/>
      <c r="T365" s="422"/>
    </row>
    <row r="366" spans="1:20" ht="5.0999999999999996" customHeight="1" x14ac:dyDescent="0.2">
      <c r="A366" s="430"/>
      <c r="B366" s="3"/>
      <c r="C366" s="3"/>
      <c r="D366" s="3"/>
      <c r="E366" s="3"/>
      <c r="F366" s="3"/>
      <c r="G366" s="3"/>
      <c r="H366" s="3"/>
      <c r="I366" s="3"/>
      <c r="J366" s="3"/>
      <c r="K366" s="3"/>
      <c r="L366" s="3"/>
      <c r="M366" s="3"/>
      <c r="N366" s="3"/>
      <c r="O366" s="20"/>
      <c r="P366" s="626"/>
      <c r="Q366" s="626"/>
      <c r="R366" s="626"/>
      <c r="S366" s="430"/>
      <c r="T366" s="422"/>
    </row>
    <row r="367" spans="1:20" x14ac:dyDescent="0.2">
      <c r="A367" s="430"/>
      <c r="B367" s="3"/>
      <c r="C367" s="14"/>
      <c r="D367" s="14" t="str">
        <f>E_EnergyFlows!D268</f>
        <v>(c)</v>
      </c>
      <c r="E367" s="1655" t="str">
        <f>E_EnergyFlows!E268</f>
        <v>Suma gazów odlotowych (=a+b)</v>
      </c>
      <c r="F367" s="1656"/>
      <c r="G367" s="1656"/>
      <c r="H367" s="1656"/>
      <c r="I367" s="1656"/>
      <c r="J367" s="1656"/>
      <c r="K367" s="1656"/>
      <c r="L367" s="1656"/>
      <c r="M367" s="1656"/>
      <c r="N367" s="1656"/>
      <c r="O367" s="20"/>
      <c r="P367" s="626"/>
      <c r="Q367" s="626"/>
      <c r="R367" s="626"/>
      <c r="S367" s="430"/>
      <c r="T367" s="422"/>
    </row>
    <row r="368" spans="1:20" x14ac:dyDescent="0.2">
      <c r="A368" s="430"/>
      <c r="B368" s="20"/>
      <c r="C368" s="20"/>
      <c r="D368" s="20"/>
      <c r="E368" s="1654" t="str">
        <f>E_EnergyFlows!E269</f>
        <v>Gazy odlotowe wytworzone</v>
      </c>
      <c r="F368" s="1652"/>
      <c r="G368" s="1652"/>
      <c r="H368" s="52" t="str">
        <f>E_EnergyFlows!H269</f>
        <v>TJ / rok</v>
      </c>
      <c r="I368" s="311" t="str">
        <f>E_EnergyFlows!I269</f>
        <v/>
      </c>
      <c r="J368" s="311" t="str">
        <f>E_EnergyFlows!J269</f>
        <v/>
      </c>
      <c r="K368" s="311" t="str">
        <f>E_EnergyFlows!K269</f>
        <v/>
      </c>
      <c r="L368" s="311" t="str">
        <f>E_EnergyFlows!L269</f>
        <v/>
      </c>
      <c r="M368" s="311" t="str">
        <f>E_EnergyFlows!M269</f>
        <v/>
      </c>
      <c r="N368" s="7"/>
      <c r="O368" s="20"/>
      <c r="P368" s="430"/>
      <c r="Q368" s="430"/>
      <c r="R368" s="430"/>
      <c r="S368" s="430"/>
      <c r="T368" s="422"/>
    </row>
    <row r="369" spans="1:20" ht="5.0999999999999996" customHeight="1" x14ac:dyDescent="0.2">
      <c r="A369" s="430"/>
      <c r="B369" s="20"/>
      <c r="C369" s="20"/>
      <c r="D369" s="20"/>
      <c r="E369" s="20"/>
      <c r="F369" s="20"/>
      <c r="G369" s="20"/>
      <c r="H369" s="20"/>
      <c r="I369" s="20"/>
      <c r="J369" s="20"/>
      <c r="K369" s="20"/>
      <c r="L369" s="20"/>
      <c r="M369" s="20"/>
      <c r="N369" s="20"/>
      <c r="O369" s="20"/>
      <c r="P369" s="430"/>
      <c r="Q369" s="430"/>
      <c r="R369" s="430"/>
      <c r="S369" s="430"/>
      <c r="T369" s="422"/>
    </row>
    <row r="370" spans="1:20" x14ac:dyDescent="0.2">
      <c r="A370" s="430"/>
      <c r="B370" s="3"/>
      <c r="C370" s="14"/>
      <c r="D370" s="14" t="str">
        <f>E_EnergyFlows!D271</f>
        <v>(d)</v>
      </c>
      <c r="E370" s="1653" t="str">
        <f>E_EnergyFlows!E271</f>
        <v>Gazy odlotowe wprowadzane z innych instalacji lub od innych podmiotów</v>
      </c>
      <c r="F370" s="1647"/>
      <c r="G370" s="1647"/>
      <c r="H370" s="1647"/>
      <c r="I370" s="1647"/>
      <c r="J370" s="1647"/>
      <c r="K370" s="1647"/>
      <c r="L370" s="1647"/>
      <c r="M370" s="1647"/>
      <c r="N370" s="1647"/>
      <c r="O370" s="20"/>
      <c r="P370" s="626"/>
      <c r="Q370" s="430"/>
      <c r="R370" s="430"/>
      <c r="S370" s="430"/>
      <c r="T370" s="422"/>
    </row>
    <row r="371" spans="1:20" ht="12.75" customHeight="1" x14ac:dyDescent="0.2">
      <c r="A371" s="430"/>
      <c r="B371" s="20"/>
      <c r="C371" s="20"/>
      <c r="D371" s="20"/>
      <c r="E371" s="1650" t="str">
        <f>E_EnergyFlows!E274</f>
        <v>Nazwa instalacji lub podmiotu</v>
      </c>
      <c r="F371" s="1650"/>
      <c r="G371" s="1650"/>
      <c r="H371" s="34" t="str">
        <f>E_EnergyFlows!H274</f>
        <v>Jednostka</v>
      </c>
      <c r="I371" s="396">
        <f>E_EnergyFlows!I274</f>
        <v>2014</v>
      </c>
      <c r="J371" s="396">
        <f>E_EnergyFlows!J274</f>
        <v>2015</v>
      </c>
      <c r="K371" s="396">
        <f>E_EnergyFlows!K274</f>
        <v>2016</v>
      </c>
      <c r="L371" s="396">
        <f>E_EnergyFlows!L274</f>
        <v>2017</v>
      </c>
      <c r="M371" s="421">
        <f>E_EnergyFlows!M274</f>
        <v>2018</v>
      </c>
      <c r="N371" s="570"/>
      <c r="O371" s="20"/>
      <c r="P371" s="430"/>
      <c r="Q371" s="430"/>
      <c r="R371" s="430"/>
      <c r="S371" s="430"/>
      <c r="T371" s="422"/>
    </row>
    <row r="372" spans="1:20" x14ac:dyDescent="0.2">
      <c r="A372" s="430"/>
      <c r="B372" s="20"/>
      <c r="C372" s="195"/>
      <c r="D372" s="195"/>
      <c r="E372" s="1981" t="str">
        <f>IF(ISBLANK(E_EnergyFlows!E275),"",E_EnergyFlows!E275)</f>
        <v/>
      </c>
      <c r="F372" s="1981"/>
      <c r="G372" s="1981"/>
      <c r="H372" s="37" t="str">
        <f>E_EnergyFlows!H275</f>
        <v>TJ / rok</v>
      </c>
      <c r="I372" s="703" t="str">
        <f>IF(ISBLANK(E_EnergyFlows!I275),"",E_EnergyFlows!I275)</f>
        <v/>
      </c>
      <c r="J372" s="703" t="str">
        <f>IF(ISBLANK(E_EnergyFlows!J275),"",E_EnergyFlows!J275)</f>
        <v/>
      </c>
      <c r="K372" s="703" t="str">
        <f>IF(ISBLANK(E_EnergyFlows!K275),"",E_EnergyFlows!K275)</f>
        <v/>
      </c>
      <c r="L372" s="703" t="str">
        <f>IF(ISBLANK(E_EnergyFlows!L275),"",E_EnergyFlows!L275)</f>
        <v/>
      </c>
      <c r="M372" s="703" t="str">
        <f>IF(ISBLANK(E_EnergyFlows!M275),"",E_EnergyFlows!M275)</f>
        <v/>
      </c>
      <c r="N372" s="7"/>
      <c r="O372" s="20"/>
      <c r="P372" s="430"/>
      <c r="Q372" s="430"/>
      <c r="R372" s="430"/>
      <c r="S372" s="430"/>
      <c r="T372" s="422"/>
    </row>
    <row r="373" spans="1:20" x14ac:dyDescent="0.2">
      <c r="A373" s="430"/>
      <c r="B373" s="20"/>
      <c r="C373" s="195"/>
      <c r="D373" s="195"/>
      <c r="E373" s="1979" t="str">
        <f>IF(ISBLANK(E_EnergyFlows!E276),"",E_EnergyFlows!E276)</f>
        <v/>
      </c>
      <c r="F373" s="1979"/>
      <c r="G373" s="1979"/>
      <c r="H373" s="38" t="str">
        <f>E_EnergyFlows!H276</f>
        <v>TJ / rok</v>
      </c>
      <c r="I373" s="511" t="str">
        <f>IF(ISBLANK(E_EnergyFlows!I276),"",E_EnergyFlows!I276)</f>
        <v/>
      </c>
      <c r="J373" s="511" t="str">
        <f>IF(ISBLANK(E_EnergyFlows!J276),"",E_EnergyFlows!J276)</f>
        <v/>
      </c>
      <c r="K373" s="511" t="str">
        <f>IF(ISBLANK(E_EnergyFlows!K276),"",E_EnergyFlows!K276)</f>
        <v/>
      </c>
      <c r="L373" s="511" t="str">
        <f>IF(ISBLANK(E_EnergyFlows!L276),"",E_EnergyFlows!L276)</f>
        <v/>
      </c>
      <c r="M373" s="511" t="str">
        <f>IF(ISBLANK(E_EnergyFlows!M276),"",E_EnergyFlows!M276)</f>
        <v/>
      </c>
      <c r="N373" s="7"/>
      <c r="O373" s="20"/>
      <c r="P373" s="430"/>
      <c r="Q373" s="430"/>
      <c r="R373" s="430"/>
      <c r="S373" s="430"/>
      <c r="T373" s="422"/>
    </row>
    <row r="374" spans="1:20" x14ac:dyDescent="0.2">
      <c r="A374" s="430"/>
      <c r="B374" s="20"/>
      <c r="C374" s="195"/>
      <c r="D374" s="195"/>
      <c r="E374" s="1980" t="str">
        <f>IF(ISBLANK(E_EnergyFlows!E277),"",E_EnergyFlows!E277)</f>
        <v/>
      </c>
      <c r="F374" s="1980"/>
      <c r="G374" s="1980"/>
      <c r="H374" s="41" t="str">
        <f>E_EnergyFlows!H277</f>
        <v>TJ / rok</v>
      </c>
      <c r="I374" s="704" t="str">
        <f>IF(ISBLANK(E_EnergyFlows!I277),"",E_EnergyFlows!I277)</f>
        <v/>
      </c>
      <c r="J374" s="704" t="str">
        <f>IF(ISBLANK(E_EnergyFlows!J277),"",E_EnergyFlows!J277)</f>
        <v/>
      </c>
      <c r="K374" s="704" t="str">
        <f>IF(ISBLANK(E_EnergyFlows!K277),"",E_EnergyFlows!K277)</f>
        <v/>
      </c>
      <c r="L374" s="704" t="str">
        <f>IF(ISBLANK(E_EnergyFlows!L277),"",E_EnergyFlows!L277)</f>
        <v/>
      </c>
      <c r="M374" s="704" t="str">
        <f>IF(ISBLANK(E_EnergyFlows!M277),"",E_EnergyFlows!M277)</f>
        <v/>
      </c>
      <c r="N374" s="7"/>
      <c r="O374" s="20"/>
      <c r="P374" s="430"/>
      <c r="Q374" s="430"/>
      <c r="R374" s="430"/>
      <c r="S374" s="430"/>
      <c r="T374" s="422"/>
    </row>
    <row r="375" spans="1:20" x14ac:dyDescent="0.2">
      <c r="A375" s="430"/>
      <c r="B375" s="20"/>
      <c r="C375" s="195"/>
      <c r="D375" s="195"/>
      <c r="E375" s="1652" t="str">
        <f>E_EnergyFlows!E278</f>
        <v>Suma częściowa</v>
      </c>
      <c r="F375" s="1652"/>
      <c r="G375" s="1652"/>
      <c r="H375" s="52" t="str">
        <f>E_EnergyFlows!H278</f>
        <v>TJ / rok</v>
      </c>
      <c r="I375" s="311" t="str">
        <f>E_EnergyFlows!I278</f>
        <v/>
      </c>
      <c r="J375" s="311" t="str">
        <f>E_EnergyFlows!J278</f>
        <v/>
      </c>
      <c r="K375" s="311" t="str">
        <f>E_EnergyFlows!K278</f>
        <v/>
      </c>
      <c r="L375" s="311" t="str">
        <f>E_EnergyFlows!L278</f>
        <v/>
      </c>
      <c r="M375" s="311" t="str">
        <f>E_EnergyFlows!M278</f>
        <v/>
      </c>
      <c r="N375" s="7"/>
      <c r="O375" s="20"/>
      <c r="P375" s="430"/>
      <c r="Q375" s="430"/>
      <c r="R375" s="430"/>
      <c r="S375" s="430"/>
      <c r="T375" s="422"/>
    </row>
    <row r="376" spans="1:20" ht="5.0999999999999996" customHeight="1" x14ac:dyDescent="0.2">
      <c r="A376" s="430"/>
      <c r="B376" s="3"/>
      <c r="C376" s="3"/>
      <c r="D376" s="3"/>
      <c r="E376" s="3"/>
      <c r="F376" s="3"/>
      <c r="G376" s="3"/>
      <c r="H376" s="3"/>
      <c r="I376" s="3"/>
      <c r="J376" s="3"/>
      <c r="K376" s="3"/>
      <c r="L376" s="3"/>
      <c r="M376" s="3"/>
      <c r="N376" s="3"/>
      <c r="O376" s="20"/>
      <c r="P376" s="626"/>
      <c r="Q376" s="430"/>
      <c r="R376" s="430"/>
      <c r="S376" s="430"/>
      <c r="T376" s="422"/>
    </row>
    <row r="377" spans="1:20" ht="12.75" customHeight="1" x14ac:dyDescent="0.2">
      <c r="A377" s="430"/>
      <c r="B377" s="3"/>
      <c r="C377" s="14"/>
      <c r="D377" s="14" t="str">
        <f>E_EnergyFlows!D280</f>
        <v>(e)</v>
      </c>
      <c r="E377" s="1653" t="str">
        <f>E_EnergyFlows!E280</f>
        <v>Gazy odlotowe wyprowadzone do innych instalacji lub podmiotów</v>
      </c>
      <c r="F377" s="1647"/>
      <c r="G377" s="1647"/>
      <c r="H377" s="1647"/>
      <c r="I377" s="1647"/>
      <c r="J377" s="1647"/>
      <c r="K377" s="1647"/>
      <c r="L377" s="1647"/>
      <c r="M377" s="1647"/>
      <c r="N377" s="1647"/>
      <c r="O377" s="20"/>
      <c r="P377" s="626"/>
      <c r="Q377" s="430"/>
      <c r="R377" s="430"/>
      <c r="S377" s="430"/>
      <c r="T377" s="422"/>
    </row>
    <row r="378" spans="1:20" x14ac:dyDescent="0.2">
      <c r="A378" s="430"/>
      <c r="B378" s="20"/>
      <c r="C378" s="20"/>
      <c r="D378" s="20"/>
      <c r="E378" s="1650" t="str">
        <f>E_EnergyFlows!E282</f>
        <v>Nazwa instalacji lub podmiotu</v>
      </c>
      <c r="F378" s="1651"/>
      <c r="G378" s="1651"/>
      <c r="H378" s="34" t="str">
        <f>E_EnergyFlows!H282</f>
        <v>Jednostka</v>
      </c>
      <c r="I378" s="396">
        <f>E_EnergyFlows!I282</f>
        <v>2014</v>
      </c>
      <c r="J378" s="396">
        <f>E_EnergyFlows!J282</f>
        <v>2015</v>
      </c>
      <c r="K378" s="396">
        <f>E_EnergyFlows!K282</f>
        <v>2016</v>
      </c>
      <c r="L378" s="396">
        <f>E_EnergyFlows!L282</f>
        <v>2017</v>
      </c>
      <c r="M378" s="421">
        <f>E_EnergyFlows!M282</f>
        <v>2018</v>
      </c>
      <c r="N378" s="570"/>
      <c r="O378" s="20"/>
      <c r="P378" s="430"/>
      <c r="Q378" s="430"/>
      <c r="R378" s="430"/>
      <c r="S378" s="430"/>
      <c r="T378" s="422"/>
    </row>
    <row r="379" spans="1:20" x14ac:dyDescent="0.2">
      <c r="A379" s="430"/>
      <c r="B379" s="20"/>
      <c r="C379" s="195"/>
      <c r="D379" s="195"/>
      <c r="E379" s="1981" t="str">
        <f>IF(ISBLANK(E_EnergyFlows!E283),"",E_EnergyFlows!E283)</f>
        <v/>
      </c>
      <c r="F379" s="1981"/>
      <c r="G379" s="1981"/>
      <c r="H379" s="37" t="str">
        <f>E_EnergyFlows!H283</f>
        <v>TJ / rok</v>
      </c>
      <c r="I379" s="703" t="str">
        <f>IF(ISBLANK(E_EnergyFlows!I283),"",E_EnergyFlows!I283)</f>
        <v/>
      </c>
      <c r="J379" s="703" t="str">
        <f>IF(ISBLANK(E_EnergyFlows!J283),"",E_EnergyFlows!J283)</f>
        <v/>
      </c>
      <c r="K379" s="703" t="str">
        <f>IF(ISBLANK(E_EnergyFlows!K283),"",E_EnergyFlows!K283)</f>
        <v/>
      </c>
      <c r="L379" s="703" t="str">
        <f>IF(ISBLANK(E_EnergyFlows!L283),"",E_EnergyFlows!L283)</f>
        <v/>
      </c>
      <c r="M379" s="862" t="str">
        <f>IF(ISBLANK(E_EnergyFlows!M283),"",E_EnergyFlows!M283)</f>
        <v/>
      </c>
      <c r="N379" s="7"/>
      <c r="O379" s="20"/>
      <c r="P379" s="430"/>
      <c r="Q379" s="430"/>
      <c r="R379" s="430"/>
      <c r="S379" s="430"/>
      <c r="T379" s="422"/>
    </row>
    <row r="380" spans="1:20" x14ac:dyDescent="0.2">
      <c r="A380" s="430"/>
      <c r="B380" s="20"/>
      <c r="C380" s="195"/>
      <c r="D380" s="195"/>
      <c r="E380" s="1979" t="str">
        <f>IF(ISBLANK(E_EnergyFlows!E284),"",E_EnergyFlows!E284)</f>
        <v/>
      </c>
      <c r="F380" s="1979"/>
      <c r="G380" s="1979"/>
      <c r="H380" s="38" t="str">
        <f>E_EnergyFlows!H284</f>
        <v>TJ / rok</v>
      </c>
      <c r="I380" s="511" t="str">
        <f>IF(ISBLANK(E_EnergyFlows!I284),"",E_EnergyFlows!I284)</f>
        <v/>
      </c>
      <c r="J380" s="511" t="str">
        <f>IF(ISBLANK(E_EnergyFlows!J284),"",E_EnergyFlows!J284)</f>
        <v/>
      </c>
      <c r="K380" s="511" t="str">
        <f>IF(ISBLANK(E_EnergyFlows!K284),"",E_EnergyFlows!K284)</f>
        <v/>
      </c>
      <c r="L380" s="511" t="str">
        <f>IF(ISBLANK(E_EnergyFlows!L284),"",E_EnergyFlows!L284)</f>
        <v/>
      </c>
      <c r="M380" s="863" t="str">
        <f>IF(ISBLANK(E_EnergyFlows!M284),"",E_EnergyFlows!M284)</f>
        <v/>
      </c>
      <c r="N380" s="7"/>
      <c r="O380" s="20"/>
      <c r="P380" s="430"/>
      <c r="Q380" s="430"/>
      <c r="R380" s="430"/>
      <c r="S380" s="430"/>
      <c r="T380" s="422"/>
    </row>
    <row r="381" spans="1:20" x14ac:dyDescent="0.2">
      <c r="A381" s="430"/>
      <c r="B381" s="20"/>
      <c r="C381" s="195"/>
      <c r="D381" s="195"/>
      <c r="E381" s="1980" t="str">
        <f>IF(ISBLANK(E_EnergyFlows!E285),"",E_EnergyFlows!E285)</f>
        <v/>
      </c>
      <c r="F381" s="1980"/>
      <c r="G381" s="1980"/>
      <c r="H381" s="41" t="str">
        <f>E_EnergyFlows!H285</f>
        <v>TJ / rok</v>
      </c>
      <c r="I381" s="704" t="str">
        <f>IF(ISBLANK(E_EnergyFlows!I285),"",E_EnergyFlows!I285)</f>
        <v/>
      </c>
      <c r="J381" s="704" t="str">
        <f>IF(ISBLANK(E_EnergyFlows!J285),"",E_EnergyFlows!J285)</f>
        <v/>
      </c>
      <c r="K381" s="704" t="str">
        <f>IF(ISBLANK(E_EnergyFlows!K285),"",E_EnergyFlows!K285)</f>
        <v/>
      </c>
      <c r="L381" s="704" t="str">
        <f>IF(ISBLANK(E_EnergyFlows!L285),"",E_EnergyFlows!L285)</f>
        <v/>
      </c>
      <c r="M381" s="864" t="str">
        <f>IF(ISBLANK(E_EnergyFlows!M285),"",E_EnergyFlows!M285)</f>
        <v/>
      </c>
      <c r="N381" s="7"/>
      <c r="O381" s="20"/>
      <c r="P381" s="430"/>
      <c r="Q381" s="430"/>
      <c r="R381" s="430"/>
      <c r="S381" s="430"/>
      <c r="T381" s="422"/>
    </row>
    <row r="382" spans="1:20" x14ac:dyDescent="0.2">
      <c r="A382" s="430"/>
      <c r="B382" s="20"/>
      <c r="C382" s="195"/>
      <c r="D382" s="195"/>
      <c r="E382" s="1652" t="str">
        <f>E_EnergyFlows!E286</f>
        <v>Suma częściowa</v>
      </c>
      <c r="F382" s="1652"/>
      <c r="G382" s="1652"/>
      <c r="H382" s="52" t="str">
        <f>E_EnergyFlows!H286</f>
        <v>TJ / rok</v>
      </c>
      <c r="I382" s="311" t="str">
        <f>E_EnergyFlows!I286</f>
        <v/>
      </c>
      <c r="J382" s="311" t="str">
        <f>E_EnergyFlows!J286</f>
        <v/>
      </c>
      <c r="K382" s="311" t="str">
        <f>E_EnergyFlows!K286</f>
        <v/>
      </c>
      <c r="L382" s="311" t="str">
        <f>E_EnergyFlows!L286</f>
        <v/>
      </c>
      <c r="M382" s="310" t="str">
        <f>E_EnergyFlows!M286</f>
        <v/>
      </c>
      <c r="N382" s="7"/>
      <c r="O382" s="20"/>
      <c r="P382" s="430"/>
      <c r="Q382" s="430"/>
      <c r="R382" s="430"/>
      <c r="S382" s="430"/>
      <c r="T382" s="422"/>
    </row>
    <row r="383" spans="1:20" ht="5.0999999999999996" customHeight="1" x14ac:dyDescent="0.2">
      <c r="A383" s="430"/>
      <c r="B383" s="3"/>
      <c r="C383" s="3"/>
      <c r="D383" s="3"/>
      <c r="E383" s="3"/>
      <c r="F383" s="3"/>
      <c r="G383" s="3"/>
      <c r="H383" s="3"/>
      <c r="I383" s="3"/>
      <c r="J383" s="3"/>
      <c r="K383" s="3"/>
      <c r="L383" s="3"/>
      <c r="M383" s="3"/>
      <c r="N383" s="3"/>
      <c r="O383" s="20"/>
      <c r="P383" s="626"/>
      <c r="Q383" s="430"/>
      <c r="R383" s="430"/>
      <c r="S383" s="430"/>
      <c r="T383" s="422"/>
    </row>
    <row r="384" spans="1:20" x14ac:dyDescent="0.2">
      <c r="A384" s="430"/>
      <c r="B384" s="3"/>
      <c r="C384" s="14"/>
      <c r="D384" s="14" t="str">
        <f>E_EnergyFlows!D288</f>
        <v>(f)</v>
      </c>
      <c r="E384" s="1655" t="str">
        <f>E_EnergyFlows!E288</f>
        <v>Suma gazów odlotowych dostępnych w instalacji (=c+d-e)</v>
      </c>
      <c r="F384" s="1656"/>
      <c r="G384" s="1656"/>
      <c r="H384" s="1656"/>
      <c r="I384" s="1656"/>
      <c r="J384" s="1656"/>
      <c r="K384" s="1656"/>
      <c r="L384" s="1656"/>
      <c r="M384" s="1656"/>
      <c r="N384" s="1656"/>
      <c r="O384" s="20"/>
      <c r="P384" s="626"/>
      <c r="Q384" s="430"/>
      <c r="R384" s="430"/>
      <c r="S384" s="430"/>
      <c r="T384" s="422"/>
    </row>
    <row r="385" spans="1:20" x14ac:dyDescent="0.2">
      <c r="A385" s="430"/>
      <c r="B385" s="20"/>
      <c r="C385" s="20"/>
      <c r="D385" s="20"/>
      <c r="E385" s="1654" t="str">
        <f>E_EnergyFlows!E289</f>
        <v>Dostępne gazy odlotowe</v>
      </c>
      <c r="F385" s="1652"/>
      <c r="G385" s="1652"/>
      <c r="H385" s="52" t="str">
        <f>E_EnergyFlows!H289</f>
        <v>TJ / rok</v>
      </c>
      <c r="I385" s="311" t="str">
        <f>E_EnergyFlows!I289</f>
        <v/>
      </c>
      <c r="J385" s="311" t="str">
        <f>E_EnergyFlows!J289</f>
        <v/>
      </c>
      <c r="K385" s="311" t="str">
        <f>E_EnergyFlows!K289</f>
        <v/>
      </c>
      <c r="L385" s="311" t="str">
        <f>E_EnergyFlows!L289</f>
        <v/>
      </c>
      <c r="M385" s="311" t="str">
        <f>E_EnergyFlows!M289</f>
        <v/>
      </c>
      <c r="N385" s="7"/>
      <c r="O385" s="20"/>
      <c r="P385" s="430"/>
      <c r="Q385" s="430"/>
      <c r="R385" s="430"/>
      <c r="S385" s="430"/>
      <c r="T385" s="422"/>
    </row>
    <row r="386" spans="1:20" ht="5.0999999999999996" customHeight="1" x14ac:dyDescent="0.2">
      <c r="A386" s="430"/>
      <c r="B386" s="20"/>
      <c r="C386" s="20"/>
      <c r="D386" s="20"/>
      <c r="E386" s="20"/>
      <c r="F386" s="20"/>
      <c r="G386" s="20"/>
      <c r="H386" s="20"/>
      <c r="I386" s="20"/>
      <c r="J386" s="20"/>
      <c r="K386" s="20"/>
      <c r="L386" s="20"/>
      <c r="M386" s="20"/>
      <c r="N386" s="20"/>
      <c r="O386" s="20"/>
      <c r="P386" s="430"/>
      <c r="Q386" s="430"/>
      <c r="R386" s="430"/>
      <c r="S386" s="430"/>
      <c r="T386" s="422"/>
    </row>
    <row r="387" spans="1:20" x14ac:dyDescent="0.2">
      <c r="A387" s="430"/>
      <c r="B387" s="3"/>
      <c r="C387" s="14"/>
      <c r="D387" s="14" t="str">
        <f>E_EnergyFlows!D291</f>
        <v>(g)</v>
      </c>
      <c r="E387" s="1653" t="str">
        <f>E_EnergyFlows!E291</f>
        <v>Gazy odlotowe zużyte w podinstalacjach objętych wskaźnikiem emisyjności dla produktów</v>
      </c>
      <c r="F387" s="1647"/>
      <c r="G387" s="1647"/>
      <c r="H387" s="1647"/>
      <c r="I387" s="1647"/>
      <c r="J387" s="1647"/>
      <c r="K387" s="1647"/>
      <c r="L387" s="1647"/>
      <c r="M387" s="1647"/>
      <c r="N387" s="1647"/>
      <c r="O387" s="20"/>
      <c r="P387" s="626"/>
      <c r="Q387" s="430"/>
      <c r="R387" s="430"/>
      <c r="S387" s="430"/>
      <c r="T387" s="422"/>
    </row>
    <row r="388" spans="1:20" x14ac:dyDescent="0.2">
      <c r="A388" s="430"/>
      <c r="B388" s="20"/>
      <c r="C388" s="20"/>
      <c r="D388" s="20"/>
      <c r="E388" s="1650" t="str">
        <f>E_EnergyFlows!E293</f>
        <v>Rodzaj podinstalacji objętej wskaźnikiem emisyjności dla produktów</v>
      </c>
      <c r="F388" s="1651"/>
      <c r="G388" s="1651"/>
      <c r="H388" s="34" t="str">
        <f>E_EnergyFlows!H293</f>
        <v>Jednostka</v>
      </c>
      <c r="I388" s="396">
        <f>E_EnergyFlows!I293</f>
        <v>2014</v>
      </c>
      <c r="J388" s="396">
        <f>E_EnergyFlows!J293</f>
        <v>2015</v>
      </c>
      <c r="K388" s="396">
        <f>E_EnergyFlows!K293</f>
        <v>2016</v>
      </c>
      <c r="L388" s="396">
        <f>E_EnergyFlows!L293</f>
        <v>2017</v>
      </c>
      <c r="M388" s="396">
        <f>E_EnergyFlows!M293</f>
        <v>2018</v>
      </c>
      <c r="N388" s="7"/>
      <c r="O388" s="20"/>
      <c r="P388" s="626"/>
      <c r="Q388" s="626"/>
      <c r="R388" s="626"/>
      <c r="S388" s="626"/>
      <c r="T388" s="422"/>
    </row>
    <row r="389" spans="1:20" ht="12.75" customHeight="1" x14ac:dyDescent="0.2">
      <c r="A389" s="430"/>
      <c r="B389" s="20"/>
      <c r="C389" s="20"/>
      <c r="D389" s="425"/>
      <c r="E389" s="1648" t="str">
        <f>E_EnergyFlows!E294</f>
        <v/>
      </c>
      <c r="F389" s="1648"/>
      <c r="G389" s="1648"/>
      <c r="H389" s="434" t="str">
        <f>E_EnergyFlows!H294</f>
        <v>TJ / rok</v>
      </c>
      <c r="I389" s="703" t="str">
        <f>E_EnergyFlows!I294</f>
        <v/>
      </c>
      <c r="J389" s="703" t="str">
        <f>E_EnergyFlows!J294</f>
        <v/>
      </c>
      <c r="K389" s="703" t="str">
        <f>E_EnergyFlows!K294</f>
        <v/>
      </c>
      <c r="L389" s="703" t="str">
        <f>E_EnergyFlows!L294</f>
        <v/>
      </c>
      <c r="M389" s="703" t="str">
        <f>E_EnergyFlows!M294</f>
        <v/>
      </c>
      <c r="N389" s="7"/>
      <c r="O389" s="20"/>
      <c r="P389" s="626"/>
      <c r="Q389" s="626"/>
      <c r="R389" s="626"/>
      <c r="S389" s="626"/>
      <c r="T389" s="422"/>
    </row>
    <row r="390" spans="1:20" x14ac:dyDescent="0.2">
      <c r="A390" s="430"/>
      <c r="B390" s="20"/>
      <c r="C390" s="20"/>
      <c r="D390" s="425"/>
      <c r="E390" s="1648" t="str">
        <f>E_EnergyFlows!E295</f>
        <v/>
      </c>
      <c r="F390" s="1648"/>
      <c r="G390" s="1648"/>
      <c r="H390" s="435" t="str">
        <f>E_EnergyFlows!H295</f>
        <v>TJ / rok</v>
      </c>
      <c r="I390" s="511" t="str">
        <f>E_EnergyFlows!I295</f>
        <v/>
      </c>
      <c r="J390" s="511" t="str">
        <f>E_EnergyFlows!J295</f>
        <v/>
      </c>
      <c r="K390" s="511" t="str">
        <f>E_EnergyFlows!K295</f>
        <v/>
      </c>
      <c r="L390" s="511" t="str">
        <f>E_EnergyFlows!L295</f>
        <v/>
      </c>
      <c r="M390" s="511" t="str">
        <f>E_EnergyFlows!M295</f>
        <v/>
      </c>
      <c r="N390" s="7"/>
      <c r="O390" s="20"/>
      <c r="P390" s="626"/>
      <c r="Q390" s="626"/>
      <c r="R390" s="626"/>
      <c r="S390" s="626"/>
      <c r="T390" s="422"/>
    </row>
    <row r="391" spans="1:20" ht="12.75" customHeight="1" x14ac:dyDescent="0.2">
      <c r="A391" s="430"/>
      <c r="B391" s="20"/>
      <c r="C391" s="20"/>
      <c r="D391" s="425"/>
      <c r="E391" s="1648" t="str">
        <f>E_EnergyFlows!E296</f>
        <v/>
      </c>
      <c r="F391" s="1648"/>
      <c r="G391" s="1648"/>
      <c r="H391" s="435" t="str">
        <f>E_EnergyFlows!H296</f>
        <v>TJ / rok</v>
      </c>
      <c r="I391" s="511" t="str">
        <f>E_EnergyFlows!I296</f>
        <v/>
      </c>
      <c r="J391" s="511" t="str">
        <f>E_EnergyFlows!J296</f>
        <v/>
      </c>
      <c r="K391" s="511" t="str">
        <f>E_EnergyFlows!K296</f>
        <v/>
      </c>
      <c r="L391" s="511" t="str">
        <f>E_EnergyFlows!L296</f>
        <v/>
      </c>
      <c r="M391" s="511" t="str">
        <f>E_EnergyFlows!M296</f>
        <v/>
      </c>
      <c r="N391" s="7"/>
      <c r="O391" s="20"/>
      <c r="P391" s="626"/>
      <c r="Q391" s="626"/>
      <c r="R391" s="626"/>
      <c r="S391" s="626"/>
      <c r="T391" s="422"/>
    </row>
    <row r="392" spans="1:20" x14ac:dyDescent="0.2">
      <c r="A392" s="430"/>
      <c r="B392" s="20"/>
      <c r="C392" s="20"/>
      <c r="D392" s="425"/>
      <c r="E392" s="1648" t="str">
        <f>E_EnergyFlows!E297</f>
        <v/>
      </c>
      <c r="F392" s="1648"/>
      <c r="G392" s="1648"/>
      <c r="H392" s="435" t="str">
        <f>E_EnergyFlows!H297</f>
        <v>TJ / rok</v>
      </c>
      <c r="I392" s="511" t="str">
        <f>E_EnergyFlows!I297</f>
        <v/>
      </c>
      <c r="J392" s="511" t="str">
        <f>E_EnergyFlows!J297</f>
        <v/>
      </c>
      <c r="K392" s="511" t="str">
        <f>E_EnergyFlows!K297</f>
        <v/>
      </c>
      <c r="L392" s="511" t="str">
        <f>E_EnergyFlows!L297</f>
        <v/>
      </c>
      <c r="M392" s="511" t="str">
        <f>E_EnergyFlows!M297</f>
        <v/>
      </c>
      <c r="N392" s="7"/>
      <c r="O392" s="20"/>
      <c r="P392" s="626"/>
      <c r="Q392" s="626"/>
      <c r="R392" s="626"/>
      <c r="S392" s="626"/>
      <c r="T392" s="422"/>
    </row>
    <row r="393" spans="1:20" x14ac:dyDescent="0.2">
      <c r="A393" s="430"/>
      <c r="B393" s="20"/>
      <c r="C393" s="20"/>
      <c r="D393" s="425"/>
      <c r="E393" s="1648" t="str">
        <f>E_EnergyFlows!E298</f>
        <v/>
      </c>
      <c r="F393" s="1648"/>
      <c r="G393" s="1648"/>
      <c r="H393" s="435" t="str">
        <f>E_EnergyFlows!H298</f>
        <v>TJ / rok</v>
      </c>
      <c r="I393" s="511" t="str">
        <f>E_EnergyFlows!I298</f>
        <v/>
      </c>
      <c r="J393" s="511" t="str">
        <f>E_EnergyFlows!J298</f>
        <v/>
      </c>
      <c r="K393" s="511" t="str">
        <f>E_EnergyFlows!K298</f>
        <v/>
      </c>
      <c r="L393" s="511" t="str">
        <f>E_EnergyFlows!L298</f>
        <v/>
      </c>
      <c r="M393" s="511" t="str">
        <f>E_EnergyFlows!M298</f>
        <v/>
      </c>
      <c r="N393" s="7"/>
      <c r="O393" s="20"/>
      <c r="P393" s="626"/>
      <c r="Q393" s="626"/>
      <c r="R393" s="626"/>
      <c r="S393" s="626"/>
      <c r="T393" s="422"/>
    </row>
    <row r="394" spans="1:20" x14ac:dyDescent="0.2">
      <c r="A394" s="430"/>
      <c r="B394" s="20"/>
      <c r="C394" s="20"/>
      <c r="D394" s="425"/>
      <c r="E394" s="1648" t="str">
        <f>E_EnergyFlows!E299</f>
        <v/>
      </c>
      <c r="F394" s="1648"/>
      <c r="G394" s="1648"/>
      <c r="H394" s="435" t="str">
        <f>E_EnergyFlows!H299</f>
        <v>TJ / rok</v>
      </c>
      <c r="I394" s="511" t="str">
        <f>E_EnergyFlows!I299</f>
        <v/>
      </c>
      <c r="J394" s="511" t="str">
        <f>E_EnergyFlows!J299</f>
        <v/>
      </c>
      <c r="K394" s="511" t="str">
        <f>E_EnergyFlows!K299</f>
        <v/>
      </c>
      <c r="L394" s="511" t="str">
        <f>E_EnergyFlows!L299</f>
        <v/>
      </c>
      <c r="M394" s="511" t="str">
        <f>E_EnergyFlows!M299</f>
        <v/>
      </c>
      <c r="N394" s="7"/>
      <c r="O394" s="20"/>
      <c r="P394" s="626"/>
      <c r="Q394" s="626"/>
      <c r="R394" s="626"/>
      <c r="S394" s="626"/>
      <c r="T394" s="422"/>
    </row>
    <row r="395" spans="1:20" x14ac:dyDescent="0.2">
      <c r="A395" s="430"/>
      <c r="B395" s="20"/>
      <c r="C395" s="20"/>
      <c r="D395" s="425"/>
      <c r="E395" s="1648" t="str">
        <f>E_EnergyFlows!E300</f>
        <v/>
      </c>
      <c r="F395" s="1648"/>
      <c r="G395" s="1648"/>
      <c r="H395" s="435" t="str">
        <f>E_EnergyFlows!H300</f>
        <v>TJ / rok</v>
      </c>
      <c r="I395" s="511" t="str">
        <f>E_EnergyFlows!I300</f>
        <v/>
      </c>
      <c r="J395" s="511" t="str">
        <f>E_EnergyFlows!J300</f>
        <v/>
      </c>
      <c r="K395" s="511" t="str">
        <f>E_EnergyFlows!K300</f>
        <v/>
      </c>
      <c r="L395" s="511" t="str">
        <f>E_EnergyFlows!L300</f>
        <v/>
      </c>
      <c r="M395" s="511" t="str">
        <f>E_EnergyFlows!M300</f>
        <v/>
      </c>
      <c r="N395" s="7"/>
      <c r="O395" s="20"/>
      <c r="P395" s="626"/>
      <c r="Q395" s="626"/>
      <c r="R395" s="626"/>
      <c r="S395" s="626"/>
      <c r="T395" s="422"/>
    </row>
    <row r="396" spans="1:20" x14ac:dyDescent="0.2">
      <c r="A396" s="430"/>
      <c r="B396" s="20"/>
      <c r="C396" s="20"/>
      <c r="D396" s="425"/>
      <c r="E396" s="1648" t="str">
        <f>E_EnergyFlows!E301</f>
        <v/>
      </c>
      <c r="F396" s="1648"/>
      <c r="G396" s="1648"/>
      <c r="H396" s="435" t="str">
        <f>E_EnergyFlows!H301</f>
        <v>TJ / rok</v>
      </c>
      <c r="I396" s="511" t="str">
        <f>E_EnergyFlows!I301</f>
        <v/>
      </c>
      <c r="J396" s="511" t="str">
        <f>E_EnergyFlows!J301</f>
        <v/>
      </c>
      <c r="K396" s="511" t="str">
        <f>E_EnergyFlows!K301</f>
        <v/>
      </c>
      <c r="L396" s="511" t="str">
        <f>E_EnergyFlows!L301</f>
        <v/>
      </c>
      <c r="M396" s="511" t="str">
        <f>E_EnergyFlows!M301</f>
        <v/>
      </c>
      <c r="N396" s="7"/>
      <c r="O396" s="20"/>
      <c r="P396" s="626"/>
      <c r="Q396" s="626"/>
      <c r="R396" s="626"/>
      <c r="S396" s="626"/>
      <c r="T396" s="422"/>
    </row>
    <row r="397" spans="1:20" x14ac:dyDescent="0.2">
      <c r="A397" s="430"/>
      <c r="B397" s="20"/>
      <c r="C397" s="20"/>
      <c r="D397" s="425"/>
      <c r="E397" s="1648" t="str">
        <f>E_EnergyFlows!E302</f>
        <v/>
      </c>
      <c r="F397" s="1648"/>
      <c r="G397" s="1648"/>
      <c r="H397" s="435" t="str">
        <f>E_EnergyFlows!H302</f>
        <v>TJ / rok</v>
      </c>
      <c r="I397" s="511" t="str">
        <f>E_EnergyFlows!I302</f>
        <v/>
      </c>
      <c r="J397" s="511" t="str">
        <f>E_EnergyFlows!J302</f>
        <v/>
      </c>
      <c r="K397" s="511" t="str">
        <f>E_EnergyFlows!K302</f>
        <v/>
      </c>
      <c r="L397" s="511" t="str">
        <f>E_EnergyFlows!L302</f>
        <v/>
      </c>
      <c r="M397" s="511" t="str">
        <f>E_EnergyFlows!M302</f>
        <v/>
      </c>
      <c r="N397" s="7"/>
      <c r="O397" s="20"/>
      <c r="P397" s="626"/>
      <c r="Q397" s="626"/>
      <c r="R397" s="626"/>
      <c r="S397" s="626"/>
      <c r="T397" s="422"/>
    </row>
    <row r="398" spans="1:20" x14ac:dyDescent="0.2">
      <c r="A398" s="430"/>
      <c r="B398" s="20"/>
      <c r="C398" s="20"/>
      <c r="D398" s="425"/>
      <c r="E398" s="1649" t="str">
        <f>E_EnergyFlows!E303</f>
        <v/>
      </c>
      <c r="F398" s="1649"/>
      <c r="G398" s="1649"/>
      <c r="H398" s="436" t="str">
        <f>E_EnergyFlows!H303</f>
        <v>TJ / rok</v>
      </c>
      <c r="I398" s="704" t="str">
        <f>E_EnergyFlows!I303</f>
        <v/>
      </c>
      <c r="J398" s="704" t="str">
        <f>E_EnergyFlows!J303</f>
        <v/>
      </c>
      <c r="K398" s="704" t="str">
        <f>E_EnergyFlows!K303</f>
        <v/>
      </c>
      <c r="L398" s="704" t="str">
        <f>E_EnergyFlows!L303</f>
        <v/>
      </c>
      <c r="M398" s="704" t="str">
        <f>E_EnergyFlows!M303</f>
        <v/>
      </c>
      <c r="N398" s="7"/>
      <c r="O398" s="20"/>
      <c r="P398" s="626"/>
      <c r="Q398" s="626"/>
      <c r="R398" s="626"/>
      <c r="S398" s="626"/>
      <c r="T398" s="422"/>
    </row>
    <row r="399" spans="1:20" ht="12.75" customHeight="1" x14ac:dyDescent="0.2">
      <c r="A399" s="430"/>
      <c r="B399" s="20"/>
      <c r="C399" s="195"/>
      <c r="D399" s="425"/>
      <c r="E399" s="1702" t="str">
        <f>E_EnergyFlows!E304</f>
        <v>Suma częściowa</v>
      </c>
      <c r="F399" s="1702"/>
      <c r="G399" s="1702"/>
      <c r="H399" s="41" t="str">
        <f>E_EnergyFlows!H304</f>
        <v>TJ / rok</v>
      </c>
      <c r="I399" s="433" t="str">
        <f>E_EnergyFlows!I304</f>
        <v/>
      </c>
      <c r="J399" s="433" t="str">
        <f>E_EnergyFlows!J304</f>
        <v/>
      </c>
      <c r="K399" s="433" t="str">
        <f>E_EnergyFlows!K304</f>
        <v/>
      </c>
      <c r="L399" s="433" t="str">
        <f>E_EnergyFlows!L304</f>
        <v/>
      </c>
      <c r="M399" s="433" t="str">
        <f>E_EnergyFlows!M304</f>
        <v/>
      </c>
      <c r="N399" s="7"/>
      <c r="O399" s="20"/>
      <c r="P399" s="626"/>
      <c r="Q399" s="626"/>
      <c r="R399" s="626"/>
      <c r="S399" s="626"/>
      <c r="T399" s="422"/>
    </row>
    <row r="400" spans="1:20" ht="5.0999999999999996" customHeight="1" x14ac:dyDescent="0.2">
      <c r="A400" s="430"/>
      <c r="B400" s="3"/>
      <c r="C400" s="3"/>
      <c r="D400" s="3"/>
      <c r="E400" s="3"/>
      <c r="F400" s="3"/>
      <c r="G400" s="3"/>
      <c r="H400" s="3"/>
      <c r="I400" s="3"/>
      <c r="J400" s="3"/>
      <c r="K400" s="3"/>
      <c r="L400" s="3"/>
      <c r="M400" s="3"/>
      <c r="N400" s="3"/>
      <c r="O400" s="20"/>
      <c r="P400" s="626"/>
      <c r="Q400" s="626"/>
      <c r="R400" s="626"/>
      <c r="S400" s="626"/>
      <c r="T400" s="422"/>
    </row>
    <row r="401" spans="1:20" x14ac:dyDescent="0.2">
      <c r="A401" s="430"/>
      <c r="B401" s="3"/>
      <c r="C401" s="14"/>
      <c r="D401" s="14" t="str">
        <f>E_EnergyFlows!D306</f>
        <v>(h)</v>
      </c>
      <c r="E401" s="1653" t="str">
        <f>E_EnergyFlows!E306</f>
        <v>Gazy odlotowe zużyte w podinstalacjach, dla których wprowadzono rozwiązania rezerwowe (fall-back)</v>
      </c>
      <c r="F401" s="1647"/>
      <c r="G401" s="1647"/>
      <c r="H401" s="1647"/>
      <c r="I401" s="1647"/>
      <c r="J401" s="1647"/>
      <c r="K401" s="1647"/>
      <c r="L401" s="1647"/>
      <c r="M401" s="1647"/>
      <c r="N401" s="1647"/>
      <c r="O401" s="20"/>
      <c r="P401" s="626"/>
      <c r="Q401" s="626"/>
      <c r="R401" s="626"/>
      <c r="S401" s="626"/>
      <c r="T401" s="422"/>
    </row>
    <row r="402" spans="1:20" x14ac:dyDescent="0.2">
      <c r="A402" s="430"/>
      <c r="B402" s="20"/>
      <c r="C402" s="20"/>
      <c r="D402" s="20"/>
      <c r="E402" s="1655" t="str">
        <f>E_EnergyFlows!E308</f>
        <v>Rodzaj podinstalacji, dla której wprowadzono rozwiązania rezerwowe (fall-back)</v>
      </c>
      <c r="F402" s="1656"/>
      <c r="G402" s="1656"/>
      <c r="H402" s="431" t="str">
        <f>E_EnergyFlows!H308</f>
        <v>Jednostka</v>
      </c>
      <c r="I402" s="396">
        <f>E_EnergyFlows!I308</f>
        <v>2014</v>
      </c>
      <c r="J402" s="396">
        <f>E_EnergyFlows!J308</f>
        <v>2015</v>
      </c>
      <c r="K402" s="396">
        <f>E_EnergyFlows!K308</f>
        <v>2016</v>
      </c>
      <c r="L402" s="396">
        <f>E_EnergyFlows!L308</f>
        <v>2017</v>
      </c>
      <c r="M402" s="421">
        <f>E_EnergyFlows!M308</f>
        <v>2018</v>
      </c>
      <c r="N402" s="487"/>
      <c r="O402" s="20"/>
      <c r="P402" s="626"/>
      <c r="Q402" s="626"/>
      <c r="R402" s="626"/>
      <c r="S402" s="626"/>
      <c r="T402" s="422"/>
    </row>
    <row r="403" spans="1:20" ht="25.5" customHeight="1" x14ac:dyDescent="0.2">
      <c r="B403" s="20"/>
      <c r="C403" s="20"/>
      <c r="D403" s="195"/>
      <c r="E403" s="1618" t="str">
        <f>E_EnergyFlows!E309</f>
        <v>Podinstalacja objęta wskaźnikiem emisyjności opartym na cieple, „CL”</v>
      </c>
      <c r="F403" s="1618"/>
      <c r="G403" s="1618"/>
      <c r="H403" s="434" t="str">
        <f>E_EnergyFlows!H309</f>
        <v>TJ / rok</v>
      </c>
      <c r="I403" s="703" t="str">
        <f>E_EnergyFlows!I309</f>
        <v/>
      </c>
      <c r="J403" s="703" t="str">
        <f>E_EnergyFlows!J309</f>
        <v/>
      </c>
      <c r="K403" s="703" t="str">
        <f>E_EnergyFlows!K309</f>
        <v/>
      </c>
      <c r="L403" s="703" t="str">
        <f>E_EnergyFlows!L309</f>
        <v/>
      </c>
      <c r="M403" s="703" t="str">
        <f>E_EnergyFlows!M309</f>
        <v/>
      </c>
      <c r="N403" s="7"/>
      <c r="O403" s="20"/>
      <c r="P403" s="626"/>
      <c r="Q403" s="626"/>
      <c r="R403" s="626"/>
      <c r="S403" s="626"/>
      <c r="T403" s="422"/>
    </row>
    <row r="404" spans="1:20" ht="25.5" customHeight="1" x14ac:dyDescent="0.2">
      <c r="B404" s="20"/>
      <c r="C404" s="20"/>
      <c r="D404" s="195"/>
      <c r="E404" s="1613" t="str">
        <f>E_EnergyFlows!E310</f>
        <v>Podinstalacja objęta wskaźnikiem emisyjności opartym na cieple, „nie-CL”</v>
      </c>
      <c r="F404" s="1613"/>
      <c r="G404" s="1613"/>
      <c r="H404" s="435" t="str">
        <f>E_EnergyFlows!H310</f>
        <v>TJ / rok</v>
      </c>
      <c r="I404" s="511" t="str">
        <f>E_EnergyFlows!I310</f>
        <v/>
      </c>
      <c r="J404" s="511" t="str">
        <f>E_EnergyFlows!J310</f>
        <v/>
      </c>
      <c r="K404" s="511" t="str">
        <f>E_EnergyFlows!K310</f>
        <v/>
      </c>
      <c r="L404" s="511" t="str">
        <f>E_EnergyFlows!L310</f>
        <v/>
      </c>
      <c r="M404" s="511" t="str">
        <f>E_EnergyFlows!M310</f>
        <v/>
      </c>
      <c r="N404" s="7"/>
      <c r="O404" s="20"/>
      <c r="P404" s="626"/>
      <c r="Q404" s="626"/>
      <c r="R404" s="626"/>
      <c r="S404" s="626"/>
      <c r="T404" s="422"/>
    </row>
    <row r="405" spans="1:20" ht="12.75" customHeight="1" x14ac:dyDescent="0.2">
      <c r="B405" s="20"/>
      <c r="C405" s="20"/>
      <c r="D405" s="195"/>
      <c r="E405" s="1613" t="str">
        <f>E_EnergyFlows!E311</f>
        <v>Podinstalacja sieci ciepłowniczej, „nie-CL”</v>
      </c>
      <c r="F405" s="1613"/>
      <c r="G405" s="1613"/>
      <c r="H405" s="435" t="str">
        <f>E_EnergyFlows!H311</f>
        <v>TJ / rok</v>
      </c>
      <c r="I405" s="511" t="str">
        <f>E_EnergyFlows!I311</f>
        <v/>
      </c>
      <c r="J405" s="511" t="str">
        <f>E_EnergyFlows!J311</f>
        <v/>
      </c>
      <c r="K405" s="511" t="str">
        <f>E_EnergyFlows!K311</f>
        <v/>
      </c>
      <c r="L405" s="511" t="str">
        <f>E_EnergyFlows!L311</f>
        <v/>
      </c>
      <c r="M405" s="511" t="str">
        <f>E_EnergyFlows!M311</f>
        <v/>
      </c>
      <c r="N405" s="7"/>
      <c r="O405" s="20"/>
      <c r="P405" s="626"/>
      <c r="Q405" s="626"/>
      <c r="R405" s="626"/>
      <c r="S405" s="626"/>
      <c r="T405" s="422"/>
    </row>
    <row r="406" spans="1:20" ht="25.5" customHeight="1" x14ac:dyDescent="0.2">
      <c r="B406" s="20"/>
      <c r="C406" s="20"/>
      <c r="D406" s="195"/>
      <c r="E406" s="1613" t="str">
        <f>E_EnergyFlows!E312</f>
        <v>Podinstalacja objęta wskaźnikiem emisyjności opartym na paliwie, „CL”</v>
      </c>
      <c r="F406" s="1613"/>
      <c r="G406" s="1613"/>
      <c r="H406" s="435" t="str">
        <f>E_EnergyFlows!H312</f>
        <v>TJ / rok</v>
      </c>
      <c r="I406" s="511" t="str">
        <f>E_EnergyFlows!I312</f>
        <v/>
      </c>
      <c r="J406" s="511" t="str">
        <f>E_EnergyFlows!J312</f>
        <v/>
      </c>
      <c r="K406" s="511" t="str">
        <f>E_EnergyFlows!K312</f>
        <v/>
      </c>
      <c r="L406" s="511" t="str">
        <f>E_EnergyFlows!L312</f>
        <v/>
      </c>
      <c r="M406" s="511" t="str">
        <f>E_EnergyFlows!M312</f>
        <v/>
      </c>
      <c r="N406" s="7"/>
      <c r="O406" s="20"/>
      <c r="P406" s="626"/>
      <c r="Q406" s="626"/>
      <c r="R406" s="626"/>
      <c r="S406" s="626"/>
      <c r="T406" s="422"/>
    </row>
    <row r="407" spans="1:20" ht="25.5" customHeight="1" x14ac:dyDescent="0.2">
      <c r="B407" s="20"/>
      <c r="C407" s="20"/>
      <c r="D407" s="425"/>
      <c r="E407" s="1615" t="str">
        <f>E_EnergyFlows!E313</f>
        <v>Podinstalacja objęta wskaźnikiem emisyjności opartym na paliwie, „nie-CL”</v>
      </c>
      <c r="F407" s="1615"/>
      <c r="G407" s="1615"/>
      <c r="H407" s="436" t="str">
        <f>E_EnergyFlows!H313</f>
        <v>TJ / rok</v>
      </c>
      <c r="I407" s="704" t="str">
        <f>E_EnergyFlows!I313</f>
        <v/>
      </c>
      <c r="J407" s="704" t="str">
        <f>E_EnergyFlows!J313</f>
        <v/>
      </c>
      <c r="K407" s="704" t="str">
        <f>E_EnergyFlows!K313</f>
        <v/>
      </c>
      <c r="L407" s="704" t="str">
        <f>E_EnergyFlows!L313</f>
        <v/>
      </c>
      <c r="M407" s="704" t="str">
        <f>E_EnergyFlows!M313</f>
        <v/>
      </c>
      <c r="N407" s="7"/>
      <c r="O407" s="20"/>
      <c r="P407" s="626"/>
      <c r="Q407" s="626"/>
      <c r="R407" s="626"/>
      <c r="S407" s="626"/>
      <c r="T407" s="422"/>
    </row>
    <row r="408" spans="1:20" ht="12.75" customHeight="1" x14ac:dyDescent="0.2">
      <c r="A408" s="430"/>
      <c r="B408" s="20"/>
      <c r="C408" s="20"/>
      <c r="D408" s="425"/>
      <c r="E408" s="1702" t="str">
        <f>E_EnergyFlows!E314</f>
        <v>Suma częściowa</v>
      </c>
      <c r="F408" s="1702"/>
      <c r="G408" s="1702"/>
      <c r="H408" s="42" t="str">
        <f>E_EnergyFlows!H314</f>
        <v>TJ / rok</v>
      </c>
      <c r="I408" s="309" t="str">
        <f>E_EnergyFlows!I314</f>
        <v/>
      </c>
      <c r="J408" s="309" t="str">
        <f>E_EnergyFlows!J314</f>
        <v/>
      </c>
      <c r="K408" s="309" t="str">
        <f>E_EnergyFlows!K314</f>
        <v/>
      </c>
      <c r="L408" s="309" t="str">
        <f>E_EnergyFlows!L314</f>
        <v/>
      </c>
      <c r="M408" s="309" t="str">
        <f>E_EnergyFlows!M314</f>
        <v/>
      </c>
      <c r="N408" s="7"/>
      <c r="O408" s="20"/>
      <c r="P408" s="626"/>
      <c r="Q408" s="626"/>
      <c r="R408" s="626"/>
      <c r="S408" s="626"/>
      <c r="T408" s="422"/>
    </row>
    <row r="409" spans="1:20" ht="5.0999999999999996" customHeight="1" x14ac:dyDescent="0.2">
      <c r="A409" s="430"/>
      <c r="B409" s="20"/>
      <c r="C409" s="20"/>
      <c r="D409" s="20"/>
      <c r="E409" s="398"/>
      <c r="F409" s="20"/>
      <c r="G409" s="20"/>
      <c r="H409" s="20"/>
      <c r="I409" s="20"/>
      <c r="J409" s="20"/>
      <c r="K409" s="20"/>
      <c r="L409" s="20"/>
      <c r="M409" s="20"/>
      <c r="N409" s="20"/>
      <c r="O409" s="20"/>
      <c r="P409" s="626"/>
      <c r="Q409" s="626"/>
      <c r="R409" s="626"/>
      <c r="S409" s="626"/>
      <c r="T409" s="422"/>
    </row>
    <row r="410" spans="1:20" x14ac:dyDescent="0.2">
      <c r="A410" s="430"/>
      <c r="B410" s="3"/>
      <c r="C410" s="14"/>
      <c r="D410" s="14" t="str">
        <f>E_EnergyFlows!D316</f>
        <v>(i)</v>
      </c>
      <c r="E410" s="1653" t="str">
        <f>E_EnergyFlows!E316</f>
        <v>Ilość gazów odlotowych zużytych do wytworzenia energii elektrycznej</v>
      </c>
      <c r="F410" s="1647"/>
      <c r="G410" s="1647"/>
      <c r="H410" s="1647"/>
      <c r="I410" s="1647"/>
      <c r="J410" s="1647"/>
      <c r="K410" s="1647"/>
      <c r="L410" s="1647"/>
      <c r="M410" s="1647"/>
      <c r="N410" s="1647"/>
      <c r="O410" s="20"/>
      <c r="P410" s="626"/>
      <c r="Q410" s="626"/>
      <c r="R410" s="626"/>
      <c r="S410" s="626"/>
      <c r="T410" s="422"/>
    </row>
    <row r="411" spans="1:20" ht="25.5" customHeight="1" x14ac:dyDescent="0.2">
      <c r="A411" s="430"/>
      <c r="B411" s="20"/>
      <c r="C411" s="20"/>
      <c r="D411" s="20"/>
      <c r="E411" s="1654" t="str">
        <f>E_EnergyFlows!E317</f>
        <v>Gazy odlotowe wykorzystane do wytworzenia energii elektrycznej</v>
      </c>
      <c r="F411" s="1667"/>
      <c r="G411" s="1667"/>
      <c r="H411" s="52" t="str">
        <f>E_EnergyFlows!H317</f>
        <v>TJ / rok</v>
      </c>
      <c r="I411" s="433" t="str">
        <f>IF(ISBLANK(E_EnergyFlows!I317),"",E_EnergyFlows!I317)</f>
        <v/>
      </c>
      <c r="J411" s="433" t="str">
        <f>IF(ISBLANK(E_EnergyFlows!J317),"",E_EnergyFlows!J317)</f>
        <v/>
      </c>
      <c r="K411" s="433" t="str">
        <f>IF(ISBLANK(E_EnergyFlows!K317),"",E_EnergyFlows!K317)</f>
        <v/>
      </c>
      <c r="L411" s="433" t="str">
        <f>IF(ISBLANK(E_EnergyFlows!L317),"",E_EnergyFlows!L317)</f>
        <v/>
      </c>
      <c r="M411" s="433" t="str">
        <f>IF(ISBLANK(E_EnergyFlows!M317),"",E_EnergyFlows!M317)</f>
        <v/>
      </c>
      <c r="N411" s="26"/>
      <c r="O411" s="20"/>
      <c r="P411" s="626"/>
      <c r="Q411" s="626"/>
      <c r="R411" s="626"/>
      <c r="S411" s="626"/>
      <c r="T411" s="422"/>
    </row>
    <row r="412" spans="1:20" ht="5.0999999999999996" customHeight="1" x14ac:dyDescent="0.2">
      <c r="A412" s="430"/>
      <c r="B412" s="3"/>
      <c r="C412" s="3"/>
      <c r="D412" s="3"/>
      <c r="E412" s="3"/>
      <c r="F412" s="3"/>
      <c r="G412" s="3"/>
      <c r="H412" s="3"/>
      <c r="I412" s="3"/>
      <c r="J412" s="3"/>
      <c r="K412" s="3"/>
      <c r="L412" s="3"/>
      <c r="M412" s="3"/>
      <c r="N412" s="3"/>
      <c r="O412" s="20"/>
      <c r="P412" s="626"/>
      <c r="Q412" s="626"/>
      <c r="R412" s="626"/>
      <c r="S412" s="626"/>
      <c r="T412" s="422"/>
    </row>
    <row r="413" spans="1:20" ht="12.75" customHeight="1" x14ac:dyDescent="0.2">
      <c r="A413" s="430"/>
      <c r="B413" s="3"/>
      <c r="C413" s="14"/>
      <c r="D413" s="14" t="str">
        <f>E_EnergyFlows!D319</f>
        <v>(j)</v>
      </c>
      <c r="E413" s="1653" t="str">
        <f>E_EnergyFlows!E319</f>
        <v>Ilość gazów odlotowych spalonych na pochodniach w innych celach niż spalanie na pochodniach dla zapewnienia bezpieczeństwa</v>
      </c>
      <c r="F413" s="1647"/>
      <c r="G413" s="1647"/>
      <c r="H413" s="1647"/>
      <c r="I413" s="1647"/>
      <c r="J413" s="1647"/>
      <c r="K413" s="1647"/>
      <c r="L413" s="1647"/>
      <c r="M413" s="1647"/>
      <c r="N413" s="1647"/>
      <c r="O413" s="20"/>
      <c r="P413" s="626"/>
      <c r="Q413" s="626"/>
      <c r="R413" s="626"/>
      <c r="S413" s="626"/>
      <c r="T413" s="422"/>
    </row>
    <row r="414" spans="1:20" x14ac:dyDescent="0.2">
      <c r="A414" s="430"/>
      <c r="B414" s="20"/>
      <c r="C414" s="20"/>
      <c r="D414" s="20"/>
      <c r="E414" s="1650" t="str">
        <f>E_EnergyFlows!E322</f>
        <v>Podinstalacja</v>
      </c>
      <c r="F414" s="1651"/>
      <c r="G414" s="1651"/>
      <c r="H414" s="34" t="str">
        <f>E_EnergyFlows!H322</f>
        <v>Jednostka</v>
      </c>
      <c r="I414" s="432">
        <f>E_EnergyFlows!I322</f>
        <v>2014</v>
      </c>
      <c r="J414" s="432">
        <f>E_EnergyFlows!J322</f>
        <v>2015</v>
      </c>
      <c r="K414" s="432">
        <f>E_EnergyFlows!K322</f>
        <v>2016</v>
      </c>
      <c r="L414" s="432">
        <f>E_EnergyFlows!L322</f>
        <v>2017</v>
      </c>
      <c r="M414" s="432">
        <f>E_EnergyFlows!M322</f>
        <v>2018</v>
      </c>
      <c r="N414" s="487"/>
      <c r="O414" s="20"/>
      <c r="P414" s="626"/>
      <c r="Q414" s="626"/>
      <c r="R414" s="626"/>
      <c r="S414" s="626"/>
      <c r="T414" s="422"/>
    </row>
    <row r="415" spans="1:20" ht="12.75" customHeight="1" x14ac:dyDescent="0.2">
      <c r="A415" s="430"/>
      <c r="B415" s="20"/>
      <c r="C415" s="20"/>
      <c r="D415" s="425"/>
      <c r="E415" s="1722" t="str">
        <f>E_EnergyFlows!E323</f>
        <v/>
      </c>
      <c r="F415" s="1722"/>
      <c r="G415" s="1722"/>
      <c r="H415" s="434" t="str">
        <f>E_EnergyFlows!H323</f>
        <v>TJ / rok</v>
      </c>
      <c r="I415" s="703" t="str">
        <f>E_EnergyFlows!I323</f>
        <v/>
      </c>
      <c r="J415" s="703" t="str">
        <f>E_EnergyFlows!J323</f>
        <v/>
      </c>
      <c r="K415" s="703" t="str">
        <f>E_EnergyFlows!K323</f>
        <v/>
      </c>
      <c r="L415" s="703" t="str">
        <f>E_EnergyFlows!L323</f>
        <v/>
      </c>
      <c r="M415" s="703" t="str">
        <f>E_EnergyFlows!M323</f>
        <v/>
      </c>
      <c r="N415" s="7"/>
      <c r="O415" s="20"/>
      <c r="P415" s="626"/>
      <c r="Q415" s="626"/>
      <c r="R415" s="626"/>
      <c r="S415" s="626"/>
      <c r="T415" s="422"/>
    </row>
    <row r="416" spans="1:20" ht="12.75" customHeight="1" x14ac:dyDescent="0.2">
      <c r="A416" s="430"/>
      <c r="B416" s="20"/>
      <c r="C416" s="20"/>
      <c r="D416" s="425"/>
      <c r="E416" s="1648" t="str">
        <f>E_EnergyFlows!E324</f>
        <v/>
      </c>
      <c r="F416" s="1648"/>
      <c r="G416" s="1648"/>
      <c r="H416" s="435" t="str">
        <f>E_EnergyFlows!H324</f>
        <v>TJ / rok</v>
      </c>
      <c r="I416" s="511" t="str">
        <f>E_EnergyFlows!I324</f>
        <v/>
      </c>
      <c r="J416" s="511" t="str">
        <f>E_EnergyFlows!J324</f>
        <v/>
      </c>
      <c r="K416" s="511" t="str">
        <f>E_EnergyFlows!K324</f>
        <v/>
      </c>
      <c r="L416" s="511" t="str">
        <f>E_EnergyFlows!L324</f>
        <v/>
      </c>
      <c r="M416" s="511" t="str">
        <f>E_EnergyFlows!M324</f>
        <v/>
      </c>
      <c r="N416" s="7"/>
      <c r="O416" s="20"/>
      <c r="P416" s="626"/>
      <c r="Q416" s="626"/>
      <c r="R416" s="626"/>
      <c r="S416" s="626"/>
      <c r="T416" s="422"/>
    </row>
    <row r="417" spans="1:20" ht="12.75" customHeight="1" x14ac:dyDescent="0.2">
      <c r="A417" s="430"/>
      <c r="B417" s="20"/>
      <c r="C417" s="20"/>
      <c r="D417" s="425"/>
      <c r="E417" s="1648" t="str">
        <f>E_EnergyFlows!E325</f>
        <v/>
      </c>
      <c r="F417" s="1648"/>
      <c r="G417" s="1648"/>
      <c r="H417" s="435" t="str">
        <f>E_EnergyFlows!H325</f>
        <v>TJ / rok</v>
      </c>
      <c r="I417" s="511" t="str">
        <f>E_EnergyFlows!I325</f>
        <v/>
      </c>
      <c r="J417" s="511" t="str">
        <f>E_EnergyFlows!J325</f>
        <v/>
      </c>
      <c r="K417" s="511" t="str">
        <f>E_EnergyFlows!K325</f>
        <v/>
      </c>
      <c r="L417" s="511" t="str">
        <f>E_EnergyFlows!L325</f>
        <v/>
      </c>
      <c r="M417" s="511" t="str">
        <f>E_EnergyFlows!M325</f>
        <v/>
      </c>
      <c r="N417" s="7"/>
      <c r="O417" s="20"/>
      <c r="P417" s="626"/>
      <c r="Q417" s="626"/>
      <c r="R417" s="626"/>
      <c r="S417" s="626"/>
      <c r="T417" s="422"/>
    </row>
    <row r="418" spans="1:20" ht="12.75" customHeight="1" x14ac:dyDescent="0.2">
      <c r="A418" s="430"/>
      <c r="B418" s="20"/>
      <c r="C418" s="20"/>
      <c r="D418" s="425"/>
      <c r="E418" s="1648" t="str">
        <f>E_EnergyFlows!E326</f>
        <v/>
      </c>
      <c r="F418" s="1648"/>
      <c r="G418" s="1648"/>
      <c r="H418" s="435" t="str">
        <f>E_EnergyFlows!H326</f>
        <v>TJ / rok</v>
      </c>
      <c r="I418" s="511" t="str">
        <f>E_EnergyFlows!I326</f>
        <v/>
      </c>
      <c r="J418" s="511" t="str">
        <f>E_EnergyFlows!J326</f>
        <v/>
      </c>
      <c r="K418" s="511" t="str">
        <f>E_EnergyFlows!K326</f>
        <v/>
      </c>
      <c r="L418" s="511" t="str">
        <f>E_EnergyFlows!L326</f>
        <v/>
      </c>
      <c r="M418" s="511" t="str">
        <f>E_EnergyFlows!M326</f>
        <v/>
      </c>
      <c r="N418" s="7"/>
      <c r="O418" s="20"/>
      <c r="P418" s="626"/>
      <c r="Q418" s="626"/>
      <c r="R418" s="626"/>
      <c r="S418" s="626"/>
      <c r="T418" s="422"/>
    </row>
    <row r="419" spans="1:20" ht="12.75" customHeight="1" x14ac:dyDescent="0.2">
      <c r="A419" s="430"/>
      <c r="B419" s="20"/>
      <c r="C419" s="20"/>
      <c r="D419" s="425"/>
      <c r="E419" s="1648" t="str">
        <f>E_EnergyFlows!E327</f>
        <v/>
      </c>
      <c r="F419" s="1648"/>
      <c r="G419" s="1648"/>
      <c r="H419" s="435" t="str">
        <f>E_EnergyFlows!H327</f>
        <v>TJ / rok</v>
      </c>
      <c r="I419" s="511" t="str">
        <f>E_EnergyFlows!I327</f>
        <v/>
      </c>
      <c r="J419" s="511" t="str">
        <f>E_EnergyFlows!J327</f>
        <v/>
      </c>
      <c r="K419" s="511" t="str">
        <f>E_EnergyFlows!K327</f>
        <v/>
      </c>
      <c r="L419" s="511" t="str">
        <f>E_EnergyFlows!L327</f>
        <v/>
      </c>
      <c r="M419" s="511" t="str">
        <f>E_EnergyFlows!M327</f>
        <v/>
      </c>
      <c r="N419" s="7"/>
      <c r="O419" s="20"/>
      <c r="P419" s="626"/>
      <c r="Q419" s="626"/>
      <c r="R419" s="626"/>
      <c r="S419" s="626"/>
      <c r="T419" s="422"/>
    </row>
    <row r="420" spans="1:20" ht="12.75" customHeight="1" x14ac:dyDescent="0.2">
      <c r="A420" s="430"/>
      <c r="B420" s="20"/>
      <c r="C420" s="20"/>
      <c r="D420" s="425"/>
      <c r="E420" s="1648" t="str">
        <f>E_EnergyFlows!E328</f>
        <v/>
      </c>
      <c r="F420" s="1648"/>
      <c r="G420" s="1648"/>
      <c r="H420" s="435" t="str">
        <f>E_EnergyFlows!H328</f>
        <v>TJ / rok</v>
      </c>
      <c r="I420" s="511" t="str">
        <f>E_EnergyFlows!I328</f>
        <v/>
      </c>
      <c r="J420" s="511" t="str">
        <f>E_EnergyFlows!J328</f>
        <v/>
      </c>
      <c r="K420" s="511" t="str">
        <f>E_EnergyFlows!K328</f>
        <v/>
      </c>
      <c r="L420" s="511" t="str">
        <f>E_EnergyFlows!L328</f>
        <v/>
      </c>
      <c r="M420" s="511" t="str">
        <f>E_EnergyFlows!M328</f>
        <v/>
      </c>
      <c r="N420" s="7"/>
      <c r="O420" s="20"/>
      <c r="P420" s="626"/>
      <c r="Q420" s="626"/>
      <c r="R420" s="626"/>
      <c r="S420" s="626"/>
      <c r="T420" s="422"/>
    </row>
    <row r="421" spans="1:20" ht="12.75" customHeight="1" x14ac:dyDescent="0.2">
      <c r="A421" s="430"/>
      <c r="B421" s="20"/>
      <c r="C421" s="20"/>
      <c r="D421" s="425"/>
      <c r="E421" s="1648" t="str">
        <f>E_EnergyFlows!E329</f>
        <v/>
      </c>
      <c r="F421" s="1648"/>
      <c r="G421" s="1648"/>
      <c r="H421" s="435" t="str">
        <f>E_EnergyFlows!H329</f>
        <v>TJ / rok</v>
      </c>
      <c r="I421" s="511" t="str">
        <f>E_EnergyFlows!I329</f>
        <v/>
      </c>
      <c r="J421" s="511" t="str">
        <f>E_EnergyFlows!J329</f>
        <v/>
      </c>
      <c r="K421" s="511" t="str">
        <f>E_EnergyFlows!K329</f>
        <v/>
      </c>
      <c r="L421" s="511" t="str">
        <f>E_EnergyFlows!L329</f>
        <v/>
      </c>
      <c r="M421" s="511" t="str">
        <f>E_EnergyFlows!M329</f>
        <v/>
      </c>
      <c r="N421" s="7"/>
      <c r="O421" s="20"/>
      <c r="P421" s="626"/>
      <c r="Q421" s="626"/>
      <c r="R421" s="626"/>
      <c r="S421" s="626"/>
      <c r="T421" s="422"/>
    </row>
    <row r="422" spans="1:20" ht="12.75" customHeight="1" x14ac:dyDescent="0.2">
      <c r="A422" s="430"/>
      <c r="B422" s="20"/>
      <c r="C422" s="20"/>
      <c r="D422" s="425"/>
      <c r="E422" s="1648" t="str">
        <f>E_EnergyFlows!E330</f>
        <v/>
      </c>
      <c r="F422" s="1648"/>
      <c r="G422" s="1648"/>
      <c r="H422" s="435" t="str">
        <f>E_EnergyFlows!H330</f>
        <v>TJ / rok</v>
      </c>
      <c r="I422" s="511" t="str">
        <f>E_EnergyFlows!I330</f>
        <v/>
      </c>
      <c r="J422" s="511" t="str">
        <f>E_EnergyFlows!J330</f>
        <v/>
      </c>
      <c r="K422" s="511" t="str">
        <f>E_EnergyFlows!K330</f>
        <v/>
      </c>
      <c r="L422" s="511" t="str">
        <f>E_EnergyFlows!L330</f>
        <v/>
      </c>
      <c r="M422" s="511" t="str">
        <f>E_EnergyFlows!M330</f>
        <v/>
      </c>
      <c r="N422" s="7"/>
      <c r="O422" s="20"/>
      <c r="P422" s="626"/>
      <c r="Q422" s="626"/>
      <c r="R422" s="626"/>
      <c r="S422" s="626"/>
      <c r="T422" s="422"/>
    </row>
    <row r="423" spans="1:20" ht="12.75" customHeight="1" x14ac:dyDescent="0.2">
      <c r="A423" s="430"/>
      <c r="B423" s="20"/>
      <c r="C423" s="20"/>
      <c r="D423" s="425"/>
      <c r="E423" s="1648" t="str">
        <f>E_EnergyFlows!E331</f>
        <v/>
      </c>
      <c r="F423" s="1648"/>
      <c r="G423" s="1648"/>
      <c r="H423" s="435" t="str">
        <f>E_EnergyFlows!H331</f>
        <v>TJ / rok</v>
      </c>
      <c r="I423" s="511" t="str">
        <f>E_EnergyFlows!I331</f>
        <v/>
      </c>
      <c r="J423" s="511" t="str">
        <f>E_EnergyFlows!J331</f>
        <v/>
      </c>
      <c r="K423" s="511" t="str">
        <f>E_EnergyFlows!K331</f>
        <v/>
      </c>
      <c r="L423" s="511" t="str">
        <f>E_EnergyFlows!L331</f>
        <v/>
      </c>
      <c r="M423" s="511" t="str">
        <f>E_EnergyFlows!M331</f>
        <v/>
      </c>
      <c r="N423" s="7"/>
      <c r="O423" s="20"/>
      <c r="P423" s="626"/>
      <c r="Q423" s="626"/>
      <c r="R423" s="626"/>
      <c r="S423" s="626"/>
      <c r="T423" s="422"/>
    </row>
    <row r="424" spans="1:20" ht="12.75" customHeight="1" x14ac:dyDescent="0.2">
      <c r="A424" s="430"/>
      <c r="B424" s="20"/>
      <c r="C424" s="20"/>
      <c r="D424" s="425"/>
      <c r="E424" s="1649" t="str">
        <f>E_EnergyFlows!E332</f>
        <v/>
      </c>
      <c r="F424" s="1649"/>
      <c r="G424" s="1649"/>
      <c r="H424" s="436" t="str">
        <f>E_EnergyFlows!H332</f>
        <v>TJ / rok</v>
      </c>
      <c r="I424" s="704" t="str">
        <f>E_EnergyFlows!I332</f>
        <v/>
      </c>
      <c r="J424" s="704" t="str">
        <f>E_EnergyFlows!J332</f>
        <v/>
      </c>
      <c r="K424" s="704" t="str">
        <f>E_EnergyFlows!K332</f>
        <v/>
      </c>
      <c r="L424" s="704" t="str">
        <f>E_EnergyFlows!L332</f>
        <v/>
      </c>
      <c r="M424" s="704" t="str">
        <f>E_EnergyFlows!M332</f>
        <v/>
      </c>
      <c r="N424" s="7"/>
      <c r="O424" s="20"/>
      <c r="P424" s="626"/>
      <c r="Q424" s="626"/>
      <c r="R424" s="626"/>
      <c r="S424" s="626"/>
      <c r="T424" s="422"/>
    </row>
    <row r="425" spans="1:20" ht="25.5" customHeight="1" x14ac:dyDescent="0.2">
      <c r="A425" s="430"/>
      <c r="B425" s="20"/>
      <c r="C425" s="20"/>
      <c r="D425" s="425"/>
      <c r="E425" s="1661" t="str">
        <f>E_EnergyFlows!E333</f>
        <v>wytworzone poza podinstalacjami objętymi wskaźnikiem emisyjności dla produktów</v>
      </c>
      <c r="F425" s="1651"/>
      <c r="G425" s="1651"/>
      <c r="H425" s="51" t="str">
        <f>E_EnergyFlows!H333</f>
        <v>TJ / rok</v>
      </c>
      <c r="I425" s="871" t="str">
        <f>IF(ISBLANK(E_EnergyFlows!I333),"",E_EnergyFlows!I333)</f>
        <v/>
      </c>
      <c r="J425" s="871" t="str">
        <f>IF(ISBLANK(E_EnergyFlows!J333),"",E_EnergyFlows!J333)</f>
        <v/>
      </c>
      <c r="K425" s="871" t="str">
        <f>IF(ISBLANK(E_EnergyFlows!K333),"",E_EnergyFlows!K333)</f>
        <v/>
      </c>
      <c r="L425" s="871" t="str">
        <f>IF(ISBLANK(E_EnergyFlows!L333),"",E_EnergyFlows!L333)</f>
        <v/>
      </c>
      <c r="M425" s="871" t="str">
        <f>IF(ISBLANK(E_EnergyFlows!M333),"",E_EnergyFlows!M333)</f>
        <v/>
      </c>
      <c r="N425" s="26"/>
      <c r="O425" s="20"/>
      <c r="P425" s="626"/>
      <c r="Q425" s="626"/>
      <c r="R425" s="626"/>
      <c r="S425" s="626"/>
      <c r="T425" s="422"/>
    </row>
    <row r="426" spans="1:20" ht="12.75" customHeight="1" x14ac:dyDescent="0.2">
      <c r="A426" s="430"/>
      <c r="B426" s="20"/>
      <c r="C426" s="20"/>
      <c r="D426" s="425"/>
      <c r="E426" s="1702" t="str">
        <f>E_EnergyFlows!E334</f>
        <v>Suma częściowa</v>
      </c>
      <c r="F426" s="1702"/>
      <c r="G426" s="1702"/>
      <c r="H426" s="52" t="str">
        <f>E_EnergyFlows!H334</f>
        <v>TJ / rok</v>
      </c>
      <c r="I426" s="311" t="str">
        <f>E_EnergyFlows!I334</f>
        <v/>
      </c>
      <c r="J426" s="311" t="str">
        <f>E_EnergyFlows!J334</f>
        <v/>
      </c>
      <c r="K426" s="311" t="str">
        <f>E_EnergyFlows!K334</f>
        <v/>
      </c>
      <c r="L426" s="311" t="str">
        <f>E_EnergyFlows!L334</f>
        <v/>
      </c>
      <c r="M426" s="311" t="str">
        <f>E_EnergyFlows!M334</f>
        <v/>
      </c>
      <c r="N426" s="26"/>
      <c r="O426" s="20"/>
      <c r="P426" s="626"/>
      <c r="Q426" s="626"/>
      <c r="R426" s="626"/>
      <c r="S426" s="626"/>
      <c r="T426" s="422"/>
    </row>
    <row r="427" spans="1:20" ht="5.0999999999999996" customHeight="1" x14ac:dyDescent="0.2">
      <c r="A427" s="430"/>
      <c r="B427" s="3"/>
      <c r="C427" s="3"/>
      <c r="D427" s="3"/>
      <c r="E427" s="3"/>
      <c r="F427" s="3"/>
      <c r="G427" s="3"/>
      <c r="H427" s="3"/>
      <c r="I427" s="3"/>
      <c r="J427" s="3"/>
      <c r="K427" s="3"/>
      <c r="L427" s="3"/>
      <c r="M427" s="3"/>
      <c r="N427" s="3"/>
      <c r="O427" s="20"/>
      <c r="P427" s="626"/>
      <c r="Q427" s="626"/>
      <c r="R427" s="626"/>
      <c r="S427" s="626"/>
      <c r="T427" s="422"/>
    </row>
    <row r="428" spans="1:20" ht="12.75" customHeight="1" x14ac:dyDescent="0.2">
      <c r="A428" s="430"/>
      <c r="B428" s="3"/>
      <c r="C428" s="14"/>
      <c r="D428" s="14" t="str">
        <f>E_EnergyFlows!D336</f>
        <v>(k)</v>
      </c>
      <c r="E428" s="1653" t="str">
        <f>E_EnergyFlows!E336</f>
        <v>Kontrola wiarygodności</v>
      </c>
      <c r="F428" s="1647"/>
      <c r="G428" s="1647"/>
      <c r="H428" s="1647"/>
      <c r="I428" s="1647"/>
      <c r="J428" s="1647"/>
      <c r="K428" s="1647"/>
      <c r="L428" s="1647"/>
      <c r="M428" s="1647"/>
      <c r="N428" s="1647"/>
      <c r="O428" s="20"/>
      <c r="P428" s="626"/>
      <c r="Q428" s="626"/>
      <c r="R428" s="626"/>
      <c r="S428" s="626"/>
      <c r="T428" s="422"/>
    </row>
    <row r="429" spans="1:20" ht="12.75" customHeight="1" x14ac:dyDescent="0.2">
      <c r="A429" s="430"/>
      <c r="B429" s="20"/>
      <c r="C429" s="20"/>
      <c r="D429" s="195"/>
      <c r="E429" s="1654" t="str">
        <f>E_EnergyFlows!E338</f>
        <v>Różnica (obliczona)</v>
      </c>
      <c r="F429" s="1667"/>
      <c r="G429" s="1667"/>
      <c r="H429" s="52" t="str">
        <f>E_EnergyFlows!H338</f>
        <v>TJ / rok</v>
      </c>
      <c r="I429" s="311" t="str">
        <f>E_EnergyFlows!I338</f>
        <v/>
      </c>
      <c r="J429" s="311" t="str">
        <f>E_EnergyFlows!J338</f>
        <v/>
      </c>
      <c r="K429" s="311" t="str">
        <f>E_EnergyFlows!K338</f>
        <v/>
      </c>
      <c r="L429" s="311" t="str">
        <f>E_EnergyFlows!L338</f>
        <v/>
      </c>
      <c r="M429" s="311" t="str">
        <f>E_EnergyFlows!M338</f>
        <v/>
      </c>
      <c r="N429" s="26"/>
      <c r="O429" s="20"/>
      <c r="P429" s="626"/>
      <c r="Q429" s="626"/>
      <c r="R429" s="626"/>
      <c r="S429" s="626"/>
      <c r="T429" s="422"/>
    </row>
    <row r="430" spans="1:20" ht="12.75" customHeight="1" x14ac:dyDescent="0.2">
      <c r="A430" s="430"/>
      <c r="B430" s="20"/>
      <c r="C430" s="20"/>
      <c r="D430" s="195"/>
      <c r="E430" s="1654" t="str">
        <f>E_EnergyFlows!E339</f>
        <v>Różnica (jako ułamek f)</v>
      </c>
      <c r="F430" s="1667"/>
      <c r="G430" s="1667"/>
      <c r="H430" s="571" t="str">
        <f>E_EnergyFlows!H339</f>
        <v>%</v>
      </c>
      <c r="I430" s="309" t="str">
        <f>E_EnergyFlows!I339</f>
        <v/>
      </c>
      <c r="J430" s="309" t="str">
        <f>E_EnergyFlows!J339</f>
        <v/>
      </c>
      <c r="K430" s="309" t="str">
        <f>E_EnergyFlows!K339</f>
        <v/>
      </c>
      <c r="L430" s="309" t="str">
        <f>E_EnergyFlows!L339</f>
        <v/>
      </c>
      <c r="M430" s="309" t="str">
        <f>E_EnergyFlows!M339</f>
        <v/>
      </c>
      <c r="N430" s="26"/>
      <c r="O430" s="20"/>
      <c r="P430" s="626"/>
      <c r="Q430" s="626"/>
      <c r="R430" s="626"/>
      <c r="S430" s="626"/>
      <c r="T430" s="422"/>
    </row>
    <row r="431" spans="1:20" s="701" customFormat="1" ht="12.75" customHeight="1" x14ac:dyDescent="0.2">
      <c r="A431" s="422"/>
      <c r="B431" s="398"/>
      <c r="C431" s="398"/>
      <c r="D431" s="398"/>
      <c r="E431" s="398"/>
      <c r="F431" s="398"/>
      <c r="G431" s="398"/>
      <c r="H431" s="398"/>
      <c r="I431" s="398"/>
      <c r="J431" s="398"/>
      <c r="K431" s="398"/>
      <c r="L431" s="398"/>
      <c r="M431" s="398"/>
      <c r="N431" s="398"/>
      <c r="O431" s="20"/>
      <c r="P431" s="626"/>
      <c r="Q431" s="626"/>
      <c r="R431" s="626"/>
      <c r="S431" s="626"/>
      <c r="T431" s="422"/>
    </row>
    <row r="432" spans="1:20" ht="15" x14ac:dyDescent="0.25">
      <c r="A432" s="430"/>
      <c r="B432" s="3"/>
      <c r="C432" s="18">
        <v>8</v>
      </c>
      <c r="D432" s="1657" t="str">
        <f>E_EnergyFlows!D343</f>
        <v>Pełny bilans energii elektrycznej w instalacji</v>
      </c>
      <c r="E432" s="1647"/>
      <c r="F432" s="1647"/>
      <c r="G432" s="1647"/>
      <c r="H432" s="1647"/>
      <c r="I432" s="1647"/>
      <c r="J432" s="1647"/>
      <c r="K432" s="1647"/>
      <c r="L432" s="1647"/>
      <c r="M432" s="1647"/>
      <c r="N432" s="1647"/>
      <c r="O432" s="20"/>
      <c r="P432" s="626"/>
      <c r="Q432" s="626"/>
      <c r="R432" s="626"/>
      <c r="S432" s="626"/>
      <c r="T432" s="422"/>
    </row>
    <row r="433" spans="1:20" ht="5.0999999999999996" customHeight="1" x14ac:dyDescent="0.2">
      <c r="A433" s="430"/>
      <c r="B433" s="3"/>
      <c r="C433" s="3"/>
      <c r="D433" s="3"/>
      <c r="E433" s="3"/>
      <c r="F433" s="3"/>
      <c r="G433" s="3"/>
      <c r="H433" s="3"/>
      <c r="I433" s="3"/>
      <c r="J433" s="3"/>
      <c r="K433" s="3"/>
      <c r="L433" s="3"/>
      <c r="M433" s="3"/>
      <c r="N433" s="3"/>
      <c r="O433" s="20"/>
      <c r="P433" s="626"/>
      <c r="Q433" s="626"/>
      <c r="R433" s="626"/>
      <c r="S433" s="626"/>
      <c r="T433" s="422"/>
    </row>
    <row r="434" spans="1:20" ht="13.5" customHeight="1" x14ac:dyDescent="0.2">
      <c r="B434" s="20"/>
      <c r="C434" s="20"/>
      <c r="D434" s="14"/>
      <c r="E434" s="1466" t="str">
        <f>E_EnergyFlows!E345</f>
        <v>Czy w instalacji wytwarzana jest energia elektryczna?</v>
      </c>
      <c r="F434" s="1466"/>
      <c r="G434" s="1466"/>
      <c r="H434" s="1466"/>
      <c r="I434" s="1466"/>
      <c r="J434" s="1466"/>
      <c r="K434" s="1603"/>
      <c r="L434" s="2021" t="b">
        <f>IF(ISBLANK(E_EnergyFlows!M345),"",E_EnergyFlows!M345)</f>
        <v>0</v>
      </c>
      <c r="M434" s="2022"/>
      <c r="N434" s="700"/>
      <c r="O434" s="20"/>
      <c r="P434" s="626"/>
      <c r="Q434" s="626"/>
      <c r="R434" s="626"/>
      <c r="S434" s="626"/>
      <c r="T434" s="422"/>
    </row>
    <row r="435" spans="1:20" ht="5.0999999999999996" customHeight="1" x14ac:dyDescent="0.2">
      <c r="A435" s="430"/>
      <c r="B435" s="3"/>
      <c r="C435" s="3"/>
      <c r="D435" s="14"/>
      <c r="E435" s="1653"/>
      <c r="F435" s="1647"/>
      <c r="G435" s="1647"/>
      <c r="H435" s="1647"/>
      <c r="I435" s="1647"/>
      <c r="J435" s="1647"/>
      <c r="K435" s="1647"/>
      <c r="L435" s="1647"/>
      <c r="M435" s="1647"/>
      <c r="N435" s="1647"/>
      <c r="O435" s="20"/>
      <c r="P435" s="626"/>
      <c r="Q435" s="626"/>
      <c r="R435" s="626"/>
      <c r="S435" s="626"/>
      <c r="T435" s="422"/>
    </row>
    <row r="436" spans="1:20" x14ac:dyDescent="0.2">
      <c r="A436" s="430"/>
      <c r="B436" s="20"/>
      <c r="C436" s="20"/>
      <c r="D436" s="20"/>
      <c r="E436" s="25"/>
      <c r="F436" s="22"/>
      <c r="G436" s="22"/>
      <c r="H436" s="34" t="str">
        <f>E_EnergyFlows!H350</f>
        <v>Jednostka</v>
      </c>
      <c r="I436" s="396">
        <f>E_EnergyFlows!I350</f>
        <v>2014</v>
      </c>
      <c r="J436" s="396">
        <f>E_EnergyFlows!J350</f>
        <v>2015</v>
      </c>
      <c r="K436" s="396">
        <f>E_EnergyFlows!K350</f>
        <v>2016</v>
      </c>
      <c r="L436" s="396">
        <f>E_EnergyFlows!L350</f>
        <v>2017</v>
      </c>
      <c r="M436" s="396">
        <f>E_EnergyFlows!M350</f>
        <v>2018</v>
      </c>
      <c r="N436" s="20"/>
      <c r="O436" s="20"/>
      <c r="P436" s="626"/>
      <c r="Q436" s="626"/>
      <c r="R436" s="626"/>
      <c r="S436" s="626"/>
      <c r="T436" s="422"/>
    </row>
    <row r="437" spans="1:20" ht="25.5" customHeight="1" x14ac:dyDescent="0.2">
      <c r="A437" s="430"/>
      <c r="B437" s="20"/>
      <c r="C437" s="20"/>
      <c r="D437" s="195"/>
      <c r="E437" s="1652" t="str">
        <f>E_EnergyFlows!E351</f>
        <v>Energia elektryczna netto wytworzona z paliw</v>
      </c>
      <c r="F437" s="1652"/>
      <c r="G437" s="1652"/>
      <c r="H437" s="48" t="str">
        <f>E_EnergyFlows!H351</f>
        <v>MWh / rok</v>
      </c>
      <c r="I437" s="433" t="str">
        <f>IF(ISBLANK(E_EnergyFlows!I351),"",E_EnergyFlows!I351)</f>
        <v/>
      </c>
      <c r="J437" s="433" t="str">
        <f>IF(ISBLANK(E_EnergyFlows!J351),"",E_EnergyFlows!J351)</f>
        <v/>
      </c>
      <c r="K437" s="433" t="str">
        <f>IF(ISBLANK(E_EnergyFlows!K351),"",E_EnergyFlows!K351)</f>
        <v/>
      </c>
      <c r="L437" s="433" t="str">
        <f>IF(ISBLANK(E_EnergyFlows!L351),"",E_EnergyFlows!L351)</f>
        <v/>
      </c>
      <c r="M437" s="433" t="str">
        <f>IF(ISBLANK(E_EnergyFlows!M351),"",E_EnergyFlows!M351)</f>
        <v/>
      </c>
      <c r="N437" s="20"/>
      <c r="O437" s="20"/>
      <c r="P437" s="626"/>
      <c r="Q437" s="626"/>
      <c r="R437" s="626"/>
      <c r="S437" s="626"/>
      <c r="T437" s="422"/>
    </row>
    <row r="438" spans="1:20" x14ac:dyDescent="0.2">
      <c r="A438" s="430"/>
      <c r="B438" s="20"/>
      <c r="C438" s="20"/>
      <c r="D438" s="195"/>
      <c r="E438" s="1652" t="str">
        <f>E_EnergyFlows!E352</f>
        <v>Inna wytworzona energia elektryczna</v>
      </c>
      <c r="F438" s="1652"/>
      <c r="G438" s="1652"/>
      <c r="H438" s="48" t="str">
        <f>E_EnergyFlows!H352</f>
        <v>MWh / rok</v>
      </c>
      <c r="I438" s="433" t="str">
        <f>IF(ISBLANK(E_EnergyFlows!I352),"",E_EnergyFlows!I352)</f>
        <v/>
      </c>
      <c r="J438" s="433" t="str">
        <f>IF(ISBLANK(E_EnergyFlows!J352),"",E_EnergyFlows!J352)</f>
        <v/>
      </c>
      <c r="K438" s="433" t="str">
        <f>IF(ISBLANK(E_EnergyFlows!K352),"",E_EnergyFlows!K352)</f>
        <v/>
      </c>
      <c r="L438" s="433" t="str">
        <f>IF(ISBLANK(E_EnergyFlows!L352),"",E_EnergyFlows!L352)</f>
        <v/>
      </c>
      <c r="M438" s="433" t="str">
        <f>IF(ISBLANK(E_EnergyFlows!M352),"",E_EnergyFlows!M352)</f>
        <v/>
      </c>
      <c r="N438" s="20"/>
      <c r="O438" s="20"/>
      <c r="P438" s="626"/>
      <c r="Q438" s="626"/>
      <c r="R438" s="626"/>
      <c r="S438" s="626"/>
      <c r="T438" s="422"/>
    </row>
    <row r="439" spans="1:20" ht="12.75" customHeight="1" x14ac:dyDescent="0.2">
      <c r="A439" s="430"/>
      <c r="B439" s="20"/>
      <c r="C439" s="20"/>
      <c r="D439" s="20"/>
      <c r="E439" s="1652" t="str">
        <f>E_EnergyFlows!E355</f>
        <v>Wprowadzana energia elektryczna</v>
      </c>
      <c r="F439" s="1652"/>
      <c r="G439" s="1652"/>
      <c r="H439" s="48" t="str">
        <f>E_EnergyFlows!H355</f>
        <v>MWh / rok</v>
      </c>
      <c r="I439" s="433" t="str">
        <f>IF(ISBLANK(E_EnergyFlows!I355),"",E_EnergyFlows!I355)</f>
        <v/>
      </c>
      <c r="J439" s="433" t="str">
        <f>IF(ISBLANK(E_EnergyFlows!J355),"",E_EnergyFlows!J355)</f>
        <v/>
      </c>
      <c r="K439" s="433" t="str">
        <f>IF(ISBLANK(E_EnergyFlows!K355),"",E_EnergyFlows!K355)</f>
        <v/>
      </c>
      <c r="L439" s="433" t="str">
        <f>IF(ISBLANK(E_EnergyFlows!L355),"",E_EnergyFlows!L355)</f>
        <v/>
      </c>
      <c r="M439" s="433" t="str">
        <f>IF(ISBLANK(E_EnergyFlows!M355),"",E_EnergyFlows!M355)</f>
        <v/>
      </c>
      <c r="N439" s="20"/>
      <c r="O439" s="20"/>
      <c r="P439" s="626"/>
      <c r="Q439" s="626"/>
      <c r="R439" s="626"/>
      <c r="S439" s="626"/>
      <c r="T439" s="422"/>
    </row>
    <row r="440" spans="1:20" ht="12.75" customHeight="1" x14ac:dyDescent="0.2">
      <c r="A440" s="430"/>
      <c r="B440" s="20"/>
      <c r="C440" s="20"/>
      <c r="D440" s="20"/>
      <c r="E440" s="1652" t="str">
        <f>E_EnergyFlows!E358</f>
        <v>Wyprowadzona energia elektryczna</v>
      </c>
      <c r="F440" s="1652"/>
      <c r="G440" s="1652"/>
      <c r="H440" s="48" t="str">
        <f>E_EnergyFlows!H358</f>
        <v>MWh / rok</v>
      </c>
      <c r="I440" s="433" t="str">
        <f>IF(ISBLANK(E_EnergyFlows!I358),"",E_EnergyFlows!I358)</f>
        <v/>
      </c>
      <c r="J440" s="433" t="str">
        <f>IF(ISBLANK(E_EnergyFlows!J358),"",E_EnergyFlows!J358)</f>
        <v/>
      </c>
      <c r="K440" s="433" t="str">
        <f>IF(ISBLANK(E_EnergyFlows!K358),"",E_EnergyFlows!K358)</f>
        <v/>
      </c>
      <c r="L440" s="433" t="str">
        <f>IF(ISBLANK(E_EnergyFlows!L358),"",E_EnergyFlows!L358)</f>
        <v/>
      </c>
      <c r="M440" s="433" t="str">
        <f>IF(ISBLANK(E_EnergyFlows!M358),"",E_EnergyFlows!M358)</f>
        <v/>
      </c>
      <c r="N440" s="20"/>
      <c r="O440" s="20"/>
      <c r="P440" s="626"/>
      <c r="Q440" s="626"/>
      <c r="R440" s="626"/>
      <c r="S440" s="626"/>
      <c r="T440" s="422"/>
    </row>
    <row r="441" spans="1:20" ht="25.5" customHeight="1" x14ac:dyDescent="0.2">
      <c r="A441" s="430"/>
      <c r="B441" s="20"/>
      <c r="C441" s="20"/>
      <c r="D441" s="20"/>
      <c r="E441" s="1652" t="str">
        <f>E_EnergyFlows!E361</f>
        <v>Energia elektryczna możliwa do wykorzystania</v>
      </c>
      <c r="F441" s="1652"/>
      <c r="G441" s="1652"/>
      <c r="H441" s="48" t="str">
        <f>E_EnergyFlows!H361</f>
        <v>MWh / rok</v>
      </c>
      <c r="I441" s="311" t="str">
        <f>E_EnergyFlows!I361</f>
        <v/>
      </c>
      <c r="J441" s="311" t="str">
        <f>E_EnergyFlows!J361</f>
        <v/>
      </c>
      <c r="K441" s="311" t="str">
        <f>E_EnergyFlows!K361</f>
        <v/>
      </c>
      <c r="L441" s="311" t="str">
        <f>E_EnergyFlows!L361</f>
        <v/>
      </c>
      <c r="M441" s="311" t="str">
        <f>E_EnergyFlows!M361</f>
        <v/>
      </c>
      <c r="N441" s="20"/>
      <c r="O441" s="20"/>
      <c r="P441" s="626"/>
      <c r="Q441" s="626"/>
      <c r="R441" s="626"/>
      <c r="S441" s="626"/>
      <c r="T441" s="422"/>
    </row>
    <row r="442" spans="1:20" ht="12.75" customHeight="1" x14ac:dyDescent="0.2">
      <c r="A442" s="430"/>
      <c r="B442" s="20"/>
      <c r="C442" s="20"/>
      <c r="D442" s="20"/>
      <c r="E442" s="1652" t="str">
        <f>E_EnergyFlows!E364</f>
        <v>Energia elektryczna zużyta w instalacji</v>
      </c>
      <c r="F442" s="1652"/>
      <c r="G442" s="1652"/>
      <c r="H442" s="48" t="str">
        <f>E_EnergyFlows!H364</f>
        <v>MWh / rok</v>
      </c>
      <c r="I442" s="433" t="str">
        <f>IF(ISBLANK(E_EnergyFlows!I364),"",E_EnergyFlows!I364)</f>
        <v/>
      </c>
      <c r="J442" s="433" t="str">
        <f>IF(ISBLANK(E_EnergyFlows!J364),"",E_EnergyFlows!J364)</f>
        <v/>
      </c>
      <c r="K442" s="433" t="str">
        <f>IF(ISBLANK(E_EnergyFlows!K364),"",E_EnergyFlows!K364)</f>
        <v/>
      </c>
      <c r="L442" s="433" t="str">
        <f>IF(ISBLANK(E_EnergyFlows!L364),"",E_EnergyFlows!L364)</f>
        <v/>
      </c>
      <c r="M442" s="433" t="str">
        <f>IF(ISBLANK(E_EnergyFlows!M364),"",E_EnergyFlows!M364)</f>
        <v/>
      </c>
      <c r="N442" s="20"/>
      <c r="O442" s="20"/>
      <c r="P442" s="626"/>
      <c r="Q442" s="626"/>
      <c r="R442" s="626"/>
      <c r="S442" s="626"/>
      <c r="T442" s="422"/>
    </row>
    <row r="443" spans="1:20" ht="12.75" customHeight="1" x14ac:dyDescent="0.2">
      <c r="B443" s="20"/>
      <c r="C443" s="20"/>
      <c r="D443" s="20"/>
      <c r="E443" s="20"/>
      <c r="F443" s="20"/>
      <c r="G443" s="20"/>
      <c r="H443" s="20"/>
      <c r="I443" s="20"/>
      <c r="J443" s="20"/>
      <c r="K443" s="20"/>
      <c r="L443" s="20"/>
      <c r="M443" s="20"/>
      <c r="N443" s="20"/>
      <c r="O443" s="20"/>
      <c r="P443" s="8"/>
      <c r="Q443" s="8"/>
      <c r="R443" s="8"/>
      <c r="S443" s="8"/>
      <c r="T443" s="8"/>
    </row>
    <row r="444" spans="1:20" s="701" customFormat="1" ht="16.5" thickBot="1" x14ac:dyDescent="0.3">
      <c r="A444" s="422"/>
      <c r="B444" s="3"/>
      <c r="C444" s="12" t="s">
        <v>5</v>
      </c>
      <c r="D444" s="13" t="str">
        <f>Translations!$B$1201</f>
        <v>Dane dotyczące podinstalacji istotne dla rozdziału uprawnień i aktualizacji wskaźników</v>
      </c>
      <c r="E444" s="13"/>
      <c r="F444" s="13"/>
      <c r="G444" s="13"/>
      <c r="H444" s="13"/>
      <c r="I444" s="13"/>
      <c r="J444" s="13"/>
      <c r="K444" s="13"/>
      <c r="L444" s="13"/>
      <c r="M444" s="13"/>
      <c r="N444" s="13"/>
      <c r="O444" s="20"/>
      <c r="P444" s="8"/>
      <c r="Q444" s="8"/>
      <c r="R444" s="8"/>
      <c r="S444" s="8"/>
      <c r="T444" s="8"/>
    </row>
    <row r="445" spans="1:20" s="701" customFormat="1" ht="5.0999999999999996" customHeight="1" x14ac:dyDescent="0.2">
      <c r="A445" s="422"/>
      <c r="B445" s="398"/>
      <c r="C445" s="281"/>
      <c r="D445" s="281"/>
      <c r="E445" s="281"/>
      <c r="F445" s="281"/>
      <c r="G445" s="281"/>
      <c r="H445" s="281"/>
      <c r="I445" s="281"/>
      <c r="J445" s="281"/>
      <c r="K445" s="281"/>
      <c r="L445" s="281"/>
      <c r="M445" s="281"/>
      <c r="N445" s="281"/>
      <c r="O445" s="20"/>
      <c r="P445" s="422"/>
      <c r="Q445" s="422"/>
      <c r="R445" s="422"/>
      <c r="S445" s="422"/>
      <c r="T445" s="8"/>
    </row>
    <row r="446" spans="1:20" s="701" customFormat="1" ht="15" x14ac:dyDescent="0.2">
      <c r="A446" s="422"/>
      <c r="B446" s="398"/>
      <c r="C446" s="398"/>
      <c r="D446" s="1439" t="str">
        <f>Translations!$B$1202</f>
        <v>Obliczanie orientacyjnej liczby uprawnień</v>
      </c>
      <c r="E446" s="1439"/>
      <c r="F446" s="1439"/>
      <c r="G446" s="1439"/>
      <c r="H446" s="1439"/>
      <c r="I446" s="1439"/>
      <c r="J446" s="1439"/>
      <c r="K446" s="1439"/>
      <c r="L446" s="1439"/>
      <c r="M446" s="1439"/>
      <c r="N446" s="1439"/>
      <c r="O446" s="20"/>
      <c r="P446" s="422"/>
      <c r="Q446" s="422"/>
      <c r="R446" s="422"/>
      <c r="S446" s="422"/>
      <c r="T446" s="8"/>
    </row>
    <row r="447" spans="1:20" s="701" customFormat="1" ht="5.0999999999999996" customHeight="1" x14ac:dyDescent="0.2">
      <c r="A447" s="422"/>
      <c r="B447" s="398"/>
      <c r="C447" s="5"/>
      <c r="D447" s="5"/>
      <c r="E447" s="5"/>
      <c r="F447" s="5"/>
      <c r="G447" s="5"/>
      <c r="H447" s="5"/>
      <c r="I447" s="5"/>
      <c r="J447" s="5"/>
      <c r="K447" s="5"/>
      <c r="L447" s="5"/>
      <c r="M447" s="5"/>
      <c r="N447" s="5"/>
      <c r="O447" s="20"/>
      <c r="P447" s="422"/>
      <c r="Q447" s="422"/>
      <c r="R447" s="422"/>
      <c r="S447" s="422"/>
      <c r="T447" s="8"/>
    </row>
    <row r="448" spans="1:20" s="701" customFormat="1" ht="12.75" customHeight="1" x14ac:dyDescent="0.2">
      <c r="A448" s="422"/>
      <c r="B448" s="3"/>
      <c r="C448" s="3"/>
      <c r="D448" s="2023" t="str">
        <f>Translations!$B$1203</f>
        <v>W tabelach poniżej stosuje się następujące skróty:</v>
      </c>
      <c r="E448" s="2023"/>
      <c r="F448" s="2023"/>
      <c r="G448" s="2023"/>
      <c r="H448" s="2023"/>
      <c r="I448" s="2023"/>
      <c r="J448" s="2023"/>
      <c r="K448" s="2023"/>
      <c r="L448" s="2023"/>
      <c r="M448" s="2023"/>
      <c r="N448" s="2023"/>
      <c r="O448" s="20"/>
      <c r="P448" s="8"/>
      <c r="Q448" s="422"/>
      <c r="R448" s="422"/>
      <c r="S448" s="422"/>
      <c r="T448" s="422"/>
    </row>
    <row r="449" spans="1:20" s="701" customFormat="1" ht="25.5" customHeight="1" x14ac:dyDescent="0.2">
      <c r="A449" s="422"/>
      <c r="B449" s="3"/>
      <c r="C449" s="3"/>
      <c r="D449" s="1985" t="str">
        <f>Translations!$B$1204</f>
        <v>narażenie na ryzyko ucieczki emisji</v>
      </c>
      <c r="E449" s="1985"/>
      <c r="F449" s="1985" t="str">
        <f>Translations!$B$1205</f>
        <v>Narażenie na ryzyko ucieczki emisji. „Prawda”, jeśli podinstalacja działa w sektorze uważanym za narażony na znaczące ryzyko ucieczki emisji.</v>
      </c>
      <c r="G449" s="1985"/>
      <c r="H449" s="1985"/>
      <c r="I449" s="1985"/>
      <c r="J449" s="1985"/>
      <c r="K449" s="1985"/>
      <c r="L449" s="1985"/>
      <c r="M449" s="1985"/>
      <c r="N449" s="1985"/>
      <c r="O449" s="20"/>
      <c r="P449" s="8"/>
      <c r="Q449" s="422"/>
      <c r="R449" s="422"/>
      <c r="S449" s="422"/>
      <c r="T449" s="422"/>
    </row>
    <row r="450" spans="1:20" s="701" customFormat="1" ht="12.75" customHeight="1" x14ac:dyDescent="0.2">
      <c r="A450" s="422"/>
      <c r="B450" s="3"/>
      <c r="C450" s="3"/>
      <c r="D450" s="1986" t="str">
        <f>Translations!$B$1206</f>
        <v>Nr wskaźnika</v>
      </c>
      <c r="E450" s="1986"/>
      <c r="F450" s="1985" t="str">
        <f>Translations!$B$1207</f>
        <v>Numer wskaźnika</v>
      </c>
      <c r="G450" s="1985"/>
      <c r="H450" s="1985"/>
      <c r="I450" s="1985"/>
      <c r="J450" s="1985"/>
      <c r="K450" s="1985"/>
      <c r="L450" s="1985"/>
      <c r="M450" s="1985"/>
      <c r="N450" s="1985"/>
      <c r="O450" s="20"/>
      <c r="P450" s="8"/>
      <c r="Q450" s="422"/>
      <c r="R450" s="422"/>
      <c r="S450" s="422"/>
      <c r="T450" s="422"/>
    </row>
    <row r="451" spans="1:20" s="701" customFormat="1" ht="12.75" customHeight="1" x14ac:dyDescent="0.2">
      <c r="A451" s="422"/>
      <c r="B451" s="3"/>
      <c r="C451" s="3"/>
      <c r="D451" s="1986" t="str">
        <f>Translations!$B$1208</f>
        <v>Rozpoczęcie</v>
      </c>
      <c r="E451" s="1986"/>
      <c r="F451" s="1985" t="str">
        <f>Translations!$B$1209</f>
        <v>Rozpoczęcie działania podinstalacji</v>
      </c>
      <c r="G451" s="1985"/>
      <c r="H451" s="1985"/>
      <c r="I451" s="1985"/>
      <c r="J451" s="1985"/>
      <c r="K451" s="1985"/>
      <c r="L451" s="1985"/>
      <c r="M451" s="1985"/>
      <c r="N451" s="1985"/>
      <c r="O451" s="20"/>
      <c r="P451" s="8"/>
      <c r="Q451" s="422"/>
      <c r="R451" s="422"/>
      <c r="S451" s="422"/>
      <c r="T451" s="422"/>
    </row>
    <row r="452" spans="1:20" s="701" customFormat="1" ht="25.5" customHeight="1" x14ac:dyDescent="0.2">
      <c r="A452" s="422"/>
      <c r="B452" s="3"/>
      <c r="C452" s="3"/>
      <c r="D452" s="1986" t="str">
        <f>Translations!$B$1210</f>
        <v>Wart. wskaźnika</v>
      </c>
      <c r="E452" s="1988"/>
      <c r="F452" s="1985" t="str">
        <f>Translations!$B$1211</f>
        <v>Wartość wskaźnika zgodnie z załącznikiem I do FAR. Do celów projektu wstępnego przydziału wykorzystuje się wartości albo orientacyjnego minimum, albo orientacyjnego maksimum, zgodnie z danymi dotyczącymi poszczególnych podinstalacji przedstawionymi w przeglądowej tabeli poniżej.</v>
      </c>
      <c r="G452" s="1985"/>
      <c r="H452" s="1985"/>
      <c r="I452" s="1985"/>
      <c r="J452" s="1985"/>
      <c r="K452" s="1985"/>
      <c r="L452" s="1985"/>
      <c r="M452" s="1985"/>
      <c r="N452" s="1985"/>
      <c r="O452" s="20"/>
      <c r="P452" s="8"/>
      <c r="Q452" s="422"/>
      <c r="R452" s="422"/>
      <c r="S452" s="422"/>
      <c r="T452" s="422"/>
    </row>
    <row r="453" spans="1:20" s="701" customFormat="1" ht="25.5" customHeight="1" x14ac:dyDescent="0.2">
      <c r="A453" s="422"/>
      <c r="B453" s="3"/>
      <c r="C453" s="3"/>
      <c r="D453" s="1985" t="str">
        <f>Translations!$B$1212</f>
        <v>Art. 15 ust. 7 akapit trzeci?</v>
      </c>
      <c r="E453" s="1985"/>
      <c r="F453" s="1985" t="str">
        <f>Translations!$B$1213</f>
        <v>Czy ma zastosowanie art. 15 ust. 7 akapit trzeci FAR (tj. czy podinstalacja działała krócej niż jeden rok w okresie odniesienia)?</v>
      </c>
      <c r="G453" s="1985"/>
      <c r="H453" s="1985"/>
      <c r="I453" s="1985"/>
      <c r="J453" s="1985"/>
      <c r="K453" s="1985"/>
      <c r="L453" s="1985"/>
      <c r="M453" s="1985"/>
      <c r="N453" s="1985"/>
      <c r="O453" s="20"/>
      <c r="P453" s="8"/>
      <c r="Q453" s="422"/>
      <c r="R453" s="422"/>
      <c r="S453" s="422"/>
      <c r="T453" s="422"/>
    </row>
    <row r="454" spans="1:20" s="701" customFormat="1" ht="25.5" customHeight="1" x14ac:dyDescent="0.2">
      <c r="A454" s="422"/>
      <c r="B454" s="3"/>
      <c r="C454" s="3"/>
      <c r="D454" s="1985" t="str">
        <f>Translations!$B$1214</f>
        <v>Art. 15 ust. 7 akapit trzeci – HPD</v>
      </c>
      <c r="E454" s="1985"/>
      <c r="F454" s="1985" t="str">
        <f>Translations!$B$1215</f>
        <v>Historyczny poziom działalności, jeżeli art. 15 ust. 7 akapit trzeci ma zastosowanie. Należy zauważyć, że wartość ta będzie znana dopiero po złożeniu pierwszego sprawozdania dotyczącego poziomu działalności.</v>
      </c>
      <c r="G454" s="1985"/>
      <c r="H454" s="1985"/>
      <c r="I454" s="1985"/>
      <c r="J454" s="1985"/>
      <c r="K454" s="1985"/>
      <c r="L454" s="1985"/>
      <c r="M454" s="1985"/>
      <c r="N454" s="1985"/>
      <c r="O454" s="20"/>
      <c r="P454" s="8"/>
      <c r="Q454" s="422"/>
      <c r="R454" s="422"/>
      <c r="S454" s="422"/>
      <c r="T454" s="422"/>
    </row>
    <row r="455" spans="1:20" s="701" customFormat="1" ht="12.75" customHeight="1" x14ac:dyDescent="0.2">
      <c r="A455" s="422"/>
      <c r="B455" s="3"/>
      <c r="C455" s="3"/>
      <c r="D455" s="1986" t="s">
        <v>516</v>
      </c>
      <c r="E455" s="1986"/>
      <c r="F455" s="1985" t="str">
        <f>Translations!$B$1216</f>
        <v>Czy zamienność energii elektrycznej i paliwa dotyczy tej podinstalacji?</v>
      </c>
      <c r="G455" s="1985"/>
      <c r="H455" s="1985"/>
      <c r="I455" s="1985"/>
      <c r="J455" s="1985"/>
      <c r="K455" s="1985"/>
      <c r="L455" s="1985"/>
      <c r="M455" s="1985"/>
      <c r="N455" s="1985"/>
      <c r="O455" s="20"/>
      <c r="P455" s="8"/>
      <c r="Q455" s="422"/>
      <c r="R455" s="422"/>
      <c r="S455" s="422"/>
      <c r="T455" s="422"/>
    </row>
    <row r="456" spans="1:20" s="701" customFormat="1" ht="12.75" customHeight="1" x14ac:dyDescent="0.2">
      <c r="A456" s="422"/>
      <c r="B456" s="3"/>
      <c r="C456" s="3"/>
      <c r="D456" s="1986" t="s">
        <v>572</v>
      </c>
      <c r="E456" s="1986"/>
      <c r="F456" s="1985" t="str">
        <f>Translations!$B$1217</f>
        <v>Współczynnik obliczeń pozwalający uwzględnić zamienność energii elektrycznej i paliwa zgodnie z art. 22 FAR</v>
      </c>
      <c r="G456" s="1985"/>
      <c r="H456" s="1985"/>
      <c r="I456" s="1985"/>
      <c r="J456" s="1985"/>
      <c r="K456" s="1985"/>
      <c r="L456" s="1985"/>
      <c r="M456" s="1985"/>
      <c r="N456" s="1985"/>
      <c r="O456" s="20"/>
      <c r="P456" s="8"/>
      <c r="Q456" s="422"/>
      <c r="R456" s="422"/>
      <c r="S456" s="422"/>
      <c r="T456" s="422"/>
    </row>
    <row r="457" spans="1:20" s="701" customFormat="1" ht="25.5" customHeight="1" x14ac:dyDescent="0.2">
      <c r="A457" s="422"/>
      <c r="B457" s="3"/>
      <c r="C457" s="3"/>
      <c r="D457" s="1985" t="str">
        <f>Translations!$B$1218</f>
        <v>ciepło nieobjęte systemem EU ETS</v>
      </c>
      <c r="E457" s="1985"/>
      <c r="F457" s="1985" t="str">
        <f>Translations!$B$1219</f>
        <v>Liczba, którą należy odjąć od wstępnej rocznej liczby uprawnień zgodnie z art. 21 FAR</v>
      </c>
      <c r="G457" s="1985"/>
      <c r="H457" s="1985"/>
      <c r="I457" s="1985"/>
      <c r="J457" s="1985"/>
      <c r="K457" s="1985"/>
      <c r="L457" s="1985"/>
      <c r="M457" s="1985"/>
      <c r="N457" s="1985"/>
      <c r="O457" s="20"/>
      <c r="P457" s="8"/>
      <c r="Q457" s="422"/>
      <c r="R457" s="422"/>
      <c r="S457" s="422"/>
      <c r="T457" s="422"/>
    </row>
    <row r="458" spans="1:20" s="701" customFormat="1" ht="25.5" customHeight="1" x14ac:dyDescent="0.2">
      <c r="A458" s="422"/>
      <c r="B458" s="3"/>
      <c r="C458" s="3"/>
      <c r="D458" s="1986" t="str">
        <f>Translations!$B$1220</f>
        <v>WGflare</v>
      </c>
      <c r="E458" s="1986"/>
      <c r="F458" s="1985" t="str">
        <f>Translations!$B$1221</f>
        <v>Liczba, którą należy odjąć od wstępnej rocznej liczby uprawnień w przypadku gazów odlotowych spalanych na pochodniach od 2026 r. zgodnie z art. 16 ust. 5 akapit drugi FAR</v>
      </c>
      <c r="G458" s="1985"/>
      <c r="H458" s="1985"/>
      <c r="I458" s="1985"/>
      <c r="J458" s="1985"/>
      <c r="K458" s="1985"/>
      <c r="L458" s="1985"/>
      <c r="M458" s="1985"/>
      <c r="N458" s="1985"/>
      <c r="O458" s="20"/>
      <c r="P458" s="8"/>
      <c r="Q458" s="422"/>
      <c r="R458" s="422"/>
      <c r="S458" s="422"/>
      <c r="T458" s="422"/>
    </row>
    <row r="459" spans="1:20" s="701" customFormat="1" ht="12.75" customHeight="1" x14ac:dyDescent="0.2">
      <c r="A459" s="422"/>
      <c r="B459" s="3"/>
      <c r="C459" s="3"/>
      <c r="D459" s="1986" t="s">
        <v>573</v>
      </c>
      <c r="E459" s="1986"/>
      <c r="F459" s="1985" t="str">
        <f>Translations!$B$1222</f>
        <v>Liczba, którą należy dodać do wstępnej rocznej liczby uprawnień przyznawanych podinstalacjom krakingu parowego zgodnie z art. 19 FAR</v>
      </c>
      <c r="G459" s="1985"/>
      <c r="H459" s="1985"/>
      <c r="I459" s="1985"/>
      <c r="J459" s="1985"/>
      <c r="K459" s="1985"/>
      <c r="L459" s="1985"/>
      <c r="M459" s="1985"/>
      <c r="N459" s="1985"/>
      <c r="O459" s="20"/>
      <c r="P459" s="8"/>
      <c r="Q459" s="8"/>
      <c r="R459" s="8"/>
      <c r="S459" s="8"/>
      <c r="T459" s="8"/>
    </row>
    <row r="460" spans="1:20" s="701" customFormat="1" ht="12.75" customHeight="1" x14ac:dyDescent="0.2">
      <c r="A460" s="422"/>
      <c r="B460" s="3"/>
      <c r="C460" s="3"/>
      <c r="D460" s="1986" t="s">
        <v>574</v>
      </c>
      <c r="E460" s="1986"/>
      <c r="F460" s="1985" t="str">
        <f>Translations!$B$1223</f>
        <v>Współczynnik obliczeń pozwalający uwzględnić emisje związane z produkcją wodoru w podinstalacjach monomeru chlorku winylu zgodnie z art. 20 FAR</v>
      </c>
      <c r="G460" s="1985"/>
      <c r="H460" s="1985"/>
      <c r="I460" s="1985"/>
      <c r="J460" s="1985"/>
      <c r="K460" s="1985"/>
      <c r="L460" s="1985"/>
      <c r="M460" s="1985"/>
      <c r="N460" s="1985"/>
      <c r="O460" s="20"/>
      <c r="P460" s="8"/>
      <c r="Q460" s="8"/>
      <c r="R460" s="8"/>
      <c r="S460" s="8"/>
      <c r="T460" s="8"/>
    </row>
    <row r="461" spans="1:20" s="701" customFormat="1" ht="12.75" customHeight="1" x14ac:dyDescent="0.2">
      <c r="A461" s="422"/>
      <c r="B461" s="3"/>
      <c r="C461" s="3"/>
      <c r="D461" s="1986" t="str">
        <f>Translations!$B$1224</f>
        <v>Średnia</v>
      </c>
      <c r="E461" s="1986"/>
      <c r="F461" s="1985" t="str">
        <f>Translations!$B$1225</f>
        <v>Średnia historycznych poziomów działalności w okresie odniesienia</v>
      </c>
      <c r="G461" s="1985"/>
      <c r="H461" s="1985"/>
      <c r="I461" s="1985"/>
      <c r="J461" s="1985"/>
      <c r="K461" s="1985"/>
      <c r="L461" s="1985"/>
      <c r="M461" s="1985"/>
      <c r="N461" s="1985"/>
      <c r="O461" s="20"/>
      <c r="P461" s="8"/>
      <c r="Q461" s="422"/>
      <c r="R461" s="422"/>
      <c r="S461" s="422"/>
      <c r="T461" s="422"/>
    </row>
    <row r="462" spans="1:20" s="701" customFormat="1" ht="25.5" customHeight="1" x14ac:dyDescent="0.2">
      <c r="A462" s="422"/>
      <c r="B462" s="3"/>
      <c r="C462" s="3"/>
      <c r="D462" s="1945" t="str">
        <f>Translations!$B$1226</f>
        <v>Wst. przydział rok 1 (min.)</v>
      </c>
      <c r="E462" s="1945"/>
      <c r="F462" s="1945" t="str">
        <f>Translations!$B$1227</f>
        <v>Wstępna roczna liczba uprawnień do emisji przydzielonych bezpłatnie w pierwszym roku okresu (lub jej projekt) zgodnie z art. 16 ust. 6 FAR, tj. po zastosowaniu współczynnika narażenia na ryzyko ucieczki emisji, ale przed zastosowaniem współczynnika liniowego lub międzysektorowego współczynnika korygującego.</v>
      </c>
      <c r="G462" s="1945"/>
      <c r="H462" s="1945"/>
      <c r="I462" s="1945"/>
      <c r="J462" s="1945"/>
      <c r="K462" s="1945"/>
      <c r="L462" s="1945"/>
      <c r="M462" s="1945"/>
      <c r="N462" s="1945"/>
      <c r="O462" s="20"/>
      <c r="P462" s="8"/>
      <c r="Q462" s="8"/>
      <c r="R462" s="8"/>
      <c r="S462" s="8"/>
      <c r="T462" s="8"/>
    </row>
    <row r="463" spans="1:20" s="701" customFormat="1" ht="38.25" customHeight="1" x14ac:dyDescent="0.2">
      <c r="A463" s="422"/>
      <c r="B463" s="3"/>
      <c r="C463" s="3"/>
      <c r="D463" s="872"/>
      <c r="F463" s="2023" t="str">
        <f>Translations!$B$1228</f>
        <v>Wartość ta stanowi jedynie orientacyjne oszacowanie „minimalnego” wstępnego przydziału, uwzględniając najniższą wartość wskaźnika dla tej podinstalacji. Wartość ta jest zatem tylko orientacyjna i NIE NALEŻY jej rozumieć jako wstępnego ustalenia faktycznej liczby przydziałów bezpłatnych uprawnień, którą określi właściwy organ po uzyskaniu aktualnych wskaźników.</v>
      </c>
      <c r="G463" s="2023"/>
      <c r="H463" s="2023"/>
      <c r="I463" s="2023"/>
      <c r="J463" s="2023"/>
      <c r="K463" s="2023"/>
      <c r="L463" s="2023"/>
      <c r="M463" s="2023"/>
      <c r="N463" s="2023"/>
      <c r="O463" s="20"/>
      <c r="P463" s="8"/>
      <c r="Q463" s="8"/>
      <c r="R463" s="8"/>
      <c r="S463" s="8"/>
      <c r="T463" s="8"/>
    </row>
    <row r="464" spans="1:20" s="1266" customFormat="1" ht="38.25" customHeight="1" x14ac:dyDescent="0.2">
      <c r="A464" s="422"/>
      <c r="B464" s="971"/>
      <c r="C464" s="971"/>
      <c r="D464" s="1985" t="str">
        <f>Translations!$B$1229</f>
        <v>Wst. przydział rok 1 (maks.)</v>
      </c>
      <c r="E464" s="1985"/>
      <c r="F464" s="1985" t="str">
        <f>Translations!$B$1230</f>
        <v>Wstępna roczna liczba uprawnień do emisji (lub jej projekt) przy uwzględnieniu najwyższej możliwej wartości wskaźnika dla tej podinstalacji. Zastosowanie ma takie samo zastrzeżenie, jak w przypadku wartości (min).</v>
      </c>
      <c r="G464" s="1985"/>
      <c r="H464" s="1985"/>
      <c r="I464" s="1985"/>
      <c r="J464" s="1985"/>
      <c r="K464" s="1985"/>
      <c r="L464" s="1985"/>
      <c r="M464" s="1985"/>
      <c r="N464" s="1985"/>
      <c r="O464" s="20"/>
      <c r="P464" s="972"/>
      <c r="Q464" s="970"/>
      <c r="R464" s="970"/>
      <c r="S464" s="970"/>
      <c r="T464" s="970"/>
    </row>
    <row r="465" spans="1:20" s="701" customFormat="1" ht="38.25" customHeight="1" x14ac:dyDescent="0.2">
      <c r="A465" s="422"/>
      <c r="B465" s="3"/>
      <c r="C465" s="3"/>
      <c r="D465" s="2027" t="str">
        <f>Translations!$B$1231</f>
        <v>Wst. przydział rok 1 (faktyczny)</v>
      </c>
      <c r="E465" s="2027"/>
      <c r="F465" s="2027" t="str">
        <f>Translations!$B$1232</f>
        <v>Faktyczna wstępna roczna liczba uprawnień do emisji przy uwzględnieniu faktycznej wartości wskaźnika dla tej podinstalacji. W przypadku początkowych KŚW wartość tę można określić dopiero na późniejszym etapie, po opublikowaniu wartości wskaźników dotyczących poszczególnych okresów, na które przydzielane są uprawnienia.</v>
      </c>
      <c r="G465" s="2027"/>
      <c r="H465" s="2027"/>
      <c r="I465" s="2027"/>
      <c r="J465" s="2027"/>
      <c r="K465" s="2027"/>
      <c r="L465" s="2027"/>
      <c r="M465" s="2027"/>
      <c r="N465" s="2027"/>
      <c r="O465" s="20"/>
      <c r="P465" s="8"/>
      <c r="Q465" s="422"/>
      <c r="R465" s="422"/>
      <c r="S465" s="422"/>
      <c r="T465" s="422"/>
    </row>
    <row r="466" spans="1:20" s="701" customFormat="1" ht="12.75" customHeight="1" thickBot="1" x14ac:dyDescent="0.25">
      <c r="A466" s="422"/>
      <c r="B466" s="3"/>
      <c r="C466" s="3"/>
      <c r="D466" s="398"/>
      <c r="E466" s="398"/>
      <c r="F466" s="398"/>
      <c r="G466" s="398"/>
      <c r="H466" s="398"/>
      <c r="I466" s="398"/>
      <c r="J466" s="398"/>
      <c r="K466" s="398"/>
      <c r="L466" s="398"/>
      <c r="M466" s="398"/>
      <c r="N466" s="398"/>
      <c r="O466" s="20"/>
      <c r="P466" s="8"/>
      <c r="Q466" s="8"/>
      <c r="R466" s="8"/>
      <c r="S466" s="8"/>
      <c r="T466" s="8"/>
    </row>
    <row r="467" spans="1:20" s="701" customFormat="1" ht="75" customHeight="1" thickBot="1" x14ac:dyDescent="0.25">
      <c r="A467" s="422"/>
      <c r="B467" s="3"/>
      <c r="C467" s="3"/>
      <c r="D467" s="1966" t="str">
        <f>Translations!$B$1233</f>
        <v>Zastrzeżenie: Należy zauważyć, że wartości wstępnego przydziału są jedynie orientacyjne i uwzględniają minimalne i maksymalne wartości wskaźników, jak wyjaśniono powyżej. Jeżeli jednak wstępny przydział zależy również od wartości wskaźnika emisyjności opartego na cieple lub paliwie (np. ElExch-F lub ciepło nieobjęte systemem EU ETS), które podlegają zmianom w wyniku tego gromadzenia danych, wartość orientacyjna może nie odzwierciedlać nawet minimalnej ani maksymalnej wstępnej liczby uprawnień, lecz podlegać dalszej korekcie.</v>
      </c>
      <c r="E467" s="1967"/>
      <c r="F467" s="1967"/>
      <c r="G467" s="1967"/>
      <c r="H467" s="1967"/>
      <c r="I467" s="1967"/>
      <c r="J467" s="1967"/>
      <c r="K467" s="1967"/>
      <c r="L467" s="1967"/>
      <c r="M467" s="1967"/>
      <c r="N467" s="1968"/>
      <c r="O467" s="20"/>
      <c r="P467" s="8"/>
      <c r="Q467" s="8"/>
      <c r="R467" s="8"/>
      <c r="S467" s="8"/>
      <c r="T467" s="8"/>
    </row>
    <row r="468" spans="1:20" s="701" customFormat="1" ht="13.5" thickBot="1" x14ac:dyDescent="0.25">
      <c r="A468" s="422"/>
      <c r="B468" s="398"/>
      <c r="C468" s="398"/>
      <c r="D468" s="398"/>
      <c r="E468" s="398"/>
      <c r="F468" s="398"/>
      <c r="G468" s="398"/>
      <c r="H468" s="398"/>
      <c r="I468" s="398"/>
      <c r="J468" s="398"/>
      <c r="K468" s="398"/>
      <c r="L468" s="398"/>
      <c r="M468" s="398"/>
      <c r="N468" s="398"/>
      <c r="O468" s="20"/>
      <c r="P468" s="422" t="s">
        <v>517</v>
      </c>
      <c r="Q468" s="422" t="s">
        <v>518</v>
      </c>
      <c r="R468" s="422" t="s">
        <v>344</v>
      </c>
      <c r="S468" s="649" t="s">
        <v>519</v>
      </c>
      <c r="T468" s="8" t="s">
        <v>620</v>
      </c>
    </row>
    <row r="469" spans="1:20" s="701" customFormat="1" ht="15.75" thickBot="1" x14ac:dyDescent="0.3">
      <c r="A469" s="422"/>
      <c r="B469" s="398"/>
      <c r="C469" s="18">
        <v>1</v>
      </c>
      <c r="D469" s="1439" t="str">
        <f>CONCATENATE(EUconst_BMSubinst," ",C469, ":")</f>
        <v>Podinstalacja i wskaźnik emisyjności dla produktów 1:</v>
      </c>
      <c r="E469" s="1439"/>
      <c r="F469" s="1439"/>
      <c r="G469" s="1439"/>
      <c r="H469" s="2024"/>
      <c r="I469" s="1781" t="str">
        <f>IF(INDEX(CNTR_SubInstListIsProdBM,$C469),INDEX(CNTR_SubInstListNames,$C469),"")</f>
        <v/>
      </c>
      <c r="J469" s="2025"/>
      <c r="K469" s="2025"/>
      <c r="L469" s="2025"/>
      <c r="M469" s="2025"/>
      <c r="N469" s="2026"/>
      <c r="O469" s="20"/>
      <c r="P469" s="422"/>
      <c r="Q469" s="986">
        <f>C469</f>
        <v>1</v>
      </c>
      <c r="R469" s="983" t="str">
        <f>I469</f>
        <v/>
      </c>
      <c r="S469" s="985" t="str">
        <f>H472</f>
        <v>Nie dotyczy</v>
      </c>
      <c r="T469" s="984" t="str">
        <f>IF(M481="","",IF(S472=0,0,SUM(M481)/S472))</f>
        <v/>
      </c>
    </row>
    <row r="470" spans="1:20" s="701" customFormat="1" ht="13.5" thickBot="1" x14ac:dyDescent="0.25">
      <c r="A470" s="422"/>
      <c r="B470" s="398"/>
      <c r="C470" s="398"/>
      <c r="D470" s="398"/>
      <c r="E470" s="398"/>
      <c r="F470" s="398"/>
      <c r="G470" s="398"/>
      <c r="H470" s="398"/>
      <c r="I470" s="398"/>
      <c r="J470" s="398"/>
      <c r="K470" s="398"/>
      <c r="L470" s="398"/>
      <c r="M470" s="398"/>
      <c r="N470" s="398"/>
      <c r="O470" s="20"/>
      <c r="P470" s="422"/>
      <c r="Q470" s="422"/>
      <c r="R470" s="422"/>
      <c r="S470" s="422"/>
      <c r="T470" s="8"/>
    </row>
    <row r="471" spans="1:20" s="1299" customFormat="1" ht="51" x14ac:dyDescent="0.2">
      <c r="A471" s="970"/>
      <c r="B471" s="1300"/>
      <c r="C471" s="1300"/>
      <c r="D471" s="1300"/>
      <c r="E471" s="1300"/>
      <c r="F471" s="1300"/>
      <c r="G471" s="1300"/>
      <c r="H471" s="1304" t="str">
        <f>Translations!$B$1204</f>
        <v>narażenie na ryzyko ucieczki emisji</v>
      </c>
      <c r="I471" s="1305" t="s">
        <v>516</v>
      </c>
      <c r="J471" s="1305" t="str">
        <f>Translations!$B$1208</f>
        <v>Rozpoczęcie</v>
      </c>
      <c r="K471" s="1305" t="str">
        <f>Translations!$B$1206</f>
        <v>Nr wskaźnika</v>
      </c>
      <c r="L471" s="1306" t="str">
        <f>Translations!$B$1212</f>
        <v>Art. 15 ust. 7 akapit trzeci?</v>
      </c>
      <c r="M471" s="1307" t="str">
        <f>Translations!$B$1234</f>
        <v>Wart. wskaźnika (min./maks./faktyczna)</v>
      </c>
      <c r="N471" s="1308"/>
      <c r="O471" s="121"/>
      <c r="P471" s="970"/>
      <c r="Q471" s="970"/>
      <c r="R471" s="970"/>
      <c r="S471" s="970"/>
      <c r="T471" s="972"/>
    </row>
    <row r="472" spans="1:20" s="701" customFormat="1" x14ac:dyDescent="0.2">
      <c r="A472" s="422"/>
      <c r="B472" s="398"/>
      <c r="C472" s="398"/>
      <c r="D472" s="398"/>
      <c r="E472" s="652" t="str">
        <f>I469</f>
        <v/>
      </c>
      <c r="F472" s="653"/>
      <c r="G472" s="590"/>
      <c r="H472" s="654" t="str">
        <f>IF(K472=EUconst_NA,EUconst_NA,INDEX(EUconst_BMlistCLstatus,K472))</f>
        <v>Nie dotyczy</v>
      </c>
      <c r="I472" s="655" t="str">
        <f>IF(E472="","",INDEX(EUconst_BMlistElExchangability,K472))</f>
        <v/>
      </c>
      <c r="J472" s="857" t="str">
        <f>IF($I469="",EUconst_NA,INDEX(CNTR_SubInstStartDate,MATCH(E472,CNTR_SubInstListNames,0)))</f>
        <v>Nie dotyczy</v>
      </c>
      <c r="K472" s="536" t="str">
        <f>IF($I469="",EUconst_NA,MATCH(E472,EUconst_BMlistNames,0))</f>
        <v>Nie dotyczy</v>
      </c>
      <c r="L472" s="1071" t="str">
        <f>IF(E472="","",INDEX(CNTR_SubInstLess1Year,MATCH(E472,CNTR_SubInstListNames,0)))</f>
        <v/>
      </c>
      <c r="M472" s="1073" t="str">
        <f>IF(I469="",EUconst_NA,INDEX(EUconst_BMlistBMvaluesMatrix,K472,2))</f>
        <v>Nie dotyczy</v>
      </c>
      <c r="N472" s="1074" t="str">
        <f>EUconst_EUA &amp; "/" &amp; H477</f>
        <v>Uprawnienia do emisji ogólnych/tony</v>
      </c>
      <c r="O472" s="20"/>
      <c r="P472" s="422"/>
      <c r="Q472" s="422"/>
      <c r="R472" s="736" t="s">
        <v>577</v>
      </c>
      <c r="S472" s="822" t="str">
        <f>IF(H472=EUconst_NA,"",IF(H472,1,INDEX(EUconst_CLEFYears,1)))</f>
        <v/>
      </c>
      <c r="T472" s="8"/>
    </row>
    <row r="473" spans="1:20" s="1299" customFormat="1" ht="51" x14ac:dyDescent="0.2">
      <c r="A473" s="970"/>
      <c r="B473" s="1300"/>
      <c r="C473" s="1300"/>
      <c r="D473" s="1300"/>
      <c r="G473" s="1305" t="str">
        <f>Translations!$B$1218</f>
        <v>ciepło nieobjęte systemem EU ETS</v>
      </c>
      <c r="H473" s="1306" t="str">
        <f>Translations!$B$1220</f>
        <v>WGflare</v>
      </c>
      <c r="I473" s="1305" t="s">
        <v>572</v>
      </c>
      <c r="J473" s="1305" t="s">
        <v>573</v>
      </c>
      <c r="K473" s="1305" t="s">
        <v>574</v>
      </c>
      <c r="L473" s="1306" t="str">
        <f>Translations!$B$1214</f>
        <v>Art. 15 ust. 7 akapit trzeci – HPD</v>
      </c>
      <c r="M473" s="1309" t="str">
        <f>IF(I469="",EUconst_NA,INDEX(EUconst_BMlistBMvaluesMatrix,K472,1))</f>
        <v>Nie dotyczy</v>
      </c>
      <c r="N473" s="1303" t="str">
        <f>EUconst_EUA &amp; "/" &amp; H477</f>
        <v>Uprawnienia do emisji ogólnych/tony</v>
      </c>
      <c r="O473" s="121"/>
      <c r="P473" s="970"/>
      <c r="Q473" s="970"/>
      <c r="R473" s="1310"/>
      <c r="S473" s="1311"/>
      <c r="T473" s="972"/>
    </row>
    <row r="474" spans="1:20" s="701" customFormat="1" ht="13.5" thickBot="1" x14ac:dyDescent="0.25">
      <c r="A474" s="422"/>
      <c r="B474" s="398"/>
      <c r="C474" s="398"/>
      <c r="D474" s="398"/>
      <c r="E474" s="877" t="str">
        <f>Translations!$B$1235</f>
        <v>Czynniki szczególne:</v>
      </c>
      <c r="F474" s="878"/>
      <c r="G474" s="536" t="str">
        <f>IF($I469="","",SUMIF(F_ProductBM!$P:$P,EUconst_CNTR_HEAT&amp;$I469,F_ProductBM!$Q:$Q))</f>
        <v/>
      </c>
      <c r="H474" s="855" t="str">
        <f>IF(OR($I469="",CNTR_BaselinePeriod&lt;&gt;2),"",SUMIF(F_ProductBM!$P:$P,EUconst_CNTR_WGFlaredEF &amp; I469,F_ProductBM!$R:$R))</f>
        <v/>
      </c>
      <c r="I474" s="821">
        <f>IF(AND($I469&lt;&gt;"",$I472=TRUE),IF(ISNUMBER(INDEX(F_ProductBM!$Q:$Q,MATCH(EUconst_CNTR_ELEXCH&amp;$I469,F_ProductBM!$P:$P,0))),INDEX(F_ProductBM!$Q:$Q,MATCH(EUconst_CNTR_ELEXCH&amp;$I469,F_ProductBM!$P:$P,0)),1),1)</f>
        <v>1</v>
      </c>
      <c r="J474" s="536" t="str">
        <f>IF($I469="","",IF($K472=42,SUMIF(H_SpecialBM!$P$9:$P$384,EUconst_CNTR_HVC,H_SpecialBM!$I$9:$I$384),0))</f>
        <v/>
      </c>
      <c r="K474" s="876" t="str">
        <f>IF($I469="","",IF($K472=47,IF(ISNUMBER(INDEX(H_SpecialBM!$I$9:$I$384,MATCH(EUconst_CNTR_VCM,H_SpecialBM!$P$9:$P$384,0))),INDEX(H_SpecialBM!$I$9:$I$384,MATCH(EUconst_CNTR_VCM,H_SpecialBM!$P$9:$P$384,0)),1),1))</f>
        <v/>
      </c>
      <c r="L474" s="855" t="str">
        <f>IF($L472=TRUE,SUMIF(F_ProductBM!$P$11:$P$2192,EUconst_CNTR_HAL&amp;$I469,F_ProductBM!$N$11:$N$2192),"")</f>
        <v/>
      </c>
      <c r="M474" s="1075" t="str">
        <f>IF(I469="",EUconst_NA,IF(EUconst_StatusOfDataCollection,INDEX(EUconst_BMlistBMvaluesMatrix,K472,3),""))</f>
        <v>Nie dotyczy</v>
      </c>
      <c r="N474" s="1076" t="str">
        <f>EUconst_EUA &amp; "/" &amp; H477</f>
        <v>Uprawnienia do emisji ogólnych/tony</v>
      </c>
      <c r="O474" s="20"/>
      <c r="P474" s="422"/>
      <c r="Q474" s="422"/>
      <c r="R474" s="736"/>
      <c r="S474" s="875"/>
      <c r="T474" s="8"/>
    </row>
    <row r="475" spans="1:20" s="701" customFormat="1" x14ac:dyDescent="0.2">
      <c r="A475" s="422"/>
      <c r="B475" s="398"/>
      <c r="C475" s="398"/>
      <c r="D475" s="398"/>
      <c r="E475" s="398"/>
      <c r="F475" s="398"/>
      <c r="G475" s="398"/>
      <c r="H475" s="398"/>
      <c r="I475" s="398"/>
      <c r="J475" s="398"/>
      <c r="K475" s="398"/>
      <c r="L475" s="398"/>
      <c r="M475" s="398"/>
      <c r="N475" s="398"/>
      <c r="O475" s="20"/>
      <c r="P475" s="422"/>
      <c r="Q475" s="422"/>
      <c r="R475" s="422"/>
      <c r="S475" s="422"/>
      <c r="T475" s="8"/>
    </row>
    <row r="476" spans="1:20" s="701" customFormat="1" x14ac:dyDescent="0.2">
      <c r="A476" s="422"/>
      <c r="B476" s="398"/>
      <c r="C476" s="398"/>
      <c r="D476" s="398"/>
      <c r="E476" s="656"/>
      <c r="F476" s="656"/>
      <c r="G476" s="657"/>
      <c r="H476" s="873" t="str">
        <f>EUconst_Unit</f>
        <v>Jednostka</v>
      </c>
      <c r="I476" s="432">
        <f>I$1397</f>
        <v>2014</v>
      </c>
      <c r="J476" s="432">
        <f>J$1397</f>
        <v>2015</v>
      </c>
      <c r="K476" s="432">
        <f>K$1397</f>
        <v>2016</v>
      </c>
      <c r="L476" s="432">
        <f>L$1397</f>
        <v>2017</v>
      </c>
      <c r="M476" s="432">
        <f>M$1397</f>
        <v>2018</v>
      </c>
      <c r="N476" s="398"/>
      <c r="O476" s="20"/>
      <c r="P476" s="185" t="s">
        <v>237</v>
      </c>
      <c r="Q476" s="422"/>
      <c r="R476" s="422"/>
      <c r="S476" s="422"/>
      <c r="T476" s="8"/>
    </row>
    <row r="477" spans="1:20" s="701" customFormat="1" x14ac:dyDescent="0.2">
      <c r="A477" s="422"/>
      <c r="B477" s="398"/>
      <c r="C477" s="398"/>
      <c r="D477" s="398"/>
      <c r="E477" s="658" t="str">
        <f>Translations!$B$1236</f>
        <v>Zgłoszony HPD (historyczny poziom działalności)</v>
      </c>
      <c r="F477" s="659"/>
      <c r="G477" s="660"/>
      <c r="H477" s="654" t="str">
        <f>IF(ISNUMBER(K472),INDEX(EUconst_BMlistUnits,K472),EUconst_Tons)</f>
        <v>tony</v>
      </c>
      <c r="I477" s="536" t="str">
        <f>IF($I469="","",SUMIF(F_ProductBM!$P$11:$P$1876,$P477,F_ProductBM!I$11:I$1876))</f>
        <v/>
      </c>
      <c r="J477" s="536" t="str">
        <f>IF($I469="","",SUMIF(F_ProductBM!$P$11:$P$1876,$P477,F_ProductBM!J$11:J$1876))</f>
        <v/>
      </c>
      <c r="K477" s="536" t="str">
        <f>IF($I469="","",SUMIF(F_ProductBM!$P$11:$P$1876,$P477,F_ProductBM!K$11:K$1876))</f>
        <v/>
      </c>
      <c r="L477" s="536" t="str">
        <f>IF($I469="","",SUMIF(F_ProductBM!$P$11:$P$1876,$P477,F_ProductBM!L$11:L$1876))</f>
        <v/>
      </c>
      <c r="M477" s="536" t="str">
        <f>IF($I469="","",SUMIF(F_ProductBM!$P$11:$P$1876,$P477,F_ProductBM!M$11:M$1876))</f>
        <v/>
      </c>
      <c r="N477" s="651" t="str">
        <f>Translations!$B$1224</f>
        <v>Średnia</v>
      </c>
      <c r="O477" s="20"/>
      <c r="P477" s="185" t="str">
        <f>EUconst_CNTR_HAL&amp;I469</f>
        <v>HAL_</v>
      </c>
      <c r="Q477" s="422"/>
      <c r="R477" s="422"/>
      <c r="S477" s="422"/>
      <c r="T477" s="8"/>
    </row>
    <row r="478" spans="1:20" s="701" customFormat="1" x14ac:dyDescent="0.2">
      <c r="A478" s="422"/>
      <c r="B478" s="398"/>
      <c r="C478" s="398"/>
      <c r="D478" s="398"/>
      <c r="E478" s="658" t="str">
        <f>Translations!$B$1237</f>
        <v>Wartości wykorzystywane do obliczania zgłoszonego HPD:</v>
      </c>
      <c r="F478" s="659"/>
      <c r="G478" s="660"/>
      <c r="H478" s="654" t="str">
        <f>H477</f>
        <v>tony</v>
      </c>
      <c r="I478" s="536" t="str">
        <f>IF($I469="","",INDEX(F_ProductBM!S$11:S$1876,MATCH($P478,F_ProductBM!$P$11:$P$1876,0)))</f>
        <v/>
      </c>
      <c r="J478" s="536" t="str">
        <f>IF($I469="","",INDEX(F_ProductBM!T$11:T$1876,MATCH($P478,F_ProductBM!$P$11:$P$1876,0)))</f>
        <v/>
      </c>
      <c r="K478" s="536" t="str">
        <f>IF($I469="","",INDEX(F_ProductBM!U$11:U$1876,MATCH($P478,F_ProductBM!$P$11:$P$1876,0)))</f>
        <v/>
      </c>
      <c r="L478" s="536" t="str">
        <f>IF($I469="","",INDEX(F_ProductBM!V$11:V$1876,MATCH($P478,F_ProductBM!$P$11:$P$1876,0)))</f>
        <v/>
      </c>
      <c r="M478" s="536" t="str">
        <f>IF($I469="","",INDEX(F_ProductBM!W$11:W$1876,MATCH($P478,F_ProductBM!$P$11:$P$1876,0)))</f>
        <v/>
      </c>
      <c r="N478" s="536" t="str">
        <f>IF(OR($I469="",$L472=TRUE),"",IF(COUNT($I478:$M478)&gt;0,AVERAGE($I478:$M478),""))</f>
        <v/>
      </c>
      <c r="O478" s="20"/>
      <c r="P478" s="185" t="str">
        <f>EUconst_CNTR_HAL&amp;I469</f>
        <v>HAL_</v>
      </c>
      <c r="Q478" s="422"/>
      <c r="R478" s="1013" t="s">
        <v>630</v>
      </c>
      <c r="S478" s="1013" t="s">
        <v>631</v>
      </c>
      <c r="T478" s="1013" t="s">
        <v>632</v>
      </c>
    </row>
    <row r="479" spans="1:20" s="701" customFormat="1" ht="13.5" thickBot="1" x14ac:dyDescent="0.25">
      <c r="A479" s="422"/>
      <c r="B479" s="398"/>
      <c r="C479" s="398"/>
      <c r="D479" s="398"/>
      <c r="E479" s="874"/>
      <c r="F479" s="874"/>
      <c r="G479" s="874"/>
      <c r="H479" s="874"/>
      <c r="I479" s="874"/>
      <c r="J479" s="874"/>
      <c r="K479" s="874"/>
      <c r="L479" s="874"/>
      <c r="O479" s="20"/>
      <c r="P479" s="422"/>
      <c r="Q479" s="422"/>
      <c r="R479" s="422"/>
      <c r="S479" s="422"/>
      <c r="T479" s="8"/>
    </row>
    <row r="480" spans="1:20" s="701" customFormat="1" ht="13.5" thickBot="1" x14ac:dyDescent="0.25">
      <c r="A480" s="422"/>
      <c r="B480" s="398"/>
      <c r="D480" s="398"/>
      <c r="E480" s="874"/>
      <c r="F480" s="823" t="s">
        <v>520</v>
      </c>
      <c r="G480" s="824"/>
      <c r="I480" s="823" t="str">
        <f>Translations!$B$1226</f>
        <v>Wst. przydział rok 1 (min.)</v>
      </c>
      <c r="J480" s="824"/>
      <c r="K480" s="823" t="str">
        <f>Translations!$B$1229</f>
        <v>Wst. przydział rok 1 (maks.)</v>
      </c>
      <c r="L480" s="824"/>
      <c r="M480" s="823" t="str">
        <f>Translations!$B$1231</f>
        <v>Wst. przydział rok 1 (faktyczny)</v>
      </c>
      <c r="N480" s="824"/>
      <c r="O480" s="20"/>
      <c r="P480" s="185" t="str">
        <f>EUconst_AllocPrelim&amp;I469</f>
        <v>AllocPrelim_</v>
      </c>
      <c r="Q480" s="422"/>
      <c r="R480" s="982" t="str">
        <f>IF(I481="","",IF(S472=0,0,SUM(I481)/S472))</f>
        <v/>
      </c>
      <c r="S480" s="982" t="str">
        <f>IF(K481="","",IF(S472=0,0,SUM(K481)/S472))</f>
        <v/>
      </c>
      <c r="T480" s="982" t="str">
        <f>T469</f>
        <v/>
      </c>
    </row>
    <row r="481" spans="1:20" s="701" customFormat="1" ht="13.5" thickBot="1" x14ac:dyDescent="0.25">
      <c r="A481" s="422"/>
      <c r="B481" s="398"/>
      <c r="E481" s="874"/>
      <c r="F481" s="662" t="str">
        <f>IF(I469="","",MAX(0, IF(L472=TRUE, SUM(L474), SUM(N478))))</f>
        <v/>
      </c>
      <c r="G481" s="663" t="str">
        <f>H477&amp;" / "&amp;EUconst_Year</f>
        <v>tony / rok</v>
      </c>
      <c r="I481" s="820" t="str">
        <f>IF(I469="","",ROUND((SUM(M472)*SUM(F481)*SUM(I474)*SUM(K474)-SUM(G474)-SUM(H474)+SUM(J474))*SUM(S472),0))</f>
        <v/>
      </c>
      <c r="J481" s="966" t="str">
        <f>EUconst_EUApa</f>
        <v>Uprawnienia do emisji ogólnych / rok</v>
      </c>
      <c r="K481" s="820" t="str">
        <f>IF(I469="","",ROUND((SUM(M473)*SUM(F481)*SUM(I474)*SUM(K474)-SUM(G474)-SUM(H474)+SUM(J474))*SUM(S472),0))</f>
        <v/>
      </c>
      <c r="L481" s="966" t="str">
        <f>EUconst_EUApa</f>
        <v>Uprawnienia do emisji ogólnych / rok</v>
      </c>
      <c r="M481" s="820" t="str">
        <f>IF(OR(I469="",M474=""),"",ROUND((SUM(M474)*SUM(F481)*SUM(I474)*SUM(K474)-SUM(G474)-SUM(H474)+SUM(J474))*SUM(S472),0))</f>
        <v/>
      </c>
      <c r="N481" s="966" t="str">
        <f>EUconst_EUApa</f>
        <v>Uprawnienia do emisji ogólnych / rok</v>
      </c>
      <c r="O481" s="20"/>
      <c r="P481" s="185" t="str">
        <f>EUconst_HALsum &amp; I469</f>
        <v>HALsum_</v>
      </c>
      <c r="Q481" s="422"/>
      <c r="R481" s="422"/>
      <c r="S481" s="422"/>
      <c r="T481" s="8"/>
    </row>
    <row r="482" spans="1:20" s="701" customFormat="1" x14ac:dyDescent="0.2">
      <c r="A482" s="422"/>
      <c r="B482" s="398"/>
      <c r="C482" s="398"/>
      <c r="E482" s="425"/>
      <c r="F482" s="398"/>
      <c r="G482" s="398"/>
      <c r="H482" s="398"/>
      <c r="I482" s="398"/>
      <c r="J482" s="398"/>
      <c r="K482" s="398"/>
      <c r="L482" s="398"/>
      <c r="M482" s="398"/>
      <c r="N482" s="398"/>
      <c r="O482" s="20"/>
      <c r="P482" s="422"/>
      <c r="Q482" s="422"/>
      <c r="R482" s="422"/>
      <c r="S482" s="422"/>
      <c r="T482" s="8"/>
    </row>
    <row r="483" spans="1:20" s="701" customFormat="1" x14ac:dyDescent="0.2">
      <c r="A483" s="422"/>
      <c r="B483" s="398"/>
      <c r="C483" s="398"/>
      <c r="D483" s="398"/>
      <c r="E483" s="516"/>
      <c r="F483" s="831"/>
      <c r="G483" s="831"/>
      <c r="H483" s="831"/>
      <c r="I483" s="831"/>
      <c r="J483" s="831"/>
      <c r="K483" s="831"/>
      <c r="L483" s="831"/>
      <c r="M483" s="831"/>
      <c r="N483" s="831"/>
      <c r="O483" s="20"/>
      <c r="P483" s="422"/>
      <c r="Q483" s="422"/>
      <c r="R483" s="422"/>
      <c r="S483" s="422"/>
      <c r="T483" s="8"/>
    </row>
    <row r="484" spans="1:20" s="701" customFormat="1" ht="13.5" thickBot="1" x14ac:dyDescent="0.25">
      <c r="A484" s="422"/>
      <c r="B484" s="398"/>
      <c r="C484" s="398"/>
      <c r="D484" s="398"/>
      <c r="E484" s="516"/>
      <c r="F484" s="831"/>
      <c r="G484" s="831"/>
      <c r="H484" s="515" t="str">
        <f>EUconst_Unit</f>
        <v>Jednostka</v>
      </c>
      <c r="I484" s="1011">
        <f>I$1397</f>
        <v>2014</v>
      </c>
      <c r="J484" s="451">
        <f>J$1397</f>
        <v>2015</v>
      </c>
      <c r="K484" s="451">
        <f>K$1397</f>
        <v>2016</v>
      </c>
      <c r="L484" s="451">
        <f>L$1397</f>
        <v>2017</v>
      </c>
      <c r="M484" s="451">
        <f>M$1397</f>
        <v>2018</v>
      </c>
      <c r="N484" s="831"/>
      <c r="O484" s="20"/>
      <c r="P484" s="422"/>
      <c r="Q484" s="422"/>
      <c r="R484" s="422"/>
      <c r="S484" s="422"/>
      <c r="T484" s="8"/>
    </row>
    <row r="485" spans="1:20" s="701" customFormat="1" ht="13.5" thickBot="1" x14ac:dyDescent="0.25">
      <c r="A485" s="422"/>
      <c r="B485" s="398"/>
      <c r="C485" s="398"/>
      <c r="D485" s="398"/>
      <c r="E485" s="1876" t="str">
        <f>Translations!$B$1238</f>
        <v>Całkowite przypisane emisje</v>
      </c>
      <c r="F485" s="1876"/>
      <c r="G485" s="1876"/>
      <c r="H485" s="968" t="str">
        <f>EUconst_tCO2epa</f>
        <v>t CO2e/rok</v>
      </c>
      <c r="I485" s="1000" t="str">
        <f>INDEX(I$93:I$109,MATCH($I469,$E$93:$E$109,0))</f>
        <v/>
      </c>
      <c r="J485" s="1001" t="str">
        <f>INDEX(J$93:J$109,MATCH($I469,$E$93:$E$109,0))</f>
        <v/>
      </c>
      <c r="K485" s="1001" t="str">
        <f>INDEX(K$93:K$109,MATCH($I469,$E$93:$E$109,0))</f>
        <v/>
      </c>
      <c r="L485" s="1001" t="str">
        <f>INDEX(L$93:L$109,MATCH($I469,$E$93:$E$109,0))</f>
        <v/>
      </c>
      <c r="M485" s="1002" t="str">
        <f>INDEX(M$93:M$109,MATCH($I469,$E$93:$E$109,0))</f>
        <v/>
      </c>
      <c r="N485" s="831"/>
      <c r="O485" s="20"/>
      <c r="P485" s="422"/>
      <c r="Q485" s="422"/>
      <c r="R485" s="422"/>
      <c r="S485" s="422"/>
      <c r="T485" s="8"/>
    </row>
    <row r="486" spans="1:20" s="701" customFormat="1" x14ac:dyDescent="0.2">
      <c r="A486" s="422"/>
      <c r="B486" s="398"/>
      <c r="C486" s="398"/>
      <c r="D486" s="398"/>
      <c r="E486" s="516"/>
      <c r="F486" s="516"/>
      <c r="G486" s="516"/>
      <c r="H486" s="516"/>
      <c r="I486" s="1003"/>
      <c r="J486" s="1003"/>
      <c r="K486" s="1003"/>
      <c r="L486" s="1003"/>
      <c r="M486" s="1003"/>
      <c r="N486" s="516"/>
      <c r="O486" s="20"/>
      <c r="P486" s="422"/>
      <c r="Q486" s="422"/>
      <c r="R486" s="422"/>
      <c r="S486" s="422"/>
      <c r="T486" s="8"/>
    </row>
    <row r="487" spans="1:20" s="701" customFormat="1" x14ac:dyDescent="0.2">
      <c r="A487" s="422"/>
      <c r="B487" s="398"/>
      <c r="C487" s="398"/>
      <c r="D487" s="398"/>
      <c r="E487" s="1766" t="str">
        <f>Translations!$B$731</f>
        <v>Wsad paliwa</v>
      </c>
      <c r="F487" s="1767"/>
      <c r="G487" s="1767"/>
      <c r="H487" s="454" t="str">
        <f>EUconst_TJpa</f>
        <v>TJ / rok</v>
      </c>
      <c r="I487" s="1004" t="str">
        <f>IF($I469="","",IF(INDEX(F_ProductBM!I:I,MATCH($P487,F_ProductBM!$P:$P,0))="","",INDEX(F_ProductBM!I:I,MATCH($P487,F_ProductBM!$P:$P,0))))</f>
        <v/>
      </c>
      <c r="J487" s="1004" t="str">
        <f>IF($I469="","",IF(INDEX(F_ProductBM!J:J,MATCH($P487,F_ProductBM!$P:$P,0))="","",INDEX(F_ProductBM!J:J,MATCH($P487,F_ProductBM!$P:$P,0))))</f>
        <v/>
      </c>
      <c r="K487" s="1004" t="str">
        <f>IF($I469="","",IF(INDEX(F_ProductBM!K:K,MATCH($P487,F_ProductBM!$P:$P,0))="","",INDEX(F_ProductBM!K:K,MATCH($P487,F_ProductBM!$P:$P,0))))</f>
        <v/>
      </c>
      <c r="L487" s="1004" t="str">
        <f>IF($I469="","",IF(INDEX(F_ProductBM!L:L,MATCH($P487,F_ProductBM!$P:$P,0))="","",INDEX(F_ProductBM!L:L,MATCH($P487,F_ProductBM!$P:$P,0))))</f>
        <v/>
      </c>
      <c r="M487" s="1004" t="str">
        <f>IF($I469="","",IF(INDEX(F_ProductBM!M:M,MATCH($P487,F_ProductBM!$P:$P,0))="","",INDEX(F_ProductBM!M:M,MATCH($P487,F_ProductBM!$P:$P,0))))</f>
        <v/>
      </c>
      <c r="N487" s="831"/>
      <c r="O487" s="20"/>
      <c r="P487" s="830" t="str">
        <f>EUconst_CNTR_FuelInput &amp; I469</f>
        <v>FuelInput_</v>
      </c>
      <c r="Q487" s="422"/>
      <c r="R487" s="422"/>
      <c r="S487" s="422"/>
      <c r="T487" s="8"/>
    </row>
    <row r="488" spans="1:20" s="701" customFormat="1" x14ac:dyDescent="0.2">
      <c r="A488" s="422"/>
      <c r="B488" s="398"/>
      <c r="C488" s="398"/>
      <c r="D488" s="398"/>
      <c r="E488" s="1743" t="str">
        <f>Translations!$B$732</f>
        <v>Ważony współczynnik emisji</v>
      </c>
      <c r="F488" s="1744"/>
      <c r="G488" s="1744"/>
      <c r="H488" s="473" t="str">
        <f>EUconst_tCO2pTJ</f>
        <v>t CO2 / TJ</v>
      </c>
      <c r="I488" s="1005" t="str">
        <f>IF($I469="","",IF(INDEX(F_ProductBM!I:I,MATCH($P488,F_ProductBM!$P:$P,0))="","",INDEX(F_ProductBM!I:I,MATCH($P488,F_ProductBM!$P:$P,0))))</f>
        <v/>
      </c>
      <c r="J488" s="1005" t="str">
        <f>IF($I469="","",IF(INDEX(F_ProductBM!J:J,MATCH($P488,F_ProductBM!$P:$P,0))="","",INDEX(F_ProductBM!J:J,MATCH($P488,F_ProductBM!$P:$P,0))))</f>
        <v/>
      </c>
      <c r="K488" s="1005" t="str">
        <f>IF($I469="","",IF(INDEX(F_ProductBM!K:K,MATCH($P488,F_ProductBM!$P:$P,0))="","",INDEX(F_ProductBM!K:K,MATCH($P488,F_ProductBM!$P:$P,0))))</f>
        <v/>
      </c>
      <c r="L488" s="1005" t="str">
        <f>IF($I469="","",IF(INDEX(F_ProductBM!L:L,MATCH($P488,F_ProductBM!$P:$P,0))="","",INDEX(F_ProductBM!L:L,MATCH($P488,F_ProductBM!$P:$P,0))))</f>
        <v/>
      </c>
      <c r="M488" s="1005" t="str">
        <f>IF($I469="","",IF(INDEX(F_ProductBM!M:M,MATCH($P488,F_ProductBM!$P:$P,0))="","",INDEX(F_ProductBM!M:M,MATCH($P488,F_ProductBM!$P:$P,0))))</f>
        <v/>
      </c>
      <c r="N488" s="831"/>
      <c r="O488" s="20"/>
      <c r="P488" s="351" t="str">
        <f>EUconst_CNTR_FuelEF &amp; I469</f>
        <v>FuelEF_</v>
      </c>
      <c r="Q488" s="422"/>
      <c r="R488" s="422"/>
      <c r="S488" s="422"/>
      <c r="T488" s="8"/>
    </row>
    <row r="489" spans="1:20" s="701" customFormat="1" x14ac:dyDescent="0.2">
      <c r="A489" s="422"/>
      <c r="B489" s="398"/>
      <c r="C489" s="398"/>
      <c r="E489" s="516"/>
      <c r="F489" s="831"/>
      <c r="G489" s="831"/>
      <c r="H489" s="831"/>
      <c r="I489" s="1006"/>
      <c r="J489" s="1006"/>
      <c r="K489" s="1006"/>
      <c r="L489" s="1006"/>
      <c r="M489" s="1006"/>
      <c r="N489" s="831"/>
      <c r="O489" s="20"/>
      <c r="P489" s="422"/>
      <c r="Q489" s="422"/>
      <c r="R489" s="422"/>
      <c r="S489" s="422"/>
      <c r="T489" s="8"/>
    </row>
    <row r="490" spans="1:20" s="701" customFormat="1" x14ac:dyDescent="0.2">
      <c r="A490" s="422"/>
      <c r="B490" s="398"/>
      <c r="C490" s="398"/>
      <c r="E490" s="1739" t="str">
        <f>Translations!$B$687</f>
        <v>Emisje bezpośrednie</v>
      </c>
      <c r="F490" s="1740"/>
      <c r="G490" s="1740"/>
      <c r="H490" s="453" t="str">
        <f>EUconst_tCO2pa</f>
        <v>t CO2 / rok</v>
      </c>
      <c r="I490" s="1007" t="str">
        <f>IF($I469="","",IF(INDEX(F_ProductBM!I:I,MATCH($P490,F_ProductBM!$P:$P,0))="","",INDEX(F_ProductBM!I:I,MATCH($P490,F_ProductBM!$P:$P,0))))</f>
        <v/>
      </c>
      <c r="J490" s="1007" t="str">
        <f>IF($I469="","",IF(INDEX(F_ProductBM!J:J,MATCH($P490,F_ProductBM!$P:$P,0))="","",INDEX(F_ProductBM!J:J,MATCH($P490,F_ProductBM!$P:$P,0))))</f>
        <v/>
      </c>
      <c r="K490" s="1007" t="str">
        <f>IF($I469="","",IF(INDEX(F_ProductBM!K:K,MATCH($P490,F_ProductBM!$P:$P,0))="","",INDEX(F_ProductBM!K:K,MATCH($P490,F_ProductBM!$P:$P,0))))</f>
        <v/>
      </c>
      <c r="L490" s="1007" t="str">
        <f>IF($I469="","",IF(INDEX(F_ProductBM!L:L,MATCH($P490,F_ProductBM!$P:$P,0))="","",INDEX(F_ProductBM!L:L,MATCH($P490,F_ProductBM!$P:$P,0))))</f>
        <v/>
      </c>
      <c r="M490" s="1007" t="str">
        <f>IF($I469="","",IF(INDEX(F_ProductBM!M:M,MATCH($P490,F_ProductBM!$P:$P,0))="","",INDEX(F_ProductBM!M:M,MATCH($P490,F_ProductBM!$P:$P,0))))</f>
        <v/>
      </c>
      <c r="N490" s="831"/>
      <c r="O490" s="20"/>
      <c r="P490" s="351" t="str">
        <f>EUconst_CNTR_Emissions &amp; I469</f>
        <v>DirEmissions_</v>
      </c>
      <c r="Q490" s="422"/>
      <c r="R490" s="422"/>
      <c r="S490" s="422"/>
      <c r="T490" s="8"/>
    </row>
    <row r="491" spans="1:20" s="701" customFormat="1" x14ac:dyDescent="0.2">
      <c r="A491" s="422"/>
      <c r="B491" s="398"/>
      <c r="C491" s="398"/>
      <c r="E491" s="1974" t="str">
        <f>Translations!$B$742</f>
        <v>Dalsze strumienie materiałów wsadowych – 1:</v>
      </c>
      <c r="F491" s="1974"/>
      <c r="G491" s="1974"/>
      <c r="H491" s="453" t="str">
        <f>EUconst_tCO2pa</f>
        <v>t CO2 / rok</v>
      </c>
      <c r="I491" s="1007" t="str">
        <f>IF($I469="","",IF(INDEX(F_ProductBM!I:I,MATCH($P491,F_ProductBM!$P:$P,0))="","",INDEX(F_ProductBM!I:I,MATCH($P491,F_ProductBM!$P:$P,0))))</f>
        <v/>
      </c>
      <c r="J491" s="1007" t="str">
        <f>IF($I469="","",IF(INDEX(F_ProductBM!J:J,MATCH($P491,F_ProductBM!$P:$P,0))="","",INDEX(F_ProductBM!J:J,MATCH($P491,F_ProductBM!$P:$P,0))))</f>
        <v/>
      </c>
      <c r="K491" s="1007" t="str">
        <f>IF($I469="","",IF(INDEX(F_ProductBM!K:K,MATCH($P491,F_ProductBM!$P:$P,0))="","",INDEX(F_ProductBM!K:K,MATCH($P491,F_ProductBM!$P:$P,0))))</f>
        <v/>
      </c>
      <c r="L491" s="1007" t="str">
        <f>IF($I469="","",IF(INDEX(F_ProductBM!L:L,MATCH($P491,F_ProductBM!$P:$P,0))="","",INDEX(F_ProductBM!L:L,MATCH($P491,F_ProductBM!$P:$P,0))))</f>
        <v/>
      </c>
      <c r="M491" s="1007" t="str">
        <f>IF($I469="","",IF(INDEX(F_ProductBM!M:M,MATCH($P491,F_ProductBM!$P:$P,0))="","",INDEX(F_ProductBM!M:M,MATCH($P491,F_ProductBM!$P:$P,0))))</f>
        <v/>
      </c>
      <c r="N491" s="831"/>
      <c r="O491" s="20"/>
      <c r="P491" s="351" t="str">
        <f>EUconst_CNTR_EmissionsIntSource1 &amp; I469</f>
        <v>EmInternalSource1_</v>
      </c>
      <c r="Q491" s="422"/>
      <c r="R491" s="422"/>
      <c r="S491" s="422"/>
      <c r="T491" s="8"/>
    </row>
    <row r="492" spans="1:20" s="701" customFormat="1" x14ac:dyDescent="0.2">
      <c r="A492" s="422"/>
      <c r="B492" s="398"/>
      <c r="C492" s="398"/>
      <c r="E492" s="1974" t="str">
        <f>Translations!$B$752</f>
        <v>Dalsze strumienie materiałów wsadowych – 2:</v>
      </c>
      <c r="F492" s="1974"/>
      <c r="G492" s="1974"/>
      <c r="H492" s="453" t="str">
        <f>EUconst_tCO2pa</f>
        <v>t CO2 / rok</v>
      </c>
      <c r="I492" s="1007" t="str">
        <f>IF($I469="","",IF(INDEX(F_ProductBM!I:I,MATCH($P492,F_ProductBM!$P:$P,0))="","",INDEX(F_ProductBM!I:I,MATCH($P492,F_ProductBM!$P:$P,0))))</f>
        <v/>
      </c>
      <c r="J492" s="1007" t="str">
        <f>IF($I469="","",IF(INDEX(F_ProductBM!J:J,MATCH($P492,F_ProductBM!$P:$P,0))="","",INDEX(F_ProductBM!J:J,MATCH($P492,F_ProductBM!$P:$P,0))))</f>
        <v/>
      </c>
      <c r="K492" s="1007" t="str">
        <f>IF($I469="","",IF(INDEX(F_ProductBM!K:K,MATCH($P492,F_ProductBM!$P:$P,0))="","",INDEX(F_ProductBM!K:K,MATCH($P492,F_ProductBM!$P:$P,0))))</f>
        <v/>
      </c>
      <c r="L492" s="1007" t="str">
        <f>IF($I469="","",IF(INDEX(F_ProductBM!L:L,MATCH($P492,F_ProductBM!$P:$P,0))="","",INDEX(F_ProductBM!L:L,MATCH($P492,F_ProductBM!$P:$P,0))))</f>
        <v/>
      </c>
      <c r="M492" s="1007" t="str">
        <f>IF($I469="","",IF(INDEX(F_ProductBM!M:M,MATCH($P492,F_ProductBM!$P:$P,0))="","",INDEX(F_ProductBM!M:M,MATCH($P492,F_ProductBM!$P:$P,0))))</f>
        <v/>
      </c>
      <c r="N492" s="831"/>
      <c r="O492" s="20"/>
      <c r="P492" s="351" t="str">
        <f>EUconst_CNTR_EmissionsIntSource2 &amp; I469</f>
        <v>EmInternalSource2_</v>
      </c>
      <c r="Q492" s="422"/>
      <c r="R492" s="422"/>
      <c r="S492" s="422"/>
      <c r="T492" s="8"/>
    </row>
    <row r="493" spans="1:20" s="701" customFormat="1" x14ac:dyDescent="0.2">
      <c r="A493" s="422"/>
      <c r="B493" s="398"/>
      <c r="C493" s="398"/>
      <c r="D493" s="398"/>
      <c r="E493" s="1739" t="str">
        <f>Translations!$B$756</f>
        <v>Wprowadzone lub wyprowadzone gazy cieplarniane</v>
      </c>
      <c r="F493" s="1740"/>
      <c r="G493" s="1740"/>
      <c r="H493" s="453" t="str">
        <f>EUconst_tCO2epa</f>
        <v>t CO2e/rok</v>
      </c>
      <c r="I493" s="1007" t="str">
        <f>IF($I469="","",IF(INDEX(F_ProductBM!I:I,MATCH($P493,F_ProductBM!$P:$P,0))="","",INDEX(F_ProductBM!I:I,MATCH($P493,F_ProductBM!$P:$P,0))))</f>
        <v/>
      </c>
      <c r="J493" s="1007" t="str">
        <f>IF($I469="","",IF(INDEX(F_ProductBM!J:J,MATCH($P493,F_ProductBM!$P:$P,0))="","",INDEX(F_ProductBM!J:J,MATCH($P493,F_ProductBM!$P:$P,0))))</f>
        <v/>
      </c>
      <c r="K493" s="1007" t="str">
        <f>IF($I469="","",IF(INDEX(F_ProductBM!K:K,MATCH($P493,F_ProductBM!$P:$P,0))="","",INDEX(F_ProductBM!K:K,MATCH($P493,F_ProductBM!$P:$P,0))))</f>
        <v/>
      </c>
      <c r="L493" s="1007" t="str">
        <f>IF($I469="","",IF(INDEX(F_ProductBM!L:L,MATCH($P493,F_ProductBM!$P:$P,0))="","",INDEX(F_ProductBM!L:L,MATCH($P493,F_ProductBM!$P:$P,0))))</f>
        <v/>
      </c>
      <c r="M493" s="1007" t="str">
        <f>IF($I469="","",IF(INDEX(F_ProductBM!M:M,MATCH($P493,F_ProductBM!$P:$P,0))="","",INDEX(F_ProductBM!M:M,MATCH($P493,F_ProductBM!$P:$P,0))))</f>
        <v/>
      </c>
      <c r="N493" s="831"/>
      <c r="O493" s="20"/>
      <c r="P493" s="351" t="str">
        <f>EUconst_CNTR_CO2Feedstock &amp; I469</f>
        <v>EmCO2Feedstock_</v>
      </c>
      <c r="Q493" s="422"/>
      <c r="R493" s="422"/>
      <c r="S493" s="422"/>
      <c r="T493" s="8"/>
    </row>
    <row r="494" spans="1:20" s="701" customFormat="1" x14ac:dyDescent="0.2">
      <c r="A494" s="422"/>
      <c r="B494" s="398"/>
      <c r="C494" s="398"/>
      <c r="D494" s="398"/>
      <c r="E494" s="831"/>
      <c r="F494" s="831"/>
      <c r="G494" s="831"/>
      <c r="H494" s="831"/>
      <c r="I494" s="1006"/>
      <c r="J494" s="1006"/>
      <c r="K494" s="1006"/>
      <c r="L494" s="1006"/>
      <c r="M494" s="1006"/>
      <c r="N494" s="831"/>
      <c r="O494" s="20"/>
      <c r="P494" s="422"/>
      <c r="Q494" s="422"/>
      <c r="R494" s="422"/>
      <c r="S494" s="422"/>
      <c r="T494" s="8"/>
    </row>
    <row r="495" spans="1:20" s="701" customFormat="1" x14ac:dyDescent="0.2">
      <c r="A495" s="422"/>
      <c r="B495" s="398"/>
      <c r="C495" s="398"/>
      <c r="D495" s="398"/>
      <c r="E495" s="1766" t="str">
        <f>Translations!$B$764</f>
        <v>Ciepło wprowadzone netto</v>
      </c>
      <c r="F495" s="1767"/>
      <c r="G495" s="1767"/>
      <c r="H495" s="454" t="str">
        <f>EUconst_TJpa</f>
        <v>TJ / rok</v>
      </c>
      <c r="I495" s="1004" t="str">
        <f>IF($I469="","",IF(INDEX(F_ProductBM!I:I,MATCH($P495,F_ProductBM!$P:$P,0))="","",INDEX(F_ProductBM!I:I,MATCH($P495,F_ProductBM!$P:$P,0))))</f>
        <v/>
      </c>
      <c r="J495" s="1004" t="str">
        <f>IF($I469="","",IF(INDEX(F_ProductBM!J:J,MATCH($P495,F_ProductBM!$P:$P,0))="","",INDEX(F_ProductBM!J:J,MATCH($P495,F_ProductBM!$P:$P,0))))</f>
        <v/>
      </c>
      <c r="K495" s="1004" t="str">
        <f>IF($I469="","",IF(INDEX(F_ProductBM!K:K,MATCH($P495,F_ProductBM!$P:$P,0))="","",INDEX(F_ProductBM!K:K,MATCH($P495,F_ProductBM!$P:$P,0))))</f>
        <v/>
      </c>
      <c r="L495" s="1004" t="str">
        <f>IF($I469="","",IF(INDEX(F_ProductBM!L:L,MATCH($P495,F_ProductBM!$P:$P,0))="","",INDEX(F_ProductBM!L:L,MATCH($P495,F_ProductBM!$P:$P,0))))</f>
        <v/>
      </c>
      <c r="M495" s="1004" t="str">
        <f>IF($I469="","",IF(INDEX(F_ProductBM!M:M,MATCH($P495,F_ProductBM!$P:$P,0))="","",INDEX(F_ProductBM!M:M,MATCH($P495,F_ProductBM!$P:$P,0))))</f>
        <v/>
      </c>
      <c r="N495" s="831"/>
      <c r="O495" s="20"/>
      <c r="P495" s="351" t="str">
        <f>EUconst_CNTR_HeatImport &amp; I469</f>
        <v>HeatIm_</v>
      </c>
      <c r="Q495" s="422"/>
      <c r="R495" s="422"/>
      <c r="S495" s="422"/>
      <c r="T495" s="8"/>
    </row>
    <row r="496" spans="1:20" s="701" customFormat="1" x14ac:dyDescent="0.2">
      <c r="A496" s="422"/>
      <c r="B496" s="398"/>
      <c r="C496" s="398"/>
      <c r="D496" s="398"/>
      <c r="E496" s="1743" t="str">
        <f>Translations!$B$765</f>
        <v>Właściwy współczynnik emisji (ciepło wprowadzone)</v>
      </c>
      <c r="F496" s="1744"/>
      <c r="G496" s="1744"/>
      <c r="H496" s="473" t="str">
        <f>EUconst_tCO2pTJ</f>
        <v>t CO2 / TJ</v>
      </c>
      <c r="I496" s="1005" t="str">
        <f>IF($I469="","",IF(INDEX(F_ProductBM!I:I,MATCH($P496,F_ProductBM!$P:$P,0))="","",INDEX(F_ProductBM!I:I,MATCH($P496,F_ProductBM!$P:$P,0))))</f>
        <v/>
      </c>
      <c r="J496" s="1005" t="str">
        <f>IF($I469="","",IF(INDEX(F_ProductBM!J:J,MATCH($P496,F_ProductBM!$P:$P,0))="","",INDEX(F_ProductBM!J:J,MATCH($P496,F_ProductBM!$P:$P,0))))</f>
        <v/>
      </c>
      <c r="K496" s="1005" t="str">
        <f>IF($I469="","",IF(INDEX(F_ProductBM!K:K,MATCH($P496,F_ProductBM!$P:$P,0))="","",INDEX(F_ProductBM!K:K,MATCH($P496,F_ProductBM!$P:$P,0))))</f>
        <v/>
      </c>
      <c r="L496" s="1005" t="str">
        <f>IF($I469="","",IF(INDEX(F_ProductBM!L:L,MATCH($P496,F_ProductBM!$P:$P,0))="","",INDEX(F_ProductBM!L:L,MATCH($P496,F_ProductBM!$P:$P,0))))</f>
        <v/>
      </c>
      <c r="M496" s="1005" t="str">
        <f>IF($I469="","",IF(INDEX(F_ProductBM!M:M,MATCH($P496,F_ProductBM!$P:$P,0))="","",INDEX(F_ProductBM!M:M,MATCH($P496,F_ProductBM!$P:$P,0))))</f>
        <v/>
      </c>
      <c r="N496" s="831"/>
      <c r="O496" s="20"/>
      <c r="P496" s="351" t="str">
        <f>EUconst_CNTR_HeatImportEF &amp; I469</f>
        <v>HeatImEF_</v>
      </c>
      <c r="Q496" s="422"/>
      <c r="R496" s="422"/>
      <c r="S496" s="422"/>
      <c r="T496" s="8"/>
    </row>
    <row r="497" spans="1:20" s="701" customFormat="1" x14ac:dyDescent="0.2">
      <c r="A497" s="422"/>
      <c r="B497" s="398"/>
      <c r="C497" s="398"/>
      <c r="D497" s="398"/>
      <c r="E497" s="516"/>
      <c r="F497" s="831"/>
      <c r="G497" s="831"/>
      <c r="H497" s="831"/>
      <c r="I497" s="1006"/>
      <c r="J497" s="1006"/>
      <c r="K497" s="1006"/>
      <c r="L497" s="1006"/>
      <c r="M497" s="1006"/>
      <c r="N497" s="831"/>
      <c r="O497" s="20"/>
      <c r="P497" s="8"/>
      <c r="Q497" s="422"/>
      <c r="R497" s="422"/>
      <c r="S497" s="422"/>
      <c r="T497" s="8"/>
    </row>
    <row r="498" spans="1:20" s="701" customFormat="1" x14ac:dyDescent="0.2">
      <c r="A498" s="422"/>
      <c r="B498" s="398"/>
      <c r="C498" s="398"/>
      <c r="D498" s="398"/>
      <c r="E498" s="1739" t="str">
        <f>Translations!$B$820</f>
        <v>Ciepło wprowadzone netto z masy celulozowej</v>
      </c>
      <c r="F498" s="1740"/>
      <c r="G498" s="1740"/>
      <c r="H498" s="453" t="str">
        <f>EUconst_TJpa</f>
        <v>TJ / rok</v>
      </c>
      <c r="I498" s="1007" t="str">
        <f>IF($I469="","",IF(INDEX(F_ProductBM!I:I,MATCH($P498,F_ProductBM!$P:$P,0))="","",INDEX(F_ProductBM!I:I,MATCH($P498,F_ProductBM!$P:$P,0))))</f>
        <v/>
      </c>
      <c r="J498" s="1007" t="str">
        <f>IF($I469="","",IF(INDEX(F_ProductBM!J:J,MATCH($P498,F_ProductBM!$P:$P,0))="","",INDEX(F_ProductBM!J:J,MATCH($P498,F_ProductBM!$P:$P,0))))</f>
        <v/>
      </c>
      <c r="K498" s="1007" t="str">
        <f>IF($I469="","",IF(INDEX(F_ProductBM!K:K,MATCH($P498,F_ProductBM!$P:$P,0))="","",INDEX(F_ProductBM!K:K,MATCH($P498,F_ProductBM!$P:$P,0))))</f>
        <v/>
      </c>
      <c r="L498" s="1007" t="str">
        <f>IF($I469="","",IF(INDEX(F_ProductBM!L:L,MATCH($P498,F_ProductBM!$P:$P,0))="","",INDEX(F_ProductBM!L:L,MATCH($P498,F_ProductBM!$P:$P,0))))</f>
        <v/>
      </c>
      <c r="M498" s="1007" t="str">
        <f>IF($I469="","",IF(INDEX(F_ProductBM!M:M,MATCH($P498,F_ProductBM!$P:$P,0))="","",INDEX(F_ProductBM!M:M,MATCH($P498,F_ProductBM!$P:$P,0))))</f>
        <v/>
      </c>
      <c r="N498" s="831"/>
      <c r="O498" s="20"/>
      <c r="P498" s="351" t="str">
        <f>EUconst_CNTR_HeatImportPulp &amp; I469</f>
        <v>HeatImPulp_</v>
      </c>
      <c r="Q498" s="422"/>
      <c r="R498" s="422"/>
      <c r="S498" s="422"/>
      <c r="T498" s="8"/>
    </row>
    <row r="499" spans="1:20" s="701" customFormat="1" x14ac:dyDescent="0.2">
      <c r="A499" s="422"/>
      <c r="B499" s="398"/>
      <c r="C499" s="398"/>
      <c r="D499" s="398"/>
      <c r="E499" s="1739" t="str">
        <f>Translations!$B$768</f>
        <v>Ciepło wprowadzone netto z podinstalacji wytwarzającej kwas azotowy</v>
      </c>
      <c r="F499" s="1740"/>
      <c r="G499" s="1740"/>
      <c r="H499" s="453" t="str">
        <f>EUconst_TJpa</f>
        <v>TJ / rok</v>
      </c>
      <c r="I499" s="1007" t="str">
        <f>IF($I469="","",IF(INDEX(F_ProductBM!I:I,MATCH($P499,F_ProductBM!$P:$P,0))="","",INDEX(F_ProductBM!I:I,MATCH($P499,F_ProductBM!$P:$P,0))))</f>
        <v/>
      </c>
      <c r="J499" s="1007" t="str">
        <f>IF($I469="","",IF(INDEX(F_ProductBM!J:J,MATCH($P499,F_ProductBM!$P:$P,0))="","",INDEX(F_ProductBM!J:J,MATCH($P499,F_ProductBM!$P:$P,0))))</f>
        <v/>
      </c>
      <c r="K499" s="1007" t="str">
        <f>IF($I469="","",IF(INDEX(F_ProductBM!K:K,MATCH($P499,F_ProductBM!$P:$P,0))="","",INDEX(F_ProductBM!K:K,MATCH($P499,F_ProductBM!$P:$P,0))))</f>
        <v/>
      </c>
      <c r="L499" s="1007" t="str">
        <f>IF($I469="","",IF(INDEX(F_ProductBM!L:L,MATCH($P499,F_ProductBM!$P:$P,0))="","",INDEX(F_ProductBM!L:L,MATCH($P499,F_ProductBM!$P:$P,0))))</f>
        <v/>
      </c>
      <c r="M499" s="1007" t="str">
        <f>IF($I469="","",IF(INDEX(F_ProductBM!M:M,MATCH($P499,F_ProductBM!$P:$P,0))="","",INDEX(F_ProductBM!M:M,MATCH($P499,F_ProductBM!$P:$P,0))))</f>
        <v/>
      </c>
      <c r="N499" s="831"/>
      <c r="O499" s="20"/>
      <c r="P499" s="351" t="str">
        <f>EUconst_CNTR_HeatImportNitric &amp; I469</f>
        <v>HeatImNitric_</v>
      </c>
      <c r="Q499" s="422"/>
      <c r="R499" s="422"/>
      <c r="S499" s="422"/>
      <c r="T499" s="8"/>
    </row>
    <row r="500" spans="1:20" s="701" customFormat="1" x14ac:dyDescent="0.2">
      <c r="A500" s="422"/>
      <c r="B500" s="398"/>
      <c r="C500" s="398"/>
      <c r="D500" s="398"/>
      <c r="E500" s="516"/>
      <c r="F500" s="516"/>
      <c r="G500" s="516"/>
      <c r="H500" s="516"/>
      <c r="I500" s="1006"/>
      <c r="J500" s="1006"/>
      <c r="K500" s="1006"/>
      <c r="L500" s="1006"/>
      <c r="M500" s="1006"/>
      <c r="N500" s="831"/>
      <c r="O500" s="20"/>
      <c r="P500" s="8"/>
      <c r="Q500" s="422"/>
      <c r="R500" s="422"/>
      <c r="S500" s="422"/>
      <c r="T500" s="8"/>
    </row>
    <row r="501" spans="1:20" s="701" customFormat="1" x14ac:dyDescent="0.2">
      <c r="A501" s="422"/>
      <c r="B501" s="398"/>
      <c r="C501" s="398"/>
      <c r="D501" s="398"/>
      <c r="E501" s="1766" t="str">
        <f>Translations!$B$770</f>
        <v>Ciepło wyprowadzone netto</v>
      </c>
      <c r="F501" s="1767"/>
      <c r="G501" s="1767"/>
      <c r="H501" s="454" t="str">
        <f>EUconst_TJpa</f>
        <v>TJ / rok</v>
      </c>
      <c r="I501" s="1004" t="str">
        <f>IF($I469="","",IF(INDEX(F_ProductBM!I:I,MATCH($P501,F_ProductBM!$P:$P,0))="","",INDEX(F_ProductBM!I:I,MATCH($P501,F_ProductBM!$P:$P,0))))</f>
        <v/>
      </c>
      <c r="J501" s="1004" t="str">
        <f>IF($I469="","",IF(INDEX(F_ProductBM!J:J,MATCH($P501,F_ProductBM!$P:$P,0))="","",INDEX(F_ProductBM!J:J,MATCH($P501,F_ProductBM!$P:$P,0))))</f>
        <v/>
      </c>
      <c r="K501" s="1004" t="str">
        <f>IF($I469="","",IF(INDEX(F_ProductBM!K:K,MATCH($P501,F_ProductBM!$P:$P,0))="","",INDEX(F_ProductBM!K:K,MATCH($P501,F_ProductBM!$P:$P,0))))</f>
        <v/>
      </c>
      <c r="L501" s="1004" t="str">
        <f>IF($I469="","",IF(INDEX(F_ProductBM!L:L,MATCH($P501,F_ProductBM!$P:$P,0))="","",INDEX(F_ProductBM!L:L,MATCH($P501,F_ProductBM!$P:$P,0))))</f>
        <v/>
      </c>
      <c r="M501" s="1004" t="str">
        <f>IF($I469="","",IF(INDEX(F_ProductBM!M:M,MATCH($P501,F_ProductBM!$P:$P,0))="","",INDEX(F_ProductBM!M:M,MATCH($P501,F_ProductBM!$P:$P,0))))</f>
        <v/>
      </c>
      <c r="N501" s="831"/>
      <c r="O501" s="20"/>
      <c r="P501" s="351" t="str">
        <f>EUconst_CNTR_HeatExport &amp; I469</f>
        <v>HeatEx_</v>
      </c>
      <c r="Q501" s="422"/>
      <c r="R501" s="422"/>
      <c r="S501" s="422"/>
      <c r="T501" s="8"/>
    </row>
    <row r="502" spans="1:20" s="701" customFormat="1" x14ac:dyDescent="0.2">
      <c r="A502" s="422"/>
      <c r="B502" s="398"/>
      <c r="C502" s="398"/>
      <c r="D502" s="398"/>
      <c r="E502" s="1743" t="str">
        <f>Translations!$B$771</f>
        <v>Właściwy współczynnik emisji (ciepło wyprowadzone)</v>
      </c>
      <c r="F502" s="1744"/>
      <c r="G502" s="1744"/>
      <c r="H502" s="473" t="str">
        <f>EUconst_tCO2pTJ</f>
        <v>t CO2 / TJ</v>
      </c>
      <c r="I502" s="1005" t="str">
        <f>IF($I469="","",IF(INDEX(F_ProductBM!I:I,MATCH($P502,F_ProductBM!$P:$P,0))="","",INDEX(F_ProductBM!I:I,MATCH($P502,F_ProductBM!$P:$P,0))))</f>
        <v/>
      </c>
      <c r="J502" s="1005" t="str">
        <f>IF($I469="","",IF(INDEX(F_ProductBM!J:J,MATCH($P502,F_ProductBM!$P:$P,0))="","",INDEX(F_ProductBM!J:J,MATCH($P502,F_ProductBM!$P:$P,0))))</f>
        <v/>
      </c>
      <c r="K502" s="1005" t="str">
        <f>IF($I469="","",IF(INDEX(F_ProductBM!K:K,MATCH($P502,F_ProductBM!$P:$P,0))="","",INDEX(F_ProductBM!K:K,MATCH($P502,F_ProductBM!$P:$P,0))))</f>
        <v/>
      </c>
      <c r="L502" s="1005" t="str">
        <f>IF($I469="","",IF(INDEX(F_ProductBM!L:L,MATCH($P502,F_ProductBM!$P:$P,0))="","",INDEX(F_ProductBM!L:L,MATCH($P502,F_ProductBM!$P:$P,0))))</f>
        <v/>
      </c>
      <c r="M502" s="1005" t="str">
        <f>IF($I469="","",IF(INDEX(F_ProductBM!M:M,MATCH($P502,F_ProductBM!$P:$P,0))="","",INDEX(F_ProductBM!M:M,MATCH($P502,F_ProductBM!$P:$P,0))))</f>
        <v/>
      </c>
      <c r="N502" s="831"/>
      <c r="O502" s="20"/>
      <c r="P502" s="351" t="str">
        <f>EUconst_CNTR_HeatExportEF &amp; I469</f>
        <v>HeatExEF_</v>
      </c>
      <c r="Q502" s="422"/>
      <c r="R502" s="422"/>
      <c r="S502" s="422"/>
      <c r="T502" s="8"/>
    </row>
    <row r="503" spans="1:20" s="701" customFormat="1" x14ac:dyDescent="0.2">
      <c r="A503" s="422"/>
      <c r="B503" s="398"/>
      <c r="C503" s="398"/>
      <c r="D503" s="398"/>
      <c r="E503" s="516"/>
      <c r="F503" s="516"/>
      <c r="G503" s="516"/>
      <c r="H503" s="516"/>
      <c r="I503" s="1006"/>
      <c r="J503" s="1006"/>
      <c r="K503" s="1006"/>
      <c r="L503" s="1006"/>
      <c r="M503" s="1006"/>
      <c r="N503" s="831"/>
      <c r="O503" s="20"/>
      <c r="P503" s="182"/>
      <c r="Q503" s="422"/>
      <c r="R503" s="422"/>
      <c r="S503" s="422"/>
      <c r="T503" s="8"/>
    </row>
    <row r="504" spans="1:20" s="701" customFormat="1" x14ac:dyDescent="0.2">
      <c r="A504" s="422"/>
      <c r="B504" s="398"/>
      <c r="C504" s="398"/>
      <c r="D504" s="398"/>
      <c r="E504" s="1766" t="str">
        <f>Translations!$B$778</f>
        <v>Gazy odlotowe wytworzone</v>
      </c>
      <c r="F504" s="1767"/>
      <c r="G504" s="1767"/>
      <c r="H504" s="454" t="str">
        <f>EUconst_TJpa</f>
        <v>TJ / rok</v>
      </c>
      <c r="I504" s="1004" t="str">
        <f>IF($I469="","",IF(INDEX(F_ProductBM!I:I,MATCH($P504,F_ProductBM!$P:$P,0))="","",INDEX(F_ProductBM!I:I,MATCH($P504,F_ProductBM!$P:$P,0))))</f>
        <v/>
      </c>
      <c r="J504" s="1004" t="str">
        <f>IF($I469="","",IF(INDEX(F_ProductBM!J:J,MATCH($P504,F_ProductBM!$P:$P,0))="","",INDEX(F_ProductBM!J:J,MATCH($P504,F_ProductBM!$P:$P,0))))</f>
        <v/>
      </c>
      <c r="K504" s="1004" t="str">
        <f>IF($I469="","",IF(INDEX(F_ProductBM!K:K,MATCH($P504,F_ProductBM!$P:$P,0))="","",INDEX(F_ProductBM!K:K,MATCH($P504,F_ProductBM!$P:$P,0))))</f>
        <v/>
      </c>
      <c r="L504" s="1004" t="str">
        <f>IF($I469="","",IF(INDEX(F_ProductBM!L:L,MATCH($P504,F_ProductBM!$P:$P,0))="","",INDEX(F_ProductBM!L:L,MATCH($P504,F_ProductBM!$P:$P,0))))</f>
        <v/>
      </c>
      <c r="M504" s="1004" t="str">
        <f>IF($I469="","",IF(INDEX(F_ProductBM!M:M,MATCH($P504,F_ProductBM!$P:$P,0))="","",INDEX(F_ProductBM!M:M,MATCH($P504,F_ProductBM!$P:$P,0))))</f>
        <v/>
      </c>
      <c r="N504" s="831"/>
      <c r="O504" s="20"/>
      <c r="P504" s="830" t="str">
        <f>EUconst_CNTR_WGProduced &amp; I469</f>
        <v>WasteGasProd_</v>
      </c>
      <c r="Q504" s="422"/>
      <c r="R504" s="422"/>
      <c r="S504" s="422"/>
      <c r="T504" s="8"/>
    </row>
    <row r="505" spans="1:20" s="701" customFormat="1" x14ac:dyDescent="0.2">
      <c r="A505" s="422"/>
      <c r="B505" s="398"/>
      <c r="C505" s="398"/>
      <c r="D505" s="398"/>
      <c r="E505" s="1743" t="str">
        <f>Translations!$B$779</f>
        <v>Właściwy współczynnik emisji (gazy odlotowe wytworzone)</v>
      </c>
      <c r="F505" s="1744"/>
      <c r="G505" s="1744"/>
      <c r="H505" s="473" t="str">
        <f>EUconst_tCO2pTJ</f>
        <v>t CO2 / TJ</v>
      </c>
      <c r="I505" s="1005" t="str">
        <f>IF($I469="","",IF(INDEX(F_ProductBM!I:I,MATCH($P505,F_ProductBM!$P:$P,0))="","",INDEX(F_ProductBM!I:I,MATCH($P505,F_ProductBM!$P:$P,0))))</f>
        <v/>
      </c>
      <c r="J505" s="1005" t="str">
        <f>IF($I469="","",IF(INDEX(F_ProductBM!J:J,MATCH($P505,F_ProductBM!$P:$P,0))="","",INDEX(F_ProductBM!J:J,MATCH($P505,F_ProductBM!$P:$P,0))))</f>
        <v/>
      </c>
      <c r="K505" s="1005" t="str">
        <f>IF($I469="","",IF(INDEX(F_ProductBM!K:K,MATCH($P505,F_ProductBM!$P:$P,0))="","",INDEX(F_ProductBM!K:K,MATCH($P505,F_ProductBM!$P:$P,0))))</f>
        <v/>
      </c>
      <c r="L505" s="1005" t="str">
        <f>IF($I469="","",IF(INDEX(F_ProductBM!L:L,MATCH($P505,F_ProductBM!$P:$P,0))="","",INDEX(F_ProductBM!L:L,MATCH($P505,F_ProductBM!$P:$P,0))))</f>
        <v/>
      </c>
      <c r="M505" s="1005" t="str">
        <f>IF($I469="","",IF(INDEX(F_ProductBM!M:M,MATCH($P505,F_ProductBM!$P:$P,0))="","",INDEX(F_ProductBM!M:M,MATCH($P505,F_ProductBM!$P:$P,0))))</f>
        <v/>
      </c>
      <c r="N505" s="831"/>
      <c r="O505" s="20"/>
      <c r="P505" s="351" t="str">
        <f>EUconst_CNTR_WGProducedEF &amp; I469</f>
        <v>WasteGasProdEF_</v>
      </c>
      <c r="Q505" s="422"/>
      <c r="R505" s="422"/>
      <c r="S505" s="422"/>
      <c r="T505" s="8"/>
    </row>
    <row r="506" spans="1:20" s="701" customFormat="1" x14ac:dyDescent="0.2">
      <c r="A506" s="422"/>
      <c r="B506" s="398"/>
      <c r="C506" s="398"/>
      <c r="D506" s="398"/>
      <c r="E506" s="1766" t="str">
        <f>Translations!$B$783</f>
        <v>Gazy odlotowe zużyte</v>
      </c>
      <c r="F506" s="1767"/>
      <c r="G506" s="1767"/>
      <c r="H506" s="454" t="str">
        <f>EUconst_TJpa</f>
        <v>TJ / rok</v>
      </c>
      <c r="I506" s="1004" t="str">
        <f>IF($I469="","",IF(INDEX(F_ProductBM!I:I,MATCH($P506,F_ProductBM!$P:$P,0))="","",INDEX(F_ProductBM!I:I,MATCH($P506,F_ProductBM!$P:$P,0))))</f>
        <v/>
      </c>
      <c r="J506" s="1004" t="str">
        <f>IF($I469="","",IF(INDEX(F_ProductBM!J:J,MATCH($P506,F_ProductBM!$P:$P,0))="","",INDEX(F_ProductBM!J:J,MATCH($P506,F_ProductBM!$P:$P,0))))</f>
        <v/>
      </c>
      <c r="K506" s="1004" t="str">
        <f>IF($I469="","",IF(INDEX(F_ProductBM!K:K,MATCH($P506,F_ProductBM!$P:$P,0))="","",INDEX(F_ProductBM!K:K,MATCH($P506,F_ProductBM!$P:$P,0))))</f>
        <v/>
      </c>
      <c r="L506" s="1004" t="str">
        <f>IF($I469="","",IF(INDEX(F_ProductBM!L:L,MATCH($P506,F_ProductBM!$P:$P,0))="","",INDEX(F_ProductBM!L:L,MATCH($P506,F_ProductBM!$P:$P,0))))</f>
        <v/>
      </c>
      <c r="M506" s="1004" t="str">
        <f>IF($I469="","",IF(INDEX(F_ProductBM!M:M,MATCH($P506,F_ProductBM!$P:$P,0))="","",INDEX(F_ProductBM!M:M,MATCH($P506,F_ProductBM!$P:$P,0))))</f>
        <v/>
      </c>
      <c r="N506" s="831"/>
      <c r="O506" s="20"/>
      <c r="P506" s="351" t="str">
        <f>EUconst_CNTR_WGConsumed &amp; I469</f>
        <v>WasteGasCons_</v>
      </c>
      <c r="Q506" s="422"/>
      <c r="R506" s="422"/>
      <c r="S506" s="422"/>
      <c r="T506" s="8"/>
    </row>
    <row r="507" spans="1:20" s="701" customFormat="1" x14ac:dyDescent="0.2">
      <c r="A507" s="422"/>
      <c r="B507" s="398"/>
      <c r="C507" s="398"/>
      <c r="D507" s="398"/>
      <c r="E507" s="1743" t="str">
        <f>Translations!$B$784</f>
        <v>Właściwy współczynnik emisji (gazy odlotowe zużyte)</v>
      </c>
      <c r="F507" s="1744"/>
      <c r="G507" s="1744"/>
      <c r="H507" s="473" t="str">
        <f>EUconst_tCO2pTJ</f>
        <v>t CO2 / TJ</v>
      </c>
      <c r="I507" s="1005" t="str">
        <f>IF($I469="","",IF(INDEX(F_ProductBM!I:I,MATCH($P507,F_ProductBM!$P:$P,0))="","",INDEX(F_ProductBM!I:I,MATCH($P507,F_ProductBM!$P:$P,0))))</f>
        <v/>
      </c>
      <c r="J507" s="1005" t="str">
        <f>IF($I469="","",IF(INDEX(F_ProductBM!J:J,MATCH($P507,F_ProductBM!$P:$P,0))="","",INDEX(F_ProductBM!J:J,MATCH($P507,F_ProductBM!$P:$P,0))))</f>
        <v/>
      </c>
      <c r="K507" s="1005" t="str">
        <f>IF($I469="","",IF(INDEX(F_ProductBM!K:K,MATCH($P507,F_ProductBM!$P:$P,0))="","",INDEX(F_ProductBM!K:K,MATCH($P507,F_ProductBM!$P:$P,0))))</f>
        <v/>
      </c>
      <c r="L507" s="1005" t="str">
        <f>IF($I469="","",IF(INDEX(F_ProductBM!L:L,MATCH($P507,F_ProductBM!$P:$P,0))="","",INDEX(F_ProductBM!L:L,MATCH($P507,F_ProductBM!$P:$P,0))))</f>
        <v/>
      </c>
      <c r="M507" s="1005" t="str">
        <f>IF($I469="","",IF(INDEX(F_ProductBM!M:M,MATCH($P507,F_ProductBM!$P:$P,0))="","",INDEX(F_ProductBM!M:M,MATCH($P507,F_ProductBM!$P:$P,0))))</f>
        <v/>
      </c>
      <c r="N507" s="831"/>
      <c r="O507" s="20"/>
      <c r="P507" s="351" t="str">
        <f>EUconst_CNTR_WGConsumedEF &amp; I469</f>
        <v>WasteGasConsEF_</v>
      </c>
      <c r="Q507" s="422"/>
      <c r="R507" s="422"/>
      <c r="S507" s="422"/>
      <c r="T507" s="8"/>
    </row>
    <row r="508" spans="1:20" s="701" customFormat="1" x14ac:dyDescent="0.2">
      <c r="A508" s="422"/>
      <c r="B508" s="398"/>
      <c r="C508" s="398"/>
      <c r="D508" s="398"/>
      <c r="E508" s="1766" t="str">
        <f>Translations!$B$790</f>
        <v>Gazy odlotowe spalone na pochodniach</v>
      </c>
      <c r="F508" s="1767"/>
      <c r="G508" s="1767"/>
      <c r="H508" s="454" t="str">
        <f>EUconst_TJpa</f>
        <v>TJ / rok</v>
      </c>
      <c r="I508" s="1004" t="str">
        <f>IF($I469="","",IF(INDEX(F_ProductBM!I:I,MATCH($P508,F_ProductBM!$P:$P,0))="","",INDEX(F_ProductBM!I:I,MATCH($P508,F_ProductBM!$P:$P,0))))</f>
        <v/>
      </c>
      <c r="J508" s="1004" t="str">
        <f>IF($I469="","",IF(INDEX(F_ProductBM!J:J,MATCH($P508,F_ProductBM!$P:$P,0))="","",INDEX(F_ProductBM!J:J,MATCH($P508,F_ProductBM!$P:$P,0))))</f>
        <v/>
      </c>
      <c r="K508" s="1004" t="str">
        <f>IF($I469="","",IF(INDEX(F_ProductBM!K:K,MATCH($P508,F_ProductBM!$P:$P,0))="","",INDEX(F_ProductBM!K:K,MATCH($P508,F_ProductBM!$P:$P,0))))</f>
        <v/>
      </c>
      <c r="L508" s="1004" t="str">
        <f>IF($I469="","",IF(INDEX(F_ProductBM!L:L,MATCH($P508,F_ProductBM!$P:$P,0))="","",INDEX(F_ProductBM!L:L,MATCH($P508,F_ProductBM!$P:$P,0))))</f>
        <v/>
      </c>
      <c r="M508" s="1004" t="str">
        <f>IF($I469="","",IF(INDEX(F_ProductBM!M:M,MATCH($P508,F_ProductBM!$P:$P,0))="","",INDEX(F_ProductBM!M:M,MATCH($P508,F_ProductBM!$P:$P,0))))</f>
        <v/>
      </c>
      <c r="N508" s="831"/>
      <c r="O508" s="20"/>
      <c r="P508" s="351" t="str">
        <f>EUconst_CNTR_WGFlared &amp; I469</f>
        <v>WasteGasFlare_</v>
      </c>
      <c r="Q508" s="422"/>
      <c r="R508" s="422"/>
      <c r="S508" s="422"/>
      <c r="T508" s="8"/>
    </row>
    <row r="509" spans="1:20" s="701" customFormat="1" x14ac:dyDescent="0.2">
      <c r="A509" s="422"/>
      <c r="B509" s="398"/>
      <c r="C509" s="398"/>
      <c r="D509" s="398"/>
      <c r="E509" s="1743" t="str">
        <f>Translations!$B$791</f>
        <v>Właściwy współczynnik emisji (gazy odlotowe spalone na pochodniach)</v>
      </c>
      <c r="F509" s="1744"/>
      <c r="G509" s="1744"/>
      <c r="H509" s="473" t="str">
        <f>EUconst_tCO2pTJ</f>
        <v>t CO2 / TJ</v>
      </c>
      <c r="I509" s="1005" t="str">
        <f>IF($I469="","",IF(INDEX(F_ProductBM!I:I,MATCH($P509,F_ProductBM!$P:$P,0))="","",INDEX(F_ProductBM!I:I,MATCH($P509,F_ProductBM!$P:$P,0))))</f>
        <v/>
      </c>
      <c r="J509" s="1005" t="str">
        <f>IF($I469="","",IF(INDEX(F_ProductBM!J:J,MATCH($P509,F_ProductBM!$P:$P,0))="","",INDEX(F_ProductBM!J:J,MATCH($P509,F_ProductBM!$P:$P,0))))</f>
        <v/>
      </c>
      <c r="K509" s="1005" t="str">
        <f>IF($I469="","",IF(INDEX(F_ProductBM!K:K,MATCH($P509,F_ProductBM!$P:$P,0))="","",INDEX(F_ProductBM!K:K,MATCH($P509,F_ProductBM!$P:$P,0))))</f>
        <v/>
      </c>
      <c r="L509" s="1005" t="str">
        <f>IF($I469="","",IF(INDEX(F_ProductBM!L:L,MATCH($P509,F_ProductBM!$P:$P,0))="","",INDEX(F_ProductBM!L:L,MATCH($P509,F_ProductBM!$P:$P,0))))</f>
        <v/>
      </c>
      <c r="M509" s="1005" t="str">
        <f>IF($I469="","",IF(INDEX(F_ProductBM!M:M,MATCH($P509,F_ProductBM!$P:$P,0))="","",INDEX(F_ProductBM!M:M,MATCH($P509,F_ProductBM!$P:$P,0))))</f>
        <v/>
      </c>
      <c r="N509" s="831"/>
      <c r="O509" s="20"/>
      <c r="P509" s="351" t="str">
        <f>EUconst_CNTR_WGFlaredEF &amp; I469</f>
        <v>WasteGasFlareEF_</v>
      </c>
      <c r="Q509" s="422"/>
      <c r="R509" s="422"/>
      <c r="S509" s="422"/>
      <c r="T509" s="8"/>
    </row>
    <row r="510" spans="1:20" s="701" customFormat="1" x14ac:dyDescent="0.2">
      <c r="A510" s="422"/>
      <c r="B510" s="398"/>
      <c r="C510" s="398"/>
      <c r="D510" s="398"/>
      <c r="E510" s="1766" t="str">
        <f>Translations!$B$796</f>
        <v>Gazy odlotowe wprowadzone</v>
      </c>
      <c r="F510" s="1767"/>
      <c r="G510" s="1767"/>
      <c r="H510" s="454" t="str">
        <f>EUconst_TJpa</f>
        <v>TJ / rok</v>
      </c>
      <c r="I510" s="1004" t="str">
        <f>IF($I469="","",IF(INDEX(F_ProductBM!I:I,MATCH($P510,F_ProductBM!$P:$P,0))="","",INDEX(F_ProductBM!I:I,MATCH($P510,F_ProductBM!$P:$P,0))))</f>
        <v/>
      </c>
      <c r="J510" s="1004" t="str">
        <f>IF($I469="","",IF(INDEX(F_ProductBM!J:J,MATCH($P510,F_ProductBM!$P:$P,0))="","",INDEX(F_ProductBM!J:J,MATCH($P510,F_ProductBM!$P:$P,0))))</f>
        <v/>
      </c>
      <c r="K510" s="1004" t="str">
        <f>IF($I469="","",IF(INDEX(F_ProductBM!K:K,MATCH($P510,F_ProductBM!$P:$P,0))="","",INDEX(F_ProductBM!K:K,MATCH($P510,F_ProductBM!$P:$P,0))))</f>
        <v/>
      </c>
      <c r="L510" s="1004" t="str">
        <f>IF($I469="","",IF(INDEX(F_ProductBM!L:L,MATCH($P510,F_ProductBM!$P:$P,0))="","",INDEX(F_ProductBM!L:L,MATCH($P510,F_ProductBM!$P:$P,0))))</f>
        <v/>
      </c>
      <c r="M510" s="1004" t="str">
        <f>IF($I469="","",IF(INDEX(F_ProductBM!M:M,MATCH($P510,F_ProductBM!$P:$P,0))="","",INDEX(F_ProductBM!M:M,MATCH($P510,F_ProductBM!$P:$P,0))))</f>
        <v/>
      </c>
      <c r="N510" s="831"/>
      <c r="O510" s="20"/>
      <c r="P510" s="351" t="str">
        <f>EUconst_CNTR_WGImport &amp; I469</f>
        <v>WasteGasIm_</v>
      </c>
      <c r="Q510" s="422"/>
      <c r="R510" s="422"/>
      <c r="S510" s="422"/>
      <c r="T510" s="8"/>
    </row>
    <row r="511" spans="1:20" s="701" customFormat="1" x14ac:dyDescent="0.2">
      <c r="A511" s="422"/>
      <c r="B511" s="398"/>
      <c r="C511" s="398"/>
      <c r="D511" s="398"/>
      <c r="E511" s="1743" t="str">
        <f>Translations!$B$797</f>
        <v>Właściwy współczynnik emisji (gazy odlotowe wprowadzone)</v>
      </c>
      <c r="F511" s="1743"/>
      <c r="G511" s="1743"/>
      <c r="H511" s="832" t="str">
        <f>EUconst_tCO2pTJ</f>
        <v>t CO2 / TJ</v>
      </c>
      <c r="I511" s="1005" t="str">
        <f>IF($I469="","",IF(INDEX(F_ProductBM!I:I,MATCH($P511,F_ProductBM!$P:$P,0))="","",INDEX(F_ProductBM!I:I,MATCH($P511,F_ProductBM!$P:$P,0))))</f>
        <v/>
      </c>
      <c r="J511" s="1005" t="str">
        <f>IF($I469="","",IF(INDEX(F_ProductBM!J:J,MATCH($P511,F_ProductBM!$P:$P,0))="","",INDEX(F_ProductBM!J:J,MATCH($P511,F_ProductBM!$P:$P,0))))</f>
        <v/>
      </c>
      <c r="K511" s="1005" t="str">
        <f>IF($I469="","",IF(INDEX(F_ProductBM!K:K,MATCH($P511,F_ProductBM!$P:$P,0))="","",INDEX(F_ProductBM!K:K,MATCH($P511,F_ProductBM!$P:$P,0))))</f>
        <v/>
      </c>
      <c r="L511" s="1005" t="str">
        <f>IF($I469="","",IF(INDEX(F_ProductBM!L:L,MATCH($P511,F_ProductBM!$P:$P,0))="","",INDEX(F_ProductBM!L:L,MATCH($P511,F_ProductBM!$P:$P,0))))</f>
        <v/>
      </c>
      <c r="M511" s="1005" t="str">
        <f>IF($I469="","",IF(INDEX(F_ProductBM!M:M,MATCH($P511,F_ProductBM!$P:$P,0))="","",INDEX(F_ProductBM!M:M,MATCH($P511,F_ProductBM!$P:$P,0))))</f>
        <v/>
      </c>
      <c r="N511" s="831"/>
      <c r="O511" s="20"/>
      <c r="P511" s="351" t="str">
        <f>EUconst_CNTR_WGImportEF &amp; I469</f>
        <v>WasteGasImEF_</v>
      </c>
      <c r="Q511" s="422"/>
      <c r="R511" s="422"/>
      <c r="S511" s="422"/>
      <c r="T511" s="8"/>
    </row>
    <row r="512" spans="1:20" s="701" customFormat="1" x14ac:dyDescent="0.2">
      <c r="A512" s="422"/>
      <c r="B512" s="398"/>
      <c r="C512" s="398"/>
      <c r="D512" s="398"/>
      <c r="E512" s="1766" t="str">
        <f>Translations!$B$801</f>
        <v>Gazy odlotowe wyprowadzone</v>
      </c>
      <c r="F512" s="1767"/>
      <c r="G512" s="1767"/>
      <c r="H512" s="454" t="str">
        <f>EUconst_TJpa</f>
        <v>TJ / rok</v>
      </c>
      <c r="I512" s="1004" t="str">
        <f>IF($I469="","",IF(INDEX(F_ProductBM!I:I,MATCH($P512,F_ProductBM!$P:$P,0))="","",INDEX(F_ProductBM!I:I,MATCH($P512,F_ProductBM!$P:$P,0))))</f>
        <v/>
      </c>
      <c r="J512" s="1004" t="str">
        <f>IF($I469="","",IF(INDEX(F_ProductBM!J:J,MATCH($P512,F_ProductBM!$P:$P,0))="","",INDEX(F_ProductBM!J:J,MATCH($P512,F_ProductBM!$P:$P,0))))</f>
        <v/>
      </c>
      <c r="K512" s="1004" t="str">
        <f>IF($I469="","",IF(INDEX(F_ProductBM!K:K,MATCH($P512,F_ProductBM!$P:$P,0))="","",INDEX(F_ProductBM!K:K,MATCH($P512,F_ProductBM!$P:$P,0))))</f>
        <v/>
      </c>
      <c r="L512" s="1004" t="str">
        <f>IF($I469="","",IF(INDEX(F_ProductBM!L:L,MATCH($P512,F_ProductBM!$P:$P,0))="","",INDEX(F_ProductBM!L:L,MATCH($P512,F_ProductBM!$P:$P,0))))</f>
        <v/>
      </c>
      <c r="M512" s="1004" t="str">
        <f>IF($I469="","",IF(INDEX(F_ProductBM!M:M,MATCH($P512,F_ProductBM!$P:$P,0))="","",INDEX(F_ProductBM!M:M,MATCH($P512,F_ProductBM!$P:$P,0))))</f>
        <v/>
      </c>
      <c r="N512" s="831"/>
      <c r="O512" s="20"/>
      <c r="P512" s="351" t="str">
        <f>EUconst_CNTR_WGExport &amp; I469</f>
        <v>WasteGasEx_</v>
      </c>
      <c r="Q512" s="422"/>
      <c r="R512" s="422"/>
      <c r="S512" s="422"/>
      <c r="T512" s="8"/>
    </row>
    <row r="513" spans="1:20" s="701" customFormat="1" x14ac:dyDescent="0.2">
      <c r="A513" s="422"/>
      <c r="B513" s="398"/>
      <c r="C513" s="398"/>
      <c r="D513" s="398"/>
      <c r="E513" s="1743" t="str">
        <f>Translations!$B$802</f>
        <v>Właściwy współczynnik emisji (gazy odlotowe wyprowadzone)</v>
      </c>
      <c r="F513" s="1743"/>
      <c r="G513" s="1743"/>
      <c r="H513" s="832" t="str">
        <f>EUconst_tCO2pTJ</f>
        <v>t CO2 / TJ</v>
      </c>
      <c r="I513" s="1005" t="str">
        <f>IF($I469="","",IF(INDEX(F_ProductBM!I:I,MATCH($P513,F_ProductBM!$P:$P,0))="","",INDEX(F_ProductBM!I:I,MATCH($P513,F_ProductBM!$P:$P,0))))</f>
        <v/>
      </c>
      <c r="J513" s="1005" t="str">
        <f>IF($I469="","",IF(INDEX(F_ProductBM!J:J,MATCH($P513,F_ProductBM!$P:$P,0))="","",INDEX(F_ProductBM!J:J,MATCH($P513,F_ProductBM!$P:$P,0))))</f>
        <v/>
      </c>
      <c r="K513" s="1005" t="str">
        <f>IF($I469="","",IF(INDEX(F_ProductBM!K:K,MATCH($P513,F_ProductBM!$P:$P,0))="","",INDEX(F_ProductBM!K:K,MATCH($P513,F_ProductBM!$P:$P,0))))</f>
        <v/>
      </c>
      <c r="L513" s="1005" t="str">
        <f>IF($I469="","",IF(INDEX(F_ProductBM!L:L,MATCH($P513,F_ProductBM!$P:$P,0))="","",INDEX(F_ProductBM!L:L,MATCH($P513,F_ProductBM!$P:$P,0))))</f>
        <v/>
      </c>
      <c r="M513" s="1005" t="str">
        <f>IF($I469="","",IF(INDEX(F_ProductBM!M:M,MATCH($P513,F_ProductBM!$P:$P,0))="","",INDEX(F_ProductBM!M:M,MATCH($P513,F_ProductBM!$P:$P,0))))</f>
        <v/>
      </c>
      <c r="N513" s="831"/>
      <c r="O513" s="20"/>
      <c r="P513" s="351" t="str">
        <f>EUconst_CNTR_WGExportEF &amp; I469</f>
        <v>WasteGasExEF_</v>
      </c>
      <c r="Q513" s="422"/>
      <c r="R513" s="422"/>
      <c r="S513" s="422"/>
      <c r="T513" s="8"/>
    </row>
    <row r="514" spans="1:20" s="701" customFormat="1" x14ac:dyDescent="0.2">
      <c r="A514" s="422"/>
      <c r="B514" s="398"/>
      <c r="C514" s="398"/>
      <c r="D514" s="398"/>
      <c r="E514" s="516"/>
      <c r="F514" s="516"/>
      <c r="G514" s="516"/>
      <c r="H514" s="516"/>
      <c r="I514" s="1006"/>
      <c r="J514" s="1006"/>
      <c r="K514" s="1006"/>
      <c r="L514" s="1006"/>
      <c r="M514" s="1006"/>
      <c r="N514" s="831"/>
      <c r="O514" s="20"/>
      <c r="P514" s="182"/>
      <c r="Q514" s="422"/>
      <c r="R514" s="422"/>
      <c r="S514" s="422"/>
      <c r="T514" s="8"/>
    </row>
    <row r="515" spans="1:20" s="701" customFormat="1" x14ac:dyDescent="0.2">
      <c r="A515" s="422"/>
      <c r="B515" s="398"/>
      <c r="C515" s="398"/>
      <c r="D515" s="398"/>
      <c r="E515" s="1739" t="str">
        <f>Translations!$B$689</f>
        <v>Odpowiednie zużycie energii elektrycznej</v>
      </c>
      <c r="F515" s="1740"/>
      <c r="G515" s="1740"/>
      <c r="H515" s="453" t="str">
        <f>EUconst_MWhpa</f>
        <v>MWh / rok</v>
      </c>
      <c r="I515" s="1007" t="str">
        <f>IF($I469="","",IF(INDEX(F_ProductBM!I:I,MATCH($P515,F_ProductBM!$Q:$Q,0))="","",INDEX(F_ProductBM!I:I,MATCH($P515,F_ProductBM!$Q:$Q,0))))</f>
        <v/>
      </c>
      <c r="J515" s="1007" t="str">
        <f>IF($I469="","",IF(INDEX(F_ProductBM!J:J,MATCH($P515,F_ProductBM!$Q:$Q,0))="","",INDEX(F_ProductBM!J:J,MATCH($P515,F_ProductBM!$Q:$Q,0))))</f>
        <v/>
      </c>
      <c r="K515" s="1007" t="str">
        <f>IF($I469="","",IF(INDEX(F_ProductBM!K:K,MATCH($P515,F_ProductBM!$Q:$Q,0))="","",INDEX(F_ProductBM!K:K,MATCH($P515,F_ProductBM!$Q:$Q,0))))</f>
        <v/>
      </c>
      <c r="L515" s="1007" t="str">
        <f>IF($I469="","",IF(INDEX(F_ProductBM!L:L,MATCH($P515,F_ProductBM!$Q:$Q,0))="","",INDEX(F_ProductBM!L:L,MATCH($P515,F_ProductBM!$Q:$Q,0))))</f>
        <v/>
      </c>
      <c r="M515" s="1007" t="str">
        <f>IF($I469="","",IF(INDEX(F_ProductBM!M:M,MATCH($P515,F_ProductBM!$Q:$Q,0))="","",INDEX(F_ProductBM!M:M,MATCH($P515,F_ProductBM!$Q:$Q,0))))</f>
        <v/>
      </c>
      <c r="N515" s="831"/>
      <c r="O515" s="20"/>
      <c r="P515" s="185" t="str">
        <f>EUconst_CNTR_HAL&amp;EUconst_CNTR_ELEXCH &amp; I469</f>
        <v>HAL_ELEXCH_</v>
      </c>
      <c r="Q515" s="422"/>
      <c r="R515" s="422"/>
      <c r="S515" s="422"/>
      <c r="T515" s="8"/>
    </row>
    <row r="516" spans="1:20" s="701" customFormat="1" x14ac:dyDescent="0.2">
      <c r="A516" s="422"/>
      <c r="B516" s="398"/>
      <c r="C516" s="398"/>
      <c r="D516" s="398"/>
      <c r="E516" s="1739" t="str">
        <f>Translations!$B$805</f>
        <v>Energia elektryczna wytworzona</v>
      </c>
      <c r="F516" s="1740"/>
      <c r="G516" s="1740"/>
      <c r="H516" s="453" t="str">
        <f>EUconst_MWhpa</f>
        <v>MWh / rok</v>
      </c>
      <c r="I516" s="1007" t="str">
        <f>IF($I469="","",IF(INDEX(F_ProductBM!I:I,MATCH($P516,F_ProductBM!$P:$P,0))="","",INDEX(F_ProductBM!I:I,MATCH($P516,F_ProductBM!$P:$P,0))))</f>
        <v/>
      </c>
      <c r="J516" s="1007" t="str">
        <f>IF($I469="","",IF(INDEX(F_ProductBM!J:J,MATCH($P516,F_ProductBM!$P:$P,0))="","",INDEX(F_ProductBM!J:J,MATCH($P516,F_ProductBM!$P:$P,0))))</f>
        <v/>
      </c>
      <c r="K516" s="1007" t="str">
        <f>IF($I469="","",IF(INDEX(F_ProductBM!K:K,MATCH($P516,F_ProductBM!$P:$P,0))="","",INDEX(F_ProductBM!K:K,MATCH($P516,F_ProductBM!$P:$P,0))))</f>
        <v/>
      </c>
      <c r="L516" s="1007" t="str">
        <f>IF($I469="","",IF(INDEX(F_ProductBM!L:L,MATCH($P516,F_ProductBM!$P:$P,0))="","",INDEX(F_ProductBM!L:L,MATCH($P516,F_ProductBM!$P:$P,0))))</f>
        <v/>
      </c>
      <c r="M516" s="1007" t="str">
        <f>IF($I469="","",IF(INDEX(F_ProductBM!M:M,MATCH($P516,F_ProductBM!$P:$P,0))="","",INDEX(F_ProductBM!M:M,MATCH($P516,F_ProductBM!$P:$P,0))))</f>
        <v/>
      </c>
      <c r="N516" s="831"/>
      <c r="O516" s="20"/>
      <c r="P516" s="351" t="str">
        <f>EUconst_CNTR_ElectricityExported &amp; I469</f>
        <v>ElecEx_</v>
      </c>
      <c r="Q516" s="422"/>
      <c r="R516" s="422"/>
      <c r="S516" s="422"/>
      <c r="T516" s="8"/>
    </row>
    <row r="517" spans="1:20" s="701" customFormat="1" x14ac:dyDescent="0.2">
      <c r="A517" s="422"/>
      <c r="B517" s="398"/>
      <c r="C517" s="398"/>
      <c r="D517" s="398"/>
      <c r="E517" s="516"/>
      <c r="F517" s="516"/>
      <c r="G517" s="516"/>
      <c r="H517" s="516"/>
      <c r="I517" s="1006"/>
      <c r="J517" s="1006"/>
      <c r="K517" s="1006"/>
      <c r="L517" s="1006"/>
      <c r="M517" s="1006"/>
      <c r="N517" s="831"/>
      <c r="O517" s="20"/>
      <c r="P517" s="182"/>
      <c r="Q517" s="422"/>
      <c r="R517" s="422"/>
      <c r="S517" s="422"/>
      <c r="T517" s="8"/>
    </row>
    <row r="518" spans="1:20" s="701" customFormat="1" x14ac:dyDescent="0.2">
      <c r="A518" s="422"/>
      <c r="B518" s="398"/>
      <c r="C518" s="398"/>
      <c r="D518" s="398"/>
      <c r="E518" s="1739" t="str">
        <f>Translations!$B$806</f>
        <v>Całkowita ilość wyprodukowanej masy celulozowej</v>
      </c>
      <c r="F518" s="1740"/>
      <c r="G518" s="1740"/>
      <c r="H518" s="453" t="str">
        <f>EUconst_Tons</f>
        <v>tony</v>
      </c>
      <c r="I518" s="1007" t="str">
        <f>IF($I469="","",IF(INDEX(F_ProductBM!I:I,MATCH($P518,F_ProductBM!$P:$P,0))="","",INDEX(F_ProductBM!I:I,MATCH($P518,F_ProductBM!$P:$P,0))))</f>
        <v/>
      </c>
      <c r="J518" s="1007" t="str">
        <f>IF($I469="","",IF(INDEX(F_ProductBM!J:J,MATCH($P518,F_ProductBM!$P:$P,0))="","",INDEX(F_ProductBM!J:J,MATCH($P518,F_ProductBM!$P:$P,0))))</f>
        <v/>
      </c>
      <c r="K518" s="1007" t="str">
        <f>IF($I469="","",IF(INDEX(F_ProductBM!K:K,MATCH($P518,F_ProductBM!$P:$P,0))="","",INDEX(F_ProductBM!K:K,MATCH($P518,F_ProductBM!$P:$P,0))))</f>
        <v/>
      </c>
      <c r="L518" s="1007" t="str">
        <f>IF($I469="","",IF(INDEX(F_ProductBM!L:L,MATCH($P518,F_ProductBM!$P:$P,0))="","",INDEX(F_ProductBM!L:L,MATCH($P518,F_ProductBM!$P:$P,0))))</f>
        <v/>
      </c>
      <c r="M518" s="1007" t="str">
        <f>IF($I469="","",IF(INDEX(F_ProductBM!M:M,MATCH($P518,F_ProductBM!$P:$P,0))="","",INDEX(F_ProductBM!M:M,MATCH($P518,F_ProductBM!$P:$P,0))))</f>
        <v/>
      </c>
      <c r="N518" s="831"/>
      <c r="O518" s="20"/>
      <c r="P518" s="351" t="str">
        <f>EUconst_CNTR_HALPulpTotal &amp; I469</f>
        <v>HALPulpTotal_</v>
      </c>
      <c r="Q518" s="422"/>
      <c r="R518" s="422"/>
      <c r="S518" s="422"/>
      <c r="T518" s="8"/>
    </row>
    <row r="519" spans="1:20" s="701" customFormat="1" x14ac:dyDescent="0.2">
      <c r="A519" s="422"/>
      <c r="B519" s="398"/>
      <c r="C519" s="398"/>
      <c r="D519" s="398"/>
      <c r="E519" s="516"/>
      <c r="F519" s="516"/>
      <c r="G519" s="516"/>
      <c r="H519" s="516"/>
      <c r="I519" s="1006"/>
      <c r="J519" s="1006"/>
      <c r="K519" s="1006"/>
      <c r="L519" s="1006"/>
      <c r="M519" s="1006"/>
      <c r="N519" s="831"/>
      <c r="O519" s="20"/>
      <c r="P519" s="182"/>
      <c r="Q519" s="422"/>
      <c r="R519" s="422"/>
      <c r="S519" s="422"/>
      <c r="T519" s="8"/>
    </row>
    <row r="520" spans="1:20" s="701" customFormat="1" x14ac:dyDescent="0.2">
      <c r="A520" s="422"/>
      <c r="B520" s="398"/>
      <c r="C520" s="398"/>
      <c r="D520" s="398"/>
      <c r="E520" s="1251" t="str">
        <f>Translations!$B$1239</f>
        <v>Wprowadzanie pośrednie:</v>
      </c>
      <c r="F520" s="516"/>
      <c r="G520" s="516"/>
      <c r="H520" s="516"/>
      <c r="I520" s="1006"/>
      <c r="J520" s="1006"/>
      <c r="K520" s="1006"/>
      <c r="L520" s="1006"/>
      <c r="M520" s="1006"/>
      <c r="N520" s="831"/>
      <c r="O520" s="20"/>
      <c r="P520" s="182"/>
      <c r="Q520" s="422"/>
      <c r="R520" s="422"/>
      <c r="S520" s="422"/>
      <c r="T520" s="8"/>
    </row>
    <row r="521" spans="1:20" s="701" customFormat="1" x14ac:dyDescent="0.2">
      <c r="A521" s="422"/>
      <c r="B521" s="398"/>
      <c r="C521" s="398"/>
      <c r="D521" s="398"/>
      <c r="E521" s="1762" t="str">
        <f>IF($I469="","",IF(INDEX(F_ProductBM!E:E,MATCH($P521,F_ProductBM!$P:$P,0))="","",INDEX(F_ProductBM!E:E,MATCH($P521,F_ProductBM!$P:$P,0))))</f>
        <v/>
      </c>
      <c r="F521" s="1762"/>
      <c r="G521" s="1762"/>
      <c r="H521" s="453" t="str">
        <f>EUconst_Tons</f>
        <v>tony</v>
      </c>
      <c r="I521" s="1007" t="str">
        <f>IF($I469="","",IF(INDEX(F_ProductBM!I:I,MATCH($P521,F_ProductBM!$P:$P,0))="","",INDEX(F_ProductBM!I:I,MATCH($P521,F_ProductBM!$P:$P,0))))</f>
        <v/>
      </c>
      <c r="J521" s="1007" t="str">
        <f>IF($I469="","",IF(INDEX(F_ProductBM!J:J,MATCH($P521,F_ProductBM!$P:$P,0))="","",INDEX(F_ProductBM!J:J,MATCH($P521,F_ProductBM!$P:$P,0))))</f>
        <v/>
      </c>
      <c r="K521" s="1007" t="str">
        <f>IF($I469="","",IF(INDEX(F_ProductBM!K:K,MATCH($P521,F_ProductBM!$P:$P,0))="","",INDEX(F_ProductBM!K:K,MATCH($P521,F_ProductBM!$P:$P,0))))</f>
        <v/>
      </c>
      <c r="L521" s="1007" t="str">
        <f>IF($I469="","",IF(INDEX(F_ProductBM!L:L,MATCH($P521,F_ProductBM!$P:$P,0))="","",INDEX(F_ProductBM!L:L,MATCH($P521,F_ProductBM!$P:$P,0))))</f>
        <v/>
      </c>
      <c r="M521" s="1007" t="str">
        <f>IF($I469="","",IF(INDEX(F_ProductBM!M:M,MATCH($P521,F_ProductBM!$P:$P,0))="","",INDEX(F_ProductBM!M:M,MATCH($P521,F_ProductBM!$P:$P,0))))</f>
        <v/>
      </c>
      <c r="N521" s="831"/>
      <c r="O521" s="20"/>
      <c r="P521" s="351" t="str">
        <f>EUconst_CNTR_IntermediateImport &amp; R521 &amp; "_" &amp; I469</f>
        <v>IntImp_1_</v>
      </c>
      <c r="Q521" s="422"/>
      <c r="R521" s="879">
        <v>1</v>
      </c>
      <c r="S521" s="422"/>
      <c r="T521" s="8"/>
    </row>
    <row r="522" spans="1:20" s="701" customFormat="1" x14ac:dyDescent="0.2">
      <c r="A522" s="422"/>
      <c r="B522" s="398"/>
      <c r="C522" s="398"/>
      <c r="D522" s="398"/>
      <c r="E522" s="1762" t="str">
        <f>IF($I469="","",IF(INDEX(F_ProductBM!E:E,MATCH($P522,F_ProductBM!$P:$P,0))="","",INDEX(F_ProductBM!E:E,MATCH($P522,F_ProductBM!$P:$P,0))))</f>
        <v/>
      </c>
      <c r="F522" s="1762"/>
      <c r="G522" s="1762"/>
      <c r="H522" s="453" t="str">
        <f>EUconst_Tons</f>
        <v>tony</v>
      </c>
      <c r="I522" s="1007" t="str">
        <f>IF($I469="","",IF(INDEX(F_ProductBM!I:I,MATCH($P522,F_ProductBM!$P:$P,0))="","",INDEX(F_ProductBM!I:I,MATCH($P522,F_ProductBM!$P:$P,0))))</f>
        <v/>
      </c>
      <c r="J522" s="1007" t="str">
        <f>IF($I469="","",IF(INDEX(F_ProductBM!J:J,MATCH($P522,F_ProductBM!$P:$P,0))="","",INDEX(F_ProductBM!J:J,MATCH($P522,F_ProductBM!$P:$P,0))))</f>
        <v/>
      </c>
      <c r="K522" s="1007" t="str">
        <f>IF($I469="","",IF(INDEX(F_ProductBM!K:K,MATCH($P522,F_ProductBM!$P:$P,0))="","",INDEX(F_ProductBM!K:K,MATCH($P522,F_ProductBM!$P:$P,0))))</f>
        <v/>
      </c>
      <c r="L522" s="1007" t="str">
        <f>IF($I469="","",IF(INDEX(F_ProductBM!L:L,MATCH($P522,F_ProductBM!$P:$P,0))="","",INDEX(F_ProductBM!L:L,MATCH($P522,F_ProductBM!$P:$P,0))))</f>
        <v/>
      </c>
      <c r="M522" s="1007" t="str">
        <f>IF($I469="","",IF(INDEX(F_ProductBM!M:M,MATCH($P522,F_ProductBM!$P:$P,0))="","",INDEX(F_ProductBM!M:M,MATCH($P522,F_ProductBM!$P:$P,0))))</f>
        <v/>
      </c>
      <c r="N522" s="831"/>
      <c r="O522" s="20"/>
      <c r="P522" s="351" t="str">
        <f>EUconst_CNTR_IntermediateImport &amp; R522 &amp; "_" &amp; I469</f>
        <v>IntImp_2_</v>
      </c>
      <c r="Q522" s="422"/>
      <c r="R522" s="879">
        <v>2</v>
      </c>
      <c r="S522" s="422"/>
      <c r="T522" s="8"/>
    </row>
    <row r="523" spans="1:20" s="701" customFormat="1" x14ac:dyDescent="0.2">
      <c r="A523" s="422"/>
      <c r="B523" s="398"/>
      <c r="C523" s="398"/>
      <c r="D523" s="398"/>
      <c r="E523" s="1251" t="str">
        <f>Translations!$B$1240</f>
        <v>Wyprowadzanie pośrednie:</v>
      </c>
      <c r="F523" s="516"/>
      <c r="G523" s="516"/>
      <c r="H523" s="516"/>
      <c r="I523" s="1006"/>
      <c r="J523" s="1006"/>
      <c r="K523" s="1006"/>
      <c r="L523" s="1006"/>
      <c r="M523" s="1006"/>
      <c r="N523" s="831"/>
      <c r="O523" s="20"/>
      <c r="P523" s="182"/>
      <c r="Q523" s="422"/>
      <c r="R523" s="422"/>
      <c r="S523" s="422"/>
      <c r="T523" s="8"/>
    </row>
    <row r="524" spans="1:20" s="701" customFormat="1" x14ac:dyDescent="0.2">
      <c r="A524" s="422"/>
      <c r="B524" s="398"/>
      <c r="C524" s="398"/>
      <c r="D524" s="398"/>
      <c r="E524" s="1762" t="str">
        <f>IF($I469="","",IF(INDEX(F_ProductBM!E:E,MATCH($P524,F_ProductBM!$P:$P,0))="","",INDEX(F_ProductBM!E:E,MATCH($P524,F_ProductBM!$P:$P,0))))</f>
        <v/>
      </c>
      <c r="F524" s="1762"/>
      <c r="G524" s="1762"/>
      <c r="H524" s="453" t="str">
        <f>EUconst_Tons</f>
        <v>tony</v>
      </c>
      <c r="I524" s="1007" t="str">
        <f>IF($I469="","",IF(INDEX(F_ProductBM!I:I,MATCH($P524,F_ProductBM!$P:$P,0))="","",INDEX(F_ProductBM!I:I,MATCH($P524,F_ProductBM!$P:$P,0))))</f>
        <v/>
      </c>
      <c r="J524" s="1007" t="str">
        <f>IF($I469="","",IF(INDEX(F_ProductBM!J:J,MATCH($P524,F_ProductBM!$P:$P,0))="","",INDEX(F_ProductBM!J:J,MATCH($P524,F_ProductBM!$P:$P,0))))</f>
        <v/>
      </c>
      <c r="K524" s="1007" t="str">
        <f>IF($I469="","",IF(INDEX(F_ProductBM!K:K,MATCH($P524,F_ProductBM!$P:$P,0))="","",INDEX(F_ProductBM!K:K,MATCH($P524,F_ProductBM!$P:$P,0))))</f>
        <v/>
      </c>
      <c r="L524" s="1007" t="str">
        <f>IF($I469="","",IF(INDEX(F_ProductBM!L:L,MATCH($P524,F_ProductBM!$P:$P,0))="","",INDEX(F_ProductBM!L:L,MATCH($P524,F_ProductBM!$P:$P,0))))</f>
        <v/>
      </c>
      <c r="M524" s="1007" t="str">
        <f>IF($I469="","",IF(INDEX(F_ProductBM!M:M,MATCH($P524,F_ProductBM!$P:$P,0))="","",INDEX(F_ProductBM!M:M,MATCH($P524,F_ProductBM!$P:$P,0))))</f>
        <v/>
      </c>
      <c r="N524" s="831"/>
      <c r="O524" s="20"/>
      <c r="P524" s="351" t="str">
        <f>EUconst_CNTR_IntermediateExport &amp; R521 &amp; "_" &amp; I469</f>
        <v>IntExp_1_</v>
      </c>
      <c r="Q524" s="422"/>
      <c r="R524" s="879">
        <v>1</v>
      </c>
      <c r="S524" s="422"/>
      <c r="T524" s="8"/>
    </row>
    <row r="525" spans="1:20" s="701" customFormat="1" x14ac:dyDescent="0.2">
      <c r="A525" s="422"/>
      <c r="B525" s="398"/>
      <c r="C525" s="398"/>
      <c r="D525" s="398"/>
      <c r="E525" s="1762" t="str">
        <f>IF($I469="","",IF(INDEX(F_ProductBM!E:E,MATCH($P525,F_ProductBM!$P:$P,0))="","",INDEX(F_ProductBM!E:E,MATCH($P525,F_ProductBM!$P:$P,0))))</f>
        <v/>
      </c>
      <c r="F525" s="1762"/>
      <c r="G525" s="1762"/>
      <c r="H525" s="453" t="str">
        <f>EUconst_Tons</f>
        <v>tony</v>
      </c>
      <c r="I525" s="1007" t="str">
        <f>IF($I469="","",IF(INDEX(F_ProductBM!I:I,MATCH($P525,F_ProductBM!$P:$P,0))="","",INDEX(F_ProductBM!I:I,MATCH($P525,F_ProductBM!$P:$P,0))))</f>
        <v/>
      </c>
      <c r="J525" s="1007" t="str">
        <f>IF($I469="","",IF(INDEX(F_ProductBM!J:J,MATCH($P525,F_ProductBM!$P:$P,0))="","",INDEX(F_ProductBM!J:J,MATCH($P525,F_ProductBM!$P:$P,0))))</f>
        <v/>
      </c>
      <c r="K525" s="1007" t="str">
        <f>IF($I469="","",IF(INDEX(F_ProductBM!K:K,MATCH($P525,F_ProductBM!$P:$P,0))="","",INDEX(F_ProductBM!K:K,MATCH($P525,F_ProductBM!$P:$P,0))))</f>
        <v/>
      </c>
      <c r="L525" s="1007" t="str">
        <f>IF($I469="","",IF(INDEX(F_ProductBM!L:L,MATCH($P525,F_ProductBM!$P:$P,0))="","",INDEX(F_ProductBM!L:L,MATCH($P525,F_ProductBM!$P:$P,0))))</f>
        <v/>
      </c>
      <c r="M525" s="1007" t="str">
        <f>IF($I469="","",IF(INDEX(F_ProductBM!M:M,MATCH($P525,F_ProductBM!$P:$P,0))="","",INDEX(F_ProductBM!M:M,MATCH($P525,F_ProductBM!$P:$P,0))))</f>
        <v/>
      </c>
      <c r="N525" s="831"/>
      <c r="O525" s="20"/>
      <c r="P525" s="351" t="str">
        <f>EUconst_CNTR_IntermediateExport &amp; R525 &amp; "_" &amp; I469</f>
        <v>IntExp_2_</v>
      </c>
      <c r="Q525" s="422"/>
      <c r="R525" s="879">
        <v>2</v>
      </c>
      <c r="S525" s="422"/>
      <c r="T525" s="8"/>
    </row>
    <row r="526" spans="1:20" s="701" customFormat="1" x14ac:dyDescent="0.2">
      <c r="A526" s="422"/>
      <c r="B526" s="398"/>
      <c r="C526" s="398"/>
      <c r="D526" s="398"/>
      <c r="E526" s="516"/>
      <c r="F526" s="516"/>
      <c r="G526" s="516"/>
      <c r="H526" s="516"/>
      <c r="I526" s="831"/>
      <c r="J526" s="831"/>
      <c r="K526" s="831"/>
      <c r="L526" s="831"/>
      <c r="M526" s="831"/>
      <c r="N526" s="831"/>
      <c r="O526" s="20"/>
      <c r="P526" s="182"/>
      <c r="Q526" s="422"/>
      <c r="R526" s="422"/>
      <c r="S526" s="422"/>
      <c r="T526" s="8"/>
    </row>
    <row r="527" spans="1:20" s="701" customFormat="1" ht="13.5" thickBot="1" x14ac:dyDescent="0.25">
      <c r="A527" s="422"/>
      <c r="B527" s="398"/>
      <c r="C527" s="398"/>
      <c r="D527" s="398"/>
      <c r="E527" s="1017"/>
      <c r="O527" s="20"/>
      <c r="P527" s="422"/>
      <c r="Q527" s="422"/>
      <c r="R527" s="422"/>
      <c r="S527" s="422"/>
      <c r="T527" s="8"/>
    </row>
    <row r="528" spans="1:20" s="701" customFormat="1" ht="13.5" thickBot="1" x14ac:dyDescent="0.25">
      <c r="A528" s="422"/>
      <c r="B528" s="3"/>
      <c r="C528" s="281"/>
      <c r="D528" s="281"/>
      <c r="E528" s="281"/>
      <c r="F528" s="281"/>
      <c r="G528" s="281"/>
      <c r="H528" s="281"/>
      <c r="I528" s="281"/>
      <c r="J528" s="281"/>
      <c r="K528" s="281"/>
      <c r="L528" s="281"/>
      <c r="M528" s="281"/>
      <c r="N528" s="281"/>
      <c r="O528" s="20"/>
      <c r="P528" s="422"/>
      <c r="Q528" s="422"/>
      <c r="R528" s="422"/>
      <c r="S528" s="422"/>
      <c r="T528" s="8" t="s">
        <v>583</v>
      </c>
    </row>
    <row r="529" spans="1:20" s="701" customFormat="1" ht="15.75" thickBot="1" x14ac:dyDescent="0.3">
      <c r="A529" s="422"/>
      <c r="B529" s="398"/>
      <c r="C529" s="18">
        <f>C469+1</f>
        <v>2</v>
      </c>
      <c r="D529" s="1439" t="str">
        <f>CONCATENATE(EUconst_BMSubinst," ",C529, ":")</f>
        <v>Podinstalacja i wskaźnik emisyjności dla produktów 2:</v>
      </c>
      <c r="E529" s="1439"/>
      <c r="F529" s="1439"/>
      <c r="G529" s="1439"/>
      <c r="H529" s="2024"/>
      <c r="I529" s="1781" t="str">
        <f>IF(INDEX(CNTR_SubInstListIsProdBM,$C529),INDEX(CNTR_SubInstListNames,$C529),"")</f>
        <v/>
      </c>
      <c r="J529" s="2025"/>
      <c r="K529" s="2025"/>
      <c r="L529" s="2025"/>
      <c r="M529" s="2025"/>
      <c r="N529" s="2026"/>
      <c r="O529" s="20"/>
      <c r="P529" s="422"/>
      <c r="Q529" s="986">
        <f>C529</f>
        <v>2</v>
      </c>
      <c r="R529" s="983" t="str">
        <f>I529</f>
        <v/>
      </c>
      <c r="S529" s="985" t="str">
        <f>H532</f>
        <v>Nie dotyczy</v>
      </c>
      <c r="T529" s="984" t="str">
        <f>IF(M541="","",IF(S532=0,0,SUM(M541)/S532))</f>
        <v/>
      </c>
    </row>
    <row r="530" spans="1:20" s="701" customFormat="1" ht="13.5" thickBot="1" x14ac:dyDescent="0.25">
      <c r="A530" s="422"/>
      <c r="B530" s="398"/>
      <c r="C530" s="398"/>
      <c r="D530" s="398"/>
      <c r="E530" s="398"/>
      <c r="F530" s="398"/>
      <c r="G530" s="398"/>
      <c r="H530" s="398"/>
      <c r="I530" s="398"/>
      <c r="J530" s="398"/>
      <c r="K530" s="398"/>
      <c r="L530" s="398"/>
      <c r="M530" s="398"/>
      <c r="N530" s="398"/>
      <c r="O530" s="20"/>
      <c r="P530" s="422"/>
      <c r="Q530" s="422"/>
      <c r="R530" s="422"/>
      <c r="S530" s="422"/>
      <c r="T530" s="8"/>
    </row>
    <row r="531" spans="1:20" s="1299" customFormat="1" ht="51" x14ac:dyDescent="0.2">
      <c r="A531" s="970"/>
      <c r="B531" s="1300"/>
      <c r="C531" s="1300"/>
      <c r="D531" s="1300"/>
      <c r="E531" s="1300"/>
      <c r="F531" s="1300"/>
      <c r="G531" s="1300"/>
      <c r="H531" s="1304" t="str">
        <f>Translations!$B$1204</f>
        <v>narażenie na ryzyko ucieczki emisji</v>
      </c>
      <c r="I531" s="1305" t="s">
        <v>516</v>
      </c>
      <c r="J531" s="1305" t="str">
        <f>Translations!$B$1208</f>
        <v>Rozpoczęcie</v>
      </c>
      <c r="K531" s="1305" t="str">
        <f>Translations!$B$1206</f>
        <v>Nr wskaźnika</v>
      </c>
      <c r="L531" s="1306" t="str">
        <f>Translations!$B$1212</f>
        <v>Art. 15 ust. 7 akapit trzeci?</v>
      </c>
      <c r="M531" s="1307" t="str">
        <f>Translations!$B$1234</f>
        <v>Wart. wskaźnika (min./maks./faktyczna)</v>
      </c>
      <c r="N531" s="1308"/>
      <c r="O531" s="121"/>
      <c r="P531" s="970"/>
      <c r="Q531" s="970"/>
      <c r="R531" s="970"/>
      <c r="S531" s="970"/>
      <c r="T531" s="972"/>
    </row>
    <row r="532" spans="1:20" s="701" customFormat="1" x14ac:dyDescent="0.2">
      <c r="A532" s="422"/>
      <c r="B532" s="398"/>
      <c r="C532" s="398"/>
      <c r="D532" s="398"/>
      <c r="E532" s="652" t="str">
        <f>I529</f>
        <v/>
      </c>
      <c r="F532" s="653"/>
      <c r="G532" s="590"/>
      <c r="H532" s="654" t="str">
        <f>IF(K532=EUconst_NA,EUconst_NA,INDEX(EUconst_BMlistCLstatus,K532))</f>
        <v>Nie dotyczy</v>
      </c>
      <c r="I532" s="655" t="str">
        <f>IF(E532="","",INDEX(EUconst_BMlistElExchangability,K532))</f>
        <v/>
      </c>
      <c r="J532" s="857" t="str">
        <f>IF($I529="",EUconst_NA,INDEX(CNTR_SubInstStartDate,MATCH(E532,CNTR_SubInstListNames,0)))</f>
        <v>Nie dotyczy</v>
      </c>
      <c r="K532" s="536" t="str">
        <f>IF($I529="",EUconst_NA,MATCH(E532,EUconst_BMlistNames,0))</f>
        <v>Nie dotyczy</v>
      </c>
      <c r="L532" s="1071" t="str">
        <f>IF(E532="","",INDEX(CNTR_SubInstLess1Year,MATCH(E532,CNTR_SubInstListNames,0)))</f>
        <v/>
      </c>
      <c r="M532" s="1073" t="str">
        <f>IF(I529="",EUconst_NA,INDEX(EUconst_BMlistBMvaluesMatrix,K532,2))</f>
        <v>Nie dotyczy</v>
      </c>
      <c r="N532" s="1074" t="str">
        <f>EUconst_EUA &amp; "/" &amp; H537</f>
        <v>Uprawnienia do emisji ogólnych/tony</v>
      </c>
      <c r="O532" s="20"/>
      <c r="P532" s="422"/>
      <c r="Q532" s="422"/>
      <c r="R532" s="736" t="s">
        <v>577</v>
      </c>
      <c r="S532" s="822" t="str">
        <f>IF(H532=EUconst_NA,"",IF(H532,1,INDEX(EUconst_CLEFYears,1)))</f>
        <v/>
      </c>
      <c r="T532" s="8"/>
    </row>
    <row r="533" spans="1:20" s="1299" customFormat="1" ht="51" x14ac:dyDescent="0.2">
      <c r="A533" s="970"/>
      <c r="B533" s="1300"/>
      <c r="C533" s="1300"/>
      <c r="D533" s="1300"/>
      <c r="G533" s="1305" t="str">
        <f>Translations!$B$1218</f>
        <v>ciepło nieobjęte systemem EU ETS</v>
      </c>
      <c r="H533" s="1306" t="str">
        <f>Translations!$B$1220</f>
        <v>WGflare</v>
      </c>
      <c r="I533" s="1305" t="s">
        <v>572</v>
      </c>
      <c r="J533" s="1305" t="s">
        <v>573</v>
      </c>
      <c r="K533" s="1305" t="s">
        <v>574</v>
      </c>
      <c r="L533" s="1306" t="str">
        <f>Translations!$B$1214</f>
        <v>Art. 15 ust. 7 akapit trzeci – HPD</v>
      </c>
      <c r="M533" s="1309" t="str">
        <f>IF(I529="",EUconst_NA,INDEX(EUconst_BMlistBMvaluesMatrix,K532,1))</f>
        <v>Nie dotyczy</v>
      </c>
      <c r="N533" s="1303" t="str">
        <f>EUconst_EUA &amp; "/" &amp; H537</f>
        <v>Uprawnienia do emisji ogólnych/tony</v>
      </c>
      <c r="O533" s="121"/>
      <c r="P533" s="970"/>
      <c r="Q533" s="970"/>
      <c r="R533" s="1310"/>
      <c r="S533" s="1311"/>
      <c r="T533" s="972"/>
    </row>
    <row r="534" spans="1:20" s="701" customFormat="1" ht="13.5" thickBot="1" x14ac:dyDescent="0.25">
      <c r="A534" s="422"/>
      <c r="B534" s="398"/>
      <c r="C534" s="398"/>
      <c r="D534" s="398"/>
      <c r="E534" s="877" t="str">
        <f>Translations!$B$1235</f>
        <v>Czynniki szczególne:</v>
      </c>
      <c r="F534" s="878"/>
      <c r="G534" s="536" t="str">
        <f>IF($I529="","",SUMIF(F_ProductBM!$P:$P,EUconst_CNTR_HEAT&amp;$I529,F_ProductBM!$Q:$Q))</f>
        <v/>
      </c>
      <c r="H534" s="855" t="str">
        <f>IF(OR($I529="",CNTR_BaselinePeriod&lt;&gt;2),"",SUMIF(F_ProductBM!$P:$P,EUconst_CNTR_WGFlaredEF &amp; I529,F_ProductBM!$R:$R))</f>
        <v/>
      </c>
      <c r="I534" s="821">
        <f>IF(AND($I529&lt;&gt;"",$I532=TRUE),IF(ISNUMBER(INDEX(F_ProductBM!$Q:$Q,MATCH(EUconst_CNTR_ELEXCH&amp;$I529,F_ProductBM!$P:$P,0))),INDEX(F_ProductBM!$Q:$Q,MATCH(EUconst_CNTR_ELEXCH&amp;$I529,F_ProductBM!$P:$P,0)),1),1)</f>
        <v>1</v>
      </c>
      <c r="J534" s="536" t="str">
        <f>IF($I529="","",IF($K532=42,SUMIF(H_SpecialBM!$P$9:$P$384,EUconst_CNTR_HVC,H_SpecialBM!$I$9:$I$384),0))</f>
        <v/>
      </c>
      <c r="K534" s="876" t="str">
        <f>IF($I529="","",IF($K532=47,IF(ISNUMBER(INDEX(H_SpecialBM!$I$9:$I$384,MATCH(EUconst_CNTR_VCM,H_SpecialBM!$P$9:$P$384,0))),INDEX(H_SpecialBM!$I$9:$I$384,MATCH(EUconst_CNTR_VCM,H_SpecialBM!$P$9:$P$384,0)),1),1))</f>
        <v/>
      </c>
      <c r="L534" s="855" t="str">
        <f>IF($L532=TRUE,SUMIF(F_ProductBM!$P$11:$P$2192,EUconst_CNTR_HAL&amp;$I529,F_ProductBM!$N$11:$N$2192),"")</f>
        <v/>
      </c>
      <c r="M534" s="1075" t="str">
        <f>IF(I529="",EUconst_NA,IF(EUconst_StatusOfDataCollection,INDEX(EUconst_BMlistBMvaluesMatrix,K532,3),""))</f>
        <v>Nie dotyczy</v>
      </c>
      <c r="N534" s="1076" t="str">
        <f>EUconst_EUA &amp; "/" &amp; H537</f>
        <v>Uprawnienia do emisji ogólnych/tony</v>
      </c>
      <c r="O534" s="20"/>
      <c r="P534" s="422"/>
      <c r="Q534" s="422"/>
      <c r="R534" s="736"/>
      <c r="S534" s="875"/>
      <c r="T534" s="8"/>
    </row>
    <row r="535" spans="1:20" s="701" customFormat="1" x14ac:dyDescent="0.2">
      <c r="A535" s="422"/>
      <c r="B535" s="398"/>
      <c r="C535" s="398"/>
      <c r="D535" s="398"/>
      <c r="E535" s="398"/>
      <c r="F535" s="398"/>
      <c r="G535" s="398"/>
      <c r="H535" s="398"/>
      <c r="I535" s="398"/>
      <c r="J535" s="398"/>
      <c r="K535" s="398"/>
      <c r="L535" s="398"/>
      <c r="M535" s="398"/>
      <c r="N535" s="398"/>
      <c r="O535" s="20"/>
      <c r="P535" s="422"/>
      <c r="Q535" s="422"/>
      <c r="R535" s="422"/>
      <c r="S535" s="422"/>
      <c r="T535" s="8"/>
    </row>
    <row r="536" spans="1:20" s="701" customFormat="1" x14ac:dyDescent="0.2">
      <c r="A536" s="422"/>
      <c r="B536" s="398"/>
      <c r="C536" s="398"/>
      <c r="D536" s="398"/>
      <c r="E536" s="656"/>
      <c r="F536" s="656"/>
      <c r="G536" s="657"/>
      <c r="H536" s="873" t="str">
        <f>EUconst_Unit</f>
        <v>Jednostka</v>
      </c>
      <c r="I536" s="432">
        <f>I$1397</f>
        <v>2014</v>
      </c>
      <c r="J536" s="432">
        <f>J$1397</f>
        <v>2015</v>
      </c>
      <c r="K536" s="432">
        <f>K$1397</f>
        <v>2016</v>
      </c>
      <c r="L536" s="432">
        <f>L$1397</f>
        <v>2017</v>
      </c>
      <c r="M536" s="432">
        <f>M$1397</f>
        <v>2018</v>
      </c>
      <c r="N536" s="398"/>
      <c r="O536" s="20"/>
      <c r="P536" s="185" t="s">
        <v>237</v>
      </c>
      <c r="Q536" s="422"/>
      <c r="R536" s="422"/>
      <c r="S536" s="422"/>
      <c r="T536" s="8"/>
    </row>
    <row r="537" spans="1:20" s="701" customFormat="1" x14ac:dyDescent="0.2">
      <c r="A537" s="422"/>
      <c r="B537" s="398"/>
      <c r="C537" s="398"/>
      <c r="D537" s="398"/>
      <c r="E537" s="658" t="str">
        <f>Translations!$B$1236</f>
        <v>Zgłoszony HPD (historyczny poziom działalności)</v>
      </c>
      <c r="F537" s="659"/>
      <c r="G537" s="660"/>
      <c r="H537" s="654" t="str">
        <f>IF(ISNUMBER(K532),INDEX(EUconst_BMlistUnits,K532),EUconst_Tons)</f>
        <v>tony</v>
      </c>
      <c r="I537" s="536" t="str">
        <f>IF($I529="","",SUMIF(F_ProductBM!$P$11:$P$1876,$P537,F_ProductBM!I$11:I$1876))</f>
        <v/>
      </c>
      <c r="J537" s="536" t="str">
        <f>IF($I529="","",SUMIF(F_ProductBM!$P$11:$P$1876,$P537,F_ProductBM!J$11:J$1876))</f>
        <v/>
      </c>
      <c r="K537" s="536" t="str">
        <f>IF($I529="","",SUMIF(F_ProductBM!$P$11:$P$1876,$P537,F_ProductBM!K$11:K$1876))</f>
        <v/>
      </c>
      <c r="L537" s="536" t="str">
        <f>IF($I529="","",SUMIF(F_ProductBM!$P$11:$P$1876,$P537,F_ProductBM!L$11:L$1876))</f>
        <v/>
      </c>
      <c r="M537" s="536" t="str">
        <f>IF($I529="","",SUMIF(F_ProductBM!$P$11:$P$1876,$P537,F_ProductBM!M$11:M$1876))</f>
        <v/>
      </c>
      <c r="N537" s="651" t="str">
        <f>Translations!$B$1224</f>
        <v>Średnia</v>
      </c>
      <c r="O537" s="20"/>
      <c r="P537" s="185" t="str">
        <f>EUconst_CNTR_HAL&amp;I529</f>
        <v>HAL_</v>
      </c>
      <c r="Q537" s="422"/>
      <c r="R537" s="422"/>
      <c r="S537" s="422"/>
      <c r="T537" s="8"/>
    </row>
    <row r="538" spans="1:20" s="701" customFormat="1" x14ac:dyDescent="0.2">
      <c r="A538" s="422"/>
      <c r="B538" s="398"/>
      <c r="C538" s="398"/>
      <c r="D538" s="398"/>
      <c r="E538" s="658" t="str">
        <f>Translations!$B$1237</f>
        <v>Wartości wykorzystywane do obliczania zgłoszonego HPD:</v>
      </c>
      <c r="F538" s="659"/>
      <c r="G538" s="660"/>
      <c r="H538" s="654" t="str">
        <f>H537</f>
        <v>tony</v>
      </c>
      <c r="I538" s="536" t="str">
        <f>IF($I529="","",INDEX(F_ProductBM!S$11:S$1876,MATCH($P538,F_ProductBM!$P$11:$P$1876,0)))</f>
        <v/>
      </c>
      <c r="J538" s="536" t="str">
        <f>IF($I529="","",INDEX(F_ProductBM!T$11:T$1876,MATCH($P538,F_ProductBM!$P$11:$P$1876,0)))</f>
        <v/>
      </c>
      <c r="K538" s="536" t="str">
        <f>IF($I529="","",INDEX(F_ProductBM!U$11:U$1876,MATCH($P538,F_ProductBM!$P$11:$P$1876,0)))</f>
        <v/>
      </c>
      <c r="L538" s="536" t="str">
        <f>IF($I529="","",INDEX(F_ProductBM!V$11:V$1876,MATCH($P538,F_ProductBM!$P$11:$P$1876,0)))</f>
        <v/>
      </c>
      <c r="M538" s="536" t="str">
        <f>IF($I529="","",INDEX(F_ProductBM!W$11:W$1876,MATCH($P538,F_ProductBM!$P$11:$P$1876,0)))</f>
        <v/>
      </c>
      <c r="N538" s="536" t="str">
        <f>IF(OR($I529="",$L532=TRUE),"",IF(COUNT($I538:$M538)&gt;0,AVERAGE($I538:$M538),""))</f>
        <v/>
      </c>
      <c r="O538" s="20"/>
      <c r="P538" s="185" t="str">
        <f>EUconst_CNTR_HAL&amp;I529</f>
        <v>HAL_</v>
      </c>
      <c r="Q538" s="422"/>
      <c r="R538" s="1013" t="s">
        <v>630</v>
      </c>
      <c r="S538" s="1013" t="s">
        <v>631</v>
      </c>
      <c r="T538" s="1013" t="s">
        <v>632</v>
      </c>
    </row>
    <row r="539" spans="1:20" s="701" customFormat="1" ht="13.5" thickBot="1" x14ac:dyDescent="0.25">
      <c r="A539" s="422"/>
      <c r="B539" s="398"/>
      <c r="C539" s="398"/>
      <c r="D539" s="398"/>
      <c r="E539" s="874"/>
      <c r="F539" s="874"/>
      <c r="G539" s="874"/>
      <c r="H539" s="874"/>
      <c r="I539" s="874"/>
      <c r="J539" s="874"/>
      <c r="K539" s="874"/>
      <c r="L539" s="874"/>
      <c r="O539" s="20"/>
      <c r="P539" s="422"/>
      <c r="Q539" s="422"/>
      <c r="R539" s="422"/>
      <c r="S539" s="422"/>
      <c r="T539" s="8"/>
    </row>
    <row r="540" spans="1:20" s="701" customFormat="1" ht="13.5" thickBot="1" x14ac:dyDescent="0.25">
      <c r="A540" s="422"/>
      <c r="B540" s="398"/>
      <c r="D540" s="398"/>
      <c r="E540" s="874"/>
      <c r="F540" s="823" t="s">
        <v>520</v>
      </c>
      <c r="G540" s="824"/>
      <c r="I540" s="823" t="str">
        <f>Translations!$B$1226</f>
        <v>Wst. przydział rok 1 (min.)</v>
      </c>
      <c r="J540" s="824"/>
      <c r="K540" s="823" t="str">
        <f>Translations!$B$1229</f>
        <v>Wst. przydział rok 1 (maks.)</v>
      </c>
      <c r="L540" s="824"/>
      <c r="M540" s="823" t="str">
        <f>Translations!$B$1231</f>
        <v>Wst. przydział rok 1 (faktyczny)</v>
      </c>
      <c r="N540" s="824"/>
      <c r="O540" s="20"/>
      <c r="P540" s="185" t="str">
        <f>EUconst_AllocPrelim&amp;I529</f>
        <v>AllocPrelim_</v>
      </c>
      <c r="Q540" s="422"/>
      <c r="R540" s="982" t="str">
        <f>IF(I541="","",IF(S532=0,0,SUM(I541)/S532))</f>
        <v/>
      </c>
      <c r="S540" s="982" t="str">
        <f>IF(K541="","",IF(S532=0,0,SUM(K541)/S532))</f>
        <v/>
      </c>
      <c r="T540" s="982" t="str">
        <f>T529</f>
        <v/>
      </c>
    </row>
    <row r="541" spans="1:20" s="701" customFormat="1" ht="13.5" thickBot="1" x14ac:dyDescent="0.25">
      <c r="A541" s="422"/>
      <c r="B541" s="398"/>
      <c r="E541" s="874"/>
      <c r="F541" s="662" t="str">
        <f>IF(I529="","",MAX(0, IF(L532=TRUE, SUM(L534), SUM(N538))))</f>
        <v/>
      </c>
      <c r="G541" s="663" t="str">
        <f>H537&amp;" / "&amp;EUconst_Year</f>
        <v>tony / rok</v>
      </c>
      <c r="I541" s="820" t="str">
        <f>IF(I529="","",ROUND((SUM(M532)*SUM(F541)*SUM(I534)*SUM(K534)-SUM(G534)-SUM(H534)+SUM(J534))*SUM(S532),0))</f>
        <v/>
      </c>
      <c r="J541" s="966" t="str">
        <f>EUconst_EUApa</f>
        <v>Uprawnienia do emisji ogólnych / rok</v>
      </c>
      <c r="K541" s="820" t="str">
        <f>IF(I529="","",ROUND((SUM(M533)*SUM(F541)*SUM(I534)*SUM(K534)-SUM(G534)-SUM(H534)+SUM(J534))*SUM(S532),0))</f>
        <v/>
      </c>
      <c r="L541" s="966" t="str">
        <f>EUconst_EUApa</f>
        <v>Uprawnienia do emisji ogólnych / rok</v>
      </c>
      <c r="M541" s="820" t="str">
        <f>IF(OR(I529="",M534=""),"",ROUND((SUM(M534)*SUM(F541)*SUM(I534)*SUM(K534)-SUM(G534)-SUM(H534)+SUM(J534))*SUM(S532),0))</f>
        <v/>
      </c>
      <c r="N541" s="966" t="str">
        <f>EUconst_EUApa</f>
        <v>Uprawnienia do emisji ogólnych / rok</v>
      </c>
      <c r="O541" s="20"/>
      <c r="P541" s="185" t="str">
        <f>EUconst_HALsum &amp; I529</f>
        <v>HALsum_</v>
      </c>
      <c r="Q541" s="422"/>
      <c r="R541" s="422"/>
      <c r="S541" s="422"/>
      <c r="T541" s="8"/>
    </row>
    <row r="542" spans="1:20" s="701" customFormat="1" x14ac:dyDescent="0.2">
      <c r="A542" s="422"/>
      <c r="B542" s="398"/>
      <c r="C542" s="398"/>
      <c r="E542" s="425"/>
      <c r="F542" s="398"/>
      <c r="G542" s="398"/>
      <c r="H542" s="398"/>
      <c r="I542" s="398"/>
      <c r="J542" s="398"/>
      <c r="K542" s="398"/>
      <c r="L542" s="398"/>
      <c r="M542" s="398"/>
      <c r="N542" s="398"/>
      <c r="O542" s="20"/>
      <c r="P542" s="422"/>
      <c r="Q542" s="422"/>
      <c r="R542" s="422"/>
      <c r="S542" s="422"/>
      <c r="T542" s="8"/>
    </row>
    <row r="543" spans="1:20" s="701" customFormat="1" x14ac:dyDescent="0.2">
      <c r="A543" s="422"/>
      <c r="B543" s="398"/>
      <c r="C543" s="398"/>
      <c r="D543" s="398"/>
      <c r="E543" s="516"/>
      <c r="F543" s="831"/>
      <c r="G543" s="831"/>
      <c r="H543" s="831"/>
      <c r="I543" s="831"/>
      <c r="J543" s="831"/>
      <c r="K543" s="831"/>
      <c r="L543" s="831"/>
      <c r="M543" s="831"/>
      <c r="N543" s="831"/>
      <c r="O543" s="20"/>
      <c r="P543" s="422"/>
      <c r="Q543" s="422"/>
      <c r="R543" s="422"/>
      <c r="S543" s="422"/>
      <c r="T543" s="8"/>
    </row>
    <row r="544" spans="1:20" s="701" customFormat="1" ht="13.5" thickBot="1" x14ac:dyDescent="0.25">
      <c r="A544" s="422"/>
      <c r="B544" s="398"/>
      <c r="C544" s="398"/>
      <c r="D544" s="398"/>
      <c r="E544" s="516"/>
      <c r="F544" s="831"/>
      <c r="G544" s="831"/>
      <c r="H544" s="515" t="str">
        <f>EUconst_Unit</f>
        <v>Jednostka</v>
      </c>
      <c r="I544" s="1011">
        <f>I$1397</f>
        <v>2014</v>
      </c>
      <c r="J544" s="451">
        <f>J$1397</f>
        <v>2015</v>
      </c>
      <c r="K544" s="451">
        <f>K$1397</f>
        <v>2016</v>
      </c>
      <c r="L544" s="451">
        <f>L$1397</f>
        <v>2017</v>
      </c>
      <c r="M544" s="451">
        <f>M$1397</f>
        <v>2018</v>
      </c>
      <c r="N544" s="831"/>
      <c r="O544" s="20"/>
      <c r="P544" s="422"/>
      <c r="Q544" s="422"/>
      <c r="R544" s="422"/>
      <c r="S544" s="422"/>
      <c r="T544" s="8"/>
    </row>
    <row r="545" spans="1:20" s="701" customFormat="1" ht="13.5" thickBot="1" x14ac:dyDescent="0.25">
      <c r="A545" s="422"/>
      <c r="B545" s="398"/>
      <c r="C545" s="398"/>
      <c r="D545" s="398"/>
      <c r="E545" s="1876" t="str">
        <f>Translations!$B$1238</f>
        <v>Całkowite przypisane emisje</v>
      </c>
      <c r="F545" s="1876"/>
      <c r="G545" s="1876"/>
      <c r="H545" s="968" t="str">
        <f>EUconst_tCO2epa</f>
        <v>t CO2e/rok</v>
      </c>
      <c r="I545" s="1000" t="str">
        <f>INDEX(I$93:I$109,MATCH($I529,$E$93:$E$109,0))</f>
        <v/>
      </c>
      <c r="J545" s="1001" t="str">
        <f>INDEX(J$93:J$109,MATCH($I529,$E$93:$E$109,0))</f>
        <v/>
      </c>
      <c r="K545" s="1001" t="str">
        <f>INDEX(K$93:K$109,MATCH($I529,$E$93:$E$109,0))</f>
        <v/>
      </c>
      <c r="L545" s="1001" t="str">
        <f>INDEX(L$93:L$109,MATCH($I529,$E$93:$E$109,0))</f>
        <v/>
      </c>
      <c r="M545" s="1002" t="str">
        <f>INDEX(M$93:M$109,MATCH($I529,$E$93:$E$109,0))</f>
        <v/>
      </c>
      <c r="N545" s="831"/>
      <c r="O545" s="20"/>
      <c r="P545" s="422"/>
      <c r="Q545" s="422"/>
      <c r="R545" s="422"/>
      <c r="S545" s="422"/>
      <c r="T545" s="8"/>
    </row>
    <row r="546" spans="1:20" s="701" customFormat="1" x14ac:dyDescent="0.2">
      <c r="A546" s="422"/>
      <c r="B546" s="398"/>
      <c r="C546" s="398"/>
      <c r="D546" s="398"/>
      <c r="E546" s="516"/>
      <c r="F546" s="516"/>
      <c r="G546" s="516"/>
      <c r="H546" s="516"/>
      <c r="I546" s="1003"/>
      <c r="J546" s="1003"/>
      <c r="K546" s="1003"/>
      <c r="L546" s="1003"/>
      <c r="M546" s="1003"/>
      <c r="N546" s="516"/>
      <c r="O546" s="20"/>
      <c r="P546" s="422"/>
      <c r="Q546" s="422"/>
      <c r="R546" s="422"/>
      <c r="S546" s="422"/>
      <c r="T546" s="8"/>
    </row>
    <row r="547" spans="1:20" s="701" customFormat="1" x14ac:dyDescent="0.2">
      <c r="A547" s="422"/>
      <c r="B547" s="398"/>
      <c r="C547" s="398"/>
      <c r="D547" s="398"/>
      <c r="E547" s="1766" t="str">
        <f>Translations!$B$731</f>
        <v>Wsad paliwa</v>
      </c>
      <c r="F547" s="1767"/>
      <c r="G547" s="1767"/>
      <c r="H547" s="454" t="str">
        <f>EUconst_TJpa</f>
        <v>TJ / rok</v>
      </c>
      <c r="I547" s="1004" t="str">
        <f>IF($I529="","",IF(INDEX(F_ProductBM!I:I,MATCH($P547,F_ProductBM!$P:$P,0))="","",INDEX(F_ProductBM!I:I,MATCH($P547,F_ProductBM!$P:$P,0))))</f>
        <v/>
      </c>
      <c r="J547" s="1004" t="str">
        <f>IF($I529="","",IF(INDEX(F_ProductBM!J:J,MATCH($P547,F_ProductBM!$P:$P,0))="","",INDEX(F_ProductBM!J:J,MATCH($P547,F_ProductBM!$P:$P,0))))</f>
        <v/>
      </c>
      <c r="K547" s="1004" t="str">
        <f>IF($I529="","",IF(INDEX(F_ProductBM!K:K,MATCH($P547,F_ProductBM!$P:$P,0))="","",INDEX(F_ProductBM!K:K,MATCH($P547,F_ProductBM!$P:$P,0))))</f>
        <v/>
      </c>
      <c r="L547" s="1004" t="str">
        <f>IF($I529="","",IF(INDEX(F_ProductBM!L:L,MATCH($P547,F_ProductBM!$P:$P,0))="","",INDEX(F_ProductBM!L:L,MATCH($P547,F_ProductBM!$P:$P,0))))</f>
        <v/>
      </c>
      <c r="M547" s="1004" t="str">
        <f>IF($I529="","",IF(INDEX(F_ProductBM!M:M,MATCH($P547,F_ProductBM!$P:$P,0))="","",INDEX(F_ProductBM!M:M,MATCH($P547,F_ProductBM!$P:$P,0))))</f>
        <v/>
      </c>
      <c r="N547" s="831"/>
      <c r="O547" s="20"/>
      <c r="P547" s="830" t="str">
        <f>EUconst_CNTR_FuelInput &amp; I529</f>
        <v>FuelInput_</v>
      </c>
      <c r="Q547" s="422"/>
      <c r="R547" s="422"/>
      <c r="S547" s="422"/>
      <c r="T547" s="8"/>
    </row>
    <row r="548" spans="1:20" s="701" customFormat="1" x14ac:dyDescent="0.2">
      <c r="A548" s="422"/>
      <c r="B548" s="398"/>
      <c r="C548" s="398"/>
      <c r="D548" s="398"/>
      <c r="E548" s="1743" t="str">
        <f>Translations!$B$732</f>
        <v>Ważony współczynnik emisji</v>
      </c>
      <c r="F548" s="1744"/>
      <c r="G548" s="1744"/>
      <c r="H548" s="473" t="str">
        <f>EUconst_tCO2pTJ</f>
        <v>t CO2 / TJ</v>
      </c>
      <c r="I548" s="1005" t="str">
        <f>IF($I529="","",IF(INDEX(F_ProductBM!I:I,MATCH($P548,F_ProductBM!$P:$P,0))="","",INDEX(F_ProductBM!I:I,MATCH($P548,F_ProductBM!$P:$P,0))))</f>
        <v/>
      </c>
      <c r="J548" s="1005" t="str">
        <f>IF($I529="","",IF(INDEX(F_ProductBM!J:J,MATCH($P548,F_ProductBM!$P:$P,0))="","",INDEX(F_ProductBM!J:J,MATCH($P548,F_ProductBM!$P:$P,0))))</f>
        <v/>
      </c>
      <c r="K548" s="1005" t="str">
        <f>IF($I529="","",IF(INDEX(F_ProductBM!K:K,MATCH($P548,F_ProductBM!$P:$P,0))="","",INDEX(F_ProductBM!K:K,MATCH($P548,F_ProductBM!$P:$P,0))))</f>
        <v/>
      </c>
      <c r="L548" s="1005" t="str">
        <f>IF($I529="","",IF(INDEX(F_ProductBM!L:L,MATCH($P548,F_ProductBM!$P:$P,0))="","",INDEX(F_ProductBM!L:L,MATCH($P548,F_ProductBM!$P:$P,0))))</f>
        <v/>
      </c>
      <c r="M548" s="1005" t="str">
        <f>IF($I529="","",IF(INDEX(F_ProductBM!M:M,MATCH($P548,F_ProductBM!$P:$P,0))="","",INDEX(F_ProductBM!M:M,MATCH($P548,F_ProductBM!$P:$P,0))))</f>
        <v/>
      </c>
      <c r="N548" s="831"/>
      <c r="O548" s="20"/>
      <c r="P548" s="351" t="str">
        <f>EUconst_CNTR_FuelEF &amp; I529</f>
        <v>FuelEF_</v>
      </c>
      <c r="Q548" s="422"/>
      <c r="R548" s="422"/>
      <c r="S548" s="422"/>
      <c r="T548" s="8"/>
    </row>
    <row r="549" spans="1:20" s="701" customFormat="1" x14ac:dyDescent="0.2">
      <c r="A549" s="422"/>
      <c r="B549" s="398"/>
      <c r="C549" s="398"/>
      <c r="E549" s="516"/>
      <c r="F549" s="831"/>
      <c r="G549" s="831"/>
      <c r="H549" s="831"/>
      <c r="I549" s="1006"/>
      <c r="J549" s="1006"/>
      <c r="K549" s="1006"/>
      <c r="L549" s="1006"/>
      <c r="M549" s="1006"/>
      <c r="N549" s="831"/>
      <c r="O549" s="20"/>
      <c r="P549" s="422"/>
      <c r="Q549" s="422"/>
      <c r="R549" s="422"/>
      <c r="S549" s="422"/>
      <c r="T549" s="8"/>
    </row>
    <row r="550" spans="1:20" s="701" customFormat="1" x14ac:dyDescent="0.2">
      <c r="A550" s="422"/>
      <c r="B550" s="398"/>
      <c r="C550" s="398"/>
      <c r="E550" s="1739" t="str">
        <f>Translations!$B$687</f>
        <v>Emisje bezpośrednie</v>
      </c>
      <c r="F550" s="1740"/>
      <c r="G550" s="1740"/>
      <c r="H550" s="453" t="str">
        <f>EUconst_tCO2pa</f>
        <v>t CO2 / rok</v>
      </c>
      <c r="I550" s="1007" t="str">
        <f>IF($I529="","",IF(INDEX(F_ProductBM!I:I,MATCH($P550,F_ProductBM!$P:$P,0))="","",INDEX(F_ProductBM!I:I,MATCH($P550,F_ProductBM!$P:$P,0))))</f>
        <v/>
      </c>
      <c r="J550" s="1007" t="str">
        <f>IF($I529="","",IF(INDEX(F_ProductBM!J:J,MATCH($P550,F_ProductBM!$P:$P,0))="","",INDEX(F_ProductBM!J:J,MATCH($P550,F_ProductBM!$P:$P,0))))</f>
        <v/>
      </c>
      <c r="K550" s="1007" t="str">
        <f>IF($I529="","",IF(INDEX(F_ProductBM!K:K,MATCH($P550,F_ProductBM!$P:$P,0))="","",INDEX(F_ProductBM!K:K,MATCH($P550,F_ProductBM!$P:$P,0))))</f>
        <v/>
      </c>
      <c r="L550" s="1007" t="str">
        <f>IF($I529="","",IF(INDEX(F_ProductBM!L:L,MATCH($P550,F_ProductBM!$P:$P,0))="","",INDEX(F_ProductBM!L:L,MATCH($P550,F_ProductBM!$P:$P,0))))</f>
        <v/>
      </c>
      <c r="M550" s="1007" t="str">
        <f>IF($I529="","",IF(INDEX(F_ProductBM!M:M,MATCH($P550,F_ProductBM!$P:$P,0))="","",INDEX(F_ProductBM!M:M,MATCH($P550,F_ProductBM!$P:$P,0))))</f>
        <v/>
      </c>
      <c r="N550" s="831"/>
      <c r="O550" s="20"/>
      <c r="P550" s="351" t="str">
        <f>EUconst_CNTR_Emissions &amp; I529</f>
        <v>DirEmissions_</v>
      </c>
      <c r="Q550" s="422"/>
      <c r="R550" s="422"/>
      <c r="S550" s="422"/>
      <c r="T550" s="8"/>
    </row>
    <row r="551" spans="1:20" s="701" customFormat="1" x14ac:dyDescent="0.2">
      <c r="A551" s="422"/>
      <c r="B551" s="398"/>
      <c r="C551" s="398"/>
      <c r="E551" s="1974" t="str">
        <f>Translations!$B$742</f>
        <v>Dalsze strumienie materiałów wsadowych – 1:</v>
      </c>
      <c r="F551" s="1974"/>
      <c r="G551" s="1974"/>
      <c r="H551" s="453" t="str">
        <f>EUconst_tCO2pa</f>
        <v>t CO2 / rok</v>
      </c>
      <c r="I551" s="1007" t="str">
        <f>IF($I529="","",IF(INDEX(F_ProductBM!I:I,MATCH($P551,F_ProductBM!$P:$P,0))="","",INDEX(F_ProductBM!I:I,MATCH($P551,F_ProductBM!$P:$P,0))))</f>
        <v/>
      </c>
      <c r="J551" s="1007" t="str">
        <f>IF($I529="","",IF(INDEX(F_ProductBM!J:J,MATCH($P551,F_ProductBM!$P:$P,0))="","",INDEX(F_ProductBM!J:J,MATCH($P551,F_ProductBM!$P:$P,0))))</f>
        <v/>
      </c>
      <c r="K551" s="1007" t="str">
        <f>IF($I529="","",IF(INDEX(F_ProductBM!K:K,MATCH($P551,F_ProductBM!$P:$P,0))="","",INDEX(F_ProductBM!K:K,MATCH($P551,F_ProductBM!$P:$P,0))))</f>
        <v/>
      </c>
      <c r="L551" s="1007" t="str">
        <f>IF($I529="","",IF(INDEX(F_ProductBM!L:L,MATCH($P551,F_ProductBM!$P:$P,0))="","",INDEX(F_ProductBM!L:L,MATCH($P551,F_ProductBM!$P:$P,0))))</f>
        <v/>
      </c>
      <c r="M551" s="1007" t="str">
        <f>IF($I529="","",IF(INDEX(F_ProductBM!M:M,MATCH($P551,F_ProductBM!$P:$P,0))="","",INDEX(F_ProductBM!M:M,MATCH($P551,F_ProductBM!$P:$P,0))))</f>
        <v/>
      </c>
      <c r="N551" s="831"/>
      <c r="O551" s="20"/>
      <c r="P551" s="351" t="str">
        <f>EUconst_CNTR_EmissionsIntSource1 &amp; I529</f>
        <v>EmInternalSource1_</v>
      </c>
      <c r="Q551" s="422"/>
      <c r="R551" s="422"/>
      <c r="S551" s="422"/>
      <c r="T551" s="8"/>
    </row>
    <row r="552" spans="1:20" s="701" customFormat="1" x14ac:dyDescent="0.2">
      <c r="A552" s="422"/>
      <c r="B552" s="398"/>
      <c r="C552" s="398"/>
      <c r="E552" s="1974" t="str">
        <f>Translations!$B$752</f>
        <v>Dalsze strumienie materiałów wsadowych – 2:</v>
      </c>
      <c r="F552" s="1974"/>
      <c r="G552" s="1974"/>
      <c r="H552" s="453" t="str">
        <f>EUconst_tCO2pa</f>
        <v>t CO2 / rok</v>
      </c>
      <c r="I552" s="1007" t="str">
        <f>IF($I529="","",IF(INDEX(F_ProductBM!I:I,MATCH($P552,F_ProductBM!$P:$P,0))="","",INDEX(F_ProductBM!I:I,MATCH($P552,F_ProductBM!$P:$P,0))))</f>
        <v/>
      </c>
      <c r="J552" s="1007" t="str">
        <f>IF($I529="","",IF(INDEX(F_ProductBM!J:J,MATCH($P552,F_ProductBM!$P:$P,0))="","",INDEX(F_ProductBM!J:J,MATCH($P552,F_ProductBM!$P:$P,0))))</f>
        <v/>
      </c>
      <c r="K552" s="1007" t="str">
        <f>IF($I529="","",IF(INDEX(F_ProductBM!K:K,MATCH($P552,F_ProductBM!$P:$P,0))="","",INDEX(F_ProductBM!K:K,MATCH($P552,F_ProductBM!$P:$P,0))))</f>
        <v/>
      </c>
      <c r="L552" s="1007" t="str">
        <f>IF($I529="","",IF(INDEX(F_ProductBM!L:L,MATCH($P552,F_ProductBM!$P:$P,0))="","",INDEX(F_ProductBM!L:L,MATCH($P552,F_ProductBM!$P:$P,0))))</f>
        <v/>
      </c>
      <c r="M552" s="1007" t="str">
        <f>IF($I529="","",IF(INDEX(F_ProductBM!M:M,MATCH($P552,F_ProductBM!$P:$P,0))="","",INDEX(F_ProductBM!M:M,MATCH($P552,F_ProductBM!$P:$P,0))))</f>
        <v/>
      </c>
      <c r="N552" s="831"/>
      <c r="O552" s="20"/>
      <c r="P552" s="351" t="str">
        <f>EUconst_CNTR_EmissionsIntSource2 &amp; I529</f>
        <v>EmInternalSource2_</v>
      </c>
      <c r="Q552" s="422"/>
      <c r="R552" s="422"/>
      <c r="S552" s="422"/>
      <c r="T552" s="8"/>
    </row>
    <row r="553" spans="1:20" s="701" customFormat="1" x14ac:dyDescent="0.2">
      <c r="A553" s="422"/>
      <c r="B553" s="398"/>
      <c r="C553" s="398"/>
      <c r="D553" s="398"/>
      <c r="E553" s="1739" t="str">
        <f>Translations!$B$756</f>
        <v>Wprowadzone lub wyprowadzone gazy cieplarniane</v>
      </c>
      <c r="F553" s="1740"/>
      <c r="G553" s="1740"/>
      <c r="H553" s="453" t="str">
        <f>EUconst_tCO2epa</f>
        <v>t CO2e/rok</v>
      </c>
      <c r="I553" s="1007" t="str">
        <f>IF($I529="","",IF(INDEX(F_ProductBM!I:I,MATCH($P553,F_ProductBM!$P:$P,0))="","",INDEX(F_ProductBM!I:I,MATCH($P553,F_ProductBM!$P:$P,0))))</f>
        <v/>
      </c>
      <c r="J553" s="1007" t="str">
        <f>IF($I529="","",IF(INDEX(F_ProductBM!J:J,MATCH($P553,F_ProductBM!$P:$P,0))="","",INDEX(F_ProductBM!J:J,MATCH($P553,F_ProductBM!$P:$P,0))))</f>
        <v/>
      </c>
      <c r="K553" s="1007" t="str">
        <f>IF($I529="","",IF(INDEX(F_ProductBM!K:K,MATCH($P553,F_ProductBM!$P:$P,0))="","",INDEX(F_ProductBM!K:K,MATCH($P553,F_ProductBM!$P:$P,0))))</f>
        <v/>
      </c>
      <c r="L553" s="1007" t="str">
        <f>IF($I529="","",IF(INDEX(F_ProductBM!L:L,MATCH($P553,F_ProductBM!$P:$P,0))="","",INDEX(F_ProductBM!L:L,MATCH($P553,F_ProductBM!$P:$P,0))))</f>
        <v/>
      </c>
      <c r="M553" s="1007" t="str">
        <f>IF($I529="","",IF(INDEX(F_ProductBM!M:M,MATCH($P553,F_ProductBM!$P:$P,0))="","",INDEX(F_ProductBM!M:M,MATCH($P553,F_ProductBM!$P:$P,0))))</f>
        <v/>
      </c>
      <c r="N553" s="831"/>
      <c r="O553" s="20"/>
      <c r="P553" s="351" t="str">
        <f>EUconst_CNTR_CO2Feedstock &amp; I529</f>
        <v>EmCO2Feedstock_</v>
      </c>
      <c r="Q553" s="422"/>
      <c r="R553" s="422"/>
      <c r="S553" s="422"/>
      <c r="T553" s="8"/>
    </row>
    <row r="554" spans="1:20" s="701" customFormat="1" x14ac:dyDescent="0.2">
      <c r="A554" s="422"/>
      <c r="B554" s="398"/>
      <c r="C554" s="398"/>
      <c r="D554" s="398"/>
      <c r="E554" s="831"/>
      <c r="F554" s="831"/>
      <c r="G554" s="831"/>
      <c r="H554" s="831"/>
      <c r="I554" s="1006"/>
      <c r="J554" s="1006"/>
      <c r="K554" s="1006"/>
      <c r="L554" s="1006"/>
      <c r="M554" s="1006"/>
      <c r="N554" s="831"/>
      <c r="O554" s="20"/>
      <c r="P554" s="422"/>
      <c r="Q554" s="422"/>
      <c r="R554" s="422"/>
      <c r="S554" s="422"/>
      <c r="T554" s="8"/>
    </row>
    <row r="555" spans="1:20" s="701" customFormat="1" x14ac:dyDescent="0.2">
      <c r="A555" s="422"/>
      <c r="B555" s="398"/>
      <c r="C555" s="398"/>
      <c r="D555" s="398"/>
      <c r="E555" s="1766" t="str">
        <f>Translations!$B$764</f>
        <v>Ciepło wprowadzone netto</v>
      </c>
      <c r="F555" s="1767"/>
      <c r="G555" s="1767"/>
      <c r="H555" s="454" t="str">
        <f>EUconst_TJpa</f>
        <v>TJ / rok</v>
      </c>
      <c r="I555" s="1004" t="str">
        <f>IF($I529="","",IF(INDEX(F_ProductBM!I:I,MATCH($P555,F_ProductBM!$P:$P,0))="","",INDEX(F_ProductBM!I:I,MATCH($P555,F_ProductBM!$P:$P,0))))</f>
        <v/>
      </c>
      <c r="J555" s="1004" t="str">
        <f>IF($I529="","",IF(INDEX(F_ProductBM!J:J,MATCH($P555,F_ProductBM!$P:$P,0))="","",INDEX(F_ProductBM!J:J,MATCH($P555,F_ProductBM!$P:$P,0))))</f>
        <v/>
      </c>
      <c r="K555" s="1004" t="str">
        <f>IF($I529="","",IF(INDEX(F_ProductBM!K:K,MATCH($P555,F_ProductBM!$P:$P,0))="","",INDEX(F_ProductBM!K:K,MATCH($P555,F_ProductBM!$P:$P,0))))</f>
        <v/>
      </c>
      <c r="L555" s="1004" t="str">
        <f>IF($I529="","",IF(INDEX(F_ProductBM!L:L,MATCH($P555,F_ProductBM!$P:$P,0))="","",INDEX(F_ProductBM!L:L,MATCH($P555,F_ProductBM!$P:$P,0))))</f>
        <v/>
      </c>
      <c r="M555" s="1004" t="str">
        <f>IF($I529="","",IF(INDEX(F_ProductBM!M:M,MATCH($P555,F_ProductBM!$P:$P,0))="","",INDEX(F_ProductBM!M:M,MATCH($P555,F_ProductBM!$P:$P,0))))</f>
        <v/>
      </c>
      <c r="N555" s="831"/>
      <c r="O555" s="20"/>
      <c r="P555" s="351" t="str">
        <f>EUconst_CNTR_HeatImport &amp; I529</f>
        <v>HeatIm_</v>
      </c>
      <c r="Q555" s="422"/>
      <c r="R555" s="422"/>
      <c r="S555" s="422"/>
      <c r="T555" s="8"/>
    </row>
    <row r="556" spans="1:20" s="701" customFormat="1" x14ac:dyDescent="0.2">
      <c r="A556" s="422"/>
      <c r="B556" s="398"/>
      <c r="C556" s="398"/>
      <c r="D556" s="398"/>
      <c r="E556" s="1743" t="str">
        <f>Translations!$B$765</f>
        <v>Właściwy współczynnik emisji (ciepło wprowadzone)</v>
      </c>
      <c r="F556" s="1744"/>
      <c r="G556" s="1744"/>
      <c r="H556" s="473" t="str">
        <f>EUconst_tCO2pTJ</f>
        <v>t CO2 / TJ</v>
      </c>
      <c r="I556" s="1005" t="str">
        <f>IF($I529="","",IF(INDEX(F_ProductBM!I:I,MATCH($P556,F_ProductBM!$P:$P,0))="","",INDEX(F_ProductBM!I:I,MATCH($P556,F_ProductBM!$P:$P,0))))</f>
        <v/>
      </c>
      <c r="J556" s="1005" t="str">
        <f>IF($I529="","",IF(INDEX(F_ProductBM!J:J,MATCH($P556,F_ProductBM!$P:$P,0))="","",INDEX(F_ProductBM!J:J,MATCH($P556,F_ProductBM!$P:$P,0))))</f>
        <v/>
      </c>
      <c r="K556" s="1005" t="str">
        <f>IF($I529="","",IF(INDEX(F_ProductBM!K:K,MATCH($P556,F_ProductBM!$P:$P,0))="","",INDEX(F_ProductBM!K:K,MATCH($P556,F_ProductBM!$P:$P,0))))</f>
        <v/>
      </c>
      <c r="L556" s="1005" t="str">
        <f>IF($I529="","",IF(INDEX(F_ProductBM!L:L,MATCH($P556,F_ProductBM!$P:$P,0))="","",INDEX(F_ProductBM!L:L,MATCH($P556,F_ProductBM!$P:$P,0))))</f>
        <v/>
      </c>
      <c r="M556" s="1005" t="str">
        <f>IF($I529="","",IF(INDEX(F_ProductBM!M:M,MATCH($P556,F_ProductBM!$P:$P,0))="","",INDEX(F_ProductBM!M:M,MATCH($P556,F_ProductBM!$P:$P,0))))</f>
        <v/>
      </c>
      <c r="N556" s="831"/>
      <c r="O556" s="20"/>
      <c r="P556" s="351" t="str">
        <f>EUconst_CNTR_HeatImportEF &amp; I529</f>
        <v>HeatImEF_</v>
      </c>
      <c r="Q556" s="422"/>
      <c r="R556" s="422"/>
      <c r="S556" s="422"/>
      <c r="T556" s="8"/>
    </row>
    <row r="557" spans="1:20" s="701" customFormat="1" x14ac:dyDescent="0.2">
      <c r="A557" s="422"/>
      <c r="B557" s="398"/>
      <c r="C557" s="398"/>
      <c r="D557" s="398"/>
      <c r="E557" s="516"/>
      <c r="F557" s="831"/>
      <c r="G557" s="831"/>
      <c r="H557" s="831"/>
      <c r="I557" s="1006"/>
      <c r="J557" s="1006"/>
      <c r="K557" s="1006"/>
      <c r="L557" s="1006"/>
      <c r="M557" s="1006"/>
      <c r="N557" s="831"/>
      <c r="O557" s="20"/>
      <c r="P557" s="8"/>
      <c r="Q557" s="422"/>
      <c r="R557" s="422"/>
      <c r="S557" s="422"/>
      <c r="T557" s="8"/>
    </row>
    <row r="558" spans="1:20" s="701" customFormat="1" x14ac:dyDescent="0.2">
      <c r="A558" s="422"/>
      <c r="B558" s="398"/>
      <c r="C558" s="398"/>
      <c r="D558" s="398"/>
      <c r="E558" s="1739" t="str">
        <f>Translations!$B$820</f>
        <v>Ciepło wprowadzone netto z masy celulozowej</v>
      </c>
      <c r="F558" s="1740"/>
      <c r="G558" s="1740"/>
      <c r="H558" s="453" t="str">
        <f>EUconst_TJpa</f>
        <v>TJ / rok</v>
      </c>
      <c r="I558" s="1007" t="str">
        <f>IF($I529="","",IF(INDEX(F_ProductBM!I:I,MATCH($P558,F_ProductBM!$P:$P,0))="","",INDEX(F_ProductBM!I:I,MATCH($P558,F_ProductBM!$P:$P,0))))</f>
        <v/>
      </c>
      <c r="J558" s="1007" t="str">
        <f>IF($I529="","",IF(INDEX(F_ProductBM!J:J,MATCH($P558,F_ProductBM!$P:$P,0))="","",INDEX(F_ProductBM!J:J,MATCH($P558,F_ProductBM!$P:$P,0))))</f>
        <v/>
      </c>
      <c r="K558" s="1007" t="str">
        <f>IF($I529="","",IF(INDEX(F_ProductBM!K:K,MATCH($P558,F_ProductBM!$P:$P,0))="","",INDEX(F_ProductBM!K:K,MATCH($P558,F_ProductBM!$P:$P,0))))</f>
        <v/>
      </c>
      <c r="L558" s="1007" t="str">
        <f>IF($I529="","",IF(INDEX(F_ProductBM!L:L,MATCH($P558,F_ProductBM!$P:$P,0))="","",INDEX(F_ProductBM!L:L,MATCH($P558,F_ProductBM!$P:$P,0))))</f>
        <v/>
      </c>
      <c r="M558" s="1007" t="str">
        <f>IF($I529="","",IF(INDEX(F_ProductBM!M:M,MATCH($P558,F_ProductBM!$P:$P,0))="","",INDEX(F_ProductBM!M:M,MATCH($P558,F_ProductBM!$P:$P,0))))</f>
        <v/>
      </c>
      <c r="N558" s="831"/>
      <c r="O558" s="20"/>
      <c r="P558" s="351" t="str">
        <f>EUconst_CNTR_HeatImportPulp &amp; I529</f>
        <v>HeatImPulp_</v>
      </c>
      <c r="Q558" s="422"/>
      <c r="R558" s="422"/>
      <c r="S558" s="422"/>
      <c r="T558" s="8"/>
    </row>
    <row r="559" spans="1:20" s="701" customFormat="1" x14ac:dyDescent="0.2">
      <c r="A559" s="422"/>
      <c r="B559" s="398"/>
      <c r="C559" s="398"/>
      <c r="D559" s="398"/>
      <c r="E559" s="1739" t="str">
        <f>Translations!$B$768</f>
        <v>Ciepło wprowadzone netto z podinstalacji wytwarzającej kwas azotowy</v>
      </c>
      <c r="F559" s="1740"/>
      <c r="G559" s="1740"/>
      <c r="H559" s="453" t="str">
        <f>EUconst_TJpa</f>
        <v>TJ / rok</v>
      </c>
      <c r="I559" s="1007" t="str">
        <f>IF($I529="","",IF(INDEX(F_ProductBM!I:I,MATCH($P559,F_ProductBM!$P:$P,0))="","",INDEX(F_ProductBM!I:I,MATCH($P559,F_ProductBM!$P:$P,0))))</f>
        <v/>
      </c>
      <c r="J559" s="1007" t="str">
        <f>IF($I529="","",IF(INDEX(F_ProductBM!J:J,MATCH($P559,F_ProductBM!$P:$P,0))="","",INDEX(F_ProductBM!J:J,MATCH($P559,F_ProductBM!$P:$P,0))))</f>
        <v/>
      </c>
      <c r="K559" s="1007" t="str">
        <f>IF($I529="","",IF(INDEX(F_ProductBM!K:K,MATCH($P559,F_ProductBM!$P:$P,0))="","",INDEX(F_ProductBM!K:K,MATCH($P559,F_ProductBM!$P:$P,0))))</f>
        <v/>
      </c>
      <c r="L559" s="1007" t="str">
        <f>IF($I529="","",IF(INDEX(F_ProductBM!L:L,MATCH($P559,F_ProductBM!$P:$P,0))="","",INDEX(F_ProductBM!L:L,MATCH($P559,F_ProductBM!$P:$P,0))))</f>
        <v/>
      </c>
      <c r="M559" s="1007" t="str">
        <f>IF($I529="","",IF(INDEX(F_ProductBM!M:M,MATCH($P559,F_ProductBM!$P:$P,0))="","",INDEX(F_ProductBM!M:M,MATCH($P559,F_ProductBM!$P:$P,0))))</f>
        <v/>
      </c>
      <c r="N559" s="831"/>
      <c r="O559" s="20"/>
      <c r="P559" s="351" t="str">
        <f>EUconst_CNTR_HeatImportNitric &amp; I529</f>
        <v>HeatImNitric_</v>
      </c>
      <c r="Q559" s="422"/>
      <c r="R559" s="422"/>
      <c r="S559" s="422"/>
      <c r="T559" s="8"/>
    </row>
    <row r="560" spans="1:20" s="701" customFormat="1" x14ac:dyDescent="0.2">
      <c r="A560" s="422"/>
      <c r="B560" s="398"/>
      <c r="C560" s="398"/>
      <c r="D560" s="398"/>
      <c r="E560" s="516"/>
      <c r="F560" s="516"/>
      <c r="G560" s="516"/>
      <c r="H560" s="516"/>
      <c r="I560" s="1006"/>
      <c r="J560" s="1006"/>
      <c r="K560" s="1006"/>
      <c r="L560" s="1006"/>
      <c r="M560" s="1006"/>
      <c r="N560" s="831"/>
      <c r="O560" s="20"/>
      <c r="P560" s="8"/>
      <c r="Q560" s="422"/>
      <c r="R560" s="422"/>
      <c r="S560" s="422"/>
      <c r="T560" s="8"/>
    </row>
    <row r="561" spans="1:20" s="701" customFormat="1" x14ac:dyDescent="0.2">
      <c r="A561" s="422"/>
      <c r="B561" s="398"/>
      <c r="C561" s="398"/>
      <c r="D561" s="398"/>
      <c r="E561" s="1766" t="str">
        <f>Translations!$B$770</f>
        <v>Ciepło wyprowadzone netto</v>
      </c>
      <c r="F561" s="1767"/>
      <c r="G561" s="1767"/>
      <c r="H561" s="454" t="str">
        <f>EUconst_TJpa</f>
        <v>TJ / rok</v>
      </c>
      <c r="I561" s="1004" t="str">
        <f>IF($I529="","",IF(INDEX(F_ProductBM!I:I,MATCH($P561,F_ProductBM!$P:$P,0))="","",INDEX(F_ProductBM!I:I,MATCH($P561,F_ProductBM!$P:$P,0))))</f>
        <v/>
      </c>
      <c r="J561" s="1004" t="str">
        <f>IF($I529="","",IF(INDEX(F_ProductBM!J:J,MATCH($P561,F_ProductBM!$P:$P,0))="","",INDEX(F_ProductBM!J:J,MATCH($P561,F_ProductBM!$P:$P,0))))</f>
        <v/>
      </c>
      <c r="K561" s="1004" t="str">
        <f>IF($I529="","",IF(INDEX(F_ProductBM!K:K,MATCH($P561,F_ProductBM!$P:$P,0))="","",INDEX(F_ProductBM!K:K,MATCH($P561,F_ProductBM!$P:$P,0))))</f>
        <v/>
      </c>
      <c r="L561" s="1004" t="str">
        <f>IF($I529="","",IF(INDEX(F_ProductBM!L:L,MATCH($P561,F_ProductBM!$P:$P,0))="","",INDEX(F_ProductBM!L:L,MATCH($P561,F_ProductBM!$P:$P,0))))</f>
        <v/>
      </c>
      <c r="M561" s="1004" t="str">
        <f>IF($I529="","",IF(INDEX(F_ProductBM!M:M,MATCH($P561,F_ProductBM!$P:$P,0))="","",INDEX(F_ProductBM!M:M,MATCH($P561,F_ProductBM!$P:$P,0))))</f>
        <v/>
      </c>
      <c r="N561" s="831"/>
      <c r="O561" s="20"/>
      <c r="P561" s="351" t="str">
        <f>EUconst_CNTR_HeatExport &amp; I529</f>
        <v>HeatEx_</v>
      </c>
      <c r="Q561" s="422"/>
      <c r="R561" s="422"/>
      <c r="S561" s="422"/>
      <c r="T561" s="8"/>
    </row>
    <row r="562" spans="1:20" s="701" customFormat="1" x14ac:dyDescent="0.2">
      <c r="A562" s="422"/>
      <c r="B562" s="398"/>
      <c r="C562" s="398"/>
      <c r="D562" s="398"/>
      <c r="E562" s="1743" t="str">
        <f>Translations!$B$771</f>
        <v>Właściwy współczynnik emisji (ciepło wyprowadzone)</v>
      </c>
      <c r="F562" s="1744"/>
      <c r="G562" s="1744"/>
      <c r="H562" s="473" t="str">
        <f>EUconst_tCO2pTJ</f>
        <v>t CO2 / TJ</v>
      </c>
      <c r="I562" s="1005" t="str">
        <f>IF($I529="","",IF(INDEX(F_ProductBM!I:I,MATCH($P562,F_ProductBM!$P:$P,0))="","",INDEX(F_ProductBM!I:I,MATCH($P562,F_ProductBM!$P:$P,0))))</f>
        <v/>
      </c>
      <c r="J562" s="1005" t="str">
        <f>IF($I529="","",IF(INDEX(F_ProductBM!J:J,MATCH($P562,F_ProductBM!$P:$P,0))="","",INDEX(F_ProductBM!J:J,MATCH($P562,F_ProductBM!$P:$P,0))))</f>
        <v/>
      </c>
      <c r="K562" s="1005" t="str">
        <f>IF($I529="","",IF(INDEX(F_ProductBM!K:K,MATCH($P562,F_ProductBM!$P:$P,0))="","",INDEX(F_ProductBM!K:K,MATCH($P562,F_ProductBM!$P:$P,0))))</f>
        <v/>
      </c>
      <c r="L562" s="1005" t="str">
        <f>IF($I529="","",IF(INDEX(F_ProductBM!L:L,MATCH($P562,F_ProductBM!$P:$P,0))="","",INDEX(F_ProductBM!L:L,MATCH($P562,F_ProductBM!$P:$P,0))))</f>
        <v/>
      </c>
      <c r="M562" s="1005" t="str">
        <f>IF($I529="","",IF(INDEX(F_ProductBM!M:M,MATCH($P562,F_ProductBM!$P:$P,0))="","",INDEX(F_ProductBM!M:M,MATCH($P562,F_ProductBM!$P:$P,0))))</f>
        <v/>
      </c>
      <c r="N562" s="831"/>
      <c r="O562" s="20"/>
      <c r="P562" s="351" t="str">
        <f>EUconst_CNTR_HeatExportEF &amp; I529</f>
        <v>HeatExEF_</v>
      </c>
      <c r="Q562" s="422"/>
      <c r="R562" s="422"/>
      <c r="S562" s="422"/>
      <c r="T562" s="8"/>
    </row>
    <row r="563" spans="1:20" s="701" customFormat="1" x14ac:dyDescent="0.2">
      <c r="A563" s="422"/>
      <c r="B563" s="398"/>
      <c r="C563" s="398"/>
      <c r="D563" s="398"/>
      <c r="E563" s="516"/>
      <c r="F563" s="516"/>
      <c r="G563" s="516"/>
      <c r="H563" s="516"/>
      <c r="I563" s="1006"/>
      <c r="J563" s="1006"/>
      <c r="K563" s="1006"/>
      <c r="L563" s="1006"/>
      <c r="M563" s="1006"/>
      <c r="N563" s="831"/>
      <c r="O563" s="20"/>
      <c r="P563" s="182"/>
      <c r="Q563" s="422"/>
      <c r="R563" s="422"/>
      <c r="S563" s="422"/>
      <c r="T563" s="8"/>
    </row>
    <row r="564" spans="1:20" s="701" customFormat="1" x14ac:dyDescent="0.2">
      <c r="A564" s="422"/>
      <c r="B564" s="398"/>
      <c r="C564" s="398"/>
      <c r="D564" s="398"/>
      <c r="E564" s="1766" t="str">
        <f>Translations!$B$778</f>
        <v>Gazy odlotowe wytworzone</v>
      </c>
      <c r="F564" s="1767"/>
      <c r="G564" s="1767"/>
      <c r="H564" s="454" t="str">
        <f>EUconst_TJpa</f>
        <v>TJ / rok</v>
      </c>
      <c r="I564" s="1004" t="str">
        <f>IF($I529="","",IF(INDEX(F_ProductBM!I:I,MATCH($P564,F_ProductBM!$P:$P,0))="","",INDEX(F_ProductBM!I:I,MATCH($P564,F_ProductBM!$P:$P,0))))</f>
        <v/>
      </c>
      <c r="J564" s="1004" t="str">
        <f>IF($I529="","",IF(INDEX(F_ProductBM!J:J,MATCH($P564,F_ProductBM!$P:$P,0))="","",INDEX(F_ProductBM!J:J,MATCH($P564,F_ProductBM!$P:$P,0))))</f>
        <v/>
      </c>
      <c r="K564" s="1004" t="str">
        <f>IF($I529="","",IF(INDEX(F_ProductBM!K:K,MATCH($P564,F_ProductBM!$P:$P,0))="","",INDEX(F_ProductBM!K:K,MATCH($P564,F_ProductBM!$P:$P,0))))</f>
        <v/>
      </c>
      <c r="L564" s="1004" t="str">
        <f>IF($I529="","",IF(INDEX(F_ProductBM!L:L,MATCH($P564,F_ProductBM!$P:$P,0))="","",INDEX(F_ProductBM!L:L,MATCH($P564,F_ProductBM!$P:$P,0))))</f>
        <v/>
      </c>
      <c r="M564" s="1004" t="str">
        <f>IF($I529="","",IF(INDEX(F_ProductBM!M:M,MATCH($P564,F_ProductBM!$P:$P,0))="","",INDEX(F_ProductBM!M:M,MATCH($P564,F_ProductBM!$P:$P,0))))</f>
        <v/>
      </c>
      <c r="N564" s="831"/>
      <c r="O564" s="20"/>
      <c r="P564" s="830" t="str">
        <f>EUconst_CNTR_WGProduced &amp; I529</f>
        <v>WasteGasProd_</v>
      </c>
      <c r="Q564" s="422"/>
      <c r="R564" s="422"/>
      <c r="S564" s="422"/>
      <c r="T564" s="8"/>
    </row>
    <row r="565" spans="1:20" s="701" customFormat="1" x14ac:dyDescent="0.2">
      <c r="A565" s="422"/>
      <c r="B565" s="398"/>
      <c r="C565" s="398"/>
      <c r="D565" s="398"/>
      <c r="E565" s="1743" t="str">
        <f>Translations!$B$779</f>
        <v>Właściwy współczynnik emisji (gazy odlotowe wytworzone)</v>
      </c>
      <c r="F565" s="1744"/>
      <c r="G565" s="1744"/>
      <c r="H565" s="473" t="str">
        <f>EUconst_tCO2pTJ</f>
        <v>t CO2 / TJ</v>
      </c>
      <c r="I565" s="1005" t="str">
        <f>IF($I529="","",IF(INDEX(F_ProductBM!I:I,MATCH($P565,F_ProductBM!$P:$P,0))="","",INDEX(F_ProductBM!I:I,MATCH($P565,F_ProductBM!$P:$P,0))))</f>
        <v/>
      </c>
      <c r="J565" s="1005" t="str">
        <f>IF($I529="","",IF(INDEX(F_ProductBM!J:J,MATCH($P565,F_ProductBM!$P:$P,0))="","",INDEX(F_ProductBM!J:J,MATCH($P565,F_ProductBM!$P:$P,0))))</f>
        <v/>
      </c>
      <c r="K565" s="1005" t="str">
        <f>IF($I529="","",IF(INDEX(F_ProductBM!K:K,MATCH($P565,F_ProductBM!$P:$P,0))="","",INDEX(F_ProductBM!K:K,MATCH($P565,F_ProductBM!$P:$P,0))))</f>
        <v/>
      </c>
      <c r="L565" s="1005" t="str">
        <f>IF($I529="","",IF(INDEX(F_ProductBM!L:L,MATCH($P565,F_ProductBM!$P:$P,0))="","",INDEX(F_ProductBM!L:L,MATCH($P565,F_ProductBM!$P:$P,0))))</f>
        <v/>
      </c>
      <c r="M565" s="1005" t="str">
        <f>IF($I529="","",IF(INDEX(F_ProductBM!M:M,MATCH($P565,F_ProductBM!$P:$P,0))="","",INDEX(F_ProductBM!M:M,MATCH($P565,F_ProductBM!$P:$P,0))))</f>
        <v/>
      </c>
      <c r="N565" s="831"/>
      <c r="O565" s="20"/>
      <c r="P565" s="351" t="str">
        <f>EUconst_CNTR_WGProducedEF &amp; I529</f>
        <v>WasteGasProdEF_</v>
      </c>
      <c r="Q565" s="422"/>
      <c r="R565" s="422"/>
      <c r="S565" s="422"/>
      <c r="T565" s="8"/>
    </row>
    <row r="566" spans="1:20" s="701" customFormat="1" x14ac:dyDescent="0.2">
      <c r="A566" s="422"/>
      <c r="B566" s="398"/>
      <c r="C566" s="398"/>
      <c r="D566" s="398"/>
      <c r="E566" s="1766" t="str">
        <f>Translations!$B$783</f>
        <v>Gazy odlotowe zużyte</v>
      </c>
      <c r="F566" s="1767"/>
      <c r="G566" s="1767"/>
      <c r="H566" s="454" t="str">
        <f>EUconst_TJpa</f>
        <v>TJ / rok</v>
      </c>
      <c r="I566" s="1004" t="str">
        <f>IF($I529="","",IF(INDEX(F_ProductBM!I:I,MATCH($P566,F_ProductBM!$P:$P,0))="","",INDEX(F_ProductBM!I:I,MATCH($P566,F_ProductBM!$P:$P,0))))</f>
        <v/>
      </c>
      <c r="J566" s="1004" t="str">
        <f>IF($I529="","",IF(INDEX(F_ProductBM!J:J,MATCH($P566,F_ProductBM!$P:$P,0))="","",INDEX(F_ProductBM!J:J,MATCH($P566,F_ProductBM!$P:$P,0))))</f>
        <v/>
      </c>
      <c r="K566" s="1004" t="str">
        <f>IF($I529="","",IF(INDEX(F_ProductBM!K:K,MATCH($P566,F_ProductBM!$P:$P,0))="","",INDEX(F_ProductBM!K:K,MATCH($P566,F_ProductBM!$P:$P,0))))</f>
        <v/>
      </c>
      <c r="L566" s="1004" t="str">
        <f>IF($I529="","",IF(INDEX(F_ProductBM!L:L,MATCH($P566,F_ProductBM!$P:$P,0))="","",INDEX(F_ProductBM!L:L,MATCH($P566,F_ProductBM!$P:$P,0))))</f>
        <v/>
      </c>
      <c r="M566" s="1004" t="str">
        <f>IF($I529="","",IF(INDEX(F_ProductBM!M:M,MATCH($P566,F_ProductBM!$P:$P,0))="","",INDEX(F_ProductBM!M:M,MATCH($P566,F_ProductBM!$P:$P,0))))</f>
        <v/>
      </c>
      <c r="N566" s="831"/>
      <c r="O566" s="20"/>
      <c r="P566" s="351" t="str">
        <f>EUconst_CNTR_WGConsumed &amp; I529</f>
        <v>WasteGasCons_</v>
      </c>
      <c r="Q566" s="422"/>
      <c r="R566" s="422"/>
      <c r="S566" s="422"/>
      <c r="T566" s="8"/>
    </row>
    <row r="567" spans="1:20" s="701" customFormat="1" x14ac:dyDescent="0.2">
      <c r="A567" s="422"/>
      <c r="B567" s="398"/>
      <c r="C567" s="398"/>
      <c r="D567" s="398"/>
      <c r="E567" s="1743" t="str">
        <f>Translations!$B$784</f>
        <v>Właściwy współczynnik emisji (gazy odlotowe zużyte)</v>
      </c>
      <c r="F567" s="1744"/>
      <c r="G567" s="1744"/>
      <c r="H567" s="473" t="str">
        <f>EUconst_tCO2pTJ</f>
        <v>t CO2 / TJ</v>
      </c>
      <c r="I567" s="1005" t="str">
        <f>IF($I529="","",IF(INDEX(F_ProductBM!I:I,MATCH($P567,F_ProductBM!$P:$P,0))="","",INDEX(F_ProductBM!I:I,MATCH($P567,F_ProductBM!$P:$P,0))))</f>
        <v/>
      </c>
      <c r="J567" s="1005" t="str">
        <f>IF($I529="","",IF(INDEX(F_ProductBM!J:J,MATCH($P567,F_ProductBM!$P:$P,0))="","",INDEX(F_ProductBM!J:J,MATCH($P567,F_ProductBM!$P:$P,0))))</f>
        <v/>
      </c>
      <c r="K567" s="1005" t="str">
        <f>IF($I529="","",IF(INDEX(F_ProductBM!K:K,MATCH($P567,F_ProductBM!$P:$P,0))="","",INDEX(F_ProductBM!K:K,MATCH($P567,F_ProductBM!$P:$P,0))))</f>
        <v/>
      </c>
      <c r="L567" s="1005" t="str">
        <f>IF($I529="","",IF(INDEX(F_ProductBM!L:L,MATCH($P567,F_ProductBM!$P:$P,0))="","",INDEX(F_ProductBM!L:L,MATCH($P567,F_ProductBM!$P:$P,0))))</f>
        <v/>
      </c>
      <c r="M567" s="1005" t="str">
        <f>IF($I529="","",IF(INDEX(F_ProductBM!M:M,MATCH($P567,F_ProductBM!$P:$P,0))="","",INDEX(F_ProductBM!M:M,MATCH($P567,F_ProductBM!$P:$P,0))))</f>
        <v/>
      </c>
      <c r="N567" s="831"/>
      <c r="O567" s="20"/>
      <c r="P567" s="351" t="str">
        <f>EUconst_CNTR_WGConsumedEF &amp; I529</f>
        <v>WasteGasConsEF_</v>
      </c>
      <c r="Q567" s="422"/>
      <c r="R567" s="422"/>
      <c r="S567" s="422"/>
      <c r="T567" s="8"/>
    </row>
    <row r="568" spans="1:20" s="701" customFormat="1" x14ac:dyDescent="0.2">
      <c r="A568" s="422"/>
      <c r="B568" s="398"/>
      <c r="C568" s="398"/>
      <c r="D568" s="398"/>
      <c r="E568" s="1766" t="str">
        <f>Translations!$B$790</f>
        <v>Gazy odlotowe spalone na pochodniach</v>
      </c>
      <c r="F568" s="1767"/>
      <c r="G568" s="1767"/>
      <c r="H568" s="454" t="str">
        <f>EUconst_TJpa</f>
        <v>TJ / rok</v>
      </c>
      <c r="I568" s="1004" t="str">
        <f>IF($I529="","",IF(INDEX(F_ProductBM!I:I,MATCH($P568,F_ProductBM!$P:$P,0))="","",INDEX(F_ProductBM!I:I,MATCH($P568,F_ProductBM!$P:$P,0))))</f>
        <v/>
      </c>
      <c r="J568" s="1004" t="str">
        <f>IF($I529="","",IF(INDEX(F_ProductBM!J:J,MATCH($P568,F_ProductBM!$P:$P,0))="","",INDEX(F_ProductBM!J:J,MATCH($P568,F_ProductBM!$P:$P,0))))</f>
        <v/>
      </c>
      <c r="K568" s="1004" t="str">
        <f>IF($I529="","",IF(INDEX(F_ProductBM!K:K,MATCH($P568,F_ProductBM!$P:$P,0))="","",INDEX(F_ProductBM!K:K,MATCH($P568,F_ProductBM!$P:$P,0))))</f>
        <v/>
      </c>
      <c r="L568" s="1004" t="str">
        <f>IF($I529="","",IF(INDEX(F_ProductBM!L:L,MATCH($P568,F_ProductBM!$P:$P,0))="","",INDEX(F_ProductBM!L:L,MATCH($P568,F_ProductBM!$P:$P,0))))</f>
        <v/>
      </c>
      <c r="M568" s="1004" t="str">
        <f>IF($I529="","",IF(INDEX(F_ProductBM!M:M,MATCH($P568,F_ProductBM!$P:$P,0))="","",INDEX(F_ProductBM!M:M,MATCH($P568,F_ProductBM!$P:$P,0))))</f>
        <v/>
      </c>
      <c r="N568" s="831"/>
      <c r="O568" s="20"/>
      <c r="P568" s="351" t="str">
        <f>EUconst_CNTR_WGFlared &amp; I529</f>
        <v>WasteGasFlare_</v>
      </c>
      <c r="Q568" s="422"/>
      <c r="R568" s="422"/>
      <c r="S568" s="422"/>
      <c r="T568" s="8"/>
    </row>
    <row r="569" spans="1:20" s="701" customFormat="1" x14ac:dyDescent="0.2">
      <c r="A569" s="422"/>
      <c r="B569" s="398"/>
      <c r="C569" s="398"/>
      <c r="D569" s="398"/>
      <c r="E569" s="1743" t="str">
        <f>Translations!$B$791</f>
        <v>Właściwy współczynnik emisji (gazy odlotowe spalone na pochodniach)</v>
      </c>
      <c r="F569" s="1744"/>
      <c r="G569" s="1744"/>
      <c r="H569" s="473" t="str">
        <f>EUconst_tCO2pTJ</f>
        <v>t CO2 / TJ</v>
      </c>
      <c r="I569" s="1005" t="str">
        <f>IF($I529="","",IF(INDEX(F_ProductBM!I:I,MATCH($P569,F_ProductBM!$P:$P,0))="","",INDEX(F_ProductBM!I:I,MATCH($P569,F_ProductBM!$P:$P,0))))</f>
        <v/>
      </c>
      <c r="J569" s="1005" t="str">
        <f>IF($I529="","",IF(INDEX(F_ProductBM!J:J,MATCH($P569,F_ProductBM!$P:$P,0))="","",INDEX(F_ProductBM!J:J,MATCH($P569,F_ProductBM!$P:$P,0))))</f>
        <v/>
      </c>
      <c r="K569" s="1005" t="str">
        <f>IF($I529="","",IF(INDEX(F_ProductBM!K:K,MATCH($P569,F_ProductBM!$P:$P,0))="","",INDEX(F_ProductBM!K:K,MATCH($P569,F_ProductBM!$P:$P,0))))</f>
        <v/>
      </c>
      <c r="L569" s="1005" t="str">
        <f>IF($I529="","",IF(INDEX(F_ProductBM!L:L,MATCH($P569,F_ProductBM!$P:$P,0))="","",INDEX(F_ProductBM!L:L,MATCH($P569,F_ProductBM!$P:$P,0))))</f>
        <v/>
      </c>
      <c r="M569" s="1005" t="str">
        <f>IF($I529="","",IF(INDEX(F_ProductBM!M:M,MATCH($P569,F_ProductBM!$P:$P,0))="","",INDEX(F_ProductBM!M:M,MATCH($P569,F_ProductBM!$P:$P,0))))</f>
        <v/>
      </c>
      <c r="N569" s="831"/>
      <c r="O569" s="20"/>
      <c r="P569" s="351" t="str">
        <f>EUconst_CNTR_WGFlaredEF &amp; I529</f>
        <v>WasteGasFlareEF_</v>
      </c>
      <c r="Q569" s="422"/>
      <c r="R569" s="422"/>
      <c r="S569" s="422"/>
      <c r="T569" s="8"/>
    </row>
    <row r="570" spans="1:20" s="701" customFormat="1" x14ac:dyDescent="0.2">
      <c r="A570" s="422"/>
      <c r="B570" s="398"/>
      <c r="C570" s="398"/>
      <c r="D570" s="398"/>
      <c r="E570" s="1766" t="str">
        <f>Translations!$B$796</f>
        <v>Gazy odlotowe wprowadzone</v>
      </c>
      <c r="F570" s="1767"/>
      <c r="G570" s="1767"/>
      <c r="H570" s="454" t="str">
        <f>EUconst_TJpa</f>
        <v>TJ / rok</v>
      </c>
      <c r="I570" s="1004" t="str">
        <f>IF($I529="","",IF(INDEX(F_ProductBM!I:I,MATCH($P570,F_ProductBM!$P:$P,0))="","",INDEX(F_ProductBM!I:I,MATCH($P570,F_ProductBM!$P:$P,0))))</f>
        <v/>
      </c>
      <c r="J570" s="1004" t="str">
        <f>IF($I529="","",IF(INDEX(F_ProductBM!J:J,MATCH($P570,F_ProductBM!$P:$P,0))="","",INDEX(F_ProductBM!J:J,MATCH($P570,F_ProductBM!$P:$P,0))))</f>
        <v/>
      </c>
      <c r="K570" s="1004" t="str">
        <f>IF($I529="","",IF(INDEX(F_ProductBM!K:K,MATCH($P570,F_ProductBM!$P:$P,0))="","",INDEX(F_ProductBM!K:K,MATCH($P570,F_ProductBM!$P:$P,0))))</f>
        <v/>
      </c>
      <c r="L570" s="1004" t="str">
        <f>IF($I529="","",IF(INDEX(F_ProductBM!L:L,MATCH($P570,F_ProductBM!$P:$P,0))="","",INDEX(F_ProductBM!L:L,MATCH($P570,F_ProductBM!$P:$P,0))))</f>
        <v/>
      </c>
      <c r="M570" s="1004" t="str">
        <f>IF($I529="","",IF(INDEX(F_ProductBM!M:M,MATCH($P570,F_ProductBM!$P:$P,0))="","",INDEX(F_ProductBM!M:M,MATCH($P570,F_ProductBM!$P:$P,0))))</f>
        <v/>
      </c>
      <c r="N570" s="831"/>
      <c r="O570" s="20"/>
      <c r="P570" s="351" t="str">
        <f>EUconst_CNTR_WGImport &amp; I529</f>
        <v>WasteGasIm_</v>
      </c>
      <c r="Q570" s="422"/>
      <c r="R570" s="422"/>
      <c r="S570" s="422"/>
      <c r="T570" s="8"/>
    </row>
    <row r="571" spans="1:20" s="701" customFormat="1" x14ac:dyDescent="0.2">
      <c r="A571" s="422"/>
      <c r="B571" s="398"/>
      <c r="C571" s="398"/>
      <c r="D571" s="398"/>
      <c r="E571" s="1743" t="str">
        <f>Translations!$B$797</f>
        <v>Właściwy współczynnik emisji (gazy odlotowe wprowadzone)</v>
      </c>
      <c r="F571" s="1743"/>
      <c r="G571" s="1743"/>
      <c r="H571" s="832" t="str">
        <f>EUconst_tCO2pTJ</f>
        <v>t CO2 / TJ</v>
      </c>
      <c r="I571" s="1005" t="str">
        <f>IF($I529="","",IF(INDEX(F_ProductBM!I:I,MATCH($P571,F_ProductBM!$P:$P,0))="","",INDEX(F_ProductBM!I:I,MATCH($P571,F_ProductBM!$P:$P,0))))</f>
        <v/>
      </c>
      <c r="J571" s="1005" t="str">
        <f>IF($I529="","",IF(INDEX(F_ProductBM!J:J,MATCH($P571,F_ProductBM!$P:$P,0))="","",INDEX(F_ProductBM!J:J,MATCH($P571,F_ProductBM!$P:$P,0))))</f>
        <v/>
      </c>
      <c r="K571" s="1005" t="str">
        <f>IF($I529="","",IF(INDEX(F_ProductBM!K:K,MATCH($P571,F_ProductBM!$P:$P,0))="","",INDEX(F_ProductBM!K:K,MATCH($P571,F_ProductBM!$P:$P,0))))</f>
        <v/>
      </c>
      <c r="L571" s="1005" t="str">
        <f>IF($I529="","",IF(INDEX(F_ProductBM!L:L,MATCH($P571,F_ProductBM!$P:$P,0))="","",INDEX(F_ProductBM!L:L,MATCH($P571,F_ProductBM!$P:$P,0))))</f>
        <v/>
      </c>
      <c r="M571" s="1005" t="str">
        <f>IF($I529="","",IF(INDEX(F_ProductBM!M:M,MATCH($P571,F_ProductBM!$P:$P,0))="","",INDEX(F_ProductBM!M:M,MATCH($P571,F_ProductBM!$P:$P,0))))</f>
        <v/>
      </c>
      <c r="N571" s="831"/>
      <c r="O571" s="20"/>
      <c r="P571" s="351" t="str">
        <f>EUconst_CNTR_WGImportEF &amp; I529</f>
        <v>WasteGasImEF_</v>
      </c>
      <c r="Q571" s="422"/>
      <c r="R571" s="422"/>
      <c r="S571" s="422"/>
      <c r="T571" s="8"/>
    </row>
    <row r="572" spans="1:20" s="701" customFormat="1" x14ac:dyDescent="0.2">
      <c r="A572" s="422"/>
      <c r="B572" s="398"/>
      <c r="C572" s="398"/>
      <c r="D572" s="398"/>
      <c r="E572" s="1766" t="str">
        <f>Translations!$B$801</f>
        <v>Gazy odlotowe wyprowadzone</v>
      </c>
      <c r="F572" s="1767"/>
      <c r="G572" s="1767"/>
      <c r="H572" s="454" t="str">
        <f>EUconst_TJpa</f>
        <v>TJ / rok</v>
      </c>
      <c r="I572" s="1004" t="str">
        <f>IF($I529="","",IF(INDEX(F_ProductBM!I:I,MATCH($P572,F_ProductBM!$P:$P,0))="","",INDEX(F_ProductBM!I:I,MATCH($P572,F_ProductBM!$P:$P,0))))</f>
        <v/>
      </c>
      <c r="J572" s="1004" t="str">
        <f>IF($I529="","",IF(INDEX(F_ProductBM!J:J,MATCH($P572,F_ProductBM!$P:$P,0))="","",INDEX(F_ProductBM!J:J,MATCH($P572,F_ProductBM!$P:$P,0))))</f>
        <v/>
      </c>
      <c r="K572" s="1004" t="str">
        <f>IF($I529="","",IF(INDEX(F_ProductBM!K:K,MATCH($P572,F_ProductBM!$P:$P,0))="","",INDEX(F_ProductBM!K:K,MATCH($P572,F_ProductBM!$P:$P,0))))</f>
        <v/>
      </c>
      <c r="L572" s="1004" t="str">
        <f>IF($I529="","",IF(INDEX(F_ProductBM!L:L,MATCH($P572,F_ProductBM!$P:$P,0))="","",INDEX(F_ProductBM!L:L,MATCH($P572,F_ProductBM!$P:$P,0))))</f>
        <v/>
      </c>
      <c r="M572" s="1004" t="str">
        <f>IF($I529="","",IF(INDEX(F_ProductBM!M:M,MATCH($P572,F_ProductBM!$P:$P,0))="","",INDEX(F_ProductBM!M:M,MATCH($P572,F_ProductBM!$P:$P,0))))</f>
        <v/>
      </c>
      <c r="N572" s="831"/>
      <c r="O572" s="20"/>
      <c r="P572" s="351" t="str">
        <f>EUconst_CNTR_WGExport &amp; I529</f>
        <v>WasteGasEx_</v>
      </c>
      <c r="Q572" s="422"/>
      <c r="R572" s="422"/>
      <c r="S572" s="422"/>
      <c r="T572" s="8"/>
    </row>
    <row r="573" spans="1:20" s="701" customFormat="1" x14ac:dyDescent="0.2">
      <c r="A573" s="422"/>
      <c r="B573" s="398"/>
      <c r="C573" s="398"/>
      <c r="D573" s="398"/>
      <c r="E573" s="1743" t="str">
        <f>Translations!$B$802</f>
        <v>Właściwy współczynnik emisji (gazy odlotowe wyprowadzone)</v>
      </c>
      <c r="F573" s="1743"/>
      <c r="G573" s="1743"/>
      <c r="H573" s="832" t="str">
        <f>EUconst_tCO2pTJ</f>
        <v>t CO2 / TJ</v>
      </c>
      <c r="I573" s="1005" t="str">
        <f>IF($I529="","",IF(INDEX(F_ProductBM!I:I,MATCH($P573,F_ProductBM!$P:$P,0))="","",INDEX(F_ProductBM!I:I,MATCH($P573,F_ProductBM!$P:$P,0))))</f>
        <v/>
      </c>
      <c r="J573" s="1005" t="str">
        <f>IF($I529="","",IF(INDEX(F_ProductBM!J:J,MATCH($P573,F_ProductBM!$P:$P,0))="","",INDEX(F_ProductBM!J:J,MATCH($P573,F_ProductBM!$P:$P,0))))</f>
        <v/>
      </c>
      <c r="K573" s="1005" t="str">
        <f>IF($I529="","",IF(INDEX(F_ProductBM!K:K,MATCH($P573,F_ProductBM!$P:$P,0))="","",INDEX(F_ProductBM!K:K,MATCH($P573,F_ProductBM!$P:$P,0))))</f>
        <v/>
      </c>
      <c r="L573" s="1005" t="str">
        <f>IF($I529="","",IF(INDEX(F_ProductBM!L:L,MATCH($P573,F_ProductBM!$P:$P,0))="","",INDEX(F_ProductBM!L:L,MATCH($P573,F_ProductBM!$P:$P,0))))</f>
        <v/>
      </c>
      <c r="M573" s="1005" t="str">
        <f>IF($I529="","",IF(INDEX(F_ProductBM!M:M,MATCH($P573,F_ProductBM!$P:$P,0))="","",INDEX(F_ProductBM!M:M,MATCH($P573,F_ProductBM!$P:$P,0))))</f>
        <v/>
      </c>
      <c r="N573" s="831"/>
      <c r="O573" s="20"/>
      <c r="P573" s="351" t="str">
        <f>EUconst_CNTR_WGExportEF &amp; I529</f>
        <v>WasteGasExEF_</v>
      </c>
      <c r="Q573" s="422"/>
      <c r="R573" s="422"/>
      <c r="S573" s="422"/>
      <c r="T573" s="8"/>
    </row>
    <row r="574" spans="1:20" s="701" customFormat="1" x14ac:dyDescent="0.2">
      <c r="A574" s="422"/>
      <c r="B574" s="398"/>
      <c r="C574" s="398"/>
      <c r="D574" s="398"/>
      <c r="E574" s="516"/>
      <c r="F574" s="516"/>
      <c r="G574" s="516"/>
      <c r="H574" s="516"/>
      <c r="I574" s="1006"/>
      <c r="J574" s="1006"/>
      <c r="K574" s="1006"/>
      <c r="L574" s="1006"/>
      <c r="M574" s="1006"/>
      <c r="N574" s="831"/>
      <c r="O574" s="20"/>
      <c r="P574" s="182"/>
      <c r="Q574" s="422"/>
      <c r="R574" s="422"/>
      <c r="S574" s="422"/>
      <c r="T574" s="8"/>
    </row>
    <row r="575" spans="1:20" s="701" customFormat="1" x14ac:dyDescent="0.2">
      <c r="A575" s="422"/>
      <c r="B575" s="398"/>
      <c r="C575" s="398"/>
      <c r="D575" s="398"/>
      <c r="E575" s="1739" t="str">
        <f>Translations!$B$689</f>
        <v>Odpowiednie zużycie energii elektrycznej</v>
      </c>
      <c r="F575" s="1740"/>
      <c r="G575" s="1740"/>
      <c r="H575" s="453" t="str">
        <f>EUconst_MWhpa</f>
        <v>MWh / rok</v>
      </c>
      <c r="I575" s="1007" t="str">
        <f>IF($I529="","",IF(INDEX(F_ProductBM!I:I,MATCH($P575,F_ProductBM!$Q:$Q,0))="","",INDEX(F_ProductBM!I:I,MATCH($P575,F_ProductBM!$Q:$Q,0))))</f>
        <v/>
      </c>
      <c r="J575" s="1007" t="str">
        <f>IF($I529="","",IF(INDEX(F_ProductBM!J:J,MATCH($P575,F_ProductBM!$Q:$Q,0))="","",INDEX(F_ProductBM!J:J,MATCH($P575,F_ProductBM!$Q:$Q,0))))</f>
        <v/>
      </c>
      <c r="K575" s="1007" t="str">
        <f>IF($I529="","",IF(INDEX(F_ProductBM!K:K,MATCH($P575,F_ProductBM!$Q:$Q,0))="","",INDEX(F_ProductBM!K:K,MATCH($P575,F_ProductBM!$Q:$Q,0))))</f>
        <v/>
      </c>
      <c r="L575" s="1007" t="str">
        <f>IF($I529="","",IF(INDEX(F_ProductBM!L:L,MATCH($P575,F_ProductBM!$Q:$Q,0))="","",INDEX(F_ProductBM!L:L,MATCH($P575,F_ProductBM!$Q:$Q,0))))</f>
        <v/>
      </c>
      <c r="M575" s="1007" t="str">
        <f>IF($I529="","",IF(INDEX(F_ProductBM!M:M,MATCH($P575,F_ProductBM!$Q:$Q,0))="","",INDEX(F_ProductBM!M:M,MATCH($P575,F_ProductBM!$Q:$Q,0))))</f>
        <v/>
      </c>
      <c r="N575" s="831"/>
      <c r="O575" s="20"/>
      <c r="P575" s="185" t="str">
        <f>EUconst_CNTR_HAL&amp;EUconst_CNTR_ELEXCH &amp; I529</f>
        <v>HAL_ELEXCH_</v>
      </c>
      <c r="Q575" s="422"/>
      <c r="R575" s="422"/>
      <c r="S575" s="422"/>
      <c r="T575" s="8"/>
    </row>
    <row r="576" spans="1:20" s="701" customFormat="1" x14ac:dyDescent="0.2">
      <c r="A576" s="422"/>
      <c r="B576" s="398"/>
      <c r="C576" s="398"/>
      <c r="D576" s="398"/>
      <c r="E576" s="1739" t="str">
        <f>Translations!$B$805</f>
        <v>Energia elektryczna wytworzona</v>
      </c>
      <c r="F576" s="1740"/>
      <c r="G576" s="1740"/>
      <c r="H576" s="453" t="str">
        <f>EUconst_MWhpa</f>
        <v>MWh / rok</v>
      </c>
      <c r="I576" s="1007" t="str">
        <f>IF($I529="","",IF(INDEX(F_ProductBM!I:I,MATCH($P576,F_ProductBM!$P:$P,0))="","",INDEX(F_ProductBM!I:I,MATCH($P576,F_ProductBM!$P:$P,0))))</f>
        <v/>
      </c>
      <c r="J576" s="1007" t="str">
        <f>IF($I529="","",IF(INDEX(F_ProductBM!J:J,MATCH($P576,F_ProductBM!$P:$P,0))="","",INDEX(F_ProductBM!J:J,MATCH($P576,F_ProductBM!$P:$P,0))))</f>
        <v/>
      </c>
      <c r="K576" s="1007" t="str">
        <f>IF($I529="","",IF(INDEX(F_ProductBM!K:K,MATCH($P576,F_ProductBM!$P:$P,0))="","",INDEX(F_ProductBM!K:K,MATCH($P576,F_ProductBM!$P:$P,0))))</f>
        <v/>
      </c>
      <c r="L576" s="1007" t="str">
        <f>IF($I529="","",IF(INDEX(F_ProductBM!L:L,MATCH($P576,F_ProductBM!$P:$P,0))="","",INDEX(F_ProductBM!L:L,MATCH($P576,F_ProductBM!$P:$P,0))))</f>
        <v/>
      </c>
      <c r="M576" s="1007" t="str">
        <f>IF($I529="","",IF(INDEX(F_ProductBM!M:M,MATCH($P576,F_ProductBM!$P:$P,0))="","",INDEX(F_ProductBM!M:M,MATCH($P576,F_ProductBM!$P:$P,0))))</f>
        <v/>
      </c>
      <c r="N576" s="831"/>
      <c r="O576" s="20"/>
      <c r="P576" s="351" t="str">
        <f>EUconst_CNTR_ElectricityExported &amp; I529</f>
        <v>ElecEx_</v>
      </c>
      <c r="Q576" s="422"/>
      <c r="R576" s="422"/>
      <c r="S576" s="422"/>
      <c r="T576" s="8"/>
    </row>
    <row r="577" spans="1:20" s="701" customFormat="1" x14ac:dyDescent="0.2">
      <c r="A577" s="422"/>
      <c r="B577" s="398"/>
      <c r="C577" s="398"/>
      <c r="D577" s="398"/>
      <c r="E577" s="516"/>
      <c r="F577" s="516"/>
      <c r="G577" s="516"/>
      <c r="H577" s="516"/>
      <c r="I577" s="1006"/>
      <c r="J577" s="1006"/>
      <c r="K577" s="1006"/>
      <c r="L577" s="1006"/>
      <c r="M577" s="1006"/>
      <c r="N577" s="831"/>
      <c r="O577" s="20"/>
      <c r="P577" s="182"/>
      <c r="Q577" s="422"/>
      <c r="R577" s="422"/>
      <c r="S577" s="422"/>
      <c r="T577" s="8"/>
    </row>
    <row r="578" spans="1:20" s="701" customFormat="1" x14ac:dyDescent="0.2">
      <c r="A578" s="422"/>
      <c r="B578" s="398"/>
      <c r="C578" s="398"/>
      <c r="D578" s="398"/>
      <c r="E578" s="1739" t="str">
        <f>Translations!$B$806</f>
        <v>Całkowita ilość wyprodukowanej masy celulozowej</v>
      </c>
      <c r="F578" s="1740"/>
      <c r="G578" s="1740"/>
      <c r="H578" s="453" t="str">
        <f>EUconst_Tons</f>
        <v>tony</v>
      </c>
      <c r="I578" s="1007" t="str">
        <f>IF($I529="","",IF(INDEX(F_ProductBM!I:I,MATCH($P578,F_ProductBM!$P:$P,0))="","",INDEX(F_ProductBM!I:I,MATCH($P578,F_ProductBM!$P:$P,0))))</f>
        <v/>
      </c>
      <c r="J578" s="1007" t="str">
        <f>IF($I529="","",IF(INDEX(F_ProductBM!J:J,MATCH($P578,F_ProductBM!$P:$P,0))="","",INDEX(F_ProductBM!J:J,MATCH($P578,F_ProductBM!$P:$P,0))))</f>
        <v/>
      </c>
      <c r="K578" s="1007" t="str">
        <f>IF($I529="","",IF(INDEX(F_ProductBM!K:K,MATCH($P578,F_ProductBM!$P:$P,0))="","",INDEX(F_ProductBM!K:K,MATCH($P578,F_ProductBM!$P:$P,0))))</f>
        <v/>
      </c>
      <c r="L578" s="1007" t="str">
        <f>IF($I529="","",IF(INDEX(F_ProductBM!L:L,MATCH($P578,F_ProductBM!$P:$P,0))="","",INDEX(F_ProductBM!L:L,MATCH($P578,F_ProductBM!$P:$P,0))))</f>
        <v/>
      </c>
      <c r="M578" s="1007" t="str">
        <f>IF($I529="","",IF(INDEX(F_ProductBM!M:M,MATCH($P578,F_ProductBM!$P:$P,0))="","",INDEX(F_ProductBM!M:M,MATCH($P578,F_ProductBM!$P:$P,0))))</f>
        <v/>
      </c>
      <c r="N578" s="831"/>
      <c r="O578" s="20"/>
      <c r="P578" s="351" t="str">
        <f>EUconst_CNTR_HALPulpTotal &amp; I529</f>
        <v>HALPulpTotal_</v>
      </c>
      <c r="Q578" s="422"/>
      <c r="R578" s="422"/>
      <c r="S578" s="422"/>
      <c r="T578" s="8"/>
    </row>
    <row r="579" spans="1:20" s="701" customFormat="1" x14ac:dyDescent="0.2">
      <c r="A579" s="422"/>
      <c r="B579" s="398"/>
      <c r="C579" s="398"/>
      <c r="D579" s="398"/>
      <c r="E579" s="516"/>
      <c r="F579" s="516"/>
      <c r="G579" s="516"/>
      <c r="H579" s="516"/>
      <c r="I579" s="1006"/>
      <c r="J579" s="1006"/>
      <c r="K579" s="1006"/>
      <c r="L579" s="1006"/>
      <c r="M579" s="1006"/>
      <c r="N579" s="831"/>
      <c r="O579" s="20"/>
      <c r="P579" s="182"/>
      <c r="Q579" s="422"/>
      <c r="R579" s="422"/>
      <c r="S579" s="422"/>
      <c r="T579" s="8"/>
    </row>
    <row r="580" spans="1:20" s="701" customFormat="1" x14ac:dyDescent="0.2">
      <c r="A580" s="422"/>
      <c r="B580" s="398"/>
      <c r="C580" s="398"/>
      <c r="D580" s="398"/>
      <c r="E580" s="1268" t="str">
        <f>Translations!$B$1239</f>
        <v>Wprowadzanie pośrednie:</v>
      </c>
      <c r="F580" s="516"/>
      <c r="G580" s="516"/>
      <c r="H580" s="516"/>
      <c r="I580" s="1006"/>
      <c r="J580" s="1006"/>
      <c r="K580" s="1006"/>
      <c r="L580" s="1006"/>
      <c r="M580" s="1006"/>
      <c r="N580" s="831"/>
      <c r="O580" s="20"/>
      <c r="P580" s="182"/>
      <c r="Q580" s="422"/>
      <c r="R580" s="422"/>
      <c r="S580" s="422"/>
      <c r="T580" s="8"/>
    </row>
    <row r="581" spans="1:20" s="701" customFormat="1" x14ac:dyDescent="0.2">
      <c r="A581" s="422"/>
      <c r="B581" s="398"/>
      <c r="C581" s="398"/>
      <c r="D581" s="398"/>
      <c r="E581" s="1762" t="str">
        <f>IF($I529="","",IF(INDEX(F_ProductBM!E:E,MATCH($P581,F_ProductBM!$P:$P,0))="","",INDEX(F_ProductBM!E:E,MATCH($P581,F_ProductBM!$P:$P,0))))</f>
        <v/>
      </c>
      <c r="F581" s="1762"/>
      <c r="G581" s="1762"/>
      <c r="H581" s="453" t="str">
        <f>EUconst_Tons</f>
        <v>tony</v>
      </c>
      <c r="I581" s="1007" t="str">
        <f>IF($I529="","",IF(INDEX(F_ProductBM!I:I,MATCH($P581,F_ProductBM!$P:$P,0))="","",INDEX(F_ProductBM!I:I,MATCH($P581,F_ProductBM!$P:$P,0))))</f>
        <v/>
      </c>
      <c r="J581" s="1007" t="str">
        <f>IF($I529="","",IF(INDEX(F_ProductBM!J:J,MATCH($P581,F_ProductBM!$P:$P,0))="","",INDEX(F_ProductBM!J:J,MATCH($P581,F_ProductBM!$P:$P,0))))</f>
        <v/>
      </c>
      <c r="K581" s="1007" t="str">
        <f>IF($I529="","",IF(INDEX(F_ProductBM!K:K,MATCH($P581,F_ProductBM!$P:$P,0))="","",INDEX(F_ProductBM!K:K,MATCH($P581,F_ProductBM!$P:$P,0))))</f>
        <v/>
      </c>
      <c r="L581" s="1007" t="str">
        <f>IF($I529="","",IF(INDEX(F_ProductBM!L:L,MATCH($P581,F_ProductBM!$P:$P,0))="","",INDEX(F_ProductBM!L:L,MATCH($P581,F_ProductBM!$P:$P,0))))</f>
        <v/>
      </c>
      <c r="M581" s="1007" t="str">
        <f>IF($I529="","",IF(INDEX(F_ProductBM!M:M,MATCH($P581,F_ProductBM!$P:$P,0))="","",INDEX(F_ProductBM!M:M,MATCH($P581,F_ProductBM!$P:$P,0))))</f>
        <v/>
      </c>
      <c r="N581" s="831"/>
      <c r="O581" s="20"/>
      <c r="P581" s="351" t="str">
        <f>EUconst_CNTR_IntermediateImport &amp; R581 &amp; "_" &amp; I529</f>
        <v>IntImp_1_</v>
      </c>
      <c r="Q581" s="422"/>
      <c r="R581" s="879">
        <v>1</v>
      </c>
      <c r="S581" s="422"/>
      <c r="T581" s="8"/>
    </row>
    <row r="582" spans="1:20" s="701" customFormat="1" x14ac:dyDescent="0.2">
      <c r="A582" s="422"/>
      <c r="B582" s="398"/>
      <c r="C582" s="398"/>
      <c r="D582" s="398"/>
      <c r="E582" s="1762" t="str">
        <f>IF($I529="","",IF(INDEX(F_ProductBM!E:E,MATCH($P582,F_ProductBM!$P:$P,0))="","",INDEX(F_ProductBM!E:E,MATCH($P582,F_ProductBM!$P:$P,0))))</f>
        <v/>
      </c>
      <c r="F582" s="1762"/>
      <c r="G582" s="1762"/>
      <c r="H582" s="453" t="str">
        <f>EUconst_Tons</f>
        <v>tony</v>
      </c>
      <c r="I582" s="1007" t="str">
        <f>IF($I529="","",IF(INDEX(F_ProductBM!I:I,MATCH($P582,F_ProductBM!$P:$P,0))="","",INDEX(F_ProductBM!I:I,MATCH($P582,F_ProductBM!$P:$P,0))))</f>
        <v/>
      </c>
      <c r="J582" s="1007" t="str">
        <f>IF($I529="","",IF(INDEX(F_ProductBM!J:J,MATCH($P582,F_ProductBM!$P:$P,0))="","",INDEX(F_ProductBM!J:J,MATCH($P582,F_ProductBM!$P:$P,0))))</f>
        <v/>
      </c>
      <c r="K582" s="1007" t="str">
        <f>IF($I529="","",IF(INDEX(F_ProductBM!K:K,MATCH($P582,F_ProductBM!$P:$P,0))="","",INDEX(F_ProductBM!K:K,MATCH($P582,F_ProductBM!$P:$P,0))))</f>
        <v/>
      </c>
      <c r="L582" s="1007" t="str">
        <f>IF($I529="","",IF(INDEX(F_ProductBM!L:L,MATCH($P582,F_ProductBM!$P:$P,0))="","",INDEX(F_ProductBM!L:L,MATCH($P582,F_ProductBM!$P:$P,0))))</f>
        <v/>
      </c>
      <c r="M582" s="1007" t="str">
        <f>IF($I529="","",IF(INDEX(F_ProductBM!M:M,MATCH($P582,F_ProductBM!$P:$P,0))="","",INDEX(F_ProductBM!M:M,MATCH($P582,F_ProductBM!$P:$P,0))))</f>
        <v/>
      </c>
      <c r="N582" s="831"/>
      <c r="O582" s="20"/>
      <c r="P582" s="351" t="str">
        <f>EUconst_CNTR_IntermediateImport &amp; R582 &amp; "_" &amp; I529</f>
        <v>IntImp_2_</v>
      </c>
      <c r="Q582" s="422"/>
      <c r="R582" s="879">
        <v>2</v>
      </c>
      <c r="S582" s="422"/>
      <c r="T582" s="8"/>
    </row>
    <row r="583" spans="1:20" s="701" customFormat="1" x14ac:dyDescent="0.2">
      <c r="A583" s="422"/>
      <c r="B583" s="398"/>
      <c r="C583" s="398"/>
      <c r="D583" s="398"/>
      <c r="E583" s="1268" t="str">
        <f>Translations!$B$1240</f>
        <v>Wyprowadzanie pośrednie:</v>
      </c>
      <c r="F583" s="516"/>
      <c r="G583" s="516"/>
      <c r="H583" s="516"/>
      <c r="I583" s="1006"/>
      <c r="J583" s="1006"/>
      <c r="K583" s="1006"/>
      <c r="L583" s="1006"/>
      <c r="M583" s="1006"/>
      <c r="N583" s="831"/>
      <c r="O583" s="20"/>
      <c r="P583" s="182"/>
      <c r="Q583" s="422"/>
      <c r="R583" s="422"/>
      <c r="S583" s="422"/>
      <c r="T583" s="8"/>
    </row>
    <row r="584" spans="1:20" s="701" customFormat="1" x14ac:dyDescent="0.2">
      <c r="A584" s="422"/>
      <c r="B584" s="398"/>
      <c r="C584" s="398"/>
      <c r="D584" s="398"/>
      <c r="E584" s="1762" t="str">
        <f>IF($I529="","",IF(INDEX(F_ProductBM!E:E,MATCH($P584,F_ProductBM!$P:$P,0))="","",INDEX(F_ProductBM!E:E,MATCH($P584,F_ProductBM!$P:$P,0))))</f>
        <v/>
      </c>
      <c r="F584" s="1762"/>
      <c r="G584" s="1762"/>
      <c r="H584" s="453" t="str">
        <f>EUconst_Tons</f>
        <v>tony</v>
      </c>
      <c r="I584" s="1007" t="str">
        <f>IF($I529="","",IF(INDEX(F_ProductBM!I:I,MATCH($P584,F_ProductBM!$P:$P,0))="","",INDEX(F_ProductBM!I:I,MATCH($P584,F_ProductBM!$P:$P,0))))</f>
        <v/>
      </c>
      <c r="J584" s="1007" t="str">
        <f>IF($I529="","",IF(INDEX(F_ProductBM!J:J,MATCH($P584,F_ProductBM!$P:$P,0))="","",INDEX(F_ProductBM!J:J,MATCH($P584,F_ProductBM!$P:$P,0))))</f>
        <v/>
      </c>
      <c r="K584" s="1007" t="str">
        <f>IF($I529="","",IF(INDEX(F_ProductBM!K:K,MATCH($P584,F_ProductBM!$P:$P,0))="","",INDEX(F_ProductBM!K:K,MATCH($P584,F_ProductBM!$P:$P,0))))</f>
        <v/>
      </c>
      <c r="L584" s="1007" t="str">
        <f>IF($I529="","",IF(INDEX(F_ProductBM!L:L,MATCH($P584,F_ProductBM!$P:$P,0))="","",INDEX(F_ProductBM!L:L,MATCH($P584,F_ProductBM!$P:$P,0))))</f>
        <v/>
      </c>
      <c r="M584" s="1007" t="str">
        <f>IF($I529="","",IF(INDEX(F_ProductBM!M:M,MATCH($P584,F_ProductBM!$P:$P,0))="","",INDEX(F_ProductBM!M:M,MATCH($P584,F_ProductBM!$P:$P,0))))</f>
        <v/>
      </c>
      <c r="N584" s="831"/>
      <c r="O584" s="20"/>
      <c r="P584" s="351" t="str">
        <f>EUconst_CNTR_IntermediateExport &amp; R581 &amp; "_" &amp; I529</f>
        <v>IntExp_1_</v>
      </c>
      <c r="Q584" s="422"/>
      <c r="R584" s="879">
        <v>1</v>
      </c>
      <c r="S584" s="422"/>
      <c r="T584" s="8"/>
    </row>
    <row r="585" spans="1:20" s="701" customFormat="1" x14ac:dyDescent="0.2">
      <c r="A585" s="422"/>
      <c r="B585" s="398"/>
      <c r="C585" s="398"/>
      <c r="D585" s="398"/>
      <c r="E585" s="1762" t="str">
        <f>IF($I529="","",IF(INDEX(F_ProductBM!E:E,MATCH($P585,F_ProductBM!$P:$P,0))="","",INDEX(F_ProductBM!E:E,MATCH($P585,F_ProductBM!$P:$P,0))))</f>
        <v/>
      </c>
      <c r="F585" s="1762"/>
      <c r="G585" s="1762"/>
      <c r="H585" s="453" t="str">
        <f>EUconst_Tons</f>
        <v>tony</v>
      </c>
      <c r="I585" s="1007" t="str">
        <f>IF($I529="","",IF(INDEX(F_ProductBM!I:I,MATCH($P585,F_ProductBM!$P:$P,0))="","",INDEX(F_ProductBM!I:I,MATCH($P585,F_ProductBM!$P:$P,0))))</f>
        <v/>
      </c>
      <c r="J585" s="1007" t="str">
        <f>IF($I529="","",IF(INDEX(F_ProductBM!J:J,MATCH($P585,F_ProductBM!$P:$P,0))="","",INDEX(F_ProductBM!J:J,MATCH($P585,F_ProductBM!$P:$P,0))))</f>
        <v/>
      </c>
      <c r="K585" s="1007" t="str">
        <f>IF($I529="","",IF(INDEX(F_ProductBM!K:K,MATCH($P585,F_ProductBM!$P:$P,0))="","",INDEX(F_ProductBM!K:K,MATCH($P585,F_ProductBM!$P:$P,0))))</f>
        <v/>
      </c>
      <c r="L585" s="1007" t="str">
        <f>IF($I529="","",IF(INDEX(F_ProductBM!L:L,MATCH($P585,F_ProductBM!$P:$P,0))="","",INDEX(F_ProductBM!L:L,MATCH($P585,F_ProductBM!$P:$P,0))))</f>
        <v/>
      </c>
      <c r="M585" s="1007" t="str">
        <f>IF($I529="","",IF(INDEX(F_ProductBM!M:M,MATCH($P585,F_ProductBM!$P:$P,0))="","",INDEX(F_ProductBM!M:M,MATCH($P585,F_ProductBM!$P:$P,0))))</f>
        <v/>
      </c>
      <c r="N585" s="831"/>
      <c r="O585" s="20"/>
      <c r="P585" s="351" t="str">
        <f>EUconst_CNTR_IntermediateExport &amp; R585 &amp; "_" &amp; I529</f>
        <v>IntExp_2_</v>
      </c>
      <c r="Q585" s="422"/>
      <c r="R585" s="879">
        <v>2</v>
      </c>
      <c r="S585" s="422"/>
      <c r="T585" s="8"/>
    </row>
    <row r="586" spans="1:20" s="701" customFormat="1" x14ac:dyDescent="0.2">
      <c r="A586" s="422"/>
      <c r="B586" s="398"/>
      <c r="C586" s="398"/>
      <c r="D586" s="398"/>
      <c r="E586" s="516"/>
      <c r="F586" s="516"/>
      <c r="G586" s="516"/>
      <c r="H586" s="516"/>
      <c r="I586" s="831"/>
      <c r="J586" s="831"/>
      <c r="K586" s="831"/>
      <c r="L586" s="831"/>
      <c r="M586" s="831"/>
      <c r="N586" s="831"/>
      <c r="O586" s="20"/>
      <c r="P586" s="182"/>
      <c r="Q586" s="422"/>
      <c r="R586" s="422"/>
      <c r="S586" s="422"/>
      <c r="T586" s="8"/>
    </row>
    <row r="587" spans="1:20" s="701" customFormat="1" ht="13.5" thickBot="1" x14ac:dyDescent="0.25">
      <c r="A587" s="422"/>
      <c r="B587" s="398"/>
      <c r="C587" s="398"/>
      <c r="D587" s="398"/>
      <c r="E587" s="1017"/>
      <c r="O587" s="20"/>
      <c r="P587" s="422"/>
      <c r="Q587" s="422"/>
      <c r="R587" s="422"/>
      <c r="S587" s="422"/>
      <c r="T587" s="8"/>
    </row>
    <row r="588" spans="1:20" s="701" customFormat="1" ht="13.5" thickBot="1" x14ac:dyDescent="0.25">
      <c r="A588" s="422"/>
      <c r="B588" s="3"/>
      <c r="C588" s="281"/>
      <c r="D588" s="281"/>
      <c r="E588" s="281"/>
      <c r="F588" s="281"/>
      <c r="G588" s="281"/>
      <c r="H588" s="281"/>
      <c r="I588" s="281"/>
      <c r="J588" s="281"/>
      <c r="K588" s="281"/>
      <c r="L588" s="281"/>
      <c r="M588" s="281"/>
      <c r="N588" s="281"/>
      <c r="O588" s="20"/>
      <c r="P588" s="422"/>
      <c r="Q588" s="422"/>
      <c r="R588" s="422"/>
      <c r="S588" s="422"/>
      <c r="T588" s="8" t="s">
        <v>583</v>
      </c>
    </row>
    <row r="589" spans="1:20" s="701" customFormat="1" ht="15.75" thickBot="1" x14ac:dyDescent="0.3">
      <c r="A589" s="422"/>
      <c r="B589" s="398"/>
      <c r="C589" s="18">
        <f>C529+1</f>
        <v>3</v>
      </c>
      <c r="D589" s="1439" t="str">
        <f>CONCATENATE(EUconst_BMSubinst," ",C589, ":")</f>
        <v>Podinstalacja i wskaźnik emisyjności dla produktów 3:</v>
      </c>
      <c r="E589" s="1439"/>
      <c r="F589" s="1439"/>
      <c r="G589" s="1439"/>
      <c r="H589" s="2024"/>
      <c r="I589" s="1781" t="str">
        <f>IF(INDEX(CNTR_SubInstListIsProdBM,$C589),INDEX(CNTR_SubInstListNames,$C589),"")</f>
        <v/>
      </c>
      <c r="J589" s="2025"/>
      <c r="K589" s="2025"/>
      <c r="L589" s="2025"/>
      <c r="M589" s="2025"/>
      <c r="N589" s="2026"/>
      <c r="O589" s="20"/>
      <c r="P589" s="422"/>
      <c r="Q589" s="986">
        <f>C589</f>
        <v>3</v>
      </c>
      <c r="R589" s="983" t="str">
        <f>I589</f>
        <v/>
      </c>
      <c r="S589" s="985" t="str">
        <f>H592</f>
        <v>Nie dotyczy</v>
      </c>
      <c r="T589" s="984" t="str">
        <f>IF(M601="","",IF(S592=0,0,SUM(M601)/S592))</f>
        <v/>
      </c>
    </row>
    <row r="590" spans="1:20" s="701" customFormat="1" ht="13.5" thickBot="1" x14ac:dyDescent="0.25">
      <c r="A590" s="422"/>
      <c r="B590" s="398"/>
      <c r="C590" s="398"/>
      <c r="D590" s="398"/>
      <c r="E590" s="398"/>
      <c r="F590" s="398"/>
      <c r="G590" s="398"/>
      <c r="H590" s="398"/>
      <c r="I590" s="398"/>
      <c r="J590" s="398"/>
      <c r="K590" s="398"/>
      <c r="L590" s="398"/>
      <c r="M590" s="398"/>
      <c r="N590" s="398"/>
      <c r="O590" s="20"/>
      <c r="P590" s="422"/>
      <c r="Q590" s="422"/>
      <c r="R590" s="422"/>
      <c r="S590" s="422"/>
      <c r="T590" s="8"/>
    </row>
    <row r="591" spans="1:20" s="1299" customFormat="1" ht="51" x14ac:dyDescent="0.2">
      <c r="A591" s="970"/>
      <c r="B591" s="1300"/>
      <c r="C591" s="1300"/>
      <c r="D591" s="1300"/>
      <c r="E591" s="1300"/>
      <c r="F591" s="1300"/>
      <c r="G591" s="1300"/>
      <c r="H591" s="1304" t="str">
        <f>Translations!$B$1204</f>
        <v>narażenie na ryzyko ucieczki emisji</v>
      </c>
      <c r="I591" s="1305" t="s">
        <v>516</v>
      </c>
      <c r="J591" s="1305" t="str">
        <f>Translations!$B$1208</f>
        <v>Rozpoczęcie</v>
      </c>
      <c r="K591" s="1305" t="str">
        <f>Translations!$B$1206</f>
        <v>Nr wskaźnika</v>
      </c>
      <c r="L591" s="1306" t="str">
        <f>Translations!$B$1212</f>
        <v>Art. 15 ust. 7 akapit trzeci?</v>
      </c>
      <c r="M591" s="1307" t="str">
        <f>Translations!$B$1234</f>
        <v>Wart. wskaźnika (min./maks./faktyczna)</v>
      </c>
      <c r="N591" s="1308"/>
      <c r="O591" s="121"/>
      <c r="P591" s="970"/>
      <c r="Q591" s="970"/>
      <c r="R591" s="970"/>
      <c r="S591" s="970"/>
      <c r="T591" s="972"/>
    </row>
    <row r="592" spans="1:20" s="701" customFormat="1" x14ac:dyDescent="0.2">
      <c r="A592" s="422"/>
      <c r="B592" s="398"/>
      <c r="C592" s="398"/>
      <c r="D592" s="398"/>
      <c r="E592" s="652" t="str">
        <f>I589</f>
        <v/>
      </c>
      <c r="F592" s="653"/>
      <c r="G592" s="590"/>
      <c r="H592" s="654" t="str">
        <f>IF(K592=EUconst_NA,EUconst_NA,INDEX(EUconst_BMlistCLstatus,K592))</f>
        <v>Nie dotyczy</v>
      </c>
      <c r="I592" s="655" t="str">
        <f>IF(E592="","",INDEX(EUconst_BMlistElExchangability,K592))</f>
        <v/>
      </c>
      <c r="J592" s="857" t="str">
        <f>IF($I589="",EUconst_NA,INDEX(CNTR_SubInstStartDate,MATCH(E592,CNTR_SubInstListNames,0)))</f>
        <v>Nie dotyczy</v>
      </c>
      <c r="K592" s="536" t="str">
        <f>IF($I589="",EUconst_NA,MATCH(E592,EUconst_BMlistNames,0))</f>
        <v>Nie dotyczy</v>
      </c>
      <c r="L592" s="1071" t="str">
        <f>IF(E592="","",INDEX(CNTR_SubInstLess1Year,MATCH(E592,CNTR_SubInstListNames,0)))</f>
        <v/>
      </c>
      <c r="M592" s="1073" t="str">
        <f>IF(I589="",EUconst_NA,INDEX(EUconst_BMlistBMvaluesMatrix,K592,2))</f>
        <v>Nie dotyczy</v>
      </c>
      <c r="N592" s="1074" t="str">
        <f>EUconst_EUA &amp; "/" &amp; H597</f>
        <v>Uprawnienia do emisji ogólnych/tony</v>
      </c>
      <c r="O592" s="20"/>
      <c r="P592" s="422"/>
      <c r="Q592" s="422"/>
      <c r="R592" s="736" t="s">
        <v>577</v>
      </c>
      <c r="S592" s="822" t="str">
        <f>IF(H592=EUconst_NA,"",IF(H592,1,INDEX(EUconst_CLEFYears,1)))</f>
        <v/>
      </c>
      <c r="T592" s="8"/>
    </row>
    <row r="593" spans="1:20" s="1299" customFormat="1" ht="51" x14ac:dyDescent="0.2">
      <c r="A593" s="970"/>
      <c r="B593" s="1300"/>
      <c r="C593" s="1300"/>
      <c r="D593" s="1300"/>
      <c r="G593" s="1305" t="str">
        <f>Translations!$B$1218</f>
        <v>ciepło nieobjęte systemem EU ETS</v>
      </c>
      <c r="H593" s="1306" t="str">
        <f>Translations!$B$1220</f>
        <v>WGflare</v>
      </c>
      <c r="I593" s="1305" t="s">
        <v>572</v>
      </c>
      <c r="J593" s="1305" t="s">
        <v>573</v>
      </c>
      <c r="K593" s="1305" t="s">
        <v>574</v>
      </c>
      <c r="L593" s="1306" t="str">
        <f>Translations!$B$1214</f>
        <v>Art. 15 ust. 7 akapit trzeci – HPD</v>
      </c>
      <c r="M593" s="1309" t="str">
        <f>IF(I589="",EUconst_NA,INDEX(EUconst_BMlistBMvaluesMatrix,K592,1))</f>
        <v>Nie dotyczy</v>
      </c>
      <c r="N593" s="1303" t="str">
        <f>EUconst_EUA &amp; "/" &amp; H597</f>
        <v>Uprawnienia do emisji ogólnych/tony</v>
      </c>
      <c r="O593" s="121"/>
      <c r="P593" s="970"/>
      <c r="Q593" s="970"/>
      <c r="R593" s="1310"/>
      <c r="S593" s="1311"/>
      <c r="T593" s="972"/>
    </row>
    <row r="594" spans="1:20" s="701" customFormat="1" ht="13.5" thickBot="1" x14ac:dyDescent="0.25">
      <c r="A594" s="422"/>
      <c r="B594" s="398"/>
      <c r="C594" s="398"/>
      <c r="D594" s="398"/>
      <c r="E594" s="877" t="str">
        <f>Translations!$B$1235</f>
        <v>Czynniki szczególne:</v>
      </c>
      <c r="F594" s="878"/>
      <c r="G594" s="536" t="str">
        <f>IF($I589="","",SUMIF(F_ProductBM!$P:$P,EUconst_CNTR_HEAT&amp;$I589,F_ProductBM!$Q:$Q))</f>
        <v/>
      </c>
      <c r="H594" s="855" t="str">
        <f>IF(OR($I589="",CNTR_BaselinePeriod&lt;&gt;2),"",SUMIF(F_ProductBM!$P:$P,EUconst_CNTR_WGFlaredEF &amp; I589,F_ProductBM!$R:$R))</f>
        <v/>
      </c>
      <c r="I594" s="821">
        <f>IF(AND($I589&lt;&gt;"",$I592=TRUE),IF(ISNUMBER(INDEX(F_ProductBM!$Q:$Q,MATCH(EUconst_CNTR_ELEXCH&amp;$I589,F_ProductBM!$P:$P,0))),INDEX(F_ProductBM!$Q:$Q,MATCH(EUconst_CNTR_ELEXCH&amp;$I589,F_ProductBM!$P:$P,0)),1),1)</f>
        <v>1</v>
      </c>
      <c r="J594" s="536" t="str">
        <f>IF($I589="","",IF($K592=42,SUMIF(H_SpecialBM!$P$9:$P$384,EUconst_CNTR_HVC,H_SpecialBM!$I$9:$I$384),0))</f>
        <v/>
      </c>
      <c r="K594" s="876" t="str">
        <f>IF($I589="","",IF($K592=47,IF(ISNUMBER(INDEX(H_SpecialBM!$I$9:$I$384,MATCH(EUconst_CNTR_VCM,H_SpecialBM!$P$9:$P$384,0))),INDEX(H_SpecialBM!$I$9:$I$384,MATCH(EUconst_CNTR_VCM,H_SpecialBM!$P$9:$P$384,0)),1),1))</f>
        <v/>
      </c>
      <c r="L594" s="855" t="str">
        <f>IF($L592=TRUE,SUMIF(F_ProductBM!$P$11:$P$2192,EUconst_CNTR_HAL&amp;$I589,F_ProductBM!$N$11:$N$2192),"")</f>
        <v/>
      </c>
      <c r="M594" s="1075" t="str">
        <f>IF(I589="",EUconst_NA,IF(EUconst_StatusOfDataCollection,INDEX(EUconst_BMlistBMvaluesMatrix,K592,3),""))</f>
        <v>Nie dotyczy</v>
      </c>
      <c r="N594" s="1076" t="str">
        <f>EUconst_EUA &amp; "/" &amp; H597</f>
        <v>Uprawnienia do emisji ogólnych/tony</v>
      </c>
      <c r="O594" s="20"/>
      <c r="P594" s="422"/>
      <c r="Q594" s="422"/>
      <c r="R594" s="736"/>
      <c r="S594" s="875"/>
      <c r="T594" s="8"/>
    </row>
    <row r="595" spans="1:20" s="701" customFormat="1" x14ac:dyDescent="0.2">
      <c r="A595" s="422"/>
      <c r="B595" s="398"/>
      <c r="C595" s="398"/>
      <c r="D595" s="398"/>
      <c r="E595" s="398"/>
      <c r="F595" s="398"/>
      <c r="G595" s="398"/>
      <c r="H595" s="398"/>
      <c r="I595" s="398"/>
      <c r="J595" s="398"/>
      <c r="K595" s="398"/>
      <c r="L595" s="398"/>
      <c r="M595" s="398"/>
      <c r="N595" s="398"/>
      <c r="O595" s="20"/>
      <c r="P595" s="422"/>
      <c r="Q595" s="422"/>
      <c r="R595" s="422"/>
      <c r="S595" s="422"/>
      <c r="T595" s="8"/>
    </row>
    <row r="596" spans="1:20" s="701" customFormat="1" x14ac:dyDescent="0.2">
      <c r="A596" s="422"/>
      <c r="B596" s="398"/>
      <c r="C596" s="398"/>
      <c r="D596" s="398"/>
      <c r="E596" s="656"/>
      <c r="F596" s="656"/>
      <c r="G596" s="657"/>
      <c r="H596" s="873" t="str">
        <f>EUconst_Unit</f>
        <v>Jednostka</v>
      </c>
      <c r="I596" s="432">
        <f>I$1397</f>
        <v>2014</v>
      </c>
      <c r="J596" s="432">
        <f>J$1397</f>
        <v>2015</v>
      </c>
      <c r="K596" s="432">
        <f>K$1397</f>
        <v>2016</v>
      </c>
      <c r="L596" s="432">
        <f>L$1397</f>
        <v>2017</v>
      </c>
      <c r="M596" s="432">
        <f>M$1397</f>
        <v>2018</v>
      </c>
      <c r="N596" s="398"/>
      <c r="O596" s="20"/>
      <c r="P596" s="185" t="s">
        <v>237</v>
      </c>
      <c r="Q596" s="422"/>
      <c r="R596" s="422"/>
      <c r="S596" s="422"/>
      <c r="T596" s="8"/>
    </row>
    <row r="597" spans="1:20" s="701" customFormat="1" x14ac:dyDescent="0.2">
      <c r="A597" s="422"/>
      <c r="B597" s="398"/>
      <c r="C597" s="398"/>
      <c r="D597" s="398"/>
      <c r="E597" s="658" t="str">
        <f>Translations!$B$1236</f>
        <v>Zgłoszony HPD (historyczny poziom działalności)</v>
      </c>
      <c r="F597" s="659"/>
      <c r="G597" s="660"/>
      <c r="H597" s="654" t="str">
        <f>IF(ISNUMBER(K592),INDEX(EUconst_BMlistUnits,K592),EUconst_Tons)</f>
        <v>tony</v>
      </c>
      <c r="I597" s="536" t="str">
        <f>IF($I589="","",SUMIF(F_ProductBM!$P$11:$P$1876,$P597,F_ProductBM!I$11:I$1876))</f>
        <v/>
      </c>
      <c r="J597" s="536" t="str">
        <f>IF($I589="","",SUMIF(F_ProductBM!$P$11:$P$1876,$P597,F_ProductBM!J$11:J$1876))</f>
        <v/>
      </c>
      <c r="K597" s="536" t="str">
        <f>IF($I589="","",SUMIF(F_ProductBM!$P$11:$P$1876,$P597,F_ProductBM!K$11:K$1876))</f>
        <v/>
      </c>
      <c r="L597" s="536" t="str">
        <f>IF($I589="","",SUMIF(F_ProductBM!$P$11:$P$1876,$P597,F_ProductBM!L$11:L$1876))</f>
        <v/>
      </c>
      <c r="M597" s="536" t="str">
        <f>IF($I589="","",SUMIF(F_ProductBM!$P$11:$P$1876,$P597,F_ProductBM!M$11:M$1876))</f>
        <v/>
      </c>
      <c r="N597" s="651" t="str">
        <f>Translations!$B$1224</f>
        <v>Średnia</v>
      </c>
      <c r="O597" s="20"/>
      <c r="P597" s="185" t="str">
        <f>EUconst_CNTR_HAL&amp;I589</f>
        <v>HAL_</v>
      </c>
      <c r="Q597" s="422"/>
      <c r="R597" s="422"/>
      <c r="S597" s="422"/>
      <c r="T597" s="8"/>
    </row>
    <row r="598" spans="1:20" s="701" customFormat="1" x14ac:dyDescent="0.2">
      <c r="A598" s="422"/>
      <c r="B598" s="398"/>
      <c r="C598" s="398"/>
      <c r="D598" s="398"/>
      <c r="E598" s="658" t="str">
        <f>Translations!$B$1237</f>
        <v>Wartości wykorzystywane do obliczania zgłoszonego HPD:</v>
      </c>
      <c r="F598" s="659"/>
      <c r="G598" s="660"/>
      <c r="H598" s="654" t="str">
        <f>H597</f>
        <v>tony</v>
      </c>
      <c r="I598" s="536" t="str">
        <f>IF($I589="","",INDEX(F_ProductBM!S$11:S$1876,MATCH($P598,F_ProductBM!$P$11:$P$1876,0)))</f>
        <v/>
      </c>
      <c r="J598" s="536" t="str">
        <f>IF($I589="","",INDEX(F_ProductBM!T$11:T$1876,MATCH($P598,F_ProductBM!$P$11:$P$1876,0)))</f>
        <v/>
      </c>
      <c r="K598" s="536" t="str">
        <f>IF($I589="","",INDEX(F_ProductBM!U$11:U$1876,MATCH($P598,F_ProductBM!$P$11:$P$1876,0)))</f>
        <v/>
      </c>
      <c r="L598" s="536" t="str">
        <f>IF($I589="","",INDEX(F_ProductBM!V$11:V$1876,MATCH($P598,F_ProductBM!$P$11:$P$1876,0)))</f>
        <v/>
      </c>
      <c r="M598" s="536" t="str">
        <f>IF($I589="","",INDEX(F_ProductBM!W$11:W$1876,MATCH($P598,F_ProductBM!$P$11:$P$1876,0)))</f>
        <v/>
      </c>
      <c r="N598" s="536" t="str">
        <f>IF(OR($I589="",$L592=TRUE),"",IF(COUNT($I598:$M598)&gt;0,AVERAGE($I598:$M598),""))</f>
        <v/>
      </c>
      <c r="O598" s="20"/>
      <c r="P598" s="185" t="str">
        <f>EUconst_CNTR_HAL&amp;I589</f>
        <v>HAL_</v>
      </c>
      <c r="Q598" s="422"/>
      <c r="R598" s="1013" t="s">
        <v>630</v>
      </c>
      <c r="S598" s="1013" t="s">
        <v>631</v>
      </c>
      <c r="T598" s="1013" t="s">
        <v>632</v>
      </c>
    </row>
    <row r="599" spans="1:20" s="701" customFormat="1" ht="13.5" thickBot="1" x14ac:dyDescent="0.25">
      <c r="A599" s="422"/>
      <c r="B599" s="398"/>
      <c r="C599" s="398"/>
      <c r="D599" s="398"/>
      <c r="E599" s="874"/>
      <c r="F599" s="874"/>
      <c r="G599" s="874"/>
      <c r="H599" s="874"/>
      <c r="I599" s="874"/>
      <c r="J599" s="874"/>
      <c r="K599" s="874"/>
      <c r="L599" s="874"/>
      <c r="O599" s="20"/>
      <c r="P599" s="422"/>
      <c r="Q599" s="422"/>
      <c r="R599" s="422"/>
      <c r="S599" s="422"/>
      <c r="T599" s="8"/>
    </row>
    <row r="600" spans="1:20" s="701" customFormat="1" ht="13.5" thickBot="1" x14ac:dyDescent="0.25">
      <c r="A600" s="422"/>
      <c r="B600" s="398"/>
      <c r="D600" s="398"/>
      <c r="E600" s="874"/>
      <c r="F600" s="823" t="s">
        <v>520</v>
      </c>
      <c r="G600" s="824"/>
      <c r="I600" s="823" t="str">
        <f>Translations!$B$1226</f>
        <v>Wst. przydział rok 1 (min.)</v>
      </c>
      <c r="J600" s="824"/>
      <c r="K600" s="823" t="str">
        <f>Translations!$B$1229</f>
        <v>Wst. przydział rok 1 (maks.)</v>
      </c>
      <c r="L600" s="824"/>
      <c r="M600" s="823" t="str">
        <f>Translations!$B$1231</f>
        <v>Wst. przydział rok 1 (faktyczny)</v>
      </c>
      <c r="N600" s="824"/>
      <c r="O600" s="20"/>
      <c r="P600" s="185" t="str">
        <f>EUconst_AllocPrelim&amp;I589</f>
        <v>AllocPrelim_</v>
      </c>
      <c r="Q600" s="422"/>
      <c r="R600" s="982" t="str">
        <f>IF(I601="","",IF(S592=0,0,SUM(I601)/S592))</f>
        <v/>
      </c>
      <c r="S600" s="982" t="str">
        <f>IF(K601="","",IF(S592=0,0,SUM(K601)/S592))</f>
        <v/>
      </c>
      <c r="T600" s="982" t="str">
        <f>T589</f>
        <v/>
      </c>
    </row>
    <row r="601" spans="1:20" s="701" customFormat="1" ht="13.5" thickBot="1" x14ac:dyDescent="0.25">
      <c r="A601" s="422"/>
      <c r="B601" s="398"/>
      <c r="E601" s="874"/>
      <c r="F601" s="662" t="str">
        <f>IF(I589="","",MAX(0, IF(L592=TRUE, SUM(L594), SUM(N598))))</f>
        <v/>
      </c>
      <c r="G601" s="663" t="str">
        <f>H597&amp;" / "&amp;EUconst_Year</f>
        <v>tony / rok</v>
      </c>
      <c r="I601" s="820" t="str">
        <f>IF(I589="","",ROUND((SUM(M592)*SUM(F601)*SUM(I594)*SUM(K594)-SUM(G594)-SUM(H594)+SUM(J594))*SUM(S592),0))</f>
        <v/>
      </c>
      <c r="J601" s="966" t="str">
        <f>EUconst_EUApa</f>
        <v>Uprawnienia do emisji ogólnych / rok</v>
      </c>
      <c r="K601" s="820" t="str">
        <f>IF(I589="","",ROUND((SUM(M593)*SUM(F601)*SUM(I594)*SUM(K594)-SUM(G594)-SUM(H594)+SUM(J594))*SUM(S592),0))</f>
        <v/>
      </c>
      <c r="L601" s="966" t="str">
        <f>EUconst_EUApa</f>
        <v>Uprawnienia do emisji ogólnych / rok</v>
      </c>
      <c r="M601" s="820" t="str">
        <f>IF(OR(I589="",M594=""),"",ROUND((SUM(M594)*SUM(F601)*SUM(I594)*SUM(K594)-SUM(G594)-SUM(H594)+SUM(J594))*SUM(S592),0))</f>
        <v/>
      </c>
      <c r="N601" s="966" t="str">
        <f>EUconst_EUApa</f>
        <v>Uprawnienia do emisji ogólnych / rok</v>
      </c>
      <c r="O601" s="20"/>
      <c r="P601" s="185" t="str">
        <f>EUconst_HALsum &amp; I589</f>
        <v>HALsum_</v>
      </c>
      <c r="Q601" s="422"/>
      <c r="R601" s="422"/>
      <c r="S601" s="422"/>
      <c r="T601" s="8"/>
    </row>
    <row r="602" spans="1:20" s="701" customFormat="1" x14ac:dyDescent="0.2">
      <c r="A602" s="422"/>
      <c r="B602" s="398"/>
      <c r="C602" s="398"/>
      <c r="E602" s="425"/>
      <c r="F602" s="398"/>
      <c r="G602" s="398"/>
      <c r="H602" s="398"/>
      <c r="I602" s="398"/>
      <c r="J602" s="398"/>
      <c r="K602" s="398"/>
      <c r="L602" s="398"/>
      <c r="M602" s="398"/>
      <c r="N602" s="398"/>
      <c r="O602" s="20"/>
      <c r="P602" s="422"/>
      <c r="Q602" s="422"/>
      <c r="R602" s="422"/>
      <c r="S602" s="422"/>
      <c r="T602" s="8"/>
    </row>
    <row r="603" spans="1:20" s="701" customFormat="1" x14ac:dyDescent="0.2">
      <c r="A603" s="422"/>
      <c r="B603" s="398"/>
      <c r="C603" s="398"/>
      <c r="D603" s="398"/>
      <c r="E603" s="516"/>
      <c r="F603" s="831"/>
      <c r="G603" s="831"/>
      <c r="H603" s="831"/>
      <c r="I603" s="831"/>
      <c r="J603" s="831"/>
      <c r="K603" s="831"/>
      <c r="L603" s="831"/>
      <c r="M603" s="831"/>
      <c r="N603" s="831"/>
      <c r="O603" s="20"/>
      <c r="P603" s="422"/>
      <c r="Q603" s="422"/>
      <c r="R603" s="422"/>
      <c r="S603" s="422"/>
      <c r="T603" s="8"/>
    </row>
    <row r="604" spans="1:20" s="701" customFormat="1" ht="13.5" thickBot="1" x14ac:dyDescent="0.25">
      <c r="A604" s="422"/>
      <c r="B604" s="398"/>
      <c r="C604" s="398"/>
      <c r="D604" s="398"/>
      <c r="E604" s="516"/>
      <c r="F604" s="831"/>
      <c r="G604" s="831"/>
      <c r="H604" s="515" t="str">
        <f>EUconst_Unit</f>
        <v>Jednostka</v>
      </c>
      <c r="I604" s="1011">
        <f>I$1397</f>
        <v>2014</v>
      </c>
      <c r="J604" s="451">
        <f>J$1397</f>
        <v>2015</v>
      </c>
      <c r="K604" s="451">
        <f>K$1397</f>
        <v>2016</v>
      </c>
      <c r="L604" s="451">
        <f>L$1397</f>
        <v>2017</v>
      </c>
      <c r="M604" s="451">
        <f>M$1397</f>
        <v>2018</v>
      </c>
      <c r="N604" s="831"/>
      <c r="O604" s="20"/>
      <c r="P604" s="422"/>
      <c r="Q604" s="422"/>
      <c r="R604" s="422"/>
      <c r="S604" s="422"/>
      <c r="T604" s="8"/>
    </row>
    <row r="605" spans="1:20" s="701" customFormat="1" ht="13.5" thickBot="1" x14ac:dyDescent="0.25">
      <c r="A605" s="422"/>
      <c r="B605" s="398"/>
      <c r="C605" s="398"/>
      <c r="D605" s="398"/>
      <c r="E605" s="1876" t="str">
        <f>Translations!$B$1238</f>
        <v>Całkowite przypisane emisje</v>
      </c>
      <c r="F605" s="1876"/>
      <c r="G605" s="1876"/>
      <c r="H605" s="968" t="str">
        <f>EUconst_tCO2epa</f>
        <v>t CO2e/rok</v>
      </c>
      <c r="I605" s="1000" t="str">
        <f>INDEX(I$93:I$109,MATCH($I589,$E$93:$E$109,0))</f>
        <v/>
      </c>
      <c r="J605" s="1001" t="str">
        <f>INDEX(J$93:J$109,MATCH($I589,$E$93:$E$109,0))</f>
        <v/>
      </c>
      <c r="K605" s="1001" t="str">
        <f>INDEX(K$93:K$109,MATCH($I589,$E$93:$E$109,0))</f>
        <v/>
      </c>
      <c r="L605" s="1001" t="str">
        <f>INDEX(L$93:L$109,MATCH($I589,$E$93:$E$109,0))</f>
        <v/>
      </c>
      <c r="M605" s="1002" t="str">
        <f>INDEX(M$93:M$109,MATCH($I589,$E$93:$E$109,0))</f>
        <v/>
      </c>
      <c r="N605" s="831"/>
      <c r="O605" s="20"/>
      <c r="P605" s="422"/>
      <c r="Q605" s="422"/>
      <c r="R605" s="422"/>
      <c r="S605" s="422"/>
      <c r="T605" s="8"/>
    </row>
    <row r="606" spans="1:20" s="701" customFormat="1" x14ac:dyDescent="0.2">
      <c r="A606" s="422"/>
      <c r="B606" s="398"/>
      <c r="C606" s="398"/>
      <c r="D606" s="398"/>
      <c r="E606" s="516"/>
      <c r="F606" s="516"/>
      <c r="G606" s="516"/>
      <c r="H606" s="516"/>
      <c r="I606" s="1003"/>
      <c r="J606" s="1003"/>
      <c r="K606" s="1003"/>
      <c r="L606" s="1003"/>
      <c r="M606" s="1003"/>
      <c r="N606" s="516"/>
      <c r="O606" s="20"/>
      <c r="P606" s="422"/>
      <c r="Q606" s="422"/>
      <c r="R606" s="422"/>
      <c r="S606" s="422"/>
      <c r="T606" s="8"/>
    </row>
    <row r="607" spans="1:20" s="701" customFormat="1" x14ac:dyDescent="0.2">
      <c r="A607" s="422"/>
      <c r="B607" s="398"/>
      <c r="C607" s="398"/>
      <c r="D607" s="398"/>
      <c r="E607" s="1766" t="str">
        <f>Translations!$B$731</f>
        <v>Wsad paliwa</v>
      </c>
      <c r="F607" s="1767"/>
      <c r="G607" s="1767"/>
      <c r="H607" s="454" t="str">
        <f>EUconst_TJpa</f>
        <v>TJ / rok</v>
      </c>
      <c r="I607" s="1004" t="str">
        <f>IF($I589="","",IF(INDEX(F_ProductBM!I:I,MATCH($P607,F_ProductBM!$P:$P,0))="","",INDEX(F_ProductBM!I:I,MATCH($P607,F_ProductBM!$P:$P,0))))</f>
        <v/>
      </c>
      <c r="J607" s="1004" t="str">
        <f>IF($I589="","",IF(INDEX(F_ProductBM!J:J,MATCH($P607,F_ProductBM!$P:$P,0))="","",INDEX(F_ProductBM!J:J,MATCH($P607,F_ProductBM!$P:$P,0))))</f>
        <v/>
      </c>
      <c r="K607" s="1004" t="str">
        <f>IF($I589="","",IF(INDEX(F_ProductBM!K:K,MATCH($P607,F_ProductBM!$P:$P,0))="","",INDEX(F_ProductBM!K:K,MATCH($P607,F_ProductBM!$P:$P,0))))</f>
        <v/>
      </c>
      <c r="L607" s="1004" t="str">
        <f>IF($I589="","",IF(INDEX(F_ProductBM!L:L,MATCH($P607,F_ProductBM!$P:$P,0))="","",INDEX(F_ProductBM!L:L,MATCH($P607,F_ProductBM!$P:$P,0))))</f>
        <v/>
      </c>
      <c r="M607" s="1004" t="str">
        <f>IF($I589="","",IF(INDEX(F_ProductBM!M:M,MATCH($P607,F_ProductBM!$P:$P,0))="","",INDEX(F_ProductBM!M:M,MATCH($P607,F_ProductBM!$P:$P,0))))</f>
        <v/>
      </c>
      <c r="N607" s="831"/>
      <c r="O607" s="20"/>
      <c r="P607" s="830" t="str">
        <f>EUconst_CNTR_FuelInput &amp; I589</f>
        <v>FuelInput_</v>
      </c>
      <c r="Q607" s="422"/>
      <c r="R607" s="422"/>
      <c r="S607" s="422"/>
      <c r="T607" s="8"/>
    </row>
    <row r="608" spans="1:20" s="701" customFormat="1" x14ac:dyDescent="0.2">
      <c r="A608" s="422"/>
      <c r="B608" s="398"/>
      <c r="C608" s="398"/>
      <c r="D608" s="398"/>
      <c r="E608" s="1743" t="str">
        <f>Translations!$B$732</f>
        <v>Ważony współczynnik emisji</v>
      </c>
      <c r="F608" s="1744"/>
      <c r="G608" s="1744"/>
      <c r="H608" s="473" t="str">
        <f>EUconst_tCO2pTJ</f>
        <v>t CO2 / TJ</v>
      </c>
      <c r="I608" s="1005" t="str">
        <f>IF($I589="","",IF(INDEX(F_ProductBM!I:I,MATCH($P608,F_ProductBM!$P:$P,0))="","",INDEX(F_ProductBM!I:I,MATCH($P608,F_ProductBM!$P:$P,0))))</f>
        <v/>
      </c>
      <c r="J608" s="1005" t="str">
        <f>IF($I589="","",IF(INDEX(F_ProductBM!J:J,MATCH($P608,F_ProductBM!$P:$P,0))="","",INDEX(F_ProductBM!J:J,MATCH($P608,F_ProductBM!$P:$P,0))))</f>
        <v/>
      </c>
      <c r="K608" s="1005" t="str">
        <f>IF($I589="","",IF(INDEX(F_ProductBM!K:K,MATCH($P608,F_ProductBM!$P:$P,0))="","",INDEX(F_ProductBM!K:K,MATCH($P608,F_ProductBM!$P:$P,0))))</f>
        <v/>
      </c>
      <c r="L608" s="1005" t="str">
        <f>IF($I589="","",IF(INDEX(F_ProductBM!L:L,MATCH($P608,F_ProductBM!$P:$P,0))="","",INDEX(F_ProductBM!L:L,MATCH($P608,F_ProductBM!$P:$P,0))))</f>
        <v/>
      </c>
      <c r="M608" s="1005" t="str">
        <f>IF($I589="","",IF(INDEX(F_ProductBM!M:M,MATCH($P608,F_ProductBM!$P:$P,0))="","",INDEX(F_ProductBM!M:M,MATCH($P608,F_ProductBM!$P:$P,0))))</f>
        <v/>
      </c>
      <c r="N608" s="831"/>
      <c r="O608" s="20"/>
      <c r="P608" s="351" t="str">
        <f>EUconst_CNTR_FuelEF &amp; I589</f>
        <v>FuelEF_</v>
      </c>
      <c r="Q608" s="422"/>
      <c r="R608" s="422"/>
      <c r="S608" s="422"/>
      <c r="T608" s="8"/>
    </row>
    <row r="609" spans="1:20" s="701" customFormat="1" x14ac:dyDescent="0.2">
      <c r="A609" s="422"/>
      <c r="B609" s="398"/>
      <c r="C609" s="398"/>
      <c r="E609" s="516"/>
      <c r="F609" s="831"/>
      <c r="G609" s="831"/>
      <c r="H609" s="831"/>
      <c r="I609" s="1006"/>
      <c r="J609" s="1006"/>
      <c r="K609" s="1006"/>
      <c r="L609" s="1006"/>
      <c r="M609" s="1006"/>
      <c r="N609" s="831"/>
      <c r="O609" s="20"/>
      <c r="P609" s="422"/>
      <c r="Q609" s="422"/>
      <c r="R609" s="422"/>
      <c r="S609" s="422"/>
      <c r="T609" s="8"/>
    </row>
    <row r="610" spans="1:20" s="701" customFormat="1" x14ac:dyDescent="0.2">
      <c r="A610" s="422"/>
      <c r="B610" s="398"/>
      <c r="C610" s="398"/>
      <c r="E610" s="1739" t="str">
        <f>Translations!$B$687</f>
        <v>Emisje bezpośrednie</v>
      </c>
      <c r="F610" s="1740"/>
      <c r="G610" s="1740"/>
      <c r="H610" s="453" t="str">
        <f>EUconst_tCO2pa</f>
        <v>t CO2 / rok</v>
      </c>
      <c r="I610" s="1007" t="str">
        <f>IF($I589="","",IF(INDEX(F_ProductBM!I:I,MATCH($P610,F_ProductBM!$P:$P,0))="","",INDEX(F_ProductBM!I:I,MATCH($P610,F_ProductBM!$P:$P,0))))</f>
        <v/>
      </c>
      <c r="J610" s="1007" t="str">
        <f>IF($I589="","",IF(INDEX(F_ProductBM!J:J,MATCH($P610,F_ProductBM!$P:$P,0))="","",INDEX(F_ProductBM!J:J,MATCH($P610,F_ProductBM!$P:$P,0))))</f>
        <v/>
      </c>
      <c r="K610" s="1007" t="str">
        <f>IF($I589="","",IF(INDEX(F_ProductBM!K:K,MATCH($P610,F_ProductBM!$P:$P,0))="","",INDEX(F_ProductBM!K:K,MATCH($P610,F_ProductBM!$P:$P,0))))</f>
        <v/>
      </c>
      <c r="L610" s="1007" t="str">
        <f>IF($I589="","",IF(INDEX(F_ProductBM!L:L,MATCH($P610,F_ProductBM!$P:$P,0))="","",INDEX(F_ProductBM!L:L,MATCH($P610,F_ProductBM!$P:$P,0))))</f>
        <v/>
      </c>
      <c r="M610" s="1007" t="str">
        <f>IF($I589="","",IF(INDEX(F_ProductBM!M:M,MATCH($P610,F_ProductBM!$P:$P,0))="","",INDEX(F_ProductBM!M:M,MATCH($P610,F_ProductBM!$P:$P,0))))</f>
        <v/>
      </c>
      <c r="N610" s="831"/>
      <c r="O610" s="20"/>
      <c r="P610" s="351" t="str">
        <f>EUconst_CNTR_Emissions &amp; I589</f>
        <v>DirEmissions_</v>
      </c>
      <c r="Q610" s="422"/>
      <c r="R610" s="422"/>
      <c r="S610" s="422"/>
      <c r="T610" s="8"/>
    </row>
    <row r="611" spans="1:20" s="701" customFormat="1" x14ac:dyDescent="0.2">
      <c r="A611" s="422"/>
      <c r="B611" s="398"/>
      <c r="C611" s="398"/>
      <c r="E611" s="1974" t="str">
        <f>Translations!$B$742</f>
        <v>Dalsze strumienie materiałów wsadowych – 1:</v>
      </c>
      <c r="F611" s="1974"/>
      <c r="G611" s="1974"/>
      <c r="H611" s="453" t="str">
        <f>EUconst_tCO2pa</f>
        <v>t CO2 / rok</v>
      </c>
      <c r="I611" s="1007" t="str">
        <f>IF($I589="","",IF(INDEX(F_ProductBM!I:I,MATCH($P611,F_ProductBM!$P:$P,0))="","",INDEX(F_ProductBM!I:I,MATCH($P611,F_ProductBM!$P:$P,0))))</f>
        <v/>
      </c>
      <c r="J611" s="1007" t="str">
        <f>IF($I589="","",IF(INDEX(F_ProductBM!J:J,MATCH($P611,F_ProductBM!$P:$P,0))="","",INDEX(F_ProductBM!J:J,MATCH($P611,F_ProductBM!$P:$P,0))))</f>
        <v/>
      </c>
      <c r="K611" s="1007" t="str">
        <f>IF($I589="","",IF(INDEX(F_ProductBM!K:K,MATCH($P611,F_ProductBM!$P:$P,0))="","",INDEX(F_ProductBM!K:K,MATCH($P611,F_ProductBM!$P:$P,0))))</f>
        <v/>
      </c>
      <c r="L611" s="1007" t="str">
        <f>IF($I589="","",IF(INDEX(F_ProductBM!L:L,MATCH($P611,F_ProductBM!$P:$P,0))="","",INDEX(F_ProductBM!L:L,MATCH($P611,F_ProductBM!$P:$P,0))))</f>
        <v/>
      </c>
      <c r="M611" s="1007" t="str">
        <f>IF($I589="","",IF(INDEX(F_ProductBM!M:M,MATCH($P611,F_ProductBM!$P:$P,0))="","",INDEX(F_ProductBM!M:M,MATCH($P611,F_ProductBM!$P:$P,0))))</f>
        <v/>
      </c>
      <c r="N611" s="831"/>
      <c r="O611" s="20"/>
      <c r="P611" s="351" t="str">
        <f>EUconst_CNTR_EmissionsIntSource1 &amp; I589</f>
        <v>EmInternalSource1_</v>
      </c>
      <c r="Q611" s="422"/>
      <c r="R611" s="422"/>
      <c r="S611" s="422"/>
      <c r="T611" s="8"/>
    </row>
    <row r="612" spans="1:20" s="701" customFormat="1" x14ac:dyDescent="0.2">
      <c r="A612" s="422"/>
      <c r="B612" s="398"/>
      <c r="C612" s="398"/>
      <c r="E612" s="1974" t="str">
        <f>Translations!$B$752</f>
        <v>Dalsze strumienie materiałów wsadowych – 2:</v>
      </c>
      <c r="F612" s="1974"/>
      <c r="G612" s="1974"/>
      <c r="H612" s="453" t="str">
        <f>EUconst_tCO2pa</f>
        <v>t CO2 / rok</v>
      </c>
      <c r="I612" s="1007" t="str">
        <f>IF($I589="","",IF(INDEX(F_ProductBM!I:I,MATCH($P612,F_ProductBM!$P:$P,0))="","",INDEX(F_ProductBM!I:I,MATCH($P612,F_ProductBM!$P:$P,0))))</f>
        <v/>
      </c>
      <c r="J612" s="1007" t="str">
        <f>IF($I589="","",IF(INDEX(F_ProductBM!J:J,MATCH($P612,F_ProductBM!$P:$P,0))="","",INDEX(F_ProductBM!J:J,MATCH($P612,F_ProductBM!$P:$P,0))))</f>
        <v/>
      </c>
      <c r="K612" s="1007" t="str">
        <f>IF($I589="","",IF(INDEX(F_ProductBM!K:K,MATCH($P612,F_ProductBM!$P:$P,0))="","",INDEX(F_ProductBM!K:K,MATCH($P612,F_ProductBM!$P:$P,0))))</f>
        <v/>
      </c>
      <c r="L612" s="1007" t="str">
        <f>IF($I589="","",IF(INDEX(F_ProductBM!L:L,MATCH($P612,F_ProductBM!$P:$P,0))="","",INDEX(F_ProductBM!L:L,MATCH($P612,F_ProductBM!$P:$P,0))))</f>
        <v/>
      </c>
      <c r="M612" s="1007" t="str">
        <f>IF($I589="","",IF(INDEX(F_ProductBM!M:M,MATCH($P612,F_ProductBM!$P:$P,0))="","",INDEX(F_ProductBM!M:M,MATCH($P612,F_ProductBM!$P:$P,0))))</f>
        <v/>
      </c>
      <c r="N612" s="831"/>
      <c r="O612" s="20"/>
      <c r="P612" s="351" t="str">
        <f>EUconst_CNTR_EmissionsIntSource2 &amp; I589</f>
        <v>EmInternalSource2_</v>
      </c>
      <c r="Q612" s="422"/>
      <c r="R612" s="422"/>
      <c r="S612" s="422"/>
      <c r="T612" s="8"/>
    </row>
    <row r="613" spans="1:20" s="701" customFormat="1" x14ac:dyDescent="0.2">
      <c r="A613" s="422"/>
      <c r="B613" s="398"/>
      <c r="C613" s="398"/>
      <c r="D613" s="398"/>
      <c r="E613" s="1739" t="str">
        <f>Translations!$B$756</f>
        <v>Wprowadzone lub wyprowadzone gazy cieplarniane</v>
      </c>
      <c r="F613" s="1740"/>
      <c r="G613" s="1740"/>
      <c r="H613" s="453" t="str">
        <f>EUconst_tCO2epa</f>
        <v>t CO2e/rok</v>
      </c>
      <c r="I613" s="1007" t="str">
        <f>IF($I589="","",IF(INDEX(F_ProductBM!I:I,MATCH($P613,F_ProductBM!$P:$P,0))="","",INDEX(F_ProductBM!I:I,MATCH($P613,F_ProductBM!$P:$P,0))))</f>
        <v/>
      </c>
      <c r="J613" s="1007" t="str">
        <f>IF($I589="","",IF(INDEX(F_ProductBM!J:J,MATCH($P613,F_ProductBM!$P:$P,0))="","",INDEX(F_ProductBM!J:J,MATCH($P613,F_ProductBM!$P:$P,0))))</f>
        <v/>
      </c>
      <c r="K613" s="1007" t="str">
        <f>IF($I589="","",IF(INDEX(F_ProductBM!K:K,MATCH($P613,F_ProductBM!$P:$P,0))="","",INDEX(F_ProductBM!K:K,MATCH($P613,F_ProductBM!$P:$P,0))))</f>
        <v/>
      </c>
      <c r="L613" s="1007" t="str">
        <f>IF($I589="","",IF(INDEX(F_ProductBM!L:L,MATCH($P613,F_ProductBM!$P:$P,0))="","",INDEX(F_ProductBM!L:L,MATCH($P613,F_ProductBM!$P:$P,0))))</f>
        <v/>
      </c>
      <c r="M613" s="1007" t="str">
        <f>IF($I589="","",IF(INDEX(F_ProductBM!M:M,MATCH($P613,F_ProductBM!$P:$P,0))="","",INDEX(F_ProductBM!M:M,MATCH($P613,F_ProductBM!$P:$P,0))))</f>
        <v/>
      </c>
      <c r="N613" s="831"/>
      <c r="O613" s="20"/>
      <c r="P613" s="351" t="str">
        <f>EUconst_CNTR_CO2Feedstock &amp; I589</f>
        <v>EmCO2Feedstock_</v>
      </c>
      <c r="Q613" s="422"/>
      <c r="R613" s="422"/>
      <c r="S613" s="422"/>
      <c r="T613" s="8"/>
    </row>
    <row r="614" spans="1:20" s="701" customFormat="1" x14ac:dyDescent="0.2">
      <c r="A614" s="422"/>
      <c r="B614" s="398"/>
      <c r="C614" s="398"/>
      <c r="D614" s="398"/>
      <c r="E614" s="831"/>
      <c r="F614" s="831"/>
      <c r="G614" s="831"/>
      <c r="H614" s="831"/>
      <c r="I614" s="1006"/>
      <c r="J614" s="1006"/>
      <c r="K614" s="1006"/>
      <c r="L614" s="1006"/>
      <c r="M614" s="1006"/>
      <c r="N614" s="831"/>
      <c r="O614" s="20"/>
      <c r="P614" s="422"/>
      <c r="Q614" s="422"/>
      <c r="R614" s="422"/>
      <c r="S614" s="422"/>
      <c r="T614" s="8"/>
    </row>
    <row r="615" spans="1:20" s="701" customFormat="1" x14ac:dyDescent="0.2">
      <c r="A615" s="422"/>
      <c r="B615" s="398"/>
      <c r="C615" s="398"/>
      <c r="D615" s="398"/>
      <c r="E615" s="1766" t="str">
        <f>Translations!$B$764</f>
        <v>Ciepło wprowadzone netto</v>
      </c>
      <c r="F615" s="1767"/>
      <c r="G615" s="1767"/>
      <c r="H615" s="454" t="str">
        <f>EUconst_TJpa</f>
        <v>TJ / rok</v>
      </c>
      <c r="I615" s="1004" t="str">
        <f>IF($I589="","",IF(INDEX(F_ProductBM!I:I,MATCH($P615,F_ProductBM!$P:$P,0))="","",INDEX(F_ProductBM!I:I,MATCH($P615,F_ProductBM!$P:$P,0))))</f>
        <v/>
      </c>
      <c r="J615" s="1004" t="str">
        <f>IF($I589="","",IF(INDEX(F_ProductBM!J:J,MATCH($P615,F_ProductBM!$P:$P,0))="","",INDEX(F_ProductBM!J:J,MATCH($P615,F_ProductBM!$P:$P,0))))</f>
        <v/>
      </c>
      <c r="K615" s="1004" t="str">
        <f>IF($I589="","",IF(INDEX(F_ProductBM!K:K,MATCH($P615,F_ProductBM!$P:$P,0))="","",INDEX(F_ProductBM!K:K,MATCH($P615,F_ProductBM!$P:$P,0))))</f>
        <v/>
      </c>
      <c r="L615" s="1004" t="str">
        <f>IF($I589="","",IF(INDEX(F_ProductBM!L:L,MATCH($P615,F_ProductBM!$P:$P,0))="","",INDEX(F_ProductBM!L:L,MATCH($P615,F_ProductBM!$P:$P,0))))</f>
        <v/>
      </c>
      <c r="M615" s="1004" t="str">
        <f>IF($I589="","",IF(INDEX(F_ProductBM!M:M,MATCH($P615,F_ProductBM!$P:$P,0))="","",INDEX(F_ProductBM!M:M,MATCH($P615,F_ProductBM!$P:$P,0))))</f>
        <v/>
      </c>
      <c r="N615" s="831"/>
      <c r="O615" s="20"/>
      <c r="P615" s="351" t="str">
        <f>EUconst_CNTR_HeatImport &amp; I589</f>
        <v>HeatIm_</v>
      </c>
      <c r="Q615" s="422"/>
      <c r="R615" s="422"/>
      <c r="S615" s="422"/>
      <c r="T615" s="8"/>
    </row>
    <row r="616" spans="1:20" s="701" customFormat="1" x14ac:dyDescent="0.2">
      <c r="A616" s="422"/>
      <c r="B616" s="398"/>
      <c r="C616" s="398"/>
      <c r="D616" s="398"/>
      <c r="E616" s="1743" t="str">
        <f>Translations!$B$765</f>
        <v>Właściwy współczynnik emisji (ciepło wprowadzone)</v>
      </c>
      <c r="F616" s="1744"/>
      <c r="G616" s="1744"/>
      <c r="H616" s="473" t="str">
        <f>EUconst_tCO2pTJ</f>
        <v>t CO2 / TJ</v>
      </c>
      <c r="I616" s="1005" t="str">
        <f>IF($I589="","",IF(INDEX(F_ProductBM!I:I,MATCH($P616,F_ProductBM!$P:$P,0))="","",INDEX(F_ProductBM!I:I,MATCH($P616,F_ProductBM!$P:$P,0))))</f>
        <v/>
      </c>
      <c r="J616" s="1005" t="str">
        <f>IF($I589="","",IF(INDEX(F_ProductBM!J:J,MATCH($P616,F_ProductBM!$P:$P,0))="","",INDEX(F_ProductBM!J:J,MATCH($P616,F_ProductBM!$P:$P,0))))</f>
        <v/>
      </c>
      <c r="K616" s="1005" t="str">
        <f>IF($I589="","",IF(INDEX(F_ProductBM!K:K,MATCH($P616,F_ProductBM!$P:$P,0))="","",INDEX(F_ProductBM!K:K,MATCH($P616,F_ProductBM!$P:$P,0))))</f>
        <v/>
      </c>
      <c r="L616" s="1005" t="str">
        <f>IF($I589="","",IF(INDEX(F_ProductBM!L:L,MATCH($P616,F_ProductBM!$P:$P,0))="","",INDEX(F_ProductBM!L:L,MATCH($P616,F_ProductBM!$P:$P,0))))</f>
        <v/>
      </c>
      <c r="M616" s="1005" t="str">
        <f>IF($I589="","",IF(INDEX(F_ProductBM!M:M,MATCH($P616,F_ProductBM!$P:$P,0))="","",INDEX(F_ProductBM!M:M,MATCH($P616,F_ProductBM!$P:$P,0))))</f>
        <v/>
      </c>
      <c r="N616" s="831"/>
      <c r="O616" s="20"/>
      <c r="P616" s="351" t="str">
        <f>EUconst_CNTR_HeatImportEF &amp; I589</f>
        <v>HeatImEF_</v>
      </c>
      <c r="Q616" s="422"/>
      <c r="R616" s="422"/>
      <c r="S616" s="422"/>
      <c r="T616" s="8"/>
    </row>
    <row r="617" spans="1:20" s="701" customFormat="1" x14ac:dyDescent="0.2">
      <c r="A617" s="422"/>
      <c r="B617" s="398"/>
      <c r="C617" s="398"/>
      <c r="D617" s="398"/>
      <c r="E617" s="516"/>
      <c r="F617" s="831"/>
      <c r="G617" s="831"/>
      <c r="H617" s="831"/>
      <c r="I617" s="1006"/>
      <c r="J617" s="1006"/>
      <c r="K617" s="1006"/>
      <c r="L617" s="1006"/>
      <c r="M617" s="1006"/>
      <c r="N617" s="831"/>
      <c r="O617" s="20"/>
      <c r="P617" s="8"/>
      <c r="Q617" s="422"/>
      <c r="R617" s="422"/>
      <c r="S617" s="422"/>
      <c r="T617" s="8"/>
    </row>
    <row r="618" spans="1:20" s="701" customFormat="1" x14ac:dyDescent="0.2">
      <c r="A618" s="422"/>
      <c r="B618" s="398"/>
      <c r="C618" s="398"/>
      <c r="D618" s="398"/>
      <c r="E618" s="1739" t="str">
        <f>Translations!$B$820</f>
        <v>Ciepło wprowadzone netto z masy celulozowej</v>
      </c>
      <c r="F618" s="1740"/>
      <c r="G618" s="1740"/>
      <c r="H618" s="453" t="str">
        <f>EUconst_TJpa</f>
        <v>TJ / rok</v>
      </c>
      <c r="I618" s="1007" t="str">
        <f>IF($I589="","",IF(INDEX(F_ProductBM!I:I,MATCH($P618,F_ProductBM!$P:$P,0))="","",INDEX(F_ProductBM!I:I,MATCH($P618,F_ProductBM!$P:$P,0))))</f>
        <v/>
      </c>
      <c r="J618" s="1007" t="str">
        <f>IF($I589="","",IF(INDEX(F_ProductBM!J:J,MATCH($P618,F_ProductBM!$P:$P,0))="","",INDEX(F_ProductBM!J:J,MATCH($P618,F_ProductBM!$P:$P,0))))</f>
        <v/>
      </c>
      <c r="K618" s="1007" t="str">
        <f>IF($I589="","",IF(INDEX(F_ProductBM!K:K,MATCH($P618,F_ProductBM!$P:$P,0))="","",INDEX(F_ProductBM!K:K,MATCH($P618,F_ProductBM!$P:$P,0))))</f>
        <v/>
      </c>
      <c r="L618" s="1007" t="str">
        <f>IF($I589="","",IF(INDEX(F_ProductBM!L:L,MATCH($P618,F_ProductBM!$P:$P,0))="","",INDEX(F_ProductBM!L:L,MATCH($P618,F_ProductBM!$P:$P,0))))</f>
        <v/>
      </c>
      <c r="M618" s="1007" t="str">
        <f>IF($I589="","",IF(INDEX(F_ProductBM!M:M,MATCH($P618,F_ProductBM!$P:$P,0))="","",INDEX(F_ProductBM!M:M,MATCH($P618,F_ProductBM!$P:$P,0))))</f>
        <v/>
      </c>
      <c r="N618" s="831"/>
      <c r="O618" s="20"/>
      <c r="P618" s="351" t="str">
        <f>EUconst_CNTR_HeatImportPulp &amp; I589</f>
        <v>HeatImPulp_</v>
      </c>
      <c r="Q618" s="422"/>
      <c r="R618" s="422"/>
      <c r="S618" s="422"/>
      <c r="T618" s="8"/>
    </row>
    <row r="619" spans="1:20" s="701" customFormat="1" x14ac:dyDescent="0.2">
      <c r="A619" s="422"/>
      <c r="B619" s="398"/>
      <c r="C619" s="398"/>
      <c r="D619" s="398"/>
      <c r="E619" s="1739" t="str">
        <f>Translations!$B$768</f>
        <v>Ciepło wprowadzone netto z podinstalacji wytwarzającej kwas azotowy</v>
      </c>
      <c r="F619" s="1740"/>
      <c r="G619" s="1740"/>
      <c r="H619" s="453" t="str">
        <f>EUconst_TJpa</f>
        <v>TJ / rok</v>
      </c>
      <c r="I619" s="1007" t="str">
        <f>IF($I589="","",IF(INDEX(F_ProductBM!I:I,MATCH($P619,F_ProductBM!$P:$P,0))="","",INDEX(F_ProductBM!I:I,MATCH($P619,F_ProductBM!$P:$P,0))))</f>
        <v/>
      </c>
      <c r="J619" s="1007" t="str">
        <f>IF($I589="","",IF(INDEX(F_ProductBM!J:J,MATCH($P619,F_ProductBM!$P:$P,0))="","",INDEX(F_ProductBM!J:J,MATCH($P619,F_ProductBM!$P:$P,0))))</f>
        <v/>
      </c>
      <c r="K619" s="1007" t="str">
        <f>IF($I589="","",IF(INDEX(F_ProductBM!K:K,MATCH($P619,F_ProductBM!$P:$P,0))="","",INDEX(F_ProductBM!K:K,MATCH($P619,F_ProductBM!$P:$P,0))))</f>
        <v/>
      </c>
      <c r="L619" s="1007" t="str">
        <f>IF($I589="","",IF(INDEX(F_ProductBM!L:L,MATCH($P619,F_ProductBM!$P:$P,0))="","",INDEX(F_ProductBM!L:L,MATCH($P619,F_ProductBM!$P:$P,0))))</f>
        <v/>
      </c>
      <c r="M619" s="1007" t="str">
        <f>IF($I589="","",IF(INDEX(F_ProductBM!M:M,MATCH($P619,F_ProductBM!$P:$P,0))="","",INDEX(F_ProductBM!M:M,MATCH($P619,F_ProductBM!$P:$P,0))))</f>
        <v/>
      </c>
      <c r="N619" s="831"/>
      <c r="O619" s="20"/>
      <c r="P619" s="351" t="str">
        <f>EUconst_CNTR_HeatImportNitric &amp; I589</f>
        <v>HeatImNitric_</v>
      </c>
      <c r="Q619" s="422"/>
      <c r="R619" s="422"/>
      <c r="S619" s="422"/>
      <c r="T619" s="8"/>
    </row>
    <row r="620" spans="1:20" s="701" customFormat="1" x14ac:dyDescent="0.2">
      <c r="A620" s="422"/>
      <c r="B620" s="398"/>
      <c r="C620" s="398"/>
      <c r="D620" s="398"/>
      <c r="E620" s="516"/>
      <c r="F620" s="516"/>
      <c r="G620" s="516"/>
      <c r="H620" s="516"/>
      <c r="I620" s="1006"/>
      <c r="J620" s="1006"/>
      <c r="K620" s="1006"/>
      <c r="L620" s="1006"/>
      <c r="M620" s="1006"/>
      <c r="N620" s="831"/>
      <c r="O620" s="20"/>
      <c r="P620" s="8"/>
      <c r="Q620" s="422"/>
      <c r="R620" s="422"/>
      <c r="S620" s="422"/>
      <c r="T620" s="8"/>
    </row>
    <row r="621" spans="1:20" s="701" customFormat="1" x14ac:dyDescent="0.2">
      <c r="A621" s="422"/>
      <c r="B621" s="398"/>
      <c r="C621" s="398"/>
      <c r="D621" s="398"/>
      <c r="E621" s="1766" t="str">
        <f>Translations!$B$770</f>
        <v>Ciepło wyprowadzone netto</v>
      </c>
      <c r="F621" s="1767"/>
      <c r="G621" s="1767"/>
      <c r="H621" s="454" t="str">
        <f>EUconst_TJpa</f>
        <v>TJ / rok</v>
      </c>
      <c r="I621" s="1004" t="str">
        <f>IF($I589="","",IF(INDEX(F_ProductBM!I:I,MATCH($P621,F_ProductBM!$P:$P,0))="","",INDEX(F_ProductBM!I:I,MATCH($P621,F_ProductBM!$P:$P,0))))</f>
        <v/>
      </c>
      <c r="J621" s="1004" t="str">
        <f>IF($I589="","",IF(INDEX(F_ProductBM!J:J,MATCH($P621,F_ProductBM!$P:$P,0))="","",INDEX(F_ProductBM!J:J,MATCH($P621,F_ProductBM!$P:$P,0))))</f>
        <v/>
      </c>
      <c r="K621" s="1004" t="str">
        <f>IF($I589="","",IF(INDEX(F_ProductBM!K:K,MATCH($P621,F_ProductBM!$P:$P,0))="","",INDEX(F_ProductBM!K:K,MATCH($P621,F_ProductBM!$P:$P,0))))</f>
        <v/>
      </c>
      <c r="L621" s="1004" t="str">
        <f>IF($I589="","",IF(INDEX(F_ProductBM!L:L,MATCH($P621,F_ProductBM!$P:$P,0))="","",INDEX(F_ProductBM!L:L,MATCH($P621,F_ProductBM!$P:$P,0))))</f>
        <v/>
      </c>
      <c r="M621" s="1004" t="str">
        <f>IF($I589="","",IF(INDEX(F_ProductBM!M:M,MATCH($P621,F_ProductBM!$P:$P,0))="","",INDEX(F_ProductBM!M:M,MATCH($P621,F_ProductBM!$P:$P,0))))</f>
        <v/>
      </c>
      <c r="N621" s="831"/>
      <c r="O621" s="20"/>
      <c r="P621" s="351" t="str">
        <f>EUconst_CNTR_HeatExport &amp; I589</f>
        <v>HeatEx_</v>
      </c>
      <c r="Q621" s="422"/>
      <c r="R621" s="422"/>
      <c r="S621" s="422"/>
      <c r="T621" s="8"/>
    </row>
    <row r="622" spans="1:20" s="701" customFormat="1" x14ac:dyDescent="0.2">
      <c r="A622" s="422"/>
      <c r="B622" s="398"/>
      <c r="C622" s="398"/>
      <c r="D622" s="398"/>
      <c r="E622" s="1743" t="str">
        <f>Translations!$B$771</f>
        <v>Właściwy współczynnik emisji (ciepło wyprowadzone)</v>
      </c>
      <c r="F622" s="1744"/>
      <c r="G622" s="1744"/>
      <c r="H622" s="473" t="str">
        <f>EUconst_tCO2pTJ</f>
        <v>t CO2 / TJ</v>
      </c>
      <c r="I622" s="1005" t="str">
        <f>IF($I589="","",IF(INDEX(F_ProductBM!I:I,MATCH($P622,F_ProductBM!$P:$P,0))="","",INDEX(F_ProductBM!I:I,MATCH($P622,F_ProductBM!$P:$P,0))))</f>
        <v/>
      </c>
      <c r="J622" s="1005" t="str">
        <f>IF($I589="","",IF(INDEX(F_ProductBM!J:J,MATCH($P622,F_ProductBM!$P:$P,0))="","",INDEX(F_ProductBM!J:J,MATCH($P622,F_ProductBM!$P:$P,0))))</f>
        <v/>
      </c>
      <c r="K622" s="1005" t="str">
        <f>IF($I589="","",IF(INDEX(F_ProductBM!K:K,MATCH($P622,F_ProductBM!$P:$P,0))="","",INDEX(F_ProductBM!K:K,MATCH($P622,F_ProductBM!$P:$P,0))))</f>
        <v/>
      </c>
      <c r="L622" s="1005" t="str">
        <f>IF($I589="","",IF(INDEX(F_ProductBM!L:L,MATCH($P622,F_ProductBM!$P:$P,0))="","",INDEX(F_ProductBM!L:L,MATCH($P622,F_ProductBM!$P:$P,0))))</f>
        <v/>
      </c>
      <c r="M622" s="1005" t="str">
        <f>IF($I589="","",IF(INDEX(F_ProductBM!M:M,MATCH($P622,F_ProductBM!$P:$P,0))="","",INDEX(F_ProductBM!M:M,MATCH($P622,F_ProductBM!$P:$P,0))))</f>
        <v/>
      </c>
      <c r="N622" s="831"/>
      <c r="O622" s="20"/>
      <c r="P622" s="351" t="str">
        <f>EUconst_CNTR_HeatExportEF &amp; I589</f>
        <v>HeatExEF_</v>
      </c>
      <c r="Q622" s="422"/>
      <c r="R622" s="422"/>
      <c r="S622" s="422"/>
      <c r="T622" s="8"/>
    </row>
    <row r="623" spans="1:20" s="701" customFormat="1" x14ac:dyDescent="0.2">
      <c r="A623" s="422"/>
      <c r="B623" s="398"/>
      <c r="C623" s="398"/>
      <c r="D623" s="398"/>
      <c r="E623" s="516"/>
      <c r="F623" s="516"/>
      <c r="G623" s="516"/>
      <c r="H623" s="516"/>
      <c r="I623" s="1006"/>
      <c r="J623" s="1006"/>
      <c r="K623" s="1006"/>
      <c r="L623" s="1006"/>
      <c r="M623" s="1006"/>
      <c r="N623" s="831"/>
      <c r="O623" s="20"/>
      <c r="P623" s="182"/>
      <c r="Q623" s="422"/>
      <c r="R623" s="422"/>
      <c r="S623" s="422"/>
      <c r="T623" s="8"/>
    </row>
    <row r="624" spans="1:20" s="701" customFormat="1" x14ac:dyDescent="0.2">
      <c r="A624" s="422"/>
      <c r="B624" s="398"/>
      <c r="C624" s="398"/>
      <c r="D624" s="398"/>
      <c r="E624" s="1766" t="str">
        <f>Translations!$B$778</f>
        <v>Gazy odlotowe wytworzone</v>
      </c>
      <c r="F624" s="1767"/>
      <c r="G624" s="1767"/>
      <c r="H624" s="454" t="str">
        <f>EUconst_TJpa</f>
        <v>TJ / rok</v>
      </c>
      <c r="I624" s="1004" t="str">
        <f>IF($I589="","",IF(INDEX(F_ProductBM!I:I,MATCH($P624,F_ProductBM!$P:$P,0))="","",INDEX(F_ProductBM!I:I,MATCH($P624,F_ProductBM!$P:$P,0))))</f>
        <v/>
      </c>
      <c r="J624" s="1004" t="str">
        <f>IF($I589="","",IF(INDEX(F_ProductBM!J:J,MATCH($P624,F_ProductBM!$P:$P,0))="","",INDEX(F_ProductBM!J:J,MATCH($P624,F_ProductBM!$P:$P,0))))</f>
        <v/>
      </c>
      <c r="K624" s="1004" t="str">
        <f>IF($I589="","",IF(INDEX(F_ProductBM!K:K,MATCH($P624,F_ProductBM!$P:$P,0))="","",INDEX(F_ProductBM!K:K,MATCH($P624,F_ProductBM!$P:$P,0))))</f>
        <v/>
      </c>
      <c r="L624" s="1004" t="str">
        <f>IF($I589="","",IF(INDEX(F_ProductBM!L:L,MATCH($P624,F_ProductBM!$P:$P,0))="","",INDEX(F_ProductBM!L:L,MATCH($P624,F_ProductBM!$P:$P,0))))</f>
        <v/>
      </c>
      <c r="M624" s="1004" t="str">
        <f>IF($I589="","",IF(INDEX(F_ProductBM!M:M,MATCH($P624,F_ProductBM!$P:$P,0))="","",INDEX(F_ProductBM!M:M,MATCH($P624,F_ProductBM!$P:$P,0))))</f>
        <v/>
      </c>
      <c r="N624" s="831"/>
      <c r="O624" s="20"/>
      <c r="P624" s="830" t="str">
        <f>EUconst_CNTR_WGProduced &amp; I589</f>
        <v>WasteGasProd_</v>
      </c>
      <c r="Q624" s="422"/>
      <c r="R624" s="422"/>
      <c r="S624" s="422"/>
      <c r="T624" s="8"/>
    </row>
    <row r="625" spans="1:20" s="701" customFormat="1" x14ac:dyDescent="0.2">
      <c r="A625" s="422"/>
      <c r="B625" s="398"/>
      <c r="C625" s="398"/>
      <c r="D625" s="398"/>
      <c r="E625" s="1743" t="str">
        <f>Translations!$B$779</f>
        <v>Właściwy współczynnik emisji (gazy odlotowe wytworzone)</v>
      </c>
      <c r="F625" s="1744"/>
      <c r="G625" s="1744"/>
      <c r="H625" s="473" t="str">
        <f>EUconst_tCO2pTJ</f>
        <v>t CO2 / TJ</v>
      </c>
      <c r="I625" s="1005" t="str">
        <f>IF($I589="","",IF(INDEX(F_ProductBM!I:I,MATCH($P625,F_ProductBM!$P:$P,0))="","",INDEX(F_ProductBM!I:I,MATCH($P625,F_ProductBM!$P:$P,0))))</f>
        <v/>
      </c>
      <c r="J625" s="1005" t="str">
        <f>IF($I589="","",IF(INDEX(F_ProductBM!J:J,MATCH($P625,F_ProductBM!$P:$P,0))="","",INDEX(F_ProductBM!J:J,MATCH($P625,F_ProductBM!$P:$P,0))))</f>
        <v/>
      </c>
      <c r="K625" s="1005" t="str">
        <f>IF($I589="","",IF(INDEX(F_ProductBM!K:K,MATCH($P625,F_ProductBM!$P:$P,0))="","",INDEX(F_ProductBM!K:K,MATCH($P625,F_ProductBM!$P:$P,0))))</f>
        <v/>
      </c>
      <c r="L625" s="1005" t="str">
        <f>IF($I589="","",IF(INDEX(F_ProductBM!L:L,MATCH($P625,F_ProductBM!$P:$P,0))="","",INDEX(F_ProductBM!L:L,MATCH($P625,F_ProductBM!$P:$P,0))))</f>
        <v/>
      </c>
      <c r="M625" s="1005" t="str">
        <f>IF($I589="","",IF(INDEX(F_ProductBM!M:M,MATCH($P625,F_ProductBM!$P:$P,0))="","",INDEX(F_ProductBM!M:M,MATCH($P625,F_ProductBM!$P:$P,0))))</f>
        <v/>
      </c>
      <c r="N625" s="831"/>
      <c r="O625" s="20"/>
      <c r="P625" s="351" t="str">
        <f>EUconst_CNTR_WGProducedEF &amp; I589</f>
        <v>WasteGasProdEF_</v>
      </c>
      <c r="Q625" s="422"/>
      <c r="R625" s="422"/>
      <c r="S625" s="422"/>
      <c r="T625" s="8"/>
    </row>
    <row r="626" spans="1:20" s="701" customFormat="1" x14ac:dyDescent="0.2">
      <c r="A626" s="422"/>
      <c r="B626" s="398"/>
      <c r="C626" s="398"/>
      <c r="D626" s="398"/>
      <c r="E626" s="1766" t="str">
        <f>Translations!$B$783</f>
        <v>Gazy odlotowe zużyte</v>
      </c>
      <c r="F626" s="1767"/>
      <c r="G626" s="1767"/>
      <c r="H626" s="454" t="str">
        <f>EUconst_TJpa</f>
        <v>TJ / rok</v>
      </c>
      <c r="I626" s="1004" t="str">
        <f>IF($I589="","",IF(INDEX(F_ProductBM!I:I,MATCH($P626,F_ProductBM!$P:$P,0))="","",INDEX(F_ProductBM!I:I,MATCH($P626,F_ProductBM!$P:$P,0))))</f>
        <v/>
      </c>
      <c r="J626" s="1004" t="str">
        <f>IF($I589="","",IF(INDEX(F_ProductBM!J:J,MATCH($P626,F_ProductBM!$P:$P,0))="","",INDEX(F_ProductBM!J:J,MATCH($P626,F_ProductBM!$P:$P,0))))</f>
        <v/>
      </c>
      <c r="K626" s="1004" t="str">
        <f>IF($I589="","",IF(INDEX(F_ProductBM!K:K,MATCH($P626,F_ProductBM!$P:$P,0))="","",INDEX(F_ProductBM!K:K,MATCH($P626,F_ProductBM!$P:$P,0))))</f>
        <v/>
      </c>
      <c r="L626" s="1004" t="str">
        <f>IF($I589="","",IF(INDEX(F_ProductBM!L:L,MATCH($P626,F_ProductBM!$P:$P,0))="","",INDEX(F_ProductBM!L:L,MATCH($P626,F_ProductBM!$P:$P,0))))</f>
        <v/>
      </c>
      <c r="M626" s="1004" t="str">
        <f>IF($I589="","",IF(INDEX(F_ProductBM!M:M,MATCH($P626,F_ProductBM!$P:$P,0))="","",INDEX(F_ProductBM!M:M,MATCH($P626,F_ProductBM!$P:$P,0))))</f>
        <v/>
      </c>
      <c r="N626" s="831"/>
      <c r="O626" s="20"/>
      <c r="P626" s="351" t="str">
        <f>EUconst_CNTR_WGConsumed &amp; I589</f>
        <v>WasteGasCons_</v>
      </c>
      <c r="Q626" s="422"/>
      <c r="R626" s="422"/>
      <c r="S626" s="422"/>
      <c r="T626" s="8"/>
    </row>
    <row r="627" spans="1:20" s="701" customFormat="1" x14ac:dyDescent="0.2">
      <c r="A627" s="422"/>
      <c r="B627" s="398"/>
      <c r="C627" s="398"/>
      <c r="D627" s="398"/>
      <c r="E627" s="1743" t="str">
        <f>Translations!$B$784</f>
        <v>Właściwy współczynnik emisji (gazy odlotowe zużyte)</v>
      </c>
      <c r="F627" s="1744"/>
      <c r="G627" s="1744"/>
      <c r="H627" s="473" t="str">
        <f>EUconst_tCO2pTJ</f>
        <v>t CO2 / TJ</v>
      </c>
      <c r="I627" s="1005" t="str">
        <f>IF($I589="","",IF(INDEX(F_ProductBM!I:I,MATCH($P627,F_ProductBM!$P:$P,0))="","",INDEX(F_ProductBM!I:I,MATCH($P627,F_ProductBM!$P:$P,0))))</f>
        <v/>
      </c>
      <c r="J627" s="1005" t="str">
        <f>IF($I589="","",IF(INDEX(F_ProductBM!J:J,MATCH($P627,F_ProductBM!$P:$P,0))="","",INDEX(F_ProductBM!J:J,MATCH($P627,F_ProductBM!$P:$P,0))))</f>
        <v/>
      </c>
      <c r="K627" s="1005" t="str">
        <f>IF($I589="","",IF(INDEX(F_ProductBM!K:K,MATCH($P627,F_ProductBM!$P:$P,0))="","",INDEX(F_ProductBM!K:K,MATCH($P627,F_ProductBM!$P:$P,0))))</f>
        <v/>
      </c>
      <c r="L627" s="1005" t="str">
        <f>IF($I589="","",IF(INDEX(F_ProductBM!L:L,MATCH($P627,F_ProductBM!$P:$P,0))="","",INDEX(F_ProductBM!L:L,MATCH($P627,F_ProductBM!$P:$P,0))))</f>
        <v/>
      </c>
      <c r="M627" s="1005" t="str">
        <f>IF($I589="","",IF(INDEX(F_ProductBM!M:M,MATCH($P627,F_ProductBM!$P:$P,0))="","",INDEX(F_ProductBM!M:M,MATCH($P627,F_ProductBM!$P:$P,0))))</f>
        <v/>
      </c>
      <c r="N627" s="831"/>
      <c r="O627" s="20"/>
      <c r="P627" s="351" t="str">
        <f>EUconst_CNTR_WGConsumedEF &amp; I589</f>
        <v>WasteGasConsEF_</v>
      </c>
      <c r="Q627" s="422"/>
      <c r="R627" s="422"/>
      <c r="S627" s="422"/>
      <c r="T627" s="8"/>
    </row>
    <row r="628" spans="1:20" s="701" customFormat="1" x14ac:dyDescent="0.2">
      <c r="A628" s="422"/>
      <c r="B628" s="398"/>
      <c r="C628" s="398"/>
      <c r="D628" s="398"/>
      <c r="E628" s="1766" t="str">
        <f>Translations!$B$790</f>
        <v>Gazy odlotowe spalone na pochodniach</v>
      </c>
      <c r="F628" s="1767"/>
      <c r="G628" s="1767"/>
      <c r="H628" s="454" t="str">
        <f>EUconst_TJpa</f>
        <v>TJ / rok</v>
      </c>
      <c r="I628" s="1004" t="str">
        <f>IF($I589="","",IF(INDEX(F_ProductBM!I:I,MATCH($P628,F_ProductBM!$P:$P,0))="","",INDEX(F_ProductBM!I:I,MATCH($P628,F_ProductBM!$P:$P,0))))</f>
        <v/>
      </c>
      <c r="J628" s="1004" t="str">
        <f>IF($I589="","",IF(INDEX(F_ProductBM!J:J,MATCH($P628,F_ProductBM!$P:$P,0))="","",INDEX(F_ProductBM!J:J,MATCH($P628,F_ProductBM!$P:$P,0))))</f>
        <v/>
      </c>
      <c r="K628" s="1004" t="str">
        <f>IF($I589="","",IF(INDEX(F_ProductBM!K:K,MATCH($P628,F_ProductBM!$P:$P,0))="","",INDEX(F_ProductBM!K:K,MATCH($P628,F_ProductBM!$P:$P,0))))</f>
        <v/>
      </c>
      <c r="L628" s="1004" t="str">
        <f>IF($I589="","",IF(INDEX(F_ProductBM!L:L,MATCH($P628,F_ProductBM!$P:$P,0))="","",INDEX(F_ProductBM!L:L,MATCH($P628,F_ProductBM!$P:$P,0))))</f>
        <v/>
      </c>
      <c r="M628" s="1004" t="str">
        <f>IF($I589="","",IF(INDEX(F_ProductBM!M:M,MATCH($P628,F_ProductBM!$P:$P,0))="","",INDEX(F_ProductBM!M:M,MATCH($P628,F_ProductBM!$P:$P,0))))</f>
        <v/>
      </c>
      <c r="N628" s="831"/>
      <c r="O628" s="20"/>
      <c r="P628" s="351" t="str">
        <f>EUconst_CNTR_WGFlared &amp; I589</f>
        <v>WasteGasFlare_</v>
      </c>
      <c r="Q628" s="422"/>
      <c r="R628" s="422"/>
      <c r="S628" s="422"/>
      <c r="T628" s="8"/>
    </row>
    <row r="629" spans="1:20" s="701" customFormat="1" x14ac:dyDescent="0.2">
      <c r="A629" s="422"/>
      <c r="B629" s="398"/>
      <c r="C629" s="398"/>
      <c r="D629" s="398"/>
      <c r="E629" s="1743" t="str">
        <f>Translations!$B$791</f>
        <v>Właściwy współczynnik emisji (gazy odlotowe spalone na pochodniach)</v>
      </c>
      <c r="F629" s="1744"/>
      <c r="G629" s="1744"/>
      <c r="H629" s="473" t="str">
        <f>EUconst_tCO2pTJ</f>
        <v>t CO2 / TJ</v>
      </c>
      <c r="I629" s="1005" t="str">
        <f>IF($I589="","",IF(INDEX(F_ProductBM!I:I,MATCH($P629,F_ProductBM!$P:$P,0))="","",INDEX(F_ProductBM!I:I,MATCH($P629,F_ProductBM!$P:$P,0))))</f>
        <v/>
      </c>
      <c r="J629" s="1005" t="str">
        <f>IF($I589="","",IF(INDEX(F_ProductBM!J:J,MATCH($P629,F_ProductBM!$P:$P,0))="","",INDEX(F_ProductBM!J:J,MATCH($P629,F_ProductBM!$P:$P,0))))</f>
        <v/>
      </c>
      <c r="K629" s="1005" t="str">
        <f>IF($I589="","",IF(INDEX(F_ProductBM!K:K,MATCH($P629,F_ProductBM!$P:$P,0))="","",INDEX(F_ProductBM!K:K,MATCH($P629,F_ProductBM!$P:$P,0))))</f>
        <v/>
      </c>
      <c r="L629" s="1005" t="str">
        <f>IF($I589="","",IF(INDEX(F_ProductBM!L:L,MATCH($P629,F_ProductBM!$P:$P,0))="","",INDEX(F_ProductBM!L:L,MATCH($P629,F_ProductBM!$P:$P,0))))</f>
        <v/>
      </c>
      <c r="M629" s="1005" t="str">
        <f>IF($I589="","",IF(INDEX(F_ProductBM!M:M,MATCH($P629,F_ProductBM!$P:$P,0))="","",INDEX(F_ProductBM!M:M,MATCH($P629,F_ProductBM!$P:$P,0))))</f>
        <v/>
      </c>
      <c r="N629" s="831"/>
      <c r="O629" s="20"/>
      <c r="P629" s="351" t="str">
        <f>EUconst_CNTR_WGFlaredEF &amp; I589</f>
        <v>WasteGasFlareEF_</v>
      </c>
      <c r="Q629" s="422"/>
      <c r="R629" s="422"/>
      <c r="S629" s="422"/>
      <c r="T629" s="8"/>
    </row>
    <row r="630" spans="1:20" s="701" customFormat="1" x14ac:dyDescent="0.2">
      <c r="A630" s="422"/>
      <c r="B630" s="398"/>
      <c r="C630" s="398"/>
      <c r="D630" s="398"/>
      <c r="E630" s="1766" t="str">
        <f>Translations!$B$796</f>
        <v>Gazy odlotowe wprowadzone</v>
      </c>
      <c r="F630" s="1767"/>
      <c r="G630" s="1767"/>
      <c r="H630" s="454" t="str">
        <f>EUconst_TJpa</f>
        <v>TJ / rok</v>
      </c>
      <c r="I630" s="1004" t="str">
        <f>IF($I589="","",IF(INDEX(F_ProductBM!I:I,MATCH($P630,F_ProductBM!$P:$P,0))="","",INDEX(F_ProductBM!I:I,MATCH($P630,F_ProductBM!$P:$P,0))))</f>
        <v/>
      </c>
      <c r="J630" s="1004" t="str">
        <f>IF($I589="","",IF(INDEX(F_ProductBM!J:J,MATCH($P630,F_ProductBM!$P:$P,0))="","",INDEX(F_ProductBM!J:J,MATCH($P630,F_ProductBM!$P:$P,0))))</f>
        <v/>
      </c>
      <c r="K630" s="1004" t="str">
        <f>IF($I589="","",IF(INDEX(F_ProductBM!K:K,MATCH($P630,F_ProductBM!$P:$P,0))="","",INDEX(F_ProductBM!K:K,MATCH($P630,F_ProductBM!$P:$P,0))))</f>
        <v/>
      </c>
      <c r="L630" s="1004" t="str">
        <f>IF($I589="","",IF(INDEX(F_ProductBM!L:L,MATCH($P630,F_ProductBM!$P:$P,0))="","",INDEX(F_ProductBM!L:L,MATCH($P630,F_ProductBM!$P:$P,0))))</f>
        <v/>
      </c>
      <c r="M630" s="1004" t="str">
        <f>IF($I589="","",IF(INDEX(F_ProductBM!M:M,MATCH($P630,F_ProductBM!$P:$P,0))="","",INDEX(F_ProductBM!M:M,MATCH($P630,F_ProductBM!$P:$P,0))))</f>
        <v/>
      </c>
      <c r="N630" s="831"/>
      <c r="O630" s="20"/>
      <c r="P630" s="351" t="str">
        <f>EUconst_CNTR_WGImport &amp; I589</f>
        <v>WasteGasIm_</v>
      </c>
      <c r="Q630" s="422"/>
      <c r="R630" s="422"/>
      <c r="S630" s="422"/>
      <c r="T630" s="8"/>
    </row>
    <row r="631" spans="1:20" s="701" customFormat="1" x14ac:dyDescent="0.2">
      <c r="A631" s="422"/>
      <c r="B631" s="398"/>
      <c r="C631" s="398"/>
      <c r="D631" s="398"/>
      <c r="E631" s="1743" t="str">
        <f>Translations!$B$797</f>
        <v>Właściwy współczynnik emisji (gazy odlotowe wprowadzone)</v>
      </c>
      <c r="F631" s="1743"/>
      <c r="G631" s="1743"/>
      <c r="H631" s="832" t="str">
        <f>EUconst_tCO2pTJ</f>
        <v>t CO2 / TJ</v>
      </c>
      <c r="I631" s="1005" t="str">
        <f>IF($I589="","",IF(INDEX(F_ProductBM!I:I,MATCH($P631,F_ProductBM!$P:$P,0))="","",INDEX(F_ProductBM!I:I,MATCH($P631,F_ProductBM!$P:$P,0))))</f>
        <v/>
      </c>
      <c r="J631" s="1005" t="str">
        <f>IF($I589="","",IF(INDEX(F_ProductBM!J:J,MATCH($P631,F_ProductBM!$P:$P,0))="","",INDEX(F_ProductBM!J:J,MATCH($P631,F_ProductBM!$P:$P,0))))</f>
        <v/>
      </c>
      <c r="K631" s="1005" t="str">
        <f>IF($I589="","",IF(INDEX(F_ProductBM!K:K,MATCH($P631,F_ProductBM!$P:$P,0))="","",INDEX(F_ProductBM!K:K,MATCH($P631,F_ProductBM!$P:$P,0))))</f>
        <v/>
      </c>
      <c r="L631" s="1005" t="str">
        <f>IF($I589="","",IF(INDEX(F_ProductBM!L:L,MATCH($P631,F_ProductBM!$P:$P,0))="","",INDEX(F_ProductBM!L:L,MATCH($P631,F_ProductBM!$P:$P,0))))</f>
        <v/>
      </c>
      <c r="M631" s="1005" t="str">
        <f>IF($I589="","",IF(INDEX(F_ProductBM!M:M,MATCH($P631,F_ProductBM!$P:$P,0))="","",INDEX(F_ProductBM!M:M,MATCH($P631,F_ProductBM!$P:$P,0))))</f>
        <v/>
      </c>
      <c r="N631" s="831"/>
      <c r="O631" s="20"/>
      <c r="P631" s="351" t="str">
        <f>EUconst_CNTR_WGImportEF &amp; I589</f>
        <v>WasteGasImEF_</v>
      </c>
      <c r="Q631" s="422"/>
      <c r="R631" s="422"/>
      <c r="S631" s="422"/>
      <c r="T631" s="8"/>
    </row>
    <row r="632" spans="1:20" s="701" customFormat="1" x14ac:dyDescent="0.2">
      <c r="A632" s="422"/>
      <c r="B632" s="398"/>
      <c r="C632" s="398"/>
      <c r="D632" s="398"/>
      <c r="E632" s="1766" t="str">
        <f>Translations!$B$801</f>
        <v>Gazy odlotowe wyprowadzone</v>
      </c>
      <c r="F632" s="1767"/>
      <c r="G632" s="1767"/>
      <c r="H632" s="454" t="str">
        <f>EUconst_TJpa</f>
        <v>TJ / rok</v>
      </c>
      <c r="I632" s="1004" t="str">
        <f>IF($I589="","",IF(INDEX(F_ProductBM!I:I,MATCH($P632,F_ProductBM!$P:$P,0))="","",INDEX(F_ProductBM!I:I,MATCH($P632,F_ProductBM!$P:$P,0))))</f>
        <v/>
      </c>
      <c r="J632" s="1004" t="str">
        <f>IF($I589="","",IF(INDEX(F_ProductBM!J:J,MATCH($P632,F_ProductBM!$P:$P,0))="","",INDEX(F_ProductBM!J:J,MATCH($P632,F_ProductBM!$P:$P,0))))</f>
        <v/>
      </c>
      <c r="K632" s="1004" t="str">
        <f>IF($I589="","",IF(INDEX(F_ProductBM!K:K,MATCH($P632,F_ProductBM!$P:$P,0))="","",INDEX(F_ProductBM!K:K,MATCH($P632,F_ProductBM!$P:$P,0))))</f>
        <v/>
      </c>
      <c r="L632" s="1004" t="str">
        <f>IF($I589="","",IF(INDEX(F_ProductBM!L:L,MATCH($P632,F_ProductBM!$P:$P,0))="","",INDEX(F_ProductBM!L:L,MATCH($P632,F_ProductBM!$P:$P,0))))</f>
        <v/>
      </c>
      <c r="M632" s="1004" t="str">
        <f>IF($I589="","",IF(INDEX(F_ProductBM!M:M,MATCH($P632,F_ProductBM!$P:$P,0))="","",INDEX(F_ProductBM!M:M,MATCH($P632,F_ProductBM!$P:$P,0))))</f>
        <v/>
      </c>
      <c r="N632" s="831"/>
      <c r="O632" s="20"/>
      <c r="P632" s="351" t="str">
        <f>EUconst_CNTR_WGExport &amp; I589</f>
        <v>WasteGasEx_</v>
      </c>
      <c r="Q632" s="422"/>
      <c r="R632" s="422"/>
      <c r="S632" s="422"/>
      <c r="T632" s="8"/>
    </row>
    <row r="633" spans="1:20" s="701" customFormat="1" x14ac:dyDescent="0.2">
      <c r="A633" s="422"/>
      <c r="B633" s="398"/>
      <c r="C633" s="398"/>
      <c r="D633" s="398"/>
      <c r="E633" s="1743" t="str">
        <f>Translations!$B$802</f>
        <v>Właściwy współczynnik emisji (gazy odlotowe wyprowadzone)</v>
      </c>
      <c r="F633" s="1743"/>
      <c r="G633" s="1743"/>
      <c r="H633" s="832" t="str">
        <f>EUconst_tCO2pTJ</f>
        <v>t CO2 / TJ</v>
      </c>
      <c r="I633" s="1005" t="str">
        <f>IF($I589="","",IF(INDEX(F_ProductBM!I:I,MATCH($P633,F_ProductBM!$P:$P,0))="","",INDEX(F_ProductBM!I:I,MATCH($P633,F_ProductBM!$P:$P,0))))</f>
        <v/>
      </c>
      <c r="J633" s="1005" t="str">
        <f>IF($I589="","",IF(INDEX(F_ProductBM!J:J,MATCH($P633,F_ProductBM!$P:$P,0))="","",INDEX(F_ProductBM!J:J,MATCH($P633,F_ProductBM!$P:$P,0))))</f>
        <v/>
      </c>
      <c r="K633" s="1005" t="str">
        <f>IF($I589="","",IF(INDEX(F_ProductBM!K:K,MATCH($P633,F_ProductBM!$P:$P,0))="","",INDEX(F_ProductBM!K:K,MATCH($P633,F_ProductBM!$P:$P,0))))</f>
        <v/>
      </c>
      <c r="L633" s="1005" t="str">
        <f>IF($I589="","",IF(INDEX(F_ProductBM!L:L,MATCH($P633,F_ProductBM!$P:$P,0))="","",INDEX(F_ProductBM!L:L,MATCH($P633,F_ProductBM!$P:$P,0))))</f>
        <v/>
      </c>
      <c r="M633" s="1005" t="str">
        <f>IF($I589="","",IF(INDEX(F_ProductBM!M:M,MATCH($P633,F_ProductBM!$P:$P,0))="","",INDEX(F_ProductBM!M:M,MATCH($P633,F_ProductBM!$P:$P,0))))</f>
        <v/>
      </c>
      <c r="N633" s="831"/>
      <c r="O633" s="20"/>
      <c r="P633" s="351" t="str">
        <f>EUconst_CNTR_WGExportEF &amp; I589</f>
        <v>WasteGasExEF_</v>
      </c>
      <c r="Q633" s="422"/>
      <c r="R633" s="422"/>
      <c r="S633" s="422"/>
      <c r="T633" s="8"/>
    </row>
    <row r="634" spans="1:20" s="701" customFormat="1" x14ac:dyDescent="0.2">
      <c r="A634" s="422"/>
      <c r="B634" s="398"/>
      <c r="C634" s="398"/>
      <c r="D634" s="398"/>
      <c r="E634" s="516"/>
      <c r="F634" s="516"/>
      <c r="G634" s="516"/>
      <c r="H634" s="516"/>
      <c r="I634" s="1006"/>
      <c r="J634" s="1006"/>
      <c r="K634" s="1006"/>
      <c r="L634" s="1006"/>
      <c r="M634" s="1006"/>
      <c r="N634" s="831"/>
      <c r="O634" s="20"/>
      <c r="P634" s="182"/>
      <c r="Q634" s="422"/>
      <c r="R634" s="422"/>
      <c r="S634" s="422"/>
      <c r="T634" s="8"/>
    </row>
    <row r="635" spans="1:20" s="701" customFormat="1" x14ac:dyDescent="0.2">
      <c r="A635" s="422"/>
      <c r="B635" s="398"/>
      <c r="C635" s="398"/>
      <c r="D635" s="398"/>
      <c r="E635" s="1739" t="str">
        <f>Translations!$B$689</f>
        <v>Odpowiednie zużycie energii elektrycznej</v>
      </c>
      <c r="F635" s="1740"/>
      <c r="G635" s="1740"/>
      <c r="H635" s="453" t="str">
        <f>EUconst_MWhpa</f>
        <v>MWh / rok</v>
      </c>
      <c r="I635" s="1007" t="str">
        <f>IF($I589="","",IF(INDEX(F_ProductBM!I:I,MATCH($P635,F_ProductBM!$Q:$Q,0))="","",INDEX(F_ProductBM!I:I,MATCH($P635,F_ProductBM!$Q:$Q,0))))</f>
        <v/>
      </c>
      <c r="J635" s="1007" t="str">
        <f>IF($I589="","",IF(INDEX(F_ProductBM!J:J,MATCH($P635,F_ProductBM!$Q:$Q,0))="","",INDEX(F_ProductBM!J:J,MATCH($P635,F_ProductBM!$Q:$Q,0))))</f>
        <v/>
      </c>
      <c r="K635" s="1007" t="str">
        <f>IF($I589="","",IF(INDEX(F_ProductBM!K:K,MATCH($P635,F_ProductBM!$Q:$Q,0))="","",INDEX(F_ProductBM!K:K,MATCH($P635,F_ProductBM!$Q:$Q,0))))</f>
        <v/>
      </c>
      <c r="L635" s="1007" t="str">
        <f>IF($I589="","",IF(INDEX(F_ProductBM!L:L,MATCH($P635,F_ProductBM!$Q:$Q,0))="","",INDEX(F_ProductBM!L:L,MATCH($P635,F_ProductBM!$Q:$Q,0))))</f>
        <v/>
      </c>
      <c r="M635" s="1007" t="str">
        <f>IF($I589="","",IF(INDEX(F_ProductBM!M:M,MATCH($P635,F_ProductBM!$Q:$Q,0))="","",INDEX(F_ProductBM!M:M,MATCH($P635,F_ProductBM!$Q:$Q,0))))</f>
        <v/>
      </c>
      <c r="N635" s="831"/>
      <c r="O635" s="20"/>
      <c r="P635" s="185" t="str">
        <f>EUconst_CNTR_HAL&amp;EUconst_CNTR_ELEXCH &amp; I589</f>
        <v>HAL_ELEXCH_</v>
      </c>
      <c r="Q635" s="422"/>
      <c r="R635" s="422"/>
      <c r="S635" s="422"/>
      <c r="T635" s="8"/>
    </row>
    <row r="636" spans="1:20" s="701" customFormat="1" x14ac:dyDescent="0.2">
      <c r="A636" s="422"/>
      <c r="B636" s="398"/>
      <c r="C636" s="398"/>
      <c r="D636" s="398"/>
      <c r="E636" s="1739" t="str">
        <f>Translations!$B$805</f>
        <v>Energia elektryczna wytworzona</v>
      </c>
      <c r="F636" s="1740"/>
      <c r="G636" s="1740"/>
      <c r="H636" s="453" t="str">
        <f>EUconst_MWhpa</f>
        <v>MWh / rok</v>
      </c>
      <c r="I636" s="1007" t="str">
        <f>IF($I589="","",IF(INDEX(F_ProductBM!I:I,MATCH($P636,F_ProductBM!$P:$P,0))="","",INDEX(F_ProductBM!I:I,MATCH($P636,F_ProductBM!$P:$P,0))))</f>
        <v/>
      </c>
      <c r="J636" s="1007" t="str">
        <f>IF($I589="","",IF(INDEX(F_ProductBM!J:J,MATCH($P636,F_ProductBM!$P:$P,0))="","",INDEX(F_ProductBM!J:J,MATCH($P636,F_ProductBM!$P:$P,0))))</f>
        <v/>
      </c>
      <c r="K636" s="1007" t="str">
        <f>IF($I589="","",IF(INDEX(F_ProductBM!K:K,MATCH($P636,F_ProductBM!$P:$P,0))="","",INDEX(F_ProductBM!K:K,MATCH($P636,F_ProductBM!$P:$P,0))))</f>
        <v/>
      </c>
      <c r="L636" s="1007" t="str">
        <f>IF($I589="","",IF(INDEX(F_ProductBM!L:L,MATCH($P636,F_ProductBM!$P:$P,0))="","",INDEX(F_ProductBM!L:L,MATCH($P636,F_ProductBM!$P:$P,0))))</f>
        <v/>
      </c>
      <c r="M636" s="1007" t="str">
        <f>IF($I589="","",IF(INDEX(F_ProductBM!M:M,MATCH($P636,F_ProductBM!$P:$P,0))="","",INDEX(F_ProductBM!M:M,MATCH($P636,F_ProductBM!$P:$P,0))))</f>
        <v/>
      </c>
      <c r="N636" s="831"/>
      <c r="O636" s="20"/>
      <c r="P636" s="351" t="str">
        <f>EUconst_CNTR_ElectricityExported &amp; I589</f>
        <v>ElecEx_</v>
      </c>
      <c r="Q636" s="422"/>
      <c r="R636" s="422"/>
      <c r="S636" s="422"/>
      <c r="T636" s="8"/>
    </row>
    <row r="637" spans="1:20" s="701" customFormat="1" x14ac:dyDescent="0.2">
      <c r="A637" s="422"/>
      <c r="B637" s="398"/>
      <c r="C637" s="398"/>
      <c r="D637" s="398"/>
      <c r="E637" s="516"/>
      <c r="F637" s="516"/>
      <c r="G637" s="516"/>
      <c r="H637" s="516"/>
      <c r="I637" s="1006"/>
      <c r="J637" s="1006"/>
      <c r="K637" s="1006"/>
      <c r="L637" s="1006"/>
      <c r="M637" s="1006"/>
      <c r="N637" s="831"/>
      <c r="O637" s="20"/>
      <c r="P637" s="182"/>
      <c r="Q637" s="422"/>
      <c r="R637" s="422"/>
      <c r="S637" s="422"/>
      <c r="T637" s="8"/>
    </row>
    <row r="638" spans="1:20" s="701" customFormat="1" x14ac:dyDescent="0.2">
      <c r="A638" s="422"/>
      <c r="B638" s="398"/>
      <c r="C638" s="398"/>
      <c r="D638" s="398"/>
      <c r="E638" s="1739" t="str">
        <f>Translations!$B$806</f>
        <v>Całkowita ilość wyprodukowanej masy celulozowej</v>
      </c>
      <c r="F638" s="1740"/>
      <c r="G638" s="1740"/>
      <c r="H638" s="453" t="str">
        <f>EUconst_Tons</f>
        <v>tony</v>
      </c>
      <c r="I638" s="1007" t="str">
        <f>IF($I589="","",IF(INDEX(F_ProductBM!I:I,MATCH($P638,F_ProductBM!$P:$P,0))="","",INDEX(F_ProductBM!I:I,MATCH($P638,F_ProductBM!$P:$P,0))))</f>
        <v/>
      </c>
      <c r="J638" s="1007" t="str">
        <f>IF($I589="","",IF(INDEX(F_ProductBM!J:J,MATCH($P638,F_ProductBM!$P:$P,0))="","",INDEX(F_ProductBM!J:J,MATCH($P638,F_ProductBM!$P:$P,0))))</f>
        <v/>
      </c>
      <c r="K638" s="1007" t="str">
        <f>IF($I589="","",IF(INDEX(F_ProductBM!K:K,MATCH($P638,F_ProductBM!$P:$P,0))="","",INDEX(F_ProductBM!K:K,MATCH($P638,F_ProductBM!$P:$P,0))))</f>
        <v/>
      </c>
      <c r="L638" s="1007" t="str">
        <f>IF($I589="","",IF(INDEX(F_ProductBM!L:L,MATCH($P638,F_ProductBM!$P:$P,0))="","",INDEX(F_ProductBM!L:L,MATCH($P638,F_ProductBM!$P:$P,0))))</f>
        <v/>
      </c>
      <c r="M638" s="1007" t="str">
        <f>IF($I589="","",IF(INDEX(F_ProductBM!M:M,MATCH($P638,F_ProductBM!$P:$P,0))="","",INDEX(F_ProductBM!M:M,MATCH($P638,F_ProductBM!$P:$P,0))))</f>
        <v/>
      </c>
      <c r="N638" s="831"/>
      <c r="O638" s="20"/>
      <c r="P638" s="351" t="str">
        <f>EUconst_CNTR_HALPulpTotal &amp; I589</f>
        <v>HALPulpTotal_</v>
      </c>
      <c r="Q638" s="422"/>
      <c r="R638" s="422"/>
      <c r="S638" s="422"/>
      <c r="T638" s="8"/>
    </row>
    <row r="639" spans="1:20" s="701" customFormat="1" x14ac:dyDescent="0.2">
      <c r="A639" s="422"/>
      <c r="B639" s="398"/>
      <c r="C639" s="398"/>
      <c r="D639" s="398"/>
      <c r="E639" s="516"/>
      <c r="F639" s="516"/>
      <c r="G639" s="516"/>
      <c r="H639" s="516"/>
      <c r="I639" s="1006"/>
      <c r="J639" s="1006"/>
      <c r="K639" s="1006"/>
      <c r="L639" s="1006"/>
      <c r="M639" s="1006"/>
      <c r="N639" s="831"/>
      <c r="O639" s="20"/>
      <c r="P639" s="182"/>
      <c r="Q639" s="422"/>
      <c r="R639" s="422"/>
      <c r="S639" s="422"/>
      <c r="T639" s="8"/>
    </row>
    <row r="640" spans="1:20" s="701" customFormat="1" x14ac:dyDescent="0.2">
      <c r="A640" s="422"/>
      <c r="B640" s="398"/>
      <c r="C640" s="398"/>
      <c r="D640" s="398"/>
      <c r="E640" s="1268" t="str">
        <f>Translations!$B$1239</f>
        <v>Wprowadzanie pośrednie:</v>
      </c>
      <c r="F640" s="516"/>
      <c r="G640" s="516"/>
      <c r="H640" s="516"/>
      <c r="I640" s="1006"/>
      <c r="J640" s="1006"/>
      <c r="K640" s="1006"/>
      <c r="L640" s="1006"/>
      <c r="M640" s="1006"/>
      <c r="N640" s="831"/>
      <c r="O640" s="20"/>
      <c r="P640" s="182"/>
      <c r="Q640" s="422"/>
      <c r="R640" s="422"/>
      <c r="S640" s="422"/>
      <c r="T640" s="8"/>
    </row>
    <row r="641" spans="1:20" s="701" customFormat="1" x14ac:dyDescent="0.2">
      <c r="A641" s="422"/>
      <c r="B641" s="398"/>
      <c r="C641" s="398"/>
      <c r="D641" s="398"/>
      <c r="E641" s="1762" t="str">
        <f>IF($I589="","",IF(INDEX(F_ProductBM!E:E,MATCH($P641,F_ProductBM!$P:$P,0))="","",INDEX(F_ProductBM!E:E,MATCH($P641,F_ProductBM!$P:$P,0))))</f>
        <v/>
      </c>
      <c r="F641" s="1762"/>
      <c r="G641" s="1762"/>
      <c r="H641" s="453" t="str">
        <f>EUconst_Tons</f>
        <v>tony</v>
      </c>
      <c r="I641" s="1007" t="str">
        <f>IF($I589="","",IF(INDEX(F_ProductBM!I:I,MATCH($P641,F_ProductBM!$P:$P,0))="","",INDEX(F_ProductBM!I:I,MATCH($P641,F_ProductBM!$P:$P,0))))</f>
        <v/>
      </c>
      <c r="J641" s="1007" t="str">
        <f>IF($I589="","",IF(INDEX(F_ProductBM!J:J,MATCH($P641,F_ProductBM!$P:$P,0))="","",INDEX(F_ProductBM!J:J,MATCH($P641,F_ProductBM!$P:$P,0))))</f>
        <v/>
      </c>
      <c r="K641" s="1007" t="str">
        <f>IF($I589="","",IF(INDEX(F_ProductBM!K:K,MATCH($P641,F_ProductBM!$P:$P,0))="","",INDEX(F_ProductBM!K:K,MATCH($P641,F_ProductBM!$P:$P,0))))</f>
        <v/>
      </c>
      <c r="L641" s="1007" t="str">
        <f>IF($I589="","",IF(INDEX(F_ProductBM!L:L,MATCH($P641,F_ProductBM!$P:$P,0))="","",INDEX(F_ProductBM!L:L,MATCH($P641,F_ProductBM!$P:$P,0))))</f>
        <v/>
      </c>
      <c r="M641" s="1007" t="str">
        <f>IF($I589="","",IF(INDEX(F_ProductBM!M:M,MATCH($P641,F_ProductBM!$P:$P,0))="","",INDEX(F_ProductBM!M:M,MATCH($P641,F_ProductBM!$P:$P,0))))</f>
        <v/>
      </c>
      <c r="N641" s="831"/>
      <c r="O641" s="20"/>
      <c r="P641" s="351" t="str">
        <f>EUconst_CNTR_IntermediateImport &amp; R641 &amp; "_" &amp; I589</f>
        <v>IntImp_1_</v>
      </c>
      <c r="Q641" s="422"/>
      <c r="R641" s="879">
        <v>1</v>
      </c>
      <c r="S641" s="422"/>
      <c r="T641" s="8"/>
    </row>
    <row r="642" spans="1:20" s="701" customFormat="1" x14ac:dyDescent="0.2">
      <c r="A642" s="422"/>
      <c r="B642" s="398"/>
      <c r="C642" s="398"/>
      <c r="D642" s="398"/>
      <c r="E642" s="1762" t="str">
        <f>IF($I589="","",IF(INDEX(F_ProductBM!E:E,MATCH($P642,F_ProductBM!$P:$P,0))="","",INDEX(F_ProductBM!E:E,MATCH($P642,F_ProductBM!$P:$P,0))))</f>
        <v/>
      </c>
      <c r="F642" s="1762"/>
      <c r="G642" s="1762"/>
      <c r="H642" s="453" t="str">
        <f>EUconst_Tons</f>
        <v>tony</v>
      </c>
      <c r="I642" s="1007" t="str">
        <f>IF($I589="","",IF(INDEX(F_ProductBM!I:I,MATCH($P642,F_ProductBM!$P:$P,0))="","",INDEX(F_ProductBM!I:I,MATCH($P642,F_ProductBM!$P:$P,0))))</f>
        <v/>
      </c>
      <c r="J642" s="1007" t="str">
        <f>IF($I589="","",IF(INDEX(F_ProductBM!J:J,MATCH($P642,F_ProductBM!$P:$P,0))="","",INDEX(F_ProductBM!J:J,MATCH($P642,F_ProductBM!$P:$P,0))))</f>
        <v/>
      </c>
      <c r="K642" s="1007" t="str">
        <f>IF($I589="","",IF(INDEX(F_ProductBM!K:K,MATCH($P642,F_ProductBM!$P:$P,0))="","",INDEX(F_ProductBM!K:K,MATCH($P642,F_ProductBM!$P:$P,0))))</f>
        <v/>
      </c>
      <c r="L642" s="1007" t="str">
        <f>IF($I589="","",IF(INDEX(F_ProductBM!L:L,MATCH($P642,F_ProductBM!$P:$P,0))="","",INDEX(F_ProductBM!L:L,MATCH($P642,F_ProductBM!$P:$P,0))))</f>
        <v/>
      </c>
      <c r="M642" s="1007" t="str">
        <f>IF($I589="","",IF(INDEX(F_ProductBM!M:M,MATCH($P642,F_ProductBM!$P:$P,0))="","",INDEX(F_ProductBM!M:M,MATCH($P642,F_ProductBM!$P:$P,0))))</f>
        <v/>
      </c>
      <c r="N642" s="831"/>
      <c r="O642" s="20"/>
      <c r="P642" s="351" t="str">
        <f>EUconst_CNTR_IntermediateImport &amp; R642 &amp; "_" &amp; I589</f>
        <v>IntImp_2_</v>
      </c>
      <c r="Q642" s="422"/>
      <c r="R642" s="879">
        <v>2</v>
      </c>
      <c r="S642" s="422"/>
      <c r="T642" s="8"/>
    </row>
    <row r="643" spans="1:20" s="701" customFormat="1" x14ac:dyDescent="0.2">
      <c r="A643" s="422"/>
      <c r="B643" s="398"/>
      <c r="C643" s="398"/>
      <c r="D643" s="398"/>
      <c r="E643" s="1268" t="str">
        <f>Translations!$B$1240</f>
        <v>Wyprowadzanie pośrednie:</v>
      </c>
      <c r="F643" s="516"/>
      <c r="G643" s="516"/>
      <c r="H643" s="516"/>
      <c r="I643" s="1006"/>
      <c r="J643" s="1006"/>
      <c r="K643" s="1006"/>
      <c r="L643" s="1006"/>
      <c r="M643" s="1006"/>
      <c r="N643" s="831"/>
      <c r="O643" s="20"/>
      <c r="P643" s="182"/>
      <c r="Q643" s="422"/>
      <c r="R643" s="422"/>
      <c r="S643" s="422"/>
      <c r="T643" s="8"/>
    </row>
    <row r="644" spans="1:20" s="701" customFormat="1" x14ac:dyDescent="0.2">
      <c r="A644" s="422"/>
      <c r="B644" s="398"/>
      <c r="C644" s="398"/>
      <c r="D644" s="398"/>
      <c r="E644" s="1762" t="str">
        <f>IF($I589="","",IF(INDEX(F_ProductBM!E:E,MATCH($P644,F_ProductBM!$P:$P,0))="","",INDEX(F_ProductBM!E:E,MATCH($P644,F_ProductBM!$P:$P,0))))</f>
        <v/>
      </c>
      <c r="F644" s="1762"/>
      <c r="G644" s="1762"/>
      <c r="H644" s="453" t="str">
        <f>EUconst_Tons</f>
        <v>tony</v>
      </c>
      <c r="I644" s="1007" t="str">
        <f>IF($I589="","",IF(INDEX(F_ProductBM!I:I,MATCH($P644,F_ProductBM!$P:$P,0))="","",INDEX(F_ProductBM!I:I,MATCH($P644,F_ProductBM!$P:$P,0))))</f>
        <v/>
      </c>
      <c r="J644" s="1007" t="str">
        <f>IF($I589="","",IF(INDEX(F_ProductBM!J:J,MATCH($P644,F_ProductBM!$P:$P,0))="","",INDEX(F_ProductBM!J:J,MATCH($P644,F_ProductBM!$P:$P,0))))</f>
        <v/>
      </c>
      <c r="K644" s="1007" t="str">
        <f>IF($I589="","",IF(INDEX(F_ProductBM!K:K,MATCH($P644,F_ProductBM!$P:$P,0))="","",INDEX(F_ProductBM!K:K,MATCH($P644,F_ProductBM!$P:$P,0))))</f>
        <v/>
      </c>
      <c r="L644" s="1007" t="str">
        <f>IF($I589="","",IF(INDEX(F_ProductBM!L:L,MATCH($P644,F_ProductBM!$P:$P,0))="","",INDEX(F_ProductBM!L:L,MATCH($P644,F_ProductBM!$P:$P,0))))</f>
        <v/>
      </c>
      <c r="M644" s="1007" t="str">
        <f>IF($I589="","",IF(INDEX(F_ProductBM!M:M,MATCH($P644,F_ProductBM!$P:$P,0))="","",INDEX(F_ProductBM!M:M,MATCH($P644,F_ProductBM!$P:$P,0))))</f>
        <v/>
      </c>
      <c r="N644" s="831"/>
      <c r="O644" s="20"/>
      <c r="P644" s="351" t="str">
        <f>EUconst_CNTR_IntermediateExport &amp; R641 &amp; "_" &amp; I589</f>
        <v>IntExp_1_</v>
      </c>
      <c r="Q644" s="422"/>
      <c r="R644" s="879">
        <v>1</v>
      </c>
      <c r="S644" s="422"/>
      <c r="T644" s="8"/>
    </row>
    <row r="645" spans="1:20" s="701" customFormat="1" x14ac:dyDescent="0.2">
      <c r="A645" s="422"/>
      <c r="B645" s="398"/>
      <c r="C645" s="398"/>
      <c r="D645" s="398"/>
      <c r="E645" s="1762" t="str">
        <f>IF($I589="","",IF(INDEX(F_ProductBM!E:E,MATCH($P645,F_ProductBM!$P:$P,0))="","",INDEX(F_ProductBM!E:E,MATCH($P645,F_ProductBM!$P:$P,0))))</f>
        <v/>
      </c>
      <c r="F645" s="1762"/>
      <c r="G645" s="1762"/>
      <c r="H645" s="453" t="str">
        <f>EUconst_Tons</f>
        <v>tony</v>
      </c>
      <c r="I645" s="1007" t="str">
        <f>IF($I589="","",IF(INDEX(F_ProductBM!I:I,MATCH($P645,F_ProductBM!$P:$P,0))="","",INDEX(F_ProductBM!I:I,MATCH($P645,F_ProductBM!$P:$P,0))))</f>
        <v/>
      </c>
      <c r="J645" s="1007" t="str">
        <f>IF($I589="","",IF(INDEX(F_ProductBM!J:J,MATCH($P645,F_ProductBM!$P:$P,0))="","",INDEX(F_ProductBM!J:J,MATCH($P645,F_ProductBM!$P:$P,0))))</f>
        <v/>
      </c>
      <c r="K645" s="1007" t="str">
        <f>IF($I589="","",IF(INDEX(F_ProductBM!K:K,MATCH($P645,F_ProductBM!$P:$P,0))="","",INDEX(F_ProductBM!K:K,MATCH($P645,F_ProductBM!$P:$P,0))))</f>
        <v/>
      </c>
      <c r="L645" s="1007" t="str">
        <f>IF($I589="","",IF(INDEX(F_ProductBM!L:L,MATCH($P645,F_ProductBM!$P:$P,0))="","",INDEX(F_ProductBM!L:L,MATCH($P645,F_ProductBM!$P:$P,0))))</f>
        <v/>
      </c>
      <c r="M645" s="1007" t="str">
        <f>IF($I589="","",IF(INDEX(F_ProductBM!M:M,MATCH($P645,F_ProductBM!$P:$P,0))="","",INDEX(F_ProductBM!M:M,MATCH($P645,F_ProductBM!$P:$P,0))))</f>
        <v/>
      </c>
      <c r="N645" s="831"/>
      <c r="O645" s="20"/>
      <c r="P645" s="351" t="str">
        <f>EUconst_CNTR_IntermediateExport &amp; R645 &amp; "_" &amp; I589</f>
        <v>IntExp_2_</v>
      </c>
      <c r="Q645" s="422"/>
      <c r="R645" s="879">
        <v>2</v>
      </c>
      <c r="S645" s="422"/>
      <c r="T645" s="8"/>
    </row>
    <row r="646" spans="1:20" s="701" customFormat="1" x14ac:dyDescent="0.2">
      <c r="A646" s="422"/>
      <c r="B646" s="398"/>
      <c r="C646" s="398"/>
      <c r="D646" s="398"/>
      <c r="E646" s="516"/>
      <c r="F646" s="516"/>
      <c r="G646" s="516"/>
      <c r="H646" s="516"/>
      <c r="I646" s="831"/>
      <c r="J646" s="831"/>
      <c r="K646" s="831"/>
      <c r="L646" s="831"/>
      <c r="M646" s="831"/>
      <c r="N646" s="831"/>
      <c r="O646" s="20"/>
      <c r="P646" s="182"/>
      <c r="Q646" s="422"/>
      <c r="R646" s="422"/>
      <c r="S646" s="422"/>
      <c r="T646" s="8"/>
    </row>
    <row r="647" spans="1:20" s="701" customFormat="1" ht="13.5" thickBot="1" x14ac:dyDescent="0.25">
      <c r="A647" s="422"/>
      <c r="B647" s="398"/>
      <c r="C647" s="398"/>
      <c r="D647" s="398"/>
      <c r="E647" s="1017"/>
      <c r="O647" s="20"/>
      <c r="P647" s="422"/>
      <c r="Q647" s="422"/>
      <c r="R647" s="422"/>
      <c r="S647" s="422"/>
      <c r="T647" s="8"/>
    </row>
    <row r="648" spans="1:20" s="701" customFormat="1" ht="13.5" thickBot="1" x14ac:dyDescent="0.25">
      <c r="A648" s="422"/>
      <c r="B648" s="3"/>
      <c r="C648" s="281"/>
      <c r="D648" s="281"/>
      <c r="E648" s="281"/>
      <c r="F648" s="281"/>
      <c r="G648" s="281"/>
      <c r="H648" s="281"/>
      <c r="I648" s="281"/>
      <c r="J648" s="281"/>
      <c r="K648" s="281"/>
      <c r="L648" s="281"/>
      <c r="M648" s="281"/>
      <c r="N648" s="281"/>
      <c r="O648" s="20"/>
      <c r="P648" s="422"/>
      <c r="Q648" s="422"/>
      <c r="R648" s="422"/>
      <c r="S648" s="422"/>
      <c r="T648" s="8" t="s">
        <v>583</v>
      </c>
    </row>
    <row r="649" spans="1:20" s="701" customFormat="1" ht="15.75" thickBot="1" x14ac:dyDescent="0.3">
      <c r="A649" s="422"/>
      <c r="B649" s="398"/>
      <c r="C649" s="18">
        <f>C589+1</f>
        <v>4</v>
      </c>
      <c r="D649" s="1439" t="str">
        <f>CONCATENATE(EUconst_BMSubinst," ",C649, ":")</f>
        <v>Podinstalacja i wskaźnik emisyjności dla produktów 4:</v>
      </c>
      <c r="E649" s="1439"/>
      <c r="F649" s="1439"/>
      <c r="G649" s="1439"/>
      <c r="H649" s="2024"/>
      <c r="I649" s="1781" t="str">
        <f>IF(INDEX(CNTR_SubInstListIsProdBM,$C649),INDEX(CNTR_SubInstListNames,$C649),"")</f>
        <v/>
      </c>
      <c r="J649" s="2025"/>
      <c r="K649" s="2025"/>
      <c r="L649" s="2025"/>
      <c r="M649" s="2025"/>
      <c r="N649" s="2026"/>
      <c r="O649" s="20"/>
      <c r="P649" s="422"/>
      <c r="Q649" s="986">
        <f>C649</f>
        <v>4</v>
      </c>
      <c r="R649" s="983" t="str">
        <f>I649</f>
        <v/>
      </c>
      <c r="S649" s="985" t="str">
        <f>H652</f>
        <v>Nie dotyczy</v>
      </c>
      <c r="T649" s="984" t="str">
        <f>IF(M661="","",IF(S652=0,0,SUM(M661)/S652))</f>
        <v/>
      </c>
    </row>
    <row r="650" spans="1:20" s="701" customFormat="1" ht="13.5" thickBot="1" x14ac:dyDescent="0.25">
      <c r="A650" s="422"/>
      <c r="B650" s="398"/>
      <c r="C650" s="398"/>
      <c r="D650" s="398"/>
      <c r="E650" s="398"/>
      <c r="F650" s="398"/>
      <c r="G650" s="398"/>
      <c r="H650" s="398"/>
      <c r="I650" s="398"/>
      <c r="J650" s="398"/>
      <c r="K650" s="398"/>
      <c r="L650" s="398"/>
      <c r="M650" s="398"/>
      <c r="N650" s="398"/>
      <c r="O650" s="20"/>
      <c r="P650" s="422"/>
      <c r="Q650" s="422"/>
      <c r="R650" s="422"/>
      <c r="S650" s="422"/>
      <c r="T650" s="8"/>
    </row>
    <row r="651" spans="1:20" s="1299" customFormat="1" ht="51" x14ac:dyDescent="0.2">
      <c r="A651" s="970"/>
      <c r="B651" s="1300"/>
      <c r="C651" s="1300"/>
      <c r="D651" s="1300"/>
      <c r="E651" s="1300"/>
      <c r="F651" s="1300"/>
      <c r="G651" s="1300"/>
      <c r="H651" s="1304" t="str">
        <f>Translations!$B$1204</f>
        <v>narażenie na ryzyko ucieczki emisji</v>
      </c>
      <c r="I651" s="1305" t="s">
        <v>516</v>
      </c>
      <c r="J651" s="1305" t="str">
        <f>Translations!$B$1208</f>
        <v>Rozpoczęcie</v>
      </c>
      <c r="K651" s="1305" t="str">
        <f>Translations!$B$1206</f>
        <v>Nr wskaźnika</v>
      </c>
      <c r="L651" s="1306" t="str">
        <f>Translations!$B$1212</f>
        <v>Art. 15 ust. 7 akapit trzeci?</v>
      </c>
      <c r="M651" s="1307" t="str">
        <f>Translations!$B$1234</f>
        <v>Wart. wskaźnika (min./maks./faktyczna)</v>
      </c>
      <c r="N651" s="1308"/>
      <c r="O651" s="121"/>
      <c r="P651" s="970"/>
      <c r="Q651" s="970"/>
      <c r="R651" s="970"/>
      <c r="S651" s="970"/>
      <c r="T651" s="972"/>
    </row>
    <row r="652" spans="1:20" s="701" customFormat="1" x14ac:dyDescent="0.2">
      <c r="A652" s="422"/>
      <c r="B652" s="398"/>
      <c r="C652" s="398"/>
      <c r="D652" s="398"/>
      <c r="E652" s="652" t="str">
        <f>I649</f>
        <v/>
      </c>
      <c r="F652" s="653"/>
      <c r="G652" s="590"/>
      <c r="H652" s="654" t="str">
        <f>IF(K652=EUconst_NA,EUconst_NA,INDEX(EUconst_BMlistCLstatus,K652))</f>
        <v>Nie dotyczy</v>
      </c>
      <c r="I652" s="655" t="str">
        <f>IF(E652="","",INDEX(EUconst_BMlistElExchangability,K652))</f>
        <v/>
      </c>
      <c r="J652" s="857" t="str">
        <f>IF($I649="",EUconst_NA,INDEX(CNTR_SubInstStartDate,MATCH(E652,CNTR_SubInstListNames,0)))</f>
        <v>Nie dotyczy</v>
      </c>
      <c r="K652" s="536" t="str">
        <f>IF($I649="",EUconst_NA,MATCH(E652,EUconst_BMlistNames,0))</f>
        <v>Nie dotyczy</v>
      </c>
      <c r="L652" s="1071" t="str">
        <f>IF(E652="","",INDEX(CNTR_SubInstLess1Year,MATCH(E652,CNTR_SubInstListNames,0)))</f>
        <v/>
      </c>
      <c r="M652" s="1073" t="str">
        <f>IF(I649="",EUconst_NA,INDEX(EUconst_BMlistBMvaluesMatrix,K652,2))</f>
        <v>Nie dotyczy</v>
      </c>
      <c r="N652" s="1074" t="str">
        <f>EUconst_EUA &amp; "/" &amp; H657</f>
        <v>Uprawnienia do emisji ogólnych/tony</v>
      </c>
      <c r="O652" s="20"/>
      <c r="P652" s="422"/>
      <c r="Q652" s="422"/>
      <c r="R652" s="736" t="s">
        <v>577</v>
      </c>
      <c r="S652" s="822" t="str">
        <f>IF(H652=EUconst_NA,"",IF(H652,1,INDEX(EUconst_CLEFYears,1)))</f>
        <v/>
      </c>
      <c r="T652" s="8"/>
    </row>
    <row r="653" spans="1:20" s="1299" customFormat="1" ht="51" x14ac:dyDescent="0.2">
      <c r="A653" s="970"/>
      <c r="B653" s="1300"/>
      <c r="C653" s="1300"/>
      <c r="D653" s="1300"/>
      <c r="G653" s="1305" t="str">
        <f>Translations!$B$1218</f>
        <v>ciepło nieobjęte systemem EU ETS</v>
      </c>
      <c r="H653" s="1306" t="str">
        <f>Translations!$B$1220</f>
        <v>WGflare</v>
      </c>
      <c r="I653" s="1305" t="s">
        <v>572</v>
      </c>
      <c r="J653" s="1305" t="s">
        <v>573</v>
      </c>
      <c r="K653" s="1305" t="s">
        <v>574</v>
      </c>
      <c r="L653" s="1306" t="str">
        <f>Translations!$B$1214</f>
        <v>Art. 15 ust. 7 akapit trzeci – HPD</v>
      </c>
      <c r="M653" s="1309" t="str">
        <f>IF(I649="",EUconst_NA,INDEX(EUconst_BMlistBMvaluesMatrix,K652,1))</f>
        <v>Nie dotyczy</v>
      </c>
      <c r="N653" s="1303" t="str">
        <f>EUconst_EUA &amp; "/" &amp; H657</f>
        <v>Uprawnienia do emisji ogólnych/tony</v>
      </c>
      <c r="O653" s="121"/>
      <c r="P653" s="970"/>
      <c r="Q653" s="970"/>
      <c r="R653" s="1310"/>
      <c r="S653" s="1311"/>
      <c r="T653" s="972"/>
    </row>
    <row r="654" spans="1:20" s="701" customFormat="1" ht="13.5" thickBot="1" x14ac:dyDescent="0.25">
      <c r="A654" s="422"/>
      <c r="B654" s="398"/>
      <c r="C654" s="398"/>
      <c r="D654" s="398"/>
      <c r="E654" s="877" t="str">
        <f>Translations!$B$1235</f>
        <v>Czynniki szczególne:</v>
      </c>
      <c r="F654" s="878"/>
      <c r="G654" s="536" t="str">
        <f>IF($I649="","",SUMIF(F_ProductBM!$P:$P,EUconst_CNTR_HEAT&amp;$I649,F_ProductBM!$Q:$Q))</f>
        <v/>
      </c>
      <c r="H654" s="855" t="str">
        <f>IF(OR($I649="",CNTR_BaselinePeriod&lt;&gt;2),"",SUMIF(F_ProductBM!$P:$P,EUconst_CNTR_WGFlaredEF &amp; I649,F_ProductBM!$R:$R))</f>
        <v/>
      </c>
      <c r="I654" s="821">
        <f>IF(AND($I649&lt;&gt;"",$I652=TRUE),IF(ISNUMBER(INDEX(F_ProductBM!$Q:$Q,MATCH(EUconst_CNTR_ELEXCH&amp;$I649,F_ProductBM!$P:$P,0))),INDEX(F_ProductBM!$Q:$Q,MATCH(EUconst_CNTR_ELEXCH&amp;$I649,F_ProductBM!$P:$P,0)),1),1)</f>
        <v>1</v>
      </c>
      <c r="J654" s="536" t="str">
        <f>IF($I649="","",IF($K652=42,SUMIF(H_SpecialBM!$P$9:$P$384,EUconst_CNTR_HVC,H_SpecialBM!$I$9:$I$384),0))</f>
        <v/>
      </c>
      <c r="K654" s="876" t="str">
        <f>IF($I649="","",IF($K652=47,IF(ISNUMBER(INDEX(H_SpecialBM!$I$9:$I$384,MATCH(EUconst_CNTR_VCM,H_SpecialBM!$P$9:$P$384,0))),INDEX(H_SpecialBM!$I$9:$I$384,MATCH(EUconst_CNTR_VCM,H_SpecialBM!$P$9:$P$384,0)),1),1))</f>
        <v/>
      </c>
      <c r="L654" s="855" t="str">
        <f>IF($L652=TRUE,SUMIF(F_ProductBM!$P$11:$P$2192,EUconst_CNTR_HAL&amp;$I649,F_ProductBM!$N$11:$N$2192),"")</f>
        <v/>
      </c>
      <c r="M654" s="1075" t="str">
        <f>IF(I649="",EUconst_NA,IF(EUconst_StatusOfDataCollection,INDEX(EUconst_BMlistBMvaluesMatrix,K652,3),""))</f>
        <v>Nie dotyczy</v>
      </c>
      <c r="N654" s="1076" t="str">
        <f>EUconst_EUA &amp; "/" &amp; H657</f>
        <v>Uprawnienia do emisji ogólnych/tony</v>
      </c>
      <c r="O654" s="20"/>
      <c r="P654" s="422"/>
      <c r="Q654" s="422"/>
      <c r="R654" s="736"/>
      <c r="S654" s="875"/>
      <c r="T654" s="8"/>
    </row>
    <row r="655" spans="1:20" s="701" customFormat="1" x14ac:dyDescent="0.2">
      <c r="A655" s="422"/>
      <c r="B655" s="398"/>
      <c r="C655" s="398"/>
      <c r="D655" s="398"/>
      <c r="E655" s="398"/>
      <c r="F655" s="398"/>
      <c r="G655" s="398"/>
      <c r="H655" s="398"/>
      <c r="I655" s="398"/>
      <c r="J655" s="398"/>
      <c r="K655" s="398"/>
      <c r="L655" s="398"/>
      <c r="M655" s="398"/>
      <c r="N655" s="398"/>
      <c r="O655" s="20"/>
      <c r="P655" s="422"/>
      <c r="Q655" s="422"/>
      <c r="R655" s="422"/>
      <c r="S655" s="422"/>
      <c r="T655" s="8"/>
    </row>
    <row r="656" spans="1:20" s="701" customFormat="1" x14ac:dyDescent="0.2">
      <c r="A656" s="422"/>
      <c r="B656" s="398"/>
      <c r="C656" s="398"/>
      <c r="D656" s="398"/>
      <c r="E656" s="656"/>
      <c r="F656" s="656"/>
      <c r="G656" s="657"/>
      <c r="H656" s="873" t="str">
        <f>EUconst_Unit</f>
        <v>Jednostka</v>
      </c>
      <c r="I656" s="432">
        <f>I$1397</f>
        <v>2014</v>
      </c>
      <c r="J656" s="432">
        <f>J$1397</f>
        <v>2015</v>
      </c>
      <c r="K656" s="432">
        <f>K$1397</f>
        <v>2016</v>
      </c>
      <c r="L656" s="432">
        <f>L$1397</f>
        <v>2017</v>
      </c>
      <c r="M656" s="432">
        <f>M$1397</f>
        <v>2018</v>
      </c>
      <c r="N656" s="398"/>
      <c r="O656" s="20"/>
      <c r="P656" s="185" t="s">
        <v>237</v>
      </c>
      <c r="Q656" s="422"/>
      <c r="R656" s="422"/>
      <c r="S656" s="422"/>
      <c r="T656" s="8"/>
    </row>
    <row r="657" spans="1:20" s="701" customFormat="1" x14ac:dyDescent="0.2">
      <c r="A657" s="422"/>
      <c r="B657" s="398"/>
      <c r="C657" s="398"/>
      <c r="D657" s="398"/>
      <c r="E657" s="658" t="str">
        <f>Translations!$B$1236</f>
        <v>Zgłoszony HPD (historyczny poziom działalności)</v>
      </c>
      <c r="F657" s="659"/>
      <c r="G657" s="660"/>
      <c r="H657" s="654" t="str">
        <f>IF(ISNUMBER(K652),INDEX(EUconst_BMlistUnits,K652),EUconst_Tons)</f>
        <v>tony</v>
      </c>
      <c r="I657" s="536" t="str">
        <f>IF($I649="","",SUMIF(F_ProductBM!$P$11:$P$1876,$P657,F_ProductBM!I$11:I$1876))</f>
        <v/>
      </c>
      <c r="J657" s="536" t="str">
        <f>IF($I649="","",SUMIF(F_ProductBM!$P$11:$P$1876,$P657,F_ProductBM!J$11:J$1876))</f>
        <v/>
      </c>
      <c r="K657" s="536" t="str">
        <f>IF($I649="","",SUMIF(F_ProductBM!$P$11:$P$1876,$P657,F_ProductBM!K$11:K$1876))</f>
        <v/>
      </c>
      <c r="L657" s="536" t="str">
        <f>IF($I649="","",SUMIF(F_ProductBM!$P$11:$P$1876,$P657,F_ProductBM!L$11:L$1876))</f>
        <v/>
      </c>
      <c r="M657" s="536" t="str">
        <f>IF($I649="","",SUMIF(F_ProductBM!$P$11:$P$1876,$P657,F_ProductBM!M$11:M$1876))</f>
        <v/>
      </c>
      <c r="N657" s="651" t="str">
        <f>Translations!$B$1224</f>
        <v>Średnia</v>
      </c>
      <c r="O657" s="20"/>
      <c r="P657" s="185" t="str">
        <f>EUconst_CNTR_HAL&amp;I649</f>
        <v>HAL_</v>
      </c>
      <c r="Q657" s="422"/>
      <c r="R657" s="422"/>
      <c r="S657" s="422"/>
      <c r="T657" s="8"/>
    </row>
    <row r="658" spans="1:20" s="701" customFormat="1" x14ac:dyDescent="0.2">
      <c r="A658" s="422"/>
      <c r="B658" s="398"/>
      <c r="C658" s="398"/>
      <c r="D658" s="398"/>
      <c r="E658" s="658" t="str">
        <f>Translations!$B$1237</f>
        <v>Wartości wykorzystywane do obliczania zgłoszonego HPD:</v>
      </c>
      <c r="F658" s="659"/>
      <c r="G658" s="660"/>
      <c r="H658" s="654" t="str">
        <f>H657</f>
        <v>tony</v>
      </c>
      <c r="I658" s="536" t="str">
        <f>IF($I649="","",INDEX(F_ProductBM!S$11:S$1876,MATCH($P658,F_ProductBM!$P$11:$P$1876,0)))</f>
        <v/>
      </c>
      <c r="J658" s="536" t="str">
        <f>IF($I649="","",INDEX(F_ProductBM!T$11:T$1876,MATCH($P658,F_ProductBM!$P$11:$P$1876,0)))</f>
        <v/>
      </c>
      <c r="K658" s="536" t="str">
        <f>IF($I649="","",INDEX(F_ProductBM!U$11:U$1876,MATCH($P658,F_ProductBM!$P$11:$P$1876,0)))</f>
        <v/>
      </c>
      <c r="L658" s="536" t="str">
        <f>IF($I649="","",INDEX(F_ProductBM!V$11:V$1876,MATCH($P658,F_ProductBM!$P$11:$P$1876,0)))</f>
        <v/>
      </c>
      <c r="M658" s="536" t="str">
        <f>IF($I649="","",INDEX(F_ProductBM!W$11:W$1876,MATCH($P658,F_ProductBM!$P$11:$P$1876,0)))</f>
        <v/>
      </c>
      <c r="N658" s="536" t="str">
        <f>IF(OR($I649="",$L652=TRUE),"",IF(COUNT($I658:$M658)&gt;0,AVERAGE($I658:$M658),""))</f>
        <v/>
      </c>
      <c r="O658" s="20"/>
      <c r="P658" s="185" t="str">
        <f>EUconst_CNTR_HAL&amp;I649</f>
        <v>HAL_</v>
      </c>
      <c r="Q658" s="422"/>
      <c r="R658" s="1013" t="s">
        <v>630</v>
      </c>
      <c r="S658" s="1013" t="s">
        <v>631</v>
      </c>
      <c r="T658" s="1013" t="s">
        <v>632</v>
      </c>
    </row>
    <row r="659" spans="1:20" s="701" customFormat="1" ht="13.5" thickBot="1" x14ac:dyDescent="0.25">
      <c r="A659" s="422"/>
      <c r="B659" s="398"/>
      <c r="C659" s="398"/>
      <c r="D659" s="398"/>
      <c r="E659" s="874"/>
      <c r="F659" s="874"/>
      <c r="G659" s="874"/>
      <c r="H659" s="874"/>
      <c r="I659" s="874"/>
      <c r="J659" s="874"/>
      <c r="K659" s="874"/>
      <c r="L659" s="874"/>
      <c r="O659" s="20"/>
      <c r="P659" s="422"/>
      <c r="Q659" s="422"/>
      <c r="R659" s="422"/>
      <c r="S659" s="422"/>
      <c r="T659" s="8"/>
    </row>
    <row r="660" spans="1:20" s="701" customFormat="1" ht="13.5" thickBot="1" x14ac:dyDescent="0.25">
      <c r="A660" s="422"/>
      <c r="B660" s="398"/>
      <c r="D660" s="398"/>
      <c r="E660" s="874"/>
      <c r="F660" s="823" t="s">
        <v>520</v>
      </c>
      <c r="G660" s="824"/>
      <c r="I660" s="823" t="str">
        <f>Translations!$B$1226</f>
        <v>Wst. przydział rok 1 (min.)</v>
      </c>
      <c r="J660" s="824"/>
      <c r="K660" s="823" t="str">
        <f>Translations!$B$1229</f>
        <v>Wst. przydział rok 1 (maks.)</v>
      </c>
      <c r="L660" s="824"/>
      <c r="M660" s="823" t="str">
        <f>Translations!$B$1231</f>
        <v>Wst. przydział rok 1 (faktyczny)</v>
      </c>
      <c r="N660" s="824"/>
      <c r="O660" s="20"/>
      <c r="P660" s="185" t="str">
        <f>EUconst_AllocPrelim&amp;I649</f>
        <v>AllocPrelim_</v>
      </c>
      <c r="Q660" s="422"/>
      <c r="R660" s="982" t="str">
        <f>IF(I661="","",IF(S652=0,0,SUM(I661)/S652))</f>
        <v/>
      </c>
      <c r="S660" s="982" t="str">
        <f>IF(K661="","",IF(S652=0,0,SUM(K661)/S652))</f>
        <v/>
      </c>
      <c r="T660" s="982" t="str">
        <f>T649</f>
        <v/>
      </c>
    </row>
    <row r="661" spans="1:20" s="701" customFormat="1" ht="13.5" thickBot="1" x14ac:dyDescent="0.25">
      <c r="A661" s="422"/>
      <c r="B661" s="398"/>
      <c r="E661" s="874"/>
      <c r="F661" s="662" t="str">
        <f>IF(I649="","",MAX(0, IF(L652=TRUE, SUM(L654), SUM(N658))))</f>
        <v/>
      </c>
      <c r="G661" s="663" t="str">
        <f>H657&amp;" / "&amp;EUconst_Year</f>
        <v>tony / rok</v>
      </c>
      <c r="I661" s="820" t="str">
        <f>IF(I649="","",ROUND((SUM(M652)*SUM(F661)*SUM(I654)*SUM(K654)-SUM(G654)-SUM(H654)+SUM(J654))*SUM(S652),0))</f>
        <v/>
      </c>
      <c r="J661" s="966" t="str">
        <f>EUconst_EUApa</f>
        <v>Uprawnienia do emisji ogólnych / rok</v>
      </c>
      <c r="K661" s="820" t="str">
        <f>IF(I649="","",ROUND((SUM(M653)*SUM(F661)*SUM(I654)*SUM(K654)-SUM(G654)-SUM(H654)+SUM(J654))*SUM(S652),0))</f>
        <v/>
      </c>
      <c r="L661" s="966" t="str">
        <f>EUconst_EUApa</f>
        <v>Uprawnienia do emisji ogólnych / rok</v>
      </c>
      <c r="M661" s="820" t="str">
        <f>IF(OR(I649="",M654=""),"",ROUND((SUM(M654)*SUM(F661)*SUM(I654)*SUM(K654)-SUM(G654)-SUM(H654)+SUM(J654))*SUM(S652),0))</f>
        <v/>
      </c>
      <c r="N661" s="966" t="str">
        <f>EUconst_EUApa</f>
        <v>Uprawnienia do emisji ogólnych / rok</v>
      </c>
      <c r="O661" s="20"/>
      <c r="P661" s="185" t="str">
        <f>EUconst_HALsum &amp; I649</f>
        <v>HALsum_</v>
      </c>
      <c r="Q661" s="422"/>
      <c r="R661" s="422"/>
      <c r="S661" s="422"/>
      <c r="T661" s="8"/>
    </row>
    <row r="662" spans="1:20" s="701" customFormat="1" x14ac:dyDescent="0.2">
      <c r="A662" s="422"/>
      <c r="B662" s="398"/>
      <c r="C662" s="398"/>
      <c r="E662" s="425"/>
      <c r="F662" s="398"/>
      <c r="G662" s="398"/>
      <c r="H662" s="398"/>
      <c r="I662" s="398"/>
      <c r="J662" s="398"/>
      <c r="K662" s="398"/>
      <c r="L662" s="398"/>
      <c r="M662" s="398"/>
      <c r="N662" s="398"/>
      <c r="O662" s="20"/>
      <c r="P662" s="422"/>
      <c r="Q662" s="422"/>
      <c r="R662" s="422"/>
      <c r="S662" s="422"/>
      <c r="T662" s="8"/>
    </row>
    <row r="663" spans="1:20" s="701" customFormat="1" x14ac:dyDescent="0.2">
      <c r="A663" s="422"/>
      <c r="B663" s="398"/>
      <c r="C663" s="398"/>
      <c r="D663" s="398"/>
      <c r="E663" s="516"/>
      <c r="F663" s="831"/>
      <c r="G663" s="831"/>
      <c r="H663" s="831"/>
      <c r="I663" s="831"/>
      <c r="J663" s="831"/>
      <c r="K663" s="831"/>
      <c r="L663" s="831"/>
      <c r="M663" s="831"/>
      <c r="N663" s="831"/>
      <c r="O663" s="20"/>
      <c r="P663" s="422"/>
      <c r="Q663" s="422"/>
      <c r="R663" s="422"/>
      <c r="S663" s="422"/>
      <c r="T663" s="8"/>
    </row>
    <row r="664" spans="1:20" s="701" customFormat="1" ht="13.5" thickBot="1" x14ac:dyDescent="0.25">
      <c r="A664" s="422"/>
      <c r="B664" s="398"/>
      <c r="C664" s="398"/>
      <c r="D664" s="398"/>
      <c r="E664" s="516"/>
      <c r="F664" s="831"/>
      <c r="G664" s="831"/>
      <c r="H664" s="515" t="str">
        <f>EUconst_Unit</f>
        <v>Jednostka</v>
      </c>
      <c r="I664" s="1011">
        <f>I$1397</f>
        <v>2014</v>
      </c>
      <c r="J664" s="451">
        <f>J$1397</f>
        <v>2015</v>
      </c>
      <c r="K664" s="451">
        <f>K$1397</f>
        <v>2016</v>
      </c>
      <c r="L664" s="451">
        <f>L$1397</f>
        <v>2017</v>
      </c>
      <c r="M664" s="451">
        <f>M$1397</f>
        <v>2018</v>
      </c>
      <c r="N664" s="831"/>
      <c r="O664" s="20"/>
      <c r="P664" s="422"/>
      <c r="Q664" s="422"/>
      <c r="R664" s="422"/>
      <c r="S664" s="422"/>
      <c r="T664" s="8"/>
    </row>
    <row r="665" spans="1:20" s="701" customFormat="1" ht="13.5" thickBot="1" x14ac:dyDescent="0.25">
      <c r="A665" s="422"/>
      <c r="B665" s="398"/>
      <c r="C665" s="398"/>
      <c r="D665" s="398"/>
      <c r="E665" s="1876" t="str">
        <f>Translations!$B$1238</f>
        <v>Całkowite przypisane emisje</v>
      </c>
      <c r="F665" s="1876"/>
      <c r="G665" s="1876"/>
      <c r="H665" s="968" t="str">
        <f>EUconst_tCO2epa</f>
        <v>t CO2e/rok</v>
      </c>
      <c r="I665" s="1000" t="str">
        <f>INDEX(I$93:I$109,MATCH($I649,$E$93:$E$109,0))</f>
        <v/>
      </c>
      <c r="J665" s="1001" t="str">
        <f>INDEX(J$93:J$109,MATCH($I649,$E$93:$E$109,0))</f>
        <v/>
      </c>
      <c r="K665" s="1001" t="str">
        <f>INDEX(K$93:K$109,MATCH($I649,$E$93:$E$109,0))</f>
        <v/>
      </c>
      <c r="L665" s="1001" t="str">
        <f>INDEX(L$93:L$109,MATCH($I649,$E$93:$E$109,0))</f>
        <v/>
      </c>
      <c r="M665" s="1002" t="str">
        <f>INDEX(M$93:M$109,MATCH($I649,$E$93:$E$109,0))</f>
        <v/>
      </c>
      <c r="N665" s="831"/>
      <c r="O665" s="20"/>
      <c r="P665" s="422"/>
      <c r="Q665" s="422"/>
      <c r="R665" s="422"/>
      <c r="S665" s="422"/>
      <c r="T665" s="8"/>
    </row>
    <row r="666" spans="1:20" s="701" customFormat="1" x14ac:dyDescent="0.2">
      <c r="A666" s="422"/>
      <c r="B666" s="398"/>
      <c r="C666" s="398"/>
      <c r="D666" s="398"/>
      <c r="E666" s="516"/>
      <c r="F666" s="516"/>
      <c r="G666" s="516"/>
      <c r="H666" s="516"/>
      <c r="I666" s="1003"/>
      <c r="J666" s="1003"/>
      <c r="K666" s="1003"/>
      <c r="L666" s="1003"/>
      <c r="M666" s="1003"/>
      <c r="N666" s="516"/>
      <c r="O666" s="20"/>
      <c r="P666" s="422"/>
      <c r="Q666" s="422"/>
      <c r="R666" s="422"/>
      <c r="S666" s="422"/>
      <c r="T666" s="8"/>
    </row>
    <row r="667" spans="1:20" s="701" customFormat="1" x14ac:dyDescent="0.2">
      <c r="A667" s="422"/>
      <c r="B667" s="398"/>
      <c r="C667" s="398"/>
      <c r="D667" s="398"/>
      <c r="E667" s="1766" t="str">
        <f>Translations!$B$731</f>
        <v>Wsad paliwa</v>
      </c>
      <c r="F667" s="1767"/>
      <c r="G667" s="1767"/>
      <c r="H667" s="454" t="str">
        <f>EUconst_TJpa</f>
        <v>TJ / rok</v>
      </c>
      <c r="I667" s="1004" t="str">
        <f>IF($I649="","",IF(INDEX(F_ProductBM!I:I,MATCH($P667,F_ProductBM!$P:$P,0))="","",INDEX(F_ProductBM!I:I,MATCH($P667,F_ProductBM!$P:$P,0))))</f>
        <v/>
      </c>
      <c r="J667" s="1004" t="str">
        <f>IF($I649="","",IF(INDEX(F_ProductBM!J:J,MATCH($P667,F_ProductBM!$P:$P,0))="","",INDEX(F_ProductBM!J:J,MATCH($P667,F_ProductBM!$P:$P,0))))</f>
        <v/>
      </c>
      <c r="K667" s="1004" t="str">
        <f>IF($I649="","",IF(INDEX(F_ProductBM!K:K,MATCH($P667,F_ProductBM!$P:$P,0))="","",INDEX(F_ProductBM!K:K,MATCH($P667,F_ProductBM!$P:$P,0))))</f>
        <v/>
      </c>
      <c r="L667" s="1004" t="str">
        <f>IF($I649="","",IF(INDEX(F_ProductBM!L:L,MATCH($P667,F_ProductBM!$P:$P,0))="","",INDEX(F_ProductBM!L:L,MATCH($P667,F_ProductBM!$P:$P,0))))</f>
        <v/>
      </c>
      <c r="M667" s="1004" t="str">
        <f>IF($I649="","",IF(INDEX(F_ProductBM!M:M,MATCH($P667,F_ProductBM!$P:$P,0))="","",INDEX(F_ProductBM!M:M,MATCH($P667,F_ProductBM!$P:$P,0))))</f>
        <v/>
      </c>
      <c r="N667" s="831"/>
      <c r="O667" s="20"/>
      <c r="P667" s="830" t="str">
        <f>EUconst_CNTR_FuelInput &amp; I649</f>
        <v>FuelInput_</v>
      </c>
      <c r="Q667" s="422"/>
      <c r="R667" s="422"/>
      <c r="S667" s="422"/>
      <c r="T667" s="8"/>
    </row>
    <row r="668" spans="1:20" s="701" customFormat="1" x14ac:dyDescent="0.2">
      <c r="A668" s="422"/>
      <c r="B668" s="398"/>
      <c r="C668" s="398"/>
      <c r="D668" s="398"/>
      <c r="E668" s="1743" t="str">
        <f>Translations!$B$732</f>
        <v>Ważony współczynnik emisji</v>
      </c>
      <c r="F668" s="1744"/>
      <c r="G668" s="1744"/>
      <c r="H668" s="473" t="str">
        <f>EUconst_tCO2pTJ</f>
        <v>t CO2 / TJ</v>
      </c>
      <c r="I668" s="1005" t="str">
        <f>IF($I649="","",IF(INDEX(F_ProductBM!I:I,MATCH($P668,F_ProductBM!$P:$P,0))="","",INDEX(F_ProductBM!I:I,MATCH($P668,F_ProductBM!$P:$P,0))))</f>
        <v/>
      </c>
      <c r="J668" s="1005" t="str">
        <f>IF($I649="","",IF(INDEX(F_ProductBM!J:J,MATCH($P668,F_ProductBM!$P:$P,0))="","",INDEX(F_ProductBM!J:J,MATCH($P668,F_ProductBM!$P:$P,0))))</f>
        <v/>
      </c>
      <c r="K668" s="1005" t="str">
        <f>IF($I649="","",IF(INDEX(F_ProductBM!K:K,MATCH($P668,F_ProductBM!$P:$P,0))="","",INDEX(F_ProductBM!K:K,MATCH($P668,F_ProductBM!$P:$P,0))))</f>
        <v/>
      </c>
      <c r="L668" s="1005" t="str">
        <f>IF($I649="","",IF(INDEX(F_ProductBM!L:L,MATCH($P668,F_ProductBM!$P:$P,0))="","",INDEX(F_ProductBM!L:L,MATCH($P668,F_ProductBM!$P:$P,0))))</f>
        <v/>
      </c>
      <c r="M668" s="1005" t="str">
        <f>IF($I649="","",IF(INDEX(F_ProductBM!M:M,MATCH($P668,F_ProductBM!$P:$P,0))="","",INDEX(F_ProductBM!M:M,MATCH($P668,F_ProductBM!$P:$P,0))))</f>
        <v/>
      </c>
      <c r="N668" s="831"/>
      <c r="O668" s="20"/>
      <c r="P668" s="351" t="str">
        <f>EUconst_CNTR_FuelEF &amp; I649</f>
        <v>FuelEF_</v>
      </c>
      <c r="Q668" s="422"/>
      <c r="R668" s="422"/>
      <c r="S668" s="422"/>
      <c r="T668" s="8"/>
    </row>
    <row r="669" spans="1:20" s="701" customFormat="1" x14ac:dyDescent="0.2">
      <c r="A669" s="422"/>
      <c r="B669" s="398"/>
      <c r="C669" s="398"/>
      <c r="E669" s="516"/>
      <c r="F669" s="831"/>
      <c r="G669" s="831"/>
      <c r="H669" s="831"/>
      <c r="I669" s="1006"/>
      <c r="J669" s="1006"/>
      <c r="K669" s="1006"/>
      <c r="L669" s="1006"/>
      <c r="M669" s="1006"/>
      <c r="N669" s="831"/>
      <c r="O669" s="20"/>
      <c r="P669" s="422"/>
      <c r="Q669" s="422"/>
      <c r="R669" s="422"/>
      <c r="S669" s="422"/>
      <c r="T669" s="8"/>
    </row>
    <row r="670" spans="1:20" s="701" customFormat="1" x14ac:dyDescent="0.2">
      <c r="A670" s="422"/>
      <c r="B670" s="398"/>
      <c r="C670" s="398"/>
      <c r="E670" s="1739" t="str">
        <f>Translations!$B$687</f>
        <v>Emisje bezpośrednie</v>
      </c>
      <c r="F670" s="1740"/>
      <c r="G670" s="1740"/>
      <c r="H670" s="453" t="str">
        <f>EUconst_tCO2pa</f>
        <v>t CO2 / rok</v>
      </c>
      <c r="I670" s="1007" t="str">
        <f>IF($I649="","",IF(INDEX(F_ProductBM!I:I,MATCH($P670,F_ProductBM!$P:$P,0))="","",INDEX(F_ProductBM!I:I,MATCH($P670,F_ProductBM!$P:$P,0))))</f>
        <v/>
      </c>
      <c r="J670" s="1007" t="str">
        <f>IF($I649="","",IF(INDEX(F_ProductBM!J:J,MATCH($P670,F_ProductBM!$P:$P,0))="","",INDEX(F_ProductBM!J:J,MATCH($P670,F_ProductBM!$P:$P,0))))</f>
        <v/>
      </c>
      <c r="K670" s="1007" t="str">
        <f>IF($I649="","",IF(INDEX(F_ProductBM!K:K,MATCH($P670,F_ProductBM!$P:$P,0))="","",INDEX(F_ProductBM!K:K,MATCH($P670,F_ProductBM!$P:$P,0))))</f>
        <v/>
      </c>
      <c r="L670" s="1007" t="str">
        <f>IF($I649="","",IF(INDEX(F_ProductBM!L:L,MATCH($P670,F_ProductBM!$P:$P,0))="","",INDEX(F_ProductBM!L:L,MATCH($P670,F_ProductBM!$P:$P,0))))</f>
        <v/>
      </c>
      <c r="M670" s="1007" t="str">
        <f>IF($I649="","",IF(INDEX(F_ProductBM!M:M,MATCH($P670,F_ProductBM!$P:$P,0))="","",INDEX(F_ProductBM!M:M,MATCH($P670,F_ProductBM!$P:$P,0))))</f>
        <v/>
      </c>
      <c r="N670" s="831"/>
      <c r="O670" s="20"/>
      <c r="P670" s="351" t="str">
        <f>EUconst_CNTR_Emissions &amp; I649</f>
        <v>DirEmissions_</v>
      </c>
      <c r="Q670" s="422"/>
      <c r="R670" s="422"/>
      <c r="S670" s="422"/>
      <c r="T670" s="8"/>
    </row>
    <row r="671" spans="1:20" s="701" customFormat="1" x14ac:dyDescent="0.2">
      <c r="A671" s="422"/>
      <c r="B671" s="398"/>
      <c r="C671" s="398"/>
      <c r="E671" s="1974" t="str">
        <f>Translations!$B$742</f>
        <v>Dalsze strumienie materiałów wsadowych – 1:</v>
      </c>
      <c r="F671" s="1974"/>
      <c r="G671" s="1974"/>
      <c r="H671" s="453" t="str">
        <f>EUconst_tCO2pa</f>
        <v>t CO2 / rok</v>
      </c>
      <c r="I671" s="1007" t="str">
        <f>IF($I649="","",IF(INDEX(F_ProductBM!I:I,MATCH($P671,F_ProductBM!$P:$P,0))="","",INDEX(F_ProductBM!I:I,MATCH($P671,F_ProductBM!$P:$P,0))))</f>
        <v/>
      </c>
      <c r="J671" s="1007" t="str">
        <f>IF($I649="","",IF(INDEX(F_ProductBM!J:J,MATCH($P671,F_ProductBM!$P:$P,0))="","",INDEX(F_ProductBM!J:J,MATCH($P671,F_ProductBM!$P:$P,0))))</f>
        <v/>
      </c>
      <c r="K671" s="1007" t="str">
        <f>IF($I649="","",IF(INDEX(F_ProductBM!K:K,MATCH($P671,F_ProductBM!$P:$P,0))="","",INDEX(F_ProductBM!K:K,MATCH($P671,F_ProductBM!$P:$P,0))))</f>
        <v/>
      </c>
      <c r="L671" s="1007" t="str">
        <f>IF($I649="","",IF(INDEX(F_ProductBM!L:L,MATCH($P671,F_ProductBM!$P:$P,0))="","",INDEX(F_ProductBM!L:L,MATCH($P671,F_ProductBM!$P:$P,0))))</f>
        <v/>
      </c>
      <c r="M671" s="1007" t="str">
        <f>IF($I649="","",IF(INDEX(F_ProductBM!M:M,MATCH($P671,F_ProductBM!$P:$P,0))="","",INDEX(F_ProductBM!M:M,MATCH($P671,F_ProductBM!$P:$P,0))))</f>
        <v/>
      </c>
      <c r="N671" s="831"/>
      <c r="O671" s="20"/>
      <c r="P671" s="351" t="str">
        <f>EUconst_CNTR_EmissionsIntSource1 &amp; I649</f>
        <v>EmInternalSource1_</v>
      </c>
      <c r="Q671" s="422"/>
      <c r="R671" s="422"/>
      <c r="S671" s="422"/>
      <c r="T671" s="8"/>
    </row>
    <row r="672" spans="1:20" s="701" customFormat="1" x14ac:dyDescent="0.2">
      <c r="A672" s="422"/>
      <c r="B672" s="398"/>
      <c r="C672" s="398"/>
      <c r="E672" s="1974" t="str">
        <f>Translations!$B$752</f>
        <v>Dalsze strumienie materiałów wsadowych – 2:</v>
      </c>
      <c r="F672" s="1974"/>
      <c r="G672" s="1974"/>
      <c r="H672" s="453" t="str">
        <f>EUconst_tCO2pa</f>
        <v>t CO2 / rok</v>
      </c>
      <c r="I672" s="1007" t="str">
        <f>IF($I649="","",IF(INDEX(F_ProductBM!I:I,MATCH($P672,F_ProductBM!$P:$P,0))="","",INDEX(F_ProductBM!I:I,MATCH($P672,F_ProductBM!$P:$P,0))))</f>
        <v/>
      </c>
      <c r="J672" s="1007" t="str">
        <f>IF($I649="","",IF(INDEX(F_ProductBM!J:J,MATCH($P672,F_ProductBM!$P:$P,0))="","",INDEX(F_ProductBM!J:J,MATCH($P672,F_ProductBM!$P:$P,0))))</f>
        <v/>
      </c>
      <c r="K672" s="1007" t="str">
        <f>IF($I649="","",IF(INDEX(F_ProductBM!K:K,MATCH($P672,F_ProductBM!$P:$P,0))="","",INDEX(F_ProductBM!K:K,MATCH($P672,F_ProductBM!$P:$P,0))))</f>
        <v/>
      </c>
      <c r="L672" s="1007" t="str">
        <f>IF($I649="","",IF(INDEX(F_ProductBM!L:L,MATCH($P672,F_ProductBM!$P:$P,0))="","",INDEX(F_ProductBM!L:L,MATCH($P672,F_ProductBM!$P:$P,0))))</f>
        <v/>
      </c>
      <c r="M672" s="1007" t="str">
        <f>IF($I649="","",IF(INDEX(F_ProductBM!M:M,MATCH($P672,F_ProductBM!$P:$P,0))="","",INDEX(F_ProductBM!M:M,MATCH($P672,F_ProductBM!$P:$P,0))))</f>
        <v/>
      </c>
      <c r="N672" s="831"/>
      <c r="O672" s="20"/>
      <c r="P672" s="351" t="str">
        <f>EUconst_CNTR_EmissionsIntSource2 &amp; I649</f>
        <v>EmInternalSource2_</v>
      </c>
      <c r="Q672" s="422"/>
      <c r="R672" s="422"/>
      <c r="S672" s="422"/>
      <c r="T672" s="8"/>
    </row>
    <row r="673" spans="1:20" s="701" customFormat="1" x14ac:dyDescent="0.2">
      <c r="A673" s="422"/>
      <c r="B673" s="398"/>
      <c r="C673" s="398"/>
      <c r="D673" s="398"/>
      <c r="E673" s="1739" t="str">
        <f>Translations!$B$756</f>
        <v>Wprowadzone lub wyprowadzone gazy cieplarniane</v>
      </c>
      <c r="F673" s="1740"/>
      <c r="G673" s="1740"/>
      <c r="H673" s="453" t="str">
        <f>EUconst_tCO2epa</f>
        <v>t CO2e/rok</v>
      </c>
      <c r="I673" s="1007" t="str">
        <f>IF($I649="","",IF(INDEX(F_ProductBM!I:I,MATCH($P673,F_ProductBM!$P:$P,0))="","",INDEX(F_ProductBM!I:I,MATCH($P673,F_ProductBM!$P:$P,0))))</f>
        <v/>
      </c>
      <c r="J673" s="1007" t="str">
        <f>IF($I649="","",IF(INDEX(F_ProductBM!J:J,MATCH($P673,F_ProductBM!$P:$P,0))="","",INDEX(F_ProductBM!J:J,MATCH($P673,F_ProductBM!$P:$P,0))))</f>
        <v/>
      </c>
      <c r="K673" s="1007" t="str">
        <f>IF($I649="","",IF(INDEX(F_ProductBM!K:K,MATCH($P673,F_ProductBM!$P:$P,0))="","",INDEX(F_ProductBM!K:K,MATCH($P673,F_ProductBM!$P:$P,0))))</f>
        <v/>
      </c>
      <c r="L673" s="1007" t="str">
        <f>IF($I649="","",IF(INDEX(F_ProductBM!L:L,MATCH($P673,F_ProductBM!$P:$P,0))="","",INDEX(F_ProductBM!L:L,MATCH($P673,F_ProductBM!$P:$P,0))))</f>
        <v/>
      </c>
      <c r="M673" s="1007" t="str">
        <f>IF($I649="","",IF(INDEX(F_ProductBM!M:M,MATCH($P673,F_ProductBM!$P:$P,0))="","",INDEX(F_ProductBM!M:M,MATCH($P673,F_ProductBM!$P:$P,0))))</f>
        <v/>
      </c>
      <c r="N673" s="831"/>
      <c r="O673" s="20"/>
      <c r="P673" s="351" t="str">
        <f>EUconst_CNTR_CO2Feedstock &amp; I649</f>
        <v>EmCO2Feedstock_</v>
      </c>
      <c r="Q673" s="422"/>
      <c r="R673" s="422"/>
      <c r="S673" s="422"/>
      <c r="T673" s="8"/>
    </row>
    <row r="674" spans="1:20" s="701" customFormat="1" x14ac:dyDescent="0.2">
      <c r="A674" s="422"/>
      <c r="B674" s="398"/>
      <c r="C674" s="398"/>
      <c r="D674" s="398"/>
      <c r="E674" s="831"/>
      <c r="F674" s="831"/>
      <c r="G674" s="831"/>
      <c r="H674" s="831"/>
      <c r="I674" s="1006"/>
      <c r="J674" s="1006"/>
      <c r="K674" s="1006"/>
      <c r="L674" s="1006"/>
      <c r="M674" s="1006"/>
      <c r="N674" s="831"/>
      <c r="O674" s="20"/>
      <c r="P674" s="422"/>
      <c r="Q674" s="422"/>
      <c r="R674" s="422"/>
      <c r="S674" s="422"/>
      <c r="T674" s="8"/>
    </row>
    <row r="675" spans="1:20" s="701" customFormat="1" x14ac:dyDescent="0.2">
      <c r="A675" s="422"/>
      <c r="B675" s="398"/>
      <c r="C675" s="398"/>
      <c r="D675" s="398"/>
      <c r="E675" s="1766" t="str">
        <f>Translations!$B$764</f>
        <v>Ciepło wprowadzone netto</v>
      </c>
      <c r="F675" s="1767"/>
      <c r="G675" s="1767"/>
      <c r="H675" s="454" t="str">
        <f>EUconst_TJpa</f>
        <v>TJ / rok</v>
      </c>
      <c r="I675" s="1004" t="str">
        <f>IF($I649="","",IF(INDEX(F_ProductBM!I:I,MATCH($P675,F_ProductBM!$P:$P,0))="","",INDEX(F_ProductBM!I:I,MATCH($P675,F_ProductBM!$P:$P,0))))</f>
        <v/>
      </c>
      <c r="J675" s="1004" t="str">
        <f>IF($I649="","",IF(INDEX(F_ProductBM!J:J,MATCH($P675,F_ProductBM!$P:$P,0))="","",INDEX(F_ProductBM!J:J,MATCH($P675,F_ProductBM!$P:$P,0))))</f>
        <v/>
      </c>
      <c r="K675" s="1004" t="str">
        <f>IF($I649="","",IF(INDEX(F_ProductBM!K:K,MATCH($P675,F_ProductBM!$P:$P,0))="","",INDEX(F_ProductBM!K:K,MATCH($P675,F_ProductBM!$P:$P,0))))</f>
        <v/>
      </c>
      <c r="L675" s="1004" t="str">
        <f>IF($I649="","",IF(INDEX(F_ProductBM!L:L,MATCH($P675,F_ProductBM!$P:$P,0))="","",INDEX(F_ProductBM!L:L,MATCH($P675,F_ProductBM!$P:$P,0))))</f>
        <v/>
      </c>
      <c r="M675" s="1004" t="str">
        <f>IF($I649="","",IF(INDEX(F_ProductBM!M:M,MATCH($P675,F_ProductBM!$P:$P,0))="","",INDEX(F_ProductBM!M:M,MATCH($P675,F_ProductBM!$P:$P,0))))</f>
        <v/>
      </c>
      <c r="N675" s="831"/>
      <c r="O675" s="20"/>
      <c r="P675" s="351" t="str">
        <f>EUconst_CNTR_HeatImport &amp; I649</f>
        <v>HeatIm_</v>
      </c>
      <c r="Q675" s="422"/>
      <c r="R675" s="422"/>
      <c r="S675" s="422"/>
      <c r="T675" s="8"/>
    </row>
    <row r="676" spans="1:20" s="701" customFormat="1" x14ac:dyDescent="0.2">
      <c r="A676" s="422"/>
      <c r="B676" s="398"/>
      <c r="C676" s="398"/>
      <c r="D676" s="398"/>
      <c r="E676" s="1743" t="str">
        <f>Translations!$B$765</f>
        <v>Właściwy współczynnik emisji (ciepło wprowadzone)</v>
      </c>
      <c r="F676" s="1744"/>
      <c r="G676" s="1744"/>
      <c r="H676" s="473" t="str">
        <f>EUconst_tCO2pTJ</f>
        <v>t CO2 / TJ</v>
      </c>
      <c r="I676" s="1005" t="str">
        <f>IF($I649="","",IF(INDEX(F_ProductBM!I:I,MATCH($P676,F_ProductBM!$P:$P,0))="","",INDEX(F_ProductBM!I:I,MATCH($P676,F_ProductBM!$P:$P,0))))</f>
        <v/>
      </c>
      <c r="J676" s="1005" t="str">
        <f>IF($I649="","",IF(INDEX(F_ProductBM!J:J,MATCH($P676,F_ProductBM!$P:$P,0))="","",INDEX(F_ProductBM!J:J,MATCH($P676,F_ProductBM!$P:$P,0))))</f>
        <v/>
      </c>
      <c r="K676" s="1005" t="str">
        <f>IF($I649="","",IF(INDEX(F_ProductBM!K:K,MATCH($P676,F_ProductBM!$P:$P,0))="","",INDEX(F_ProductBM!K:K,MATCH($P676,F_ProductBM!$P:$P,0))))</f>
        <v/>
      </c>
      <c r="L676" s="1005" t="str">
        <f>IF($I649="","",IF(INDEX(F_ProductBM!L:L,MATCH($P676,F_ProductBM!$P:$P,0))="","",INDEX(F_ProductBM!L:L,MATCH($P676,F_ProductBM!$P:$P,0))))</f>
        <v/>
      </c>
      <c r="M676" s="1005" t="str">
        <f>IF($I649="","",IF(INDEX(F_ProductBM!M:M,MATCH($P676,F_ProductBM!$P:$P,0))="","",INDEX(F_ProductBM!M:M,MATCH($P676,F_ProductBM!$P:$P,0))))</f>
        <v/>
      </c>
      <c r="N676" s="831"/>
      <c r="O676" s="20"/>
      <c r="P676" s="351" t="str">
        <f>EUconst_CNTR_HeatImportEF &amp; I649</f>
        <v>HeatImEF_</v>
      </c>
      <c r="Q676" s="422"/>
      <c r="R676" s="422"/>
      <c r="S676" s="422"/>
      <c r="T676" s="8"/>
    </row>
    <row r="677" spans="1:20" s="701" customFormat="1" x14ac:dyDescent="0.2">
      <c r="A677" s="422"/>
      <c r="B677" s="398"/>
      <c r="C677" s="398"/>
      <c r="D677" s="398"/>
      <c r="E677" s="516"/>
      <c r="F677" s="831"/>
      <c r="G677" s="831"/>
      <c r="H677" s="831"/>
      <c r="I677" s="1006"/>
      <c r="J677" s="1006"/>
      <c r="K677" s="1006"/>
      <c r="L677" s="1006"/>
      <c r="M677" s="1006"/>
      <c r="N677" s="831"/>
      <c r="O677" s="20"/>
      <c r="P677" s="8"/>
      <c r="Q677" s="422"/>
      <c r="R677" s="422"/>
      <c r="S677" s="422"/>
      <c r="T677" s="8"/>
    </row>
    <row r="678" spans="1:20" s="701" customFormat="1" x14ac:dyDescent="0.2">
      <c r="A678" s="422"/>
      <c r="B678" s="398"/>
      <c r="C678" s="398"/>
      <c r="D678" s="398"/>
      <c r="E678" s="1739" t="str">
        <f>Translations!$B$820</f>
        <v>Ciepło wprowadzone netto z masy celulozowej</v>
      </c>
      <c r="F678" s="1740"/>
      <c r="G678" s="1740"/>
      <c r="H678" s="453" t="str">
        <f>EUconst_TJpa</f>
        <v>TJ / rok</v>
      </c>
      <c r="I678" s="1007" t="str">
        <f>IF($I649="","",IF(INDEX(F_ProductBM!I:I,MATCH($P678,F_ProductBM!$P:$P,0))="","",INDEX(F_ProductBM!I:I,MATCH($P678,F_ProductBM!$P:$P,0))))</f>
        <v/>
      </c>
      <c r="J678" s="1007" t="str">
        <f>IF($I649="","",IF(INDEX(F_ProductBM!J:J,MATCH($P678,F_ProductBM!$P:$P,0))="","",INDEX(F_ProductBM!J:J,MATCH($P678,F_ProductBM!$P:$P,0))))</f>
        <v/>
      </c>
      <c r="K678" s="1007" t="str">
        <f>IF($I649="","",IF(INDEX(F_ProductBM!K:K,MATCH($P678,F_ProductBM!$P:$P,0))="","",INDEX(F_ProductBM!K:K,MATCH($P678,F_ProductBM!$P:$P,0))))</f>
        <v/>
      </c>
      <c r="L678" s="1007" t="str">
        <f>IF($I649="","",IF(INDEX(F_ProductBM!L:L,MATCH($P678,F_ProductBM!$P:$P,0))="","",INDEX(F_ProductBM!L:L,MATCH($P678,F_ProductBM!$P:$P,0))))</f>
        <v/>
      </c>
      <c r="M678" s="1007" t="str">
        <f>IF($I649="","",IF(INDEX(F_ProductBM!M:M,MATCH($P678,F_ProductBM!$P:$P,0))="","",INDEX(F_ProductBM!M:M,MATCH($P678,F_ProductBM!$P:$P,0))))</f>
        <v/>
      </c>
      <c r="N678" s="831"/>
      <c r="O678" s="20"/>
      <c r="P678" s="351" t="str">
        <f>EUconst_CNTR_HeatImportPulp &amp; I649</f>
        <v>HeatImPulp_</v>
      </c>
      <c r="Q678" s="422"/>
      <c r="R678" s="422"/>
      <c r="S678" s="422"/>
      <c r="T678" s="8"/>
    </row>
    <row r="679" spans="1:20" s="701" customFormat="1" x14ac:dyDescent="0.2">
      <c r="A679" s="422"/>
      <c r="B679" s="398"/>
      <c r="C679" s="398"/>
      <c r="D679" s="398"/>
      <c r="E679" s="1739" t="str">
        <f>Translations!$B$768</f>
        <v>Ciepło wprowadzone netto z podinstalacji wytwarzającej kwas azotowy</v>
      </c>
      <c r="F679" s="1740"/>
      <c r="G679" s="1740"/>
      <c r="H679" s="453" t="str">
        <f>EUconst_TJpa</f>
        <v>TJ / rok</v>
      </c>
      <c r="I679" s="1007" t="str">
        <f>IF($I649="","",IF(INDEX(F_ProductBM!I:I,MATCH($P679,F_ProductBM!$P:$P,0))="","",INDEX(F_ProductBM!I:I,MATCH($P679,F_ProductBM!$P:$P,0))))</f>
        <v/>
      </c>
      <c r="J679" s="1007" t="str">
        <f>IF($I649="","",IF(INDEX(F_ProductBM!J:J,MATCH($P679,F_ProductBM!$P:$P,0))="","",INDEX(F_ProductBM!J:J,MATCH($P679,F_ProductBM!$P:$P,0))))</f>
        <v/>
      </c>
      <c r="K679" s="1007" t="str">
        <f>IF($I649="","",IF(INDEX(F_ProductBM!K:K,MATCH($P679,F_ProductBM!$P:$P,0))="","",INDEX(F_ProductBM!K:K,MATCH($P679,F_ProductBM!$P:$P,0))))</f>
        <v/>
      </c>
      <c r="L679" s="1007" t="str">
        <f>IF($I649="","",IF(INDEX(F_ProductBM!L:L,MATCH($P679,F_ProductBM!$P:$P,0))="","",INDEX(F_ProductBM!L:L,MATCH($P679,F_ProductBM!$P:$P,0))))</f>
        <v/>
      </c>
      <c r="M679" s="1007" t="str">
        <f>IF($I649="","",IF(INDEX(F_ProductBM!M:M,MATCH($P679,F_ProductBM!$P:$P,0))="","",INDEX(F_ProductBM!M:M,MATCH($P679,F_ProductBM!$P:$P,0))))</f>
        <v/>
      </c>
      <c r="N679" s="831"/>
      <c r="O679" s="20"/>
      <c r="P679" s="351" t="str">
        <f>EUconst_CNTR_HeatImportNitric &amp; I649</f>
        <v>HeatImNitric_</v>
      </c>
      <c r="Q679" s="422"/>
      <c r="R679" s="422"/>
      <c r="S679" s="422"/>
      <c r="T679" s="8"/>
    </row>
    <row r="680" spans="1:20" s="701" customFormat="1" x14ac:dyDescent="0.2">
      <c r="A680" s="422"/>
      <c r="B680" s="398"/>
      <c r="C680" s="398"/>
      <c r="D680" s="398"/>
      <c r="E680" s="516"/>
      <c r="F680" s="516"/>
      <c r="G680" s="516"/>
      <c r="H680" s="516"/>
      <c r="I680" s="1006"/>
      <c r="J680" s="1006"/>
      <c r="K680" s="1006"/>
      <c r="L680" s="1006"/>
      <c r="M680" s="1006"/>
      <c r="N680" s="831"/>
      <c r="O680" s="20"/>
      <c r="P680" s="8"/>
      <c r="Q680" s="422"/>
      <c r="R680" s="422"/>
      <c r="S680" s="422"/>
      <c r="T680" s="8"/>
    </row>
    <row r="681" spans="1:20" s="701" customFormat="1" x14ac:dyDescent="0.2">
      <c r="A681" s="422"/>
      <c r="B681" s="398"/>
      <c r="C681" s="398"/>
      <c r="D681" s="398"/>
      <c r="E681" s="1766" t="str">
        <f>Translations!$B$770</f>
        <v>Ciepło wyprowadzone netto</v>
      </c>
      <c r="F681" s="1767"/>
      <c r="G681" s="1767"/>
      <c r="H681" s="454" t="str">
        <f>EUconst_TJpa</f>
        <v>TJ / rok</v>
      </c>
      <c r="I681" s="1004" t="str">
        <f>IF($I649="","",IF(INDEX(F_ProductBM!I:I,MATCH($P681,F_ProductBM!$P:$P,0))="","",INDEX(F_ProductBM!I:I,MATCH($P681,F_ProductBM!$P:$P,0))))</f>
        <v/>
      </c>
      <c r="J681" s="1004" t="str">
        <f>IF($I649="","",IF(INDEX(F_ProductBM!J:J,MATCH($P681,F_ProductBM!$P:$P,0))="","",INDEX(F_ProductBM!J:J,MATCH($P681,F_ProductBM!$P:$P,0))))</f>
        <v/>
      </c>
      <c r="K681" s="1004" t="str">
        <f>IF($I649="","",IF(INDEX(F_ProductBM!K:K,MATCH($P681,F_ProductBM!$P:$P,0))="","",INDEX(F_ProductBM!K:K,MATCH($P681,F_ProductBM!$P:$P,0))))</f>
        <v/>
      </c>
      <c r="L681" s="1004" t="str">
        <f>IF($I649="","",IF(INDEX(F_ProductBM!L:L,MATCH($P681,F_ProductBM!$P:$P,0))="","",INDEX(F_ProductBM!L:L,MATCH($P681,F_ProductBM!$P:$P,0))))</f>
        <v/>
      </c>
      <c r="M681" s="1004" t="str">
        <f>IF($I649="","",IF(INDEX(F_ProductBM!M:M,MATCH($P681,F_ProductBM!$P:$P,0))="","",INDEX(F_ProductBM!M:M,MATCH($P681,F_ProductBM!$P:$P,0))))</f>
        <v/>
      </c>
      <c r="N681" s="831"/>
      <c r="O681" s="20"/>
      <c r="P681" s="351" t="str">
        <f>EUconst_CNTR_HeatExport &amp; I649</f>
        <v>HeatEx_</v>
      </c>
      <c r="Q681" s="422"/>
      <c r="R681" s="422"/>
      <c r="S681" s="422"/>
      <c r="T681" s="8"/>
    </row>
    <row r="682" spans="1:20" s="701" customFormat="1" x14ac:dyDescent="0.2">
      <c r="A682" s="422"/>
      <c r="B682" s="398"/>
      <c r="C682" s="398"/>
      <c r="D682" s="398"/>
      <c r="E682" s="1743" t="str">
        <f>Translations!$B$771</f>
        <v>Właściwy współczynnik emisji (ciepło wyprowadzone)</v>
      </c>
      <c r="F682" s="1744"/>
      <c r="G682" s="1744"/>
      <c r="H682" s="473" t="str">
        <f>EUconst_tCO2pTJ</f>
        <v>t CO2 / TJ</v>
      </c>
      <c r="I682" s="1005" t="str">
        <f>IF($I649="","",IF(INDEX(F_ProductBM!I:I,MATCH($P682,F_ProductBM!$P:$P,0))="","",INDEX(F_ProductBM!I:I,MATCH($P682,F_ProductBM!$P:$P,0))))</f>
        <v/>
      </c>
      <c r="J682" s="1005" t="str">
        <f>IF($I649="","",IF(INDEX(F_ProductBM!J:J,MATCH($P682,F_ProductBM!$P:$P,0))="","",INDEX(F_ProductBM!J:J,MATCH($P682,F_ProductBM!$P:$P,0))))</f>
        <v/>
      </c>
      <c r="K682" s="1005" t="str">
        <f>IF($I649="","",IF(INDEX(F_ProductBM!K:K,MATCH($P682,F_ProductBM!$P:$P,0))="","",INDEX(F_ProductBM!K:K,MATCH($P682,F_ProductBM!$P:$P,0))))</f>
        <v/>
      </c>
      <c r="L682" s="1005" t="str">
        <f>IF($I649="","",IF(INDEX(F_ProductBM!L:L,MATCH($P682,F_ProductBM!$P:$P,0))="","",INDEX(F_ProductBM!L:L,MATCH($P682,F_ProductBM!$P:$P,0))))</f>
        <v/>
      </c>
      <c r="M682" s="1005" t="str">
        <f>IF($I649="","",IF(INDEX(F_ProductBM!M:M,MATCH($P682,F_ProductBM!$P:$P,0))="","",INDEX(F_ProductBM!M:M,MATCH($P682,F_ProductBM!$P:$P,0))))</f>
        <v/>
      </c>
      <c r="N682" s="831"/>
      <c r="O682" s="20"/>
      <c r="P682" s="351" t="str">
        <f>EUconst_CNTR_HeatExportEF &amp; I649</f>
        <v>HeatExEF_</v>
      </c>
      <c r="Q682" s="422"/>
      <c r="R682" s="422"/>
      <c r="S682" s="422"/>
      <c r="T682" s="8"/>
    </row>
    <row r="683" spans="1:20" s="701" customFormat="1" x14ac:dyDescent="0.2">
      <c r="A683" s="422"/>
      <c r="B683" s="398"/>
      <c r="C683" s="398"/>
      <c r="D683" s="398"/>
      <c r="E683" s="516"/>
      <c r="F683" s="516"/>
      <c r="G683" s="516"/>
      <c r="H683" s="516"/>
      <c r="I683" s="1006"/>
      <c r="J683" s="1006"/>
      <c r="K683" s="1006"/>
      <c r="L683" s="1006"/>
      <c r="M683" s="1006"/>
      <c r="N683" s="831"/>
      <c r="O683" s="20"/>
      <c r="P683" s="182"/>
      <c r="Q683" s="422"/>
      <c r="R683" s="422"/>
      <c r="S683" s="422"/>
      <c r="T683" s="8"/>
    </row>
    <row r="684" spans="1:20" s="701" customFormat="1" x14ac:dyDescent="0.2">
      <c r="A684" s="422"/>
      <c r="B684" s="398"/>
      <c r="C684" s="398"/>
      <c r="D684" s="398"/>
      <c r="E684" s="1766" t="str">
        <f>Translations!$B$778</f>
        <v>Gazy odlotowe wytworzone</v>
      </c>
      <c r="F684" s="1767"/>
      <c r="G684" s="1767"/>
      <c r="H684" s="454" t="str">
        <f>EUconst_TJpa</f>
        <v>TJ / rok</v>
      </c>
      <c r="I684" s="1004" t="str">
        <f>IF($I649="","",IF(INDEX(F_ProductBM!I:I,MATCH($P684,F_ProductBM!$P:$P,0))="","",INDEX(F_ProductBM!I:I,MATCH($P684,F_ProductBM!$P:$P,0))))</f>
        <v/>
      </c>
      <c r="J684" s="1004" t="str">
        <f>IF($I649="","",IF(INDEX(F_ProductBM!J:J,MATCH($P684,F_ProductBM!$P:$P,0))="","",INDEX(F_ProductBM!J:J,MATCH($P684,F_ProductBM!$P:$P,0))))</f>
        <v/>
      </c>
      <c r="K684" s="1004" t="str">
        <f>IF($I649="","",IF(INDEX(F_ProductBM!K:K,MATCH($P684,F_ProductBM!$P:$P,0))="","",INDEX(F_ProductBM!K:K,MATCH($P684,F_ProductBM!$P:$P,0))))</f>
        <v/>
      </c>
      <c r="L684" s="1004" t="str">
        <f>IF($I649="","",IF(INDEX(F_ProductBM!L:L,MATCH($P684,F_ProductBM!$P:$P,0))="","",INDEX(F_ProductBM!L:L,MATCH($P684,F_ProductBM!$P:$P,0))))</f>
        <v/>
      </c>
      <c r="M684" s="1004" t="str">
        <f>IF($I649="","",IF(INDEX(F_ProductBM!M:M,MATCH($P684,F_ProductBM!$P:$P,0))="","",INDEX(F_ProductBM!M:M,MATCH($P684,F_ProductBM!$P:$P,0))))</f>
        <v/>
      </c>
      <c r="N684" s="831"/>
      <c r="O684" s="20"/>
      <c r="P684" s="830" t="str">
        <f>EUconst_CNTR_WGProduced &amp; I649</f>
        <v>WasteGasProd_</v>
      </c>
      <c r="Q684" s="422"/>
      <c r="R684" s="422"/>
      <c r="S684" s="422"/>
      <c r="T684" s="8"/>
    </row>
    <row r="685" spans="1:20" s="701" customFormat="1" x14ac:dyDescent="0.2">
      <c r="A685" s="422"/>
      <c r="B685" s="398"/>
      <c r="C685" s="398"/>
      <c r="D685" s="398"/>
      <c r="E685" s="1743" t="str">
        <f>Translations!$B$779</f>
        <v>Właściwy współczynnik emisji (gazy odlotowe wytworzone)</v>
      </c>
      <c r="F685" s="1744"/>
      <c r="G685" s="1744"/>
      <c r="H685" s="473" t="str">
        <f>EUconst_tCO2pTJ</f>
        <v>t CO2 / TJ</v>
      </c>
      <c r="I685" s="1005" t="str">
        <f>IF($I649="","",IF(INDEX(F_ProductBM!I:I,MATCH($P685,F_ProductBM!$P:$P,0))="","",INDEX(F_ProductBM!I:I,MATCH($P685,F_ProductBM!$P:$P,0))))</f>
        <v/>
      </c>
      <c r="J685" s="1005" t="str">
        <f>IF($I649="","",IF(INDEX(F_ProductBM!J:J,MATCH($P685,F_ProductBM!$P:$P,0))="","",INDEX(F_ProductBM!J:J,MATCH($P685,F_ProductBM!$P:$P,0))))</f>
        <v/>
      </c>
      <c r="K685" s="1005" t="str">
        <f>IF($I649="","",IF(INDEX(F_ProductBM!K:K,MATCH($P685,F_ProductBM!$P:$P,0))="","",INDEX(F_ProductBM!K:K,MATCH($P685,F_ProductBM!$P:$P,0))))</f>
        <v/>
      </c>
      <c r="L685" s="1005" t="str">
        <f>IF($I649="","",IF(INDEX(F_ProductBM!L:L,MATCH($P685,F_ProductBM!$P:$P,0))="","",INDEX(F_ProductBM!L:L,MATCH($P685,F_ProductBM!$P:$P,0))))</f>
        <v/>
      </c>
      <c r="M685" s="1005" t="str">
        <f>IF($I649="","",IF(INDEX(F_ProductBM!M:M,MATCH($P685,F_ProductBM!$P:$P,0))="","",INDEX(F_ProductBM!M:M,MATCH($P685,F_ProductBM!$P:$P,0))))</f>
        <v/>
      </c>
      <c r="N685" s="831"/>
      <c r="O685" s="20"/>
      <c r="P685" s="351" t="str">
        <f>EUconst_CNTR_WGProducedEF &amp; I649</f>
        <v>WasteGasProdEF_</v>
      </c>
      <c r="Q685" s="422"/>
      <c r="R685" s="422"/>
      <c r="S685" s="422"/>
      <c r="T685" s="8"/>
    </row>
    <row r="686" spans="1:20" s="701" customFormat="1" x14ac:dyDescent="0.2">
      <c r="A686" s="422"/>
      <c r="B686" s="398"/>
      <c r="C686" s="398"/>
      <c r="D686" s="398"/>
      <c r="E686" s="1766" t="str">
        <f>Translations!$B$783</f>
        <v>Gazy odlotowe zużyte</v>
      </c>
      <c r="F686" s="1767"/>
      <c r="G686" s="1767"/>
      <c r="H686" s="454" t="str">
        <f>EUconst_TJpa</f>
        <v>TJ / rok</v>
      </c>
      <c r="I686" s="1004" t="str">
        <f>IF($I649="","",IF(INDEX(F_ProductBM!I:I,MATCH($P686,F_ProductBM!$P:$P,0))="","",INDEX(F_ProductBM!I:I,MATCH($P686,F_ProductBM!$P:$P,0))))</f>
        <v/>
      </c>
      <c r="J686" s="1004" t="str">
        <f>IF($I649="","",IF(INDEX(F_ProductBM!J:J,MATCH($P686,F_ProductBM!$P:$P,0))="","",INDEX(F_ProductBM!J:J,MATCH($P686,F_ProductBM!$P:$P,0))))</f>
        <v/>
      </c>
      <c r="K686" s="1004" t="str">
        <f>IF($I649="","",IF(INDEX(F_ProductBM!K:K,MATCH($P686,F_ProductBM!$P:$P,0))="","",INDEX(F_ProductBM!K:K,MATCH($P686,F_ProductBM!$P:$P,0))))</f>
        <v/>
      </c>
      <c r="L686" s="1004" t="str">
        <f>IF($I649="","",IF(INDEX(F_ProductBM!L:L,MATCH($P686,F_ProductBM!$P:$P,0))="","",INDEX(F_ProductBM!L:L,MATCH($P686,F_ProductBM!$P:$P,0))))</f>
        <v/>
      </c>
      <c r="M686" s="1004" t="str">
        <f>IF($I649="","",IF(INDEX(F_ProductBM!M:M,MATCH($P686,F_ProductBM!$P:$P,0))="","",INDEX(F_ProductBM!M:M,MATCH($P686,F_ProductBM!$P:$P,0))))</f>
        <v/>
      </c>
      <c r="N686" s="831"/>
      <c r="O686" s="20"/>
      <c r="P686" s="351" t="str">
        <f>EUconst_CNTR_WGConsumed &amp; I649</f>
        <v>WasteGasCons_</v>
      </c>
      <c r="Q686" s="422"/>
      <c r="R686" s="422"/>
      <c r="S686" s="422"/>
      <c r="T686" s="8"/>
    </row>
    <row r="687" spans="1:20" s="701" customFormat="1" x14ac:dyDescent="0.2">
      <c r="A687" s="422"/>
      <c r="B687" s="398"/>
      <c r="C687" s="398"/>
      <c r="D687" s="398"/>
      <c r="E687" s="1743" t="str">
        <f>Translations!$B$784</f>
        <v>Właściwy współczynnik emisji (gazy odlotowe zużyte)</v>
      </c>
      <c r="F687" s="1744"/>
      <c r="G687" s="1744"/>
      <c r="H687" s="473" t="str">
        <f>EUconst_tCO2pTJ</f>
        <v>t CO2 / TJ</v>
      </c>
      <c r="I687" s="1005" t="str">
        <f>IF($I649="","",IF(INDEX(F_ProductBM!I:I,MATCH($P687,F_ProductBM!$P:$P,0))="","",INDEX(F_ProductBM!I:I,MATCH($P687,F_ProductBM!$P:$P,0))))</f>
        <v/>
      </c>
      <c r="J687" s="1005" t="str">
        <f>IF($I649="","",IF(INDEX(F_ProductBM!J:J,MATCH($P687,F_ProductBM!$P:$P,0))="","",INDEX(F_ProductBM!J:J,MATCH($P687,F_ProductBM!$P:$P,0))))</f>
        <v/>
      </c>
      <c r="K687" s="1005" t="str">
        <f>IF($I649="","",IF(INDEX(F_ProductBM!K:K,MATCH($P687,F_ProductBM!$P:$P,0))="","",INDEX(F_ProductBM!K:K,MATCH($P687,F_ProductBM!$P:$P,0))))</f>
        <v/>
      </c>
      <c r="L687" s="1005" t="str">
        <f>IF($I649="","",IF(INDEX(F_ProductBM!L:L,MATCH($P687,F_ProductBM!$P:$P,0))="","",INDEX(F_ProductBM!L:L,MATCH($P687,F_ProductBM!$P:$P,0))))</f>
        <v/>
      </c>
      <c r="M687" s="1005" t="str">
        <f>IF($I649="","",IF(INDEX(F_ProductBM!M:M,MATCH($P687,F_ProductBM!$P:$P,0))="","",INDEX(F_ProductBM!M:M,MATCH($P687,F_ProductBM!$P:$P,0))))</f>
        <v/>
      </c>
      <c r="N687" s="831"/>
      <c r="O687" s="20"/>
      <c r="P687" s="351" t="str">
        <f>EUconst_CNTR_WGConsumedEF &amp; I649</f>
        <v>WasteGasConsEF_</v>
      </c>
      <c r="Q687" s="422"/>
      <c r="R687" s="422"/>
      <c r="S687" s="422"/>
      <c r="T687" s="8"/>
    </row>
    <row r="688" spans="1:20" s="701" customFormat="1" x14ac:dyDescent="0.2">
      <c r="A688" s="422"/>
      <c r="B688" s="398"/>
      <c r="C688" s="398"/>
      <c r="D688" s="398"/>
      <c r="E688" s="1766" t="str">
        <f>Translations!$B$790</f>
        <v>Gazy odlotowe spalone na pochodniach</v>
      </c>
      <c r="F688" s="1767"/>
      <c r="G688" s="1767"/>
      <c r="H688" s="454" t="str">
        <f>EUconst_TJpa</f>
        <v>TJ / rok</v>
      </c>
      <c r="I688" s="1004" t="str">
        <f>IF($I649="","",IF(INDEX(F_ProductBM!I:I,MATCH($P688,F_ProductBM!$P:$P,0))="","",INDEX(F_ProductBM!I:I,MATCH($P688,F_ProductBM!$P:$P,0))))</f>
        <v/>
      </c>
      <c r="J688" s="1004" t="str">
        <f>IF($I649="","",IF(INDEX(F_ProductBM!J:J,MATCH($P688,F_ProductBM!$P:$P,0))="","",INDEX(F_ProductBM!J:J,MATCH($P688,F_ProductBM!$P:$P,0))))</f>
        <v/>
      </c>
      <c r="K688" s="1004" t="str">
        <f>IF($I649="","",IF(INDEX(F_ProductBM!K:K,MATCH($P688,F_ProductBM!$P:$P,0))="","",INDEX(F_ProductBM!K:K,MATCH($P688,F_ProductBM!$P:$P,0))))</f>
        <v/>
      </c>
      <c r="L688" s="1004" t="str">
        <f>IF($I649="","",IF(INDEX(F_ProductBM!L:L,MATCH($P688,F_ProductBM!$P:$P,0))="","",INDEX(F_ProductBM!L:L,MATCH($P688,F_ProductBM!$P:$P,0))))</f>
        <v/>
      </c>
      <c r="M688" s="1004" t="str">
        <f>IF($I649="","",IF(INDEX(F_ProductBM!M:M,MATCH($P688,F_ProductBM!$P:$P,0))="","",INDEX(F_ProductBM!M:M,MATCH($P688,F_ProductBM!$P:$P,0))))</f>
        <v/>
      </c>
      <c r="N688" s="831"/>
      <c r="O688" s="20"/>
      <c r="P688" s="351" t="str">
        <f>EUconst_CNTR_WGFlared &amp; I649</f>
        <v>WasteGasFlare_</v>
      </c>
      <c r="Q688" s="422"/>
      <c r="R688" s="422"/>
      <c r="S688" s="422"/>
      <c r="T688" s="8"/>
    </row>
    <row r="689" spans="1:20" s="701" customFormat="1" x14ac:dyDescent="0.2">
      <c r="A689" s="422"/>
      <c r="B689" s="398"/>
      <c r="C689" s="398"/>
      <c r="D689" s="398"/>
      <c r="E689" s="1743" t="str">
        <f>Translations!$B$791</f>
        <v>Właściwy współczynnik emisji (gazy odlotowe spalone na pochodniach)</v>
      </c>
      <c r="F689" s="1744"/>
      <c r="G689" s="1744"/>
      <c r="H689" s="473" t="str">
        <f>EUconst_tCO2pTJ</f>
        <v>t CO2 / TJ</v>
      </c>
      <c r="I689" s="1005" t="str">
        <f>IF($I649="","",IF(INDEX(F_ProductBM!I:I,MATCH($P689,F_ProductBM!$P:$P,0))="","",INDEX(F_ProductBM!I:I,MATCH($P689,F_ProductBM!$P:$P,0))))</f>
        <v/>
      </c>
      <c r="J689" s="1005" t="str">
        <f>IF($I649="","",IF(INDEX(F_ProductBM!J:J,MATCH($P689,F_ProductBM!$P:$P,0))="","",INDEX(F_ProductBM!J:J,MATCH($P689,F_ProductBM!$P:$P,0))))</f>
        <v/>
      </c>
      <c r="K689" s="1005" t="str">
        <f>IF($I649="","",IF(INDEX(F_ProductBM!K:K,MATCH($P689,F_ProductBM!$P:$P,0))="","",INDEX(F_ProductBM!K:K,MATCH($P689,F_ProductBM!$P:$P,0))))</f>
        <v/>
      </c>
      <c r="L689" s="1005" t="str">
        <f>IF($I649="","",IF(INDEX(F_ProductBM!L:L,MATCH($P689,F_ProductBM!$P:$P,0))="","",INDEX(F_ProductBM!L:L,MATCH($P689,F_ProductBM!$P:$P,0))))</f>
        <v/>
      </c>
      <c r="M689" s="1005" t="str">
        <f>IF($I649="","",IF(INDEX(F_ProductBM!M:M,MATCH($P689,F_ProductBM!$P:$P,0))="","",INDEX(F_ProductBM!M:M,MATCH($P689,F_ProductBM!$P:$P,0))))</f>
        <v/>
      </c>
      <c r="N689" s="831"/>
      <c r="O689" s="20"/>
      <c r="P689" s="351" t="str">
        <f>EUconst_CNTR_WGFlaredEF &amp; I649</f>
        <v>WasteGasFlareEF_</v>
      </c>
      <c r="Q689" s="422"/>
      <c r="R689" s="422"/>
      <c r="S689" s="422"/>
      <c r="T689" s="8"/>
    </row>
    <row r="690" spans="1:20" s="701" customFormat="1" x14ac:dyDescent="0.2">
      <c r="A690" s="422"/>
      <c r="B690" s="398"/>
      <c r="C690" s="398"/>
      <c r="D690" s="398"/>
      <c r="E690" s="1766" t="str">
        <f>Translations!$B$796</f>
        <v>Gazy odlotowe wprowadzone</v>
      </c>
      <c r="F690" s="1767"/>
      <c r="G690" s="1767"/>
      <c r="H690" s="454" t="str">
        <f>EUconst_TJpa</f>
        <v>TJ / rok</v>
      </c>
      <c r="I690" s="1004" t="str">
        <f>IF($I649="","",IF(INDEX(F_ProductBM!I:I,MATCH($P690,F_ProductBM!$P:$P,0))="","",INDEX(F_ProductBM!I:I,MATCH($P690,F_ProductBM!$P:$P,0))))</f>
        <v/>
      </c>
      <c r="J690" s="1004" t="str">
        <f>IF($I649="","",IF(INDEX(F_ProductBM!J:J,MATCH($P690,F_ProductBM!$P:$P,0))="","",INDEX(F_ProductBM!J:J,MATCH($P690,F_ProductBM!$P:$P,0))))</f>
        <v/>
      </c>
      <c r="K690" s="1004" t="str">
        <f>IF($I649="","",IF(INDEX(F_ProductBM!K:K,MATCH($P690,F_ProductBM!$P:$P,0))="","",INDEX(F_ProductBM!K:K,MATCH($P690,F_ProductBM!$P:$P,0))))</f>
        <v/>
      </c>
      <c r="L690" s="1004" t="str">
        <f>IF($I649="","",IF(INDEX(F_ProductBM!L:L,MATCH($P690,F_ProductBM!$P:$P,0))="","",INDEX(F_ProductBM!L:L,MATCH($P690,F_ProductBM!$P:$P,0))))</f>
        <v/>
      </c>
      <c r="M690" s="1004" t="str">
        <f>IF($I649="","",IF(INDEX(F_ProductBM!M:M,MATCH($P690,F_ProductBM!$P:$P,0))="","",INDEX(F_ProductBM!M:M,MATCH($P690,F_ProductBM!$P:$P,0))))</f>
        <v/>
      </c>
      <c r="N690" s="831"/>
      <c r="O690" s="20"/>
      <c r="P690" s="351" t="str">
        <f>EUconst_CNTR_WGImport &amp; I649</f>
        <v>WasteGasIm_</v>
      </c>
      <c r="Q690" s="422"/>
      <c r="R690" s="422"/>
      <c r="S690" s="422"/>
      <c r="T690" s="8"/>
    </row>
    <row r="691" spans="1:20" s="701" customFormat="1" x14ac:dyDescent="0.2">
      <c r="A691" s="422"/>
      <c r="B691" s="398"/>
      <c r="C691" s="398"/>
      <c r="D691" s="398"/>
      <c r="E691" s="1743" t="str">
        <f>Translations!$B$797</f>
        <v>Właściwy współczynnik emisji (gazy odlotowe wprowadzone)</v>
      </c>
      <c r="F691" s="1743"/>
      <c r="G691" s="1743"/>
      <c r="H691" s="832" t="str">
        <f>EUconst_tCO2pTJ</f>
        <v>t CO2 / TJ</v>
      </c>
      <c r="I691" s="1005" t="str">
        <f>IF($I649="","",IF(INDEX(F_ProductBM!I:I,MATCH($P691,F_ProductBM!$P:$P,0))="","",INDEX(F_ProductBM!I:I,MATCH($P691,F_ProductBM!$P:$P,0))))</f>
        <v/>
      </c>
      <c r="J691" s="1005" t="str">
        <f>IF($I649="","",IF(INDEX(F_ProductBM!J:J,MATCH($P691,F_ProductBM!$P:$P,0))="","",INDEX(F_ProductBM!J:J,MATCH($P691,F_ProductBM!$P:$P,0))))</f>
        <v/>
      </c>
      <c r="K691" s="1005" t="str">
        <f>IF($I649="","",IF(INDEX(F_ProductBM!K:K,MATCH($P691,F_ProductBM!$P:$P,0))="","",INDEX(F_ProductBM!K:K,MATCH($P691,F_ProductBM!$P:$P,0))))</f>
        <v/>
      </c>
      <c r="L691" s="1005" t="str">
        <f>IF($I649="","",IF(INDEX(F_ProductBM!L:L,MATCH($P691,F_ProductBM!$P:$P,0))="","",INDEX(F_ProductBM!L:L,MATCH($P691,F_ProductBM!$P:$P,0))))</f>
        <v/>
      </c>
      <c r="M691" s="1005" t="str">
        <f>IF($I649="","",IF(INDEX(F_ProductBM!M:M,MATCH($P691,F_ProductBM!$P:$P,0))="","",INDEX(F_ProductBM!M:M,MATCH($P691,F_ProductBM!$P:$P,0))))</f>
        <v/>
      </c>
      <c r="N691" s="831"/>
      <c r="O691" s="20"/>
      <c r="P691" s="351" t="str">
        <f>EUconst_CNTR_WGImportEF &amp; I649</f>
        <v>WasteGasImEF_</v>
      </c>
      <c r="Q691" s="422"/>
      <c r="R691" s="422"/>
      <c r="S691" s="422"/>
      <c r="T691" s="8"/>
    </row>
    <row r="692" spans="1:20" s="701" customFormat="1" x14ac:dyDescent="0.2">
      <c r="A692" s="422"/>
      <c r="B692" s="398"/>
      <c r="C692" s="398"/>
      <c r="D692" s="398"/>
      <c r="E692" s="1766" t="str">
        <f>Translations!$B$801</f>
        <v>Gazy odlotowe wyprowadzone</v>
      </c>
      <c r="F692" s="1767"/>
      <c r="G692" s="1767"/>
      <c r="H692" s="454" t="str">
        <f>EUconst_TJpa</f>
        <v>TJ / rok</v>
      </c>
      <c r="I692" s="1004" t="str">
        <f>IF($I649="","",IF(INDEX(F_ProductBM!I:I,MATCH($P692,F_ProductBM!$P:$P,0))="","",INDEX(F_ProductBM!I:I,MATCH($P692,F_ProductBM!$P:$P,0))))</f>
        <v/>
      </c>
      <c r="J692" s="1004" t="str">
        <f>IF($I649="","",IF(INDEX(F_ProductBM!J:J,MATCH($P692,F_ProductBM!$P:$P,0))="","",INDEX(F_ProductBM!J:J,MATCH($P692,F_ProductBM!$P:$P,0))))</f>
        <v/>
      </c>
      <c r="K692" s="1004" t="str">
        <f>IF($I649="","",IF(INDEX(F_ProductBM!K:K,MATCH($P692,F_ProductBM!$P:$P,0))="","",INDEX(F_ProductBM!K:K,MATCH($P692,F_ProductBM!$P:$P,0))))</f>
        <v/>
      </c>
      <c r="L692" s="1004" t="str">
        <f>IF($I649="","",IF(INDEX(F_ProductBM!L:L,MATCH($P692,F_ProductBM!$P:$P,0))="","",INDEX(F_ProductBM!L:L,MATCH($P692,F_ProductBM!$P:$P,0))))</f>
        <v/>
      </c>
      <c r="M692" s="1004" t="str">
        <f>IF($I649="","",IF(INDEX(F_ProductBM!M:M,MATCH($P692,F_ProductBM!$P:$P,0))="","",INDEX(F_ProductBM!M:M,MATCH($P692,F_ProductBM!$P:$P,0))))</f>
        <v/>
      </c>
      <c r="N692" s="831"/>
      <c r="O692" s="20"/>
      <c r="P692" s="351" t="str">
        <f>EUconst_CNTR_WGExport &amp; I649</f>
        <v>WasteGasEx_</v>
      </c>
      <c r="Q692" s="422"/>
      <c r="R692" s="422"/>
      <c r="S692" s="422"/>
      <c r="T692" s="8"/>
    </row>
    <row r="693" spans="1:20" s="701" customFormat="1" x14ac:dyDescent="0.2">
      <c r="A693" s="422"/>
      <c r="B693" s="398"/>
      <c r="C693" s="398"/>
      <c r="D693" s="398"/>
      <c r="E693" s="1743" t="str">
        <f>Translations!$B$802</f>
        <v>Właściwy współczynnik emisji (gazy odlotowe wyprowadzone)</v>
      </c>
      <c r="F693" s="1743"/>
      <c r="G693" s="1743"/>
      <c r="H693" s="832" t="str">
        <f>EUconst_tCO2pTJ</f>
        <v>t CO2 / TJ</v>
      </c>
      <c r="I693" s="1005" t="str">
        <f>IF($I649="","",IF(INDEX(F_ProductBM!I:I,MATCH($P693,F_ProductBM!$P:$P,0))="","",INDEX(F_ProductBM!I:I,MATCH($P693,F_ProductBM!$P:$P,0))))</f>
        <v/>
      </c>
      <c r="J693" s="1005" t="str">
        <f>IF($I649="","",IF(INDEX(F_ProductBM!J:J,MATCH($P693,F_ProductBM!$P:$P,0))="","",INDEX(F_ProductBM!J:J,MATCH($P693,F_ProductBM!$P:$P,0))))</f>
        <v/>
      </c>
      <c r="K693" s="1005" t="str">
        <f>IF($I649="","",IF(INDEX(F_ProductBM!K:K,MATCH($P693,F_ProductBM!$P:$P,0))="","",INDEX(F_ProductBM!K:K,MATCH($P693,F_ProductBM!$P:$P,0))))</f>
        <v/>
      </c>
      <c r="L693" s="1005" t="str">
        <f>IF($I649="","",IF(INDEX(F_ProductBM!L:L,MATCH($P693,F_ProductBM!$P:$P,0))="","",INDEX(F_ProductBM!L:L,MATCH($P693,F_ProductBM!$P:$P,0))))</f>
        <v/>
      </c>
      <c r="M693" s="1005" t="str">
        <f>IF($I649="","",IF(INDEX(F_ProductBM!M:M,MATCH($P693,F_ProductBM!$P:$P,0))="","",INDEX(F_ProductBM!M:M,MATCH($P693,F_ProductBM!$P:$P,0))))</f>
        <v/>
      </c>
      <c r="N693" s="831"/>
      <c r="O693" s="20"/>
      <c r="P693" s="351" t="str">
        <f>EUconst_CNTR_WGExportEF &amp; I649</f>
        <v>WasteGasExEF_</v>
      </c>
      <c r="Q693" s="422"/>
      <c r="R693" s="422"/>
      <c r="S693" s="422"/>
      <c r="T693" s="8"/>
    </row>
    <row r="694" spans="1:20" s="701" customFormat="1" x14ac:dyDescent="0.2">
      <c r="A694" s="422"/>
      <c r="B694" s="398"/>
      <c r="C694" s="398"/>
      <c r="D694" s="398"/>
      <c r="E694" s="516"/>
      <c r="F694" s="516"/>
      <c r="G694" s="516"/>
      <c r="H694" s="516"/>
      <c r="I694" s="1006"/>
      <c r="J694" s="1006"/>
      <c r="K694" s="1006"/>
      <c r="L694" s="1006"/>
      <c r="M694" s="1006"/>
      <c r="N694" s="831"/>
      <c r="O694" s="20"/>
      <c r="P694" s="182"/>
      <c r="Q694" s="422"/>
      <c r="R694" s="422"/>
      <c r="S694" s="422"/>
      <c r="T694" s="8"/>
    </row>
    <row r="695" spans="1:20" s="701" customFormat="1" x14ac:dyDescent="0.2">
      <c r="A695" s="422"/>
      <c r="B695" s="398"/>
      <c r="C695" s="398"/>
      <c r="D695" s="398"/>
      <c r="E695" s="1739" t="str">
        <f>Translations!$B$689</f>
        <v>Odpowiednie zużycie energii elektrycznej</v>
      </c>
      <c r="F695" s="1740"/>
      <c r="G695" s="1740"/>
      <c r="H695" s="453" t="str">
        <f>EUconst_MWhpa</f>
        <v>MWh / rok</v>
      </c>
      <c r="I695" s="1007" t="str">
        <f>IF($I649="","",IF(INDEX(F_ProductBM!I:I,MATCH($P695,F_ProductBM!$Q:$Q,0))="","",INDEX(F_ProductBM!I:I,MATCH($P695,F_ProductBM!$Q:$Q,0))))</f>
        <v/>
      </c>
      <c r="J695" s="1007" t="str">
        <f>IF($I649="","",IF(INDEX(F_ProductBM!J:J,MATCH($P695,F_ProductBM!$Q:$Q,0))="","",INDEX(F_ProductBM!J:J,MATCH($P695,F_ProductBM!$Q:$Q,0))))</f>
        <v/>
      </c>
      <c r="K695" s="1007" t="str">
        <f>IF($I649="","",IF(INDEX(F_ProductBM!K:K,MATCH($P695,F_ProductBM!$Q:$Q,0))="","",INDEX(F_ProductBM!K:K,MATCH($P695,F_ProductBM!$Q:$Q,0))))</f>
        <v/>
      </c>
      <c r="L695" s="1007" t="str">
        <f>IF($I649="","",IF(INDEX(F_ProductBM!L:L,MATCH($P695,F_ProductBM!$Q:$Q,0))="","",INDEX(F_ProductBM!L:L,MATCH($P695,F_ProductBM!$Q:$Q,0))))</f>
        <v/>
      </c>
      <c r="M695" s="1007" t="str">
        <f>IF($I649="","",IF(INDEX(F_ProductBM!M:M,MATCH($P695,F_ProductBM!$Q:$Q,0))="","",INDEX(F_ProductBM!M:M,MATCH($P695,F_ProductBM!$Q:$Q,0))))</f>
        <v/>
      </c>
      <c r="N695" s="831"/>
      <c r="O695" s="20"/>
      <c r="P695" s="185" t="str">
        <f>EUconst_CNTR_HAL&amp;EUconst_CNTR_ELEXCH &amp; I649</f>
        <v>HAL_ELEXCH_</v>
      </c>
      <c r="Q695" s="422"/>
      <c r="R695" s="422"/>
      <c r="S695" s="422"/>
      <c r="T695" s="8"/>
    </row>
    <row r="696" spans="1:20" s="701" customFormat="1" x14ac:dyDescent="0.2">
      <c r="A696" s="422"/>
      <c r="B696" s="398"/>
      <c r="C696" s="398"/>
      <c r="D696" s="398"/>
      <c r="E696" s="1739" t="str">
        <f>Translations!$B$805</f>
        <v>Energia elektryczna wytworzona</v>
      </c>
      <c r="F696" s="1740"/>
      <c r="G696" s="1740"/>
      <c r="H696" s="453" t="str">
        <f>EUconst_MWhpa</f>
        <v>MWh / rok</v>
      </c>
      <c r="I696" s="1007" t="str">
        <f>IF($I649="","",IF(INDEX(F_ProductBM!I:I,MATCH($P696,F_ProductBM!$P:$P,0))="","",INDEX(F_ProductBM!I:I,MATCH($P696,F_ProductBM!$P:$P,0))))</f>
        <v/>
      </c>
      <c r="J696" s="1007" t="str">
        <f>IF($I649="","",IF(INDEX(F_ProductBM!J:J,MATCH($P696,F_ProductBM!$P:$P,0))="","",INDEX(F_ProductBM!J:J,MATCH($P696,F_ProductBM!$P:$P,0))))</f>
        <v/>
      </c>
      <c r="K696" s="1007" t="str">
        <f>IF($I649="","",IF(INDEX(F_ProductBM!K:K,MATCH($P696,F_ProductBM!$P:$P,0))="","",INDEX(F_ProductBM!K:K,MATCH($P696,F_ProductBM!$P:$P,0))))</f>
        <v/>
      </c>
      <c r="L696" s="1007" t="str">
        <f>IF($I649="","",IF(INDEX(F_ProductBM!L:L,MATCH($P696,F_ProductBM!$P:$P,0))="","",INDEX(F_ProductBM!L:L,MATCH($P696,F_ProductBM!$P:$P,0))))</f>
        <v/>
      </c>
      <c r="M696" s="1007" t="str">
        <f>IF($I649="","",IF(INDEX(F_ProductBM!M:M,MATCH($P696,F_ProductBM!$P:$P,0))="","",INDEX(F_ProductBM!M:M,MATCH($P696,F_ProductBM!$P:$P,0))))</f>
        <v/>
      </c>
      <c r="N696" s="831"/>
      <c r="O696" s="20"/>
      <c r="P696" s="351" t="str">
        <f>EUconst_CNTR_ElectricityExported &amp; I649</f>
        <v>ElecEx_</v>
      </c>
      <c r="Q696" s="422"/>
      <c r="R696" s="422"/>
      <c r="S696" s="422"/>
      <c r="T696" s="8"/>
    </row>
    <row r="697" spans="1:20" s="701" customFormat="1" x14ac:dyDescent="0.2">
      <c r="A697" s="422"/>
      <c r="B697" s="398"/>
      <c r="C697" s="398"/>
      <c r="D697" s="398"/>
      <c r="E697" s="516"/>
      <c r="F697" s="516"/>
      <c r="G697" s="516"/>
      <c r="H697" s="516"/>
      <c r="I697" s="1006"/>
      <c r="J697" s="1006"/>
      <c r="K697" s="1006"/>
      <c r="L697" s="1006"/>
      <c r="M697" s="1006"/>
      <c r="N697" s="831"/>
      <c r="O697" s="20"/>
      <c r="P697" s="182"/>
      <c r="Q697" s="422"/>
      <c r="R697" s="422"/>
      <c r="S697" s="422"/>
      <c r="T697" s="8"/>
    </row>
    <row r="698" spans="1:20" s="701" customFormat="1" x14ac:dyDescent="0.2">
      <c r="A698" s="422"/>
      <c r="B698" s="398"/>
      <c r="C698" s="398"/>
      <c r="D698" s="398"/>
      <c r="E698" s="1739" t="str">
        <f>Translations!$B$806</f>
        <v>Całkowita ilość wyprodukowanej masy celulozowej</v>
      </c>
      <c r="F698" s="1740"/>
      <c r="G698" s="1740"/>
      <c r="H698" s="453" t="str">
        <f>EUconst_Tons</f>
        <v>tony</v>
      </c>
      <c r="I698" s="1007" t="str">
        <f>IF($I649="","",IF(INDEX(F_ProductBM!I:I,MATCH($P698,F_ProductBM!$P:$P,0))="","",INDEX(F_ProductBM!I:I,MATCH($P698,F_ProductBM!$P:$P,0))))</f>
        <v/>
      </c>
      <c r="J698" s="1007" t="str">
        <f>IF($I649="","",IF(INDEX(F_ProductBM!J:J,MATCH($P698,F_ProductBM!$P:$P,0))="","",INDEX(F_ProductBM!J:J,MATCH($P698,F_ProductBM!$P:$P,0))))</f>
        <v/>
      </c>
      <c r="K698" s="1007" t="str">
        <f>IF($I649="","",IF(INDEX(F_ProductBM!K:K,MATCH($P698,F_ProductBM!$P:$P,0))="","",INDEX(F_ProductBM!K:K,MATCH($P698,F_ProductBM!$P:$P,0))))</f>
        <v/>
      </c>
      <c r="L698" s="1007" t="str">
        <f>IF($I649="","",IF(INDEX(F_ProductBM!L:L,MATCH($P698,F_ProductBM!$P:$P,0))="","",INDEX(F_ProductBM!L:L,MATCH($P698,F_ProductBM!$P:$P,0))))</f>
        <v/>
      </c>
      <c r="M698" s="1007" t="str">
        <f>IF($I649="","",IF(INDEX(F_ProductBM!M:M,MATCH($P698,F_ProductBM!$P:$P,0))="","",INDEX(F_ProductBM!M:M,MATCH($P698,F_ProductBM!$P:$P,0))))</f>
        <v/>
      </c>
      <c r="N698" s="831"/>
      <c r="O698" s="20"/>
      <c r="P698" s="351" t="str">
        <f>EUconst_CNTR_HALPulpTotal &amp; I649</f>
        <v>HALPulpTotal_</v>
      </c>
      <c r="Q698" s="422"/>
      <c r="R698" s="422"/>
      <c r="S698" s="422"/>
      <c r="T698" s="8"/>
    </row>
    <row r="699" spans="1:20" s="701" customFormat="1" x14ac:dyDescent="0.2">
      <c r="A699" s="422"/>
      <c r="B699" s="398"/>
      <c r="C699" s="398"/>
      <c r="D699" s="398"/>
      <c r="E699" s="516"/>
      <c r="F699" s="516"/>
      <c r="G699" s="516"/>
      <c r="H699" s="516"/>
      <c r="I699" s="1006"/>
      <c r="J699" s="1006"/>
      <c r="K699" s="1006"/>
      <c r="L699" s="1006"/>
      <c r="M699" s="1006"/>
      <c r="N699" s="831"/>
      <c r="O699" s="20"/>
      <c r="P699" s="182"/>
      <c r="Q699" s="422"/>
      <c r="R699" s="422"/>
      <c r="S699" s="422"/>
      <c r="T699" s="8"/>
    </row>
    <row r="700" spans="1:20" s="701" customFormat="1" x14ac:dyDescent="0.2">
      <c r="A700" s="422"/>
      <c r="B700" s="398"/>
      <c r="C700" s="398"/>
      <c r="D700" s="398"/>
      <c r="E700" s="1268" t="str">
        <f>Translations!$B$1239</f>
        <v>Wprowadzanie pośrednie:</v>
      </c>
      <c r="F700" s="516"/>
      <c r="G700" s="516"/>
      <c r="H700" s="516"/>
      <c r="I700" s="1006"/>
      <c r="J700" s="1006"/>
      <c r="K700" s="1006"/>
      <c r="L700" s="1006"/>
      <c r="M700" s="1006"/>
      <c r="N700" s="831"/>
      <c r="O700" s="20"/>
      <c r="P700" s="182"/>
      <c r="Q700" s="422"/>
      <c r="R700" s="422"/>
      <c r="S700" s="422"/>
      <c r="T700" s="8"/>
    </row>
    <row r="701" spans="1:20" s="701" customFormat="1" x14ac:dyDescent="0.2">
      <c r="A701" s="422"/>
      <c r="B701" s="398"/>
      <c r="C701" s="398"/>
      <c r="D701" s="398"/>
      <c r="E701" s="1762" t="str">
        <f>IF($I649="","",IF(INDEX(F_ProductBM!E:E,MATCH($P701,F_ProductBM!$P:$P,0))="","",INDEX(F_ProductBM!E:E,MATCH($P701,F_ProductBM!$P:$P,0))))</f>
        <v/>
      </c>
      <c r="F701" s="1762"/>
      <c r="G701" s="1762"/>
      <c r="H701" s="453" t="str">
        <f>EUconst_Tons</f>
        <v>tony</v>
      </c>
      <c r="I701" s="1007" t="str">
        <f>IF($I649="","",IF(INDEX(F_ProductBM!I:I,MATCH($P701,F_ProductBM!$P:$P,0))="","",INDEX(F_ProductBM!I:I,MATCH($P701,F_ProductBM!$P:$P,0))))</f>
        <v/>
      </c>
      <c r="J701" s="1007" t="str">
        <f>IF($I649="","",IF(INDEX(F_ProductBM!J:J,MATCH($P701,F_ProductBM!$P:$P,0))="","",INDEX(F_ProductBM!J:J,MATCH($P701,F_ProductBM!$P:$P,0))))</f>
        <v/>
      </c>
      <c r="K701" s="1007" t="str">
        <f>IF($I649="","",IF(INDEX(F_ProductBM!K:K,MATCH($P701,F_ProductBM!$P:$P,0))="","",INDEX(F_ProductBM!K:K,MATCH($P701,F_ProductBM!$P:$P,0))))</f>
        <v/>
      </c>
      <c r="L701" s="1007" t="str">
        <f>IF($I649="","",IF(INDEX(F_ProductBM!L:L,MATCH($P701,F_ProductBM!$P:$P,0))="","",INDEX(F_ProductBM!L:L,MATCH($P701,F_ProductBM!$P:$P,0))))</f>
        <v/>
      </c>
      <c r="M701" s="1007" t="str">
        <f>IF($I649="","",IF(INDEX(F_ProductBM!M:M,MATCH($P701,F_ProductBM!$P:$P,0))="","",INDEX(F_ProductBM!M:M,MATCH($P701,F_ProductBM!$P:$P,0))))</f>
        <v/>
      </c>
      <c r="N701" s="831"/>
      <c r="O701" s="20"/>
      <c r="P701" s="351" t="str">
        <f>EUconst_CNTR_IntermediateImport &amp; R701 &amp; "_" &amp; I649</f>
        <v>IntImp_1_</v>
      </c>
      <c r="Q701" s="422"/>
      <c r="R701" s="879">
        <v>1</v>
      </c>
      <c r="S701" s="422"/>
      <c r="T701" s="8"/>
    </row>
    <row r="702" spans="1:20" s="701" customFormat="1" x14ac:dyDescent="0.2">
      <c r="A702" s="422"/>
      <c r="B702" s="398"/>
      <c r="C702" s="398"/>
      <c r="D702" s="398"/>
      <c r="E702" s="1762" t="str">
        <f>IF($I649="","",IF(INDEX(F_ProductBM!E:E,MATCH($P702,F_ProductBM!$P:$P,0))="","",INDEX(F_ProductBM!E:E,MATCH($P702,F_ProductBM!$P:$P,0))))</f>
        <v/>
      </c>
      <c r="F702" s="1762"/>
      <c r="G702" s="1762"/>
      <c r="H702" s="453" t="str">
        <f>EUconst_Tons</f>
        <v>tony</v>
      </c>
      <c r="I702" s="1007" t="str">
        <f>IF($I649="","",IF(INDEX(F_ProductBM!I:I,MATCH($P702,F_ProductBM!$P:$P,0))="","",INDEX(F_ProductBM!I:I,MATCH($P702,F_ProductBM!$P:$P,0))))</f>
        <v/>
      </c>
      <c r="J702" s="1007" t="str">
        <f>IF($I649="","",IF(INDEX(F_ProductBM!J:J,MATCH($P702,F_ProductBM!$P:$P,0))="","",INDEX(F_ProductBM!J:J,MATCH($P702,F_ProductBM!$P:$P,0))))</f>
        <v/>
      </c>
      <c r="K702" s="1007" t="str">
        <f>IF($I649="","",IF(INDEX(F_ProductBM!K:K,MATCH($P702,F_ProductBM!$P:$P,0))="","",INDEX(F_ProductBM!K:K,MATCH($P702,F_ProductBM!$P:$P,0))))</f>
        <v/>
      </c>
      <c r="L702" s="1007" t="str">
        <f>IF($I649="","",IF(INDEX(F_ProductBM!L:L,MATCH($P702,F_ProductBM!$P:$P,0))="","",INDEX(F_ProductBM!L:L,MATCH($P702,F_ProductBM!$P:$P,0))))</f>
        <v/>
      </c>
      <c r="M702" s="1007" t="str">
        <f>IF($I649="","",IF(INDEX(F_ProductBM!M:M,MATCH($P702,F_ProductBM!$P:$P,0))="","",INDEX(F_ProductBM!M:M,MATCH($P702,F_ProductBM!$P:$P,0))))</f>
        <v/>
      </c>
      <c r="N702" s="831"/>
      <c r="O702" s="20"/>
      <c r="P702" s="351" t="str">
        <f>EUconst_CNTR_IntermediateImport &amp; R702 &amp; "_" &amp; I649</f>
        <v>IntImp_2_</v>
      </c>
      <c r="Q702" s="422"/>
      <c r="R702" s="879">
        <v>2</v>
      </c>
      <c r="S702" s="422"/>
      <c r="T702" s="8"/>
    </row>
    <row r="703" spans="1:20" s="701" customFormat="1" x14ac:dyDescent="0.2">
      <c r="A703" s="422"/>
      <c r="B703" s="398"/>
      <c r="C703" s="398"/>
      <c r="D703" s="398"/>
      <c r="E703" s="1268" t="str">
        <f>Translations!$B$1240</f>
        <v>Wyprowadzanie pośrednie:</v>
      </c>
      <c r="F703" s="516"/>
      <c r="G703" s="516"/>
      <c r="H703" s="516"/>
      <c r="I703" s="1006"/>
      <c r="J703" s="1006"/>
      <c r="K703" s="1006"/>
      <c r="L703" s="1006"/>
      <c r="M703" s="1006"/>
      <c r="N703" s="831"/>
      <c r="O703" s="20"/>
      <c r="P703" s="182"/>
      <c r="Q703" s="422"/>
      <c r="R703" s="422"/>
      <c r="S703" s="422"/>
      <c r="T703" s="8"/>
    </row>
    <row r="704" spans="1:20" s="701" customFormat="1" x14ac:dyDescent="0.2">
      <c r="A704" s="422"/>
      <c r="B704" s="398"/>
      <c r="C704" s="398"/>
      <c r="D704" s="398"/>
      <c r="E704" s="1762" t="str">
        <f>IF($I649="","",IF(INDEX(F_ProductBM!E:E,MATCH($P704,F_ProductBM!$P:$P,0))="","",INDEX(F_ProductBM!E:E,MATCH($P704,F_ProductBM!$P:$P,0))))</f>
        <v/>
      </c>
      <c r="F704" s="1762"/>
      <c r="G704" s="1762"/>
      <c r="H704" s="453" t="str">
        <f>EUconst_Tons</f>
        <v>tony</v>
      </c>
      <c r="I704" s="1007" t="str">
        <f>IF($I649="","",IF(INDEX(F_ProductBM!I:I,MATCH($P704,F_ProductBM!$P:$P,0))="","",INDEX(F_ProductBM!I:I,MATCH($P704,F_ProductBM!$P:$P,0))))</f>
        <v/>
      </c>
      <c r="J704" s="1007" t="str">
        <f>IF($I649="","",IF(INDEX(F_ProductBM!J:J,MATCH($P704,F_ProductBM!$P:$P,0))="","",INDEX(F_ProductBM!J:J,MATCH($P704,F_ProductBM!$P:$P,0))))</f>
        <v/>
      </c>
      <c r="K704" s="1007" t="str">
        <f>IF($I649="","",IF(INDEX(F_ProductBM!K:K,MATCH($P704,F_ProductBM!$P:$P,0))="","",INDEX(F_ProductBM!K:K,MATCH($P704,F_ProductBM!$P:$P,0))))</f>
        <v/>
      </c>
      <c r="L704" s="1007" t="str">
        <f>IF($I649="","",IF(INDEX(F_ProductBM!L:L,MATCH($P704,F_ProductBM!$P:$P,0))="","",INDEX(F_ProductBM!L:L,MATCH($P704,F_ProductBM!$P:$P,0))))</f>
        <v/>
      </c>
      <c r="M704" s="1007" t="str">
        <f>IF($I649="","",IF(INDEX(F_ProductBM!M:M,MATCH($P704,F_ProductBM!$P:$P,0))="","",INDEX(F_ProductBM!M:M,MATCH($P704,F_ProductBM!$P:$P,0))))</f>
        <v/>
      </c>
      <c r="N704" s="831"/>
      <c r="O704" s="20"/>
      <c r="P704" s="351" t="str">
        <f>EUconst_CNTR_IntermediateExport &amp; R701 &amp; "_" &amp; I649</f>
        <v>IntExp_1_</v>
      </c>
      <c r="Q704" s="422"/>
      <c r="R704" s="879">
        <v>1</v>
      </c>
      <c r="S704" s="422"/>
      <c r="T704" s="8"/>
    </row>
    <row r="705" spans="1:20" s="701" customFormat="1" x14ac:dyDescent="0.2">
      <c r="A705" s="422"/>
      <c r="B705" s="398"/>
      <c r="C705" s="398"/>
      <c r="D705" s="398"/>
      <c r="E705" s="1762" t="str">
        <f>IF($I649="","",IF(INDEX(F_ProductBM!E:E,MATCH($P705,F_ProductBM!$P:$P,0))="","",INDEX(F_ProductBM!E:E,MATCH($P705,F_ProductBM!$P:$P,0))))</f>
        <v/>
      </c>
      <c r="F705" s="1762"/>
      <c r="G705" s="1762"/>
      <c r="H705" s="453" t="str">
        <f>EUconst_Tons</f>
        <v>tony</v>
      </c>
      <c r="I705" s="1007" t="str">
        <f>IF($I649="","",IF(INDEX(F_ProductBM!I:I,MATCH($P705,F_ProductBM!$P:$P,0))="","",INDEX(F_ProductBM!I:I,MATCH($P705,F_ProductBM!$P:$P,0))))</f>
        <v/>
      </c>
      <c r="J705" s="1007" t="str">
        <f>IF($I649="","",IF(INDEX(F_ProductBM!J:J,MATCH($P705,F_ProductBM!$P:$P,0))="","",INDEX(F_ProductBM!J:J,MATCH($P705,F_ProductBM!$P:$P,0))))</f>
        <v/>
      </c>
      <c r="K705" s="1007" t="str">
        <f>IF($I649="","",IF(INDEX(F_ProductBM!K:K,MATCH($P705,F_ProductBM!$P:$P,0))="","",INDEX(F_ProductBM!K:K,MATCH($P705,F_ProductBM!$P:$P,0))))</f>
        <v/>
      </c>
      <c r="L705" s="1007" t="str">
        <f>IF($I649="","",IF(INDEX(F_ProductBM!L:L,MATCH($P705,F_ProductBM!$P:$P,0))="","",INDEX(F_ProductBM!L:L,MATCH($P705,F_ProductBM!$P:$P,0))))</f>
        <v/>
      </c>
      <c r="M705" s="1007" t="str">
        <f>IF($I649="","",IF(INDEX(F_ProductBM!M:M,MATCH($P705,F_ProductBM!$P:$P,0))="","",INDEX(F_ProductBM!M:M,MATCH($P705,F_ProductBM!$P:$P,0))))</f>
        <v/>
      </c>
      <c r="N705" s="831"/>
      <c r="O705" s="20"/>
      <c r="P705" s="351" t="str">
        <f>EUconst_CNTR_IntermediateExport &amp; R705 &amp; "_" &amp; I649</f>
        <v>IntExp_2_</v>
      </c>
      <c r="Q705" s="422"/>
      <c r="R705" s="879">
        <v>2</v>
      </c>
      <c r="S705" s="422"/>
      <c r="T705" s="8"/>
    </row>
    <row r="706" spans="1:20" s="701" customFormat="1" x14ac:dyDescent="0.2">
      <c r="A706" s="422"/>
      <c r="B706" s="398"/>
      <c r="C706" s="398"/>
      <c r="D706" s="398"/>
      <c r="E706" s="516"/>
      <c r="F706" s="516"/>
      <c r="G706" s="516"/>
      <c r="H706" s="516"/>
      <c r="I706" s="831"/>
      <c r="J706" s="831"/>
      <c r="K706" s="831"/>
      <c r="L706" s="831"/>
      <c r="M706" s="831"/>
      <c r="N706" s="831"/>
      <c r="O706" s="20"/>
      <c r="P706" s="182"/>
      <c r="Q706" s="422"/>
      <c r="R706" s="422"/>
      <c r="S706" s="422"/>
      <c r="T706" s="8"/>
    </row>
    <row r="707" spans="1:20" s="701" customFormat="1" ht="13.5" thickBot="1" x14ac:dyDescent="0.25">
      <c r="A707" s="422"/>
      <c r="B707" s="398"/>
      <c r="C707" s="398"/>
      <c r="D707" s="398"/>
      <c r="E707" s="1017"/>
      <c r="O707" s="20"/>
      <c r="P707" s="422"/>
      <c r="Q707" s="422"/>
      <c r="R707" s="422"/>
      <c r="S707" s="422"/>
      <c r="T707" s="8"/>
    </row>
    <row r="708" spans="1:20" s="701" customFormat="1" ht="13.5" thickBot="1" x14ac:dyDescent="0.25">
      <c r="A708" s="422"/>
      <c r="B708" s="3"/>
      <c r="C708" s="281"/>
      <c r="D708" s="281"/>
      <c r="E708" s="281"/>
      <c r="F708" s="281"/>
      <c r="G708" s="281"/>
      <c r="H708" s="281"/>
      <c r="I708" s="281"/>
      <c r="J708" s="281"/>
      <c r="K708" s="281"/>
      <c r="L708" s="281"/>
      <c r="M708" s="281"/>
      <c r="N708" s="281"/>
      <c r="O708" s="20"/>
      <c r="P708" s="422"/>
      <c r="Q708" s="422"/>
      <c r="R708" s="422"/>
      <c r="S708" s="422"/>
      <c r="T708" s="8" t="s">
        <v>583</v>
      </c>
    </row>
    <row r="709" spans="1:20" s="701" customFormat="1" ht="15.75" thickBot="1" x14ac:dyDescent="0.3">
      <c r="A709" s="422"/>
      <c r="B709" s="398"/>
      <c r="C709" s="18">
        <f>C649+1</f>
        <v>5</v>
      </c>
      <c r="D709" s="1439" t="str">
        <f>CONCATENATE(EUconst_BMSubinst," ",C709, ":")</f>
        <v>Podinstalacja i wskaźnik emisyjności dla produktów 5:</v>
      </c>
      <c r="E709" s="1439"/>
      <c r="F709" s="1439"/>
      <c r="G709" s="1439"/>
      <c r="H709" s="2024"/>
      <c r="I709" s="1781" t="str">
        <f>IF(INDEX(CNTR_SubInstListIsProdBM,$C709),INDEX(CNTR_SubInstListNames,$C709),"")</f>
        <v/>
      </c>
      <c r="J709" s="2025"/>
      <c r="K709" s="2025"/>
      <c r="L709" s="2025"/>
      <c r="M709" s="2025"/>
      <c r="N709" s="2026"/>
      <c r="O709" s="20"/>
      <c r="P709" s="422"/>
      <c r="Q709" s="986">
        <f>C709</f>
        <v>5</v>
      </c>
      <c r="R709" s="983" t="str">
        <f>I709</f>
        <v/>
      </c>
      <c r="S709" s="985" t="str">
        <f>H712</f>
        <v>Nie dotyczy</v>
      </c>
      <c r="T709" s="984" t="str">
        <f>IF(M721="","",IF(S712=0,0,SUM(M721)/S712))</f>
        <v/>
      </c>
    </row>
    <row r="710" spans="1:20" s="701" customFormat="1" ht="13.5" thickBot="1" x14ac:dyDescent="0.25">
      <c r="A710" s="422"/>
      <c r="B710" s="398"/>
      <c r="C710" s="398"/>
      <c r="D710" s="398"/>
      <c r="E710" s="398"/>
      <c r="F710" s="398"/>
      <c r="G710" s="398"/>
      <c r="H710" s="398"/>
      <c r="I710" s="398"/>
      <c r="J710" s="398"/>
      <c r="K710" s="398"/>
      <c r="L710" s="398"/>
      <c r="M710" s="398"/>
      <c r="N710" s="398"/>
      <c r="O710" s="20"/>
      <c r="P710" s="422"/>
      <c r="Q710" s="422"/>
      <c r="R710" s="422"/>
      <c r="S710" s="422"/>
      <c r="T710" s="8"/>
    </row>
    <row r="711" spans="1:20" s="1299" customFormat="1" ht="51" x14ac:dyDescent="0.2">
      <c r="A711" s="970"/>
      <c r="B711" s="1300"/>
      <c r="C711" s="1300"/>
      <c r="D711" s="1300"/>
      <c r="E711" s="1300"/>
      <c r="F711" s="1300"/>
      <c r="G711" s="1300"/>
      <c r="H711" s="1304" t="str">
        <f>Translations!$B$1204</f>
        <v>narażenie na ryzyko ucieczki emisji</v>
      </c>
      <c r="I711" s="1305" t="s">
        <v>516</v>
      </c>
      <c r="J711" s="1305" t="str">
        <f>Translations!$B$1208</f>
        <v>Rozpoczęcie</v>
      </c>
      <c r="K711" s="1305" t="str">
        <f>Translations!$B$1206</f>
        <v>Nr wskaźnika</v>
      </c>
      <c r="L711" s="1306" t="str">
        <f>Translations!$B$1212</f>
        <v>Art. 15 ust. 7 akapit trzeci?</v>
      </c>
      <c r="M711" s="1307" t="str">
        <f>Translations!$B$1234</f>
        <v>Wart. wskaźnika (min./maks./faktyczna)</v>
      </c>
      <c r="N711" s="1308"/>
      <c r="O711" s="121"/>
      <c r="P711" s="970"/>
      <c r="Q711" s="970"/>
      <c r="R711" s="970"/>
      <c r="S711" s="970"/>
      <c r="T711" s="972"/>
    </row>
    <row r="712" spans="1:20" s="701" customFormat="1" x14ac:dyDescent="0.2">
      <c r="A712" s="422"/>
      <c r="B712" s="398"/>
      <c r="C712" s="398"/>
      <c r="D712" s="398"/>
      <c r="E712" s="652" t="str">
        <f>I709</f>
        <v/>
      </c>
      <c r="F712" s="653"/>
      <c r="G712" s="590"/>
      <c r="H712" s="654" t="str">
        <f>IF(K712=EUconst_NA,EUconst_NA,INDEX(EUconst_BMlistCLstatus,K712))</f>
        <v>Nie dotyczy</v>
      </c>
      <c r="I712" s="655" t="str">
        <f>IF(E712="","",INDEX(EUconst_BMlistElExchangability,K712))</f>
        <v/>
      </c>
      <c r="J712" s="857" t="str">
        <f>IF($I709="",EUconst_NA,INDEX(CNTR_SubInstStartDate,MATCH(E712,CNTR_SubInstListNames,0)))</f>
        <v>Nie dotyczy</v>
      </c>
      <c r="K712" s="536" t="str">
        <f>IF($I709="",EUconst_NA,MATCH(E712,EUconst_BMlistNames,0))</f>
        <v>Nie dotyczy</v>
      </c>
      <c r="L712" s="1071" t="str">
        <f>IF(E712="","",INDEX(CNTR_SubInstLess1Year,MATCH(E712,CNTR_SubInstListNames,0)))</f>
        <v/>
      </c>
      <c r="M712" s="1073" t="str">
        <f>IF(I709="",EUconst_NA,INDEX(EUconst_BMlistBMvaluesMatrix,K712,2))</f>
        <v>Nie dotyczy</v>
      </c>
      <c r="N712" s="1074" t="str">
        <f>EUconst_EUA &amp; "/" &amp; H717</f>
        <v>Uprawnienia do emisji ogólnych/tony</v>
      </c>
      <c r="O712" s="20"/>
      <c r="P712" s="422"/>
      <c r="Q712" s="422"/>
      <c r="R712" s="736" t="s">
        <v>577</v>
      </c>
      <c r="S712" s="822" t="str">
        <f>IF(H712=EUconst_NA,"",IF(H712,1,INDEX(EUconst_CLEFYears,1)))</f>
        <v/>
      </c>
      <c r="T712" s="8"/>
    </row>
    <row r="713" spans="1:20" s="1299" customFormat="1" ht="51" x14ac:dyDescent="0.2">
      <c r="A713" s="970"/>
      <c r="B713" s="1300"/>
      <c r="C713" s="1300"/>
      <c r="D713" s="1300"/>
      <c r="G713" s="1305" t="str">
        <f>Translations!$B$1218</f>
        <v>ciepło nieobjęte systemem EU ETS</v>
      </c>
      <c r="H713" s="1306" t="str">
        <f>Translations!$B$1220</f>
        <v>WGflare</v>
      </c>
      <c r="I713" s="1305" t="s">
        <v>572</v>
      </c>
      <c r="J713" s="1305" t="s">
        <v>573</v>
      </c>
      <c r="K713" s="1305" t="s">
        <v>574</v>
      </c>
      <c r="L713" s="1306" t="str">
        <f>Translations!$B$1214</f>
        <v>Art. 15 ust. 7 akapit trzeci – HPD</v>
      </c>
      <c r="M713" s="1309" t="str">
        <f>IF(I709="",EUconst_NA,INDEX(EUconst_BMlistBMvaluesMatrix,K712,1))</f>
        <v>Nie dotyczy</v>
      </c>
      <c r="N713" s="1303" t="str">
        <f>EUconst_EUA &amp; "/" &amp; H717</f>
        <v>Uprawnienia do emisji ogólnych/tony</v>
      </c>
      <c r="O713" s="121"/>
      <c r="P713" s="970"/>
      <c r="Q713" s="970"/>
      <c r="R713" s="1310"/>
      <c r="S713" s="1311"/>
      <c r="T713" s="972"/>
    </row>
    <row r="714" spans="1:20" s="701" customFormat="1" ht="13.5" thickBot="1" x14ac:dyDescent="0.25">
      <c r="A714" s="422"/>
      <c r="B714" s="398"/>
      <c r="C714" s="398"/>
      <c r="D714" s="398"/>
      <c r="E714" s="877" t="str">
        <f>Translations!$B$1235</f>
        <v>Czynniki szczególne:</v>
      </c>
      <c r="F714" s="878"/>
      <c r="G714" s="536" t="str">
        <f>IF($I709="","",SUMIF(F_ProductBM!$P:$P,EUconst_CNTR_HEAT&amp;$I709,F_ProductBM!$Q:$Q))</f>
        <v/>
      </c>
      <c r="H714" s="855" t="str">
        <f>IF(OR($I709="",CNTR_BaselinePeriod&lt;&gt;2),"",SUMIF(F_ProductBM!$P:$P,EUconst_CNTR_WGFlaredEF &amp; I709,F_ProductBM!$R:$R))</f>
        <v/>
      </c>
      <c r="I714" s="821">
        <f>IF(AND($I709&lt;&gt;"",$I712=TRUE),IF(ISNUMBER(INDEX(F_ProductBM!$Q:$Q,MATCH(EUconst_CNTR_ELEXCH&amp;$I709,F_ProductBM!$P:$P,0))),INDEX(F_ProductBM!$Q:$Q,MATCH(EUconst_CNTR_ELEXCH&amp;$I709,F_ProductBM!$P:$P,0)),1),1)</f>
        <v>1</v>
      </c>
      <c r="J714" s="536" t="str">
        <f>IF($I709="","",IF($K712=42,SUMIF(H_SpecialBM!$P$9:$P$384,EUconst_CNTR_HVC,H_SpecialBM!$I$9:$I$384),0))</f>
        <v/>
      </c>
      <c r="K714" s="876" t="str">
        <f>IF($I709="","",IF($K712=47,IF(ISNUMBER(INDEX(H_SpecialBM!$I$9:$I$384,MATCH(EUconst_CNTR_VCM,H_SpecialBM!$P$9:$P$384,0))),INDEX(H_SpecialBM!$I$9:$I$384,MATCH(EUconst_CNTR_VCM,H_SpecialBM!$P$9:$P$384,0)),1),1))</f>
        <v/>
      </c>
      <c r="L714" s="855" t="str">
        <f>IF($L712=TRUE,SUMIF(F_ProductBM!$P$11:$P$2192,EUconst_CNTR_HAL&amp;$I709,F_ProductBM!$N$11:$N$2192),"")</f>
        <v/>
      </c>
      <c r="M714" s="1075" t="str">
        <f>IF(I709="",EUconst_NA,IF(EUconst_StatusOfDataCollection,INDEX(EUconst_BMlistBMvaluesMatrix,K712,3),""))</f>
        <v>Nie dotyczy</v>
      </c>
      <c r="N714" s="1076" t="str">
        <f>EUconst_EUA &amp; "/" &amp; H717</f>
        <v>Uprawnienia do emisji ogólnych/tony</v>
      </c>
      <c r="O714" s="20"/>
      <c r="P714" s="422"/>
      <c r="Q714" s="422"/>
      <c r="R714" s="736"/>
      <c r="S714" s="875"/>
      <c r="T714" s="8"/>
    </row>
    <row r="715" spans="1:20" s="701" customFormat="1" x14ac:dyDescent="0.2">
      <c r="A715" s="422"/>
      <c r="B715" s="398"/>
      <c r="C715" s="398"/>
      <c r="D715" s="398"/>
      <c r="E715" s="398"/>
      <c r="F715" s="398"/>
      <c r="G715" s="398"/>
      <c r="H715" s="398"/>
      <c r="I715" s="398"/>
      <c r="J715" s="398"/>
      <c r="K715" s="398"/>
      <c r="L715" s="398"/>
      <c r="M715" s="398"/>
      <c r="N715" s="398"/>
      <c r="O715" s="20"/>
      <c r="P715" s="422"/>
      <c r="Q715" s="422"/>
      <c r="R715" s="422"/>
      <c r="S715" s="422"/>
      <c r="T715" s="8"/>
    </row>
    <row r="716" spans="1:20" s="701" customFormat="1" x14ac:dyDescent="0.2">
      <c r="A716" s="422"/>
      <c r="B716" s="398"/>
      <c r="C716" s="398"/>
      <c r="D716" s="398"/>
      <c r="E716" s="656"/>
      <c r="F716" s="656"/>
      <c r="G716" s="657"/>
      <c r="H716" s="873" t="str">
        <f>EUconst_Unit</f>
        <v>Jednostka</v>
      </c>
      <c r="I716" s="432">
        <f>I$1397</f>
        <v>2014</v>
      </c>
      <c r="J716" s="432">
        <f>J$1397</f>
        <v>2015</v>
      </c>
      <c r="K716" s="432">
        <f>K$1397</f>
        <v>2016</v>
      </c>
      <c r="L716" s="432">
        <f>L$1397</f>
        <v>2017</v>
      </c>
      <c r="M716" s="432">
        <f>M$1397</f>
        <v>2018</v>
      </c>
      <c r="N716" s="398"/>
      <c r="O716" s="20"/>
      <c r="P716" s="185" t="s">
        <v>237</v>
      </c>
      <c r="Q716" s="422"/>
      <c r="R716" s="422"/>
      <c r="S716" s="422"/>
      <c r="T716" s="8"/>
    </row>
    <row r="717" spans="1:20" s="701" customFormat="1" x14ac:dyDescent="0.2">
      <c r="A717" s="422"/>
      <c r="B717" s="398"/>
      <c r="C717" s="398"/>
      <c r="D717" s="398"/>
      <c r="E717" s="658" t="str">
        <f>Translations!$B$1236</f>
        <v>Zgłoszony HPD (historyczny poziom działalności)</v>
      </c>
      <c r="F717" s="659"/>
      <c r="G717" s="660"/>
      <c r="H717" s="654" t="str">
        <f>IF(ISNUMBER(K712),INDEX(EUconst_BMlistUnits,K712),EUconst_Tons)</f>
        <v>tony</v>
      </c>
      <c r="I717" s="536" t="str">
        <f>IF($I709="","",SUMIF(F_ProductBM!$P$11:$P$1876,$P717,F_ProductBM!I$11:I$1876))</f>
        <v/>
      </c>
      <c r="J717" s="536" t="str">
        <f>IF($I709="","",SUMIF(F_ProductBM!$P$11:$P$1876,$P717,F_ProductBM!J$11:J$1876))</f>
        <v/>
      </c>
      <c r="K717" s="536" t="str">
        <f>IF($I709="","",SUMIF(F_ProductBM!$P$11:$P$1876,$P717,F_ProductBM!K$11:K$1876))</f>
        <v/>
      </c>
      <c r="L717" s="536" t="str">
        <f>IF($I709="","",SUMIF(F_ProductBM!$P$11:$P$1876,$P717,F_ProductBM!L$11:L$1876))</f>
        <v/>
      </c>
      <c r="M717" s="536" t="str">
        <f>IF($I709="","",SUMIF(F_ProductBM!$P$11:$P$1876,$P717,F_ProductBM!M$11:M$1876))</f>
        <v/>
      </c>
      <c r="N717" s="651" t="str">
        <f>Translations!$B$1224</f>
        <v>Średnia</v>
      </c>
      <c r="O717" s="20"/>
      <c r="P717" s="185" t="str">
        <f>EUconst_CNTR_HAL&amp;I709</f>
        <v>HAL_</v>
      </c>
      <c r="Q717" s="422"/>
      <c r="R717" s="422"/>
      <c r="S717" s="422"/>
      <c r="T717" s="8"/>
    </row>
    <row r="718" spans="1:20" s="701" customFormat="1" x14ac:dyDescent="0.2">
      <c r="A718" s="422"/>
      <c r="B718" s="398"/>
      <c r="C718" s="398"/>
      <c r="D718" s="398"/>
      <c r="E718" s="658" t="str">
        <f>Translations!$B$1237</f>
        <v>Wartości wykorzystywane do obliczania zgłoszonego HPD:</v>
      </c>
      <c r="F718" s="659"/>
      <c r="G718" s="660"/>
      <c r="H718" s="654" t="str">
        <f>H717</f>
        <v>tony</v>
      </c>
      <c r="I718" s="536" t="str">
        <f>IF($I709="","",INDEX(F_ProductBM!S$11:S$1876,MATCH($P718,F_ProductBM!$P$11:$P$1876,0)))</f>
        <v/>
      </c>
      <c r="J718" s="536" t="str">
        <f>IF($I709="","",INDEX(F_ProductBM!T$11:T$1876,MATCH($P718,F_ProductBM!$P$11:$P$1876,0)))</f>
        <v/>
      </c>
      <c r="K718" s="536" t="str">
        <f>IF($I709="","",INDEX(F_ProductBM!U$11:U$1876,MATCH($P718,F_ProductBM!$P$11:$P$1876,0)))</f>
        <v/>
      </c>
      <c r="L718" s="536" t="str">
        <f>IF($I709="","",INDEX(F_ProductBM!V$11:V$1876,MATCH($P718,F_ProductBM!$P$11:$P$1876,0)))</f>
        <v/>
      </c>
      <c r="M718" s="536" t="str">
        <f>IF($I709="","",INDEX(F_ProductBM!W$11:W$1876,MATCH($P718,F_ProductBM!$P$11:$P$1876,0)))</f>
        <v/>
      </c>
      <c r="N718" s="536" t="str">
        <f>IF(OR($I709="",$L712=TRUE),"",IF(COUNT($I718:$M718)&gt;0,AVERAGE($I718:$M718),""))</f>
        <v/>
      </c>
      <c r="O718" s="20"/>
      <c r="P718" s="185" t="str">
        <f>EUconst_CNTR_HAL&amp;I709</f>
        <v>HAL_</v>
      </c>
      <c r="Q718" s="422"/>
      <c r="R718" s="1013" t="s">
        <v>630</v>
      </c>
      <c r="S718" s="1013" t="s">
        <v>631</v>
      </c>
      <c r="T718" s="1013" t="s">
        <v>632</v>
      </c>
    </row>
    <row r="719" spans="1:20" s="701" customFormat="1" ht="13.5" thickBot="1" x14ac:dyDescent="0.25">
      <c r="A719" s="422"/>
      <c r="B719" s="398"/>
      <c r="C719" s="398"/>
      <c r="D719" s="398"/>
      <c r="E719" s="874"/>
      <c r="F719" s="874"/>
      <c r="G719" s="874"/>
      <c r="H719" s="874"/>
      <c r="I719" s="874"/>
      <c r="J719" s="874"/>
      <c r="K719" s="874"/>
      <c r="L719" s="874"/>
      <c r="O719" s="20"/>
      <c r="P719" s="422"/>
      <c r="Q719" s="422"/>
      <c r="R719" s="422"/>
      <c r="S719" s="422"/>
      <c r="T719" s="8"/>
    </row>
    <row r="720" spans="1:20" s="701" customFormat="1" ht="13.5" thickBot="1" x14ac:dyDescent="0.25">
      <c r="A720" s="422"/>
      <c r="B720" s="398"/>
      <c r="D720" s="398"/>
      <c r="E720" s="874"/>
      <c r="F720" s="823" t="s">
        <v>520</v>
      </c>
      <c r="G720" s="824"/>
      <c r="I720" s="823" t="str">
        <f>Translations!$B$1226</f>
        <v>Wst. przydział rok 1 (min.)</v>
      </c>
      <c r="J720" s="824"/>
      <c r="K720" s="823" t="str">
        <f>Translations!$B$1229</f>
        <v>Wst. przydział rok 1 (maks.)</v>
      </c>
      <c r="L720" s="824"/>
      <c r="M720" s="823" t="str">
        <f>Translations!$B$1231</f>
        <v>Wst. przydział rok 1 (faktyczny)</v>
      </c>
      <c r="N720" s="824"/>
      <c r="O720" s="20"/>
      <c r="P720" s="185" t="str">
        <f>EUconst_AllocPrelim&amp;I709</f>
        <v>AllocPrelim_</v>
      </c>
      <c r="Q720" s="422"/>
      <c r="R720" s="982" t="str">
        <f>IF(I721="","",IF(S712=0,0,SUM(I721)/S712))</f>
        <v/>
      </c>
      <c r="S720" s="982" t="str">
        <f>IF(K721="","",IF(S712=0,0,SUM(K721)/S712))</f>
        <v/>
      </c>
      <c r="T720" s="982" t="str">
        <f>T709</f>
        <v/>
      </c>
    </row>
    <row r="721" spans="1:20" s="701" customFormat="1" ht="13.5" thickBot="1" x14ac:dyDescent="0.25">
      <c r="A721" s="422"/>
      <c r="B721" s="398"/>
      <c r="E721" s="874"/>
      <c r="F721" s="662" t="str">
        <f>IF(I709="","",MAX(0, IF(L712=TRUE, SUM(L714), SUM(N718))))</f>
        <v/>
      </c>
      <c r="G721" s="663" t="str">
        <f>H717&amp;" / "&amp;EUconst_Year</f>
        <v>tony / rok</v>
      </c>
      <c r="I721" s="820" t="str">
        <f>IF(I709="","",ROUND((SUM(M712)*SUM(F721)*SUM(I714)*SUM(K714)-SUM(G714)-SUM(H714)+SUM(J714))*SUM(S712),0))</f>
        <v/>
      </c>
      <c r="J721" s="966" t="str">
        <f>EUconst_EUApa</f>
        <v>Uprawnienia do emisji ogólnych / rok</v>
      </c>
      <c r="K721" s="820" t="str">
        <f>IF(I709="","",ROUND((SUM(M713)*SUM(F721)*SUM(I714)*SUM(K714)-SUM(G714)-SUM(H714)+SUM(J714))*SUM(S712),0))</f>
        <v/>
      </c>
      <c r="L721" s="966" t="str">
        <f>EUconst_EUApa</f>
        <v>Uprawnienia do emisji ogólnych / rok</v>
      </c>
      <c r="M721" s="820" t="str">
        <f>IF(OR(I709="",M714=""),"",ROUND((SUM(M714)*SUM(F721)*SUM(I714)*SUM(K714)-SUM(G714)-SUM(H714)+SUM(J714))*SUM(S712),0))</f>
        <v/>
      </c>
      <c r="N721" s="966" t="str">
        <f>EUconst_EUApa</f>
        <v>Uprawnienia do emisji ogólnych / rok</v>
      </c>
      <c r="O721" s="20"/>
      <c r="P721" s="185" t="str">
        <f>EUconst_HALsum &amp; I709</f>
        <v>HALsum_</v>
      </c>
      <c r="Q721" s="422"/>
      <c r="R721" s="422"/>
      <c r="S721" s="422"/>
      <c r="T721" s="8"/>
    </row>
    <row r="722" spans="1:20" s="701" customFormat="1" x14ac:dyDescent="0.2">
      <c r="A722" s="422"/>
      <c r="B722" s="398"/>
      <c r="C722" s="398"/>
      <c r="E722" s="425"/>
      <c r="F722" s="398"/>
      <c r="G722" s="398"/>
      <c r="H722" s="398"/>
      <c r="I722" s="398"/>
      <c r="J722" s="398"/>
      <c r="K722" s="398"/>
      <c r="L722" s="398"/>
      <c r="M722" s="398"/>
      <c r="N722" s="398"/>
      <c r="O722" s="20"/>
      <c r="P722" s="422"/>
      <c r="Q722" s="422"/>
      <c r="R722" s="422"/>
      <c r="S722" s="422"/>
      <c r="T722" s="8"/>
    </row>
    <row r="723" spans="1:20" s="701" customFormat="1" x14ac:dyDescent="0.2">
      <c r="A723" s="422"/>
      <c r="B723" s="398"/>
      <c r="C723" s="398"/>
      <c r="D723" s="398"/>
      <c r="E723" s="516"/>
      <c r="F723" s="831"/>
      <c r="G723" s="831"/>
      <c r="H723" s="831"/>
      <c r="I723" s="831"/>
      <c r="J723" s="831"/>
      <c r="K723" s="831"/>
      <c r="L723" s="831"/>
      <c r="M723" s="831"/>
      <c r="N723" s="831"/>
      <c r="O723" s="20"/>
      <c r="P723" s="422"/>
      <c r="Q723" s="422"/>
      <c r="R723" s="422"/>
      <c r="S723" s="422"/>
      <c r="T723" s="8"/>
    </row>
    <row r="724" spans="1:20" s="701" customFormat="1" ht="13.5" thickBot="1" x14ac:dyDescent="0.25">
      <c r="A724" s="422"/>
      <c r="B724" s="398"/>
      <c r="C724" s="398"/>
      <c r="D724" s="398"/>
      <c r="E724" s="516"/>
      <c r="F724" s="831"/>
      <c r="G724" s="831"/>
      <c r="H724" s="515" t="str">
        <f>EUconst_Unit</f>
        <v>Jednostka</v>
      </c>
      <c r="I724" s="1011">
        <f>I$1397</f>
        <v>2014</v>
      </c>
      <c r="J724" s="451">
        <f>J$1397</f>
        <v>2015</v>
      </c>
      <c r="K724" s="451">
        <f>K$1397</f>
        <v>2016</v>
      </c>
      <c r="L724" s="451">
        <f>L$1397</f>
        <v>2017</v>
      </c>
      <c r="M724" s="451">
        <f>M$1397</f>
        <v>2018</v>
      </c>
      <c r="N724" s="831"/>
      <c r="O724" s="20"/>
      <c r="P724" s="422"/>
      <c r="Q724" s="422"/>
      <c r="R724" s="422"/>
      <c r="S724" s="422"/>
      <c r="T724" s="8"/>
    </row>
    <row r="725" spans="1:20" s="701" customFormat="1" ht="13.5" thickBot="1" x14ac:dyDescent="0.25">
      <c r="A725" s="422"/>
      <c r="B725" s="398"/>
      <c r="C725" s="398"/>
      <c r="D725" s="398"/>
      <c r="E725" s="1876" t="str">
        <f>Translations!$B$1238</f>
        <v>Całkowite przypisane emisje</v>
      </c>
      <c r="F725" s="1876"/>
      <c r="G725" s="1876"/>
      <c r="H725" s="968" t="str">
        <f>EUconst_tCO2epa</f>
        <v>t CO2e/rok</v>
      </c>
      <c r="I725" s="1000" t="str">
        <f>INDEX(I$93:I$109,MATCH($I709,$E$93:$E$109,0))</f>
        <v/>
      </c>
      <c r="J725" s="1001" t="str">
        <f>INDEX(J$93:J$109,MATCH($I709,$E$93:$E$109,0))</f>
        <v/>
      </c>
      <c r="K725" s="1001" t="str">
        <f>INDEX(K$93:K$109,MATCH($I709,$E$93:$E$109,0))</f>
        <v/>
      </c>
      <c r="L725" s="1001" t="str">
        <f>INDEX(L$93:L$109,MATCH($I709,$E$93:$E$109,0))</f>
        <v/>
      </c>
      <c r="M725" s="1002" t="str">
        <f>INDEX(M$93:M$109,MATCH($I709,$E$93:$E$109,0))</f>
        <v/>
      </c>
      <c r="N725" s="831"/>
      <c r="O725" s="20"/>
      <c r="P725" s="422"/>
      <c r="Q725" s="422"/>
      <c r="R725" s="422"/>
      <c r="S725" s="422"/>
      <c r="T725" s="8"/>
    </row>
    <row r="726" spans="1:20" s="701" customFormat="1" x14ac:dyDescent="0.2">
      <c r="A726" s="422"/>
      <c r="B726" s="398"/>
      <c r="C726" s="398"/>
      <c r="D726" s="398"/>
      <c r="E726" s="516"/>
      <c r="F726" s="516"/>
      <c r="G726" s="516"/>
      <c r="H726" s="516"/>
      <c r="I726" s="1003"/>
      <c r="J726" s="1003"/>
      <c r="K726" s="1003"/>
      <c r="L726" s="1003"/>
      <c r="M726" s="1003"/>
      <c r="N726" s="516"/>
      <c r="O726" s="20"/>
      <c r="P726" s="422"/>
      <c r="Q726" s="422"/>
      <c r="R726" s="422"/>
      <c r="S726" s="422"/>
      <c r="T726" s="8"/>
    </row>
    <row r="727" spans="1:20" s="701" customFormat="1" x14ac:dyDescent="0.2">
      <c r="A727" s="422"/>
      <c r="B727" s="398"/>
      <c r="C727" s="398"/>
      <c r="D727" s="398"/>
      <c r="E727" s="1766" t="str">
        <f>Translations!$B$731</f>
        <v>Wsad paliwa</v>
      </c>
      <c r="F727" s="1767"/>
      <c r="G727" s="1767"/>
      <c r="H727" s="454" t="str">
        <f>EUconst_TJpa</f>
        <v>TJ / rok</v>
      </c>
      <c r="I727" s="1004" t="str">
        <f>IF($I709="","",IF(INDEX(F_ProductBM!I:I,MATCH($P727,F_ProductBM!$P:$P,0))="","",INDEX(F_ProductBM!I:I,MATCH($P727,F_ProductBM!$P:$P,0))))</f>
        <v/>
      </c>
      <c r="J727" s="1004" t="str">
        <f>IF($I709="","",IF(INDEX(F_ProductBM!J:J,MATCH($P727,F_ProductBM!$P:$P,0))="","",INDEX(F_ProductBM!J:J,MATCH($P727,F_ProductBM!$P:$P,0))))</f>
        <v/>
      </c>
      <c r="K727" s="1004" t="str">
        <f>IF($I709="","",IF(INDEX(F_ProductBM!K:K,MATCH($P727,F_ProductBM!$P:$P,0))="","",INDEX(F_ProductBM!K:K,MATCH($P727,F_ProductBM!$P:$P,0))))</f>
        <v/>
      </c>
      <c r="L727" s="1004" t="str">
        <f>IF($I709="","",IF(INDEX(F_ProductBM!L:L,MATCH($P727,F_ProductBM!$P:$P,0))="","",INDEX(F_ProductBM!L:L,MATCH($P727,F_ProductBM!$P:$P,0))))</f>
        <v/>
      </c>
      <c r="M727" s="1004" t="str">
        <f>IF($I709="","",IF(INDEX(F_ProductBM!M:M,MATCH($P727,F_ProductBM!$P:$P,0))="","",INDEX(F_ProductBM!M:M,MATCH($P727,F_ProductBM!$P:$P,0))))</f>
        <v/>
      </c>
      <c r="N727" s="831"/>
      <c r="O727" s="20"/>
      <c r="P727" s="830" t="str">
        <f>EUconst_CNTR_FuelInput &amp; I709</f>
        <v>FuelInput_</v>
      </c>
      <c r="Q727" s="422"/>
      <c r="R727" s="422"/>
      <c r="S727" s="422"/>
      <c r="T727" s="8"/>
    </row>
    <row r="728" spans="1:20" s="701" customFormat="1" x14ac:dyDescent="0.2">
      <c r="A728" s="422"/>
      <c r="B728" s="398"/>
      <c r="C728" s="398"/>
      <c r="D728" s="398"/>
      <c r="E728" s="1743" t="str">
        <f>Translations!$B$732</f>
        <v>Ważony współczynnik emisji</v>
      </c>
      <c r="F728" s="1744"/>
      <c r="G728" s="1744"/>
      <c r="H728" s="473" t="str">
        <f>EUconst_tCO2pTJ</f>
        <v>t CO2 / TJ</v>
      </c>
      <c r="I728" s="1005" t="str">
        <f>IF($I709="","",IF(INDEX(F_ProductBM!I:I,MATCH($P728,F_ProductBM!$P:$P,0))="","",INDEX(F_ProductBM!I:I,MATCH($P728,F_ProductBM!$P:$P,0))))</f>
        <v/>
      </c>
      <c r="J728" s="1005" t="str">
        <f>IF($I709="","",IF(INDEX(F_ProductBM!J:J,MATCH($P728,F_ProductBM!$P:$P,0))="","",INDEX(F_ProductBM!J:J,MATCH($P728,F_ProductBM!$P:$P,0))))</f>
        <v/>
      </c>
      <c r="K728" s="1005" t="str">
        <f>IF($I709="","",IF(INDEX(F_ProductBM!K:K,MATCH($P728,F_ProductBM!$P:$P,0))="","",INDEX(F_ProductBM!K:K,MATCH($P728,F_ProductBM!$P:$P,0))))</f>
        <v/>
      </c>
      <c r="L728" s="1005" t="str">
        <f>IF($I709="","",IF(INDEX(F_ProductBM!L:L,MATCH($P728,F_ProductBM!$P:$P,0))="","",INDEX(F_ProductBM!L:L,MATCH($P728,F_ProductBM!$P:$P,0))))</f>
        <v/>
      </c>
      <c r="M728" s="1005" t="str">
        <f>IF($I709="","",IF(INDEX(F_ProductBM!M:M,MATCH($P728,F_ProductBM!$P:$P,0))="","",INDEX(F_ProductBM!M:M,MATCH($P728,F_ProductBM!$P:$P,0))))</f>
        <v/>
      </c>
      <c r="N728" s="831"/>
      <c r="O728" s="20"/>
      <c r="P728" s="351" t="str">
        <f>EUconst_CNTR_FuelEF &amp; I709</f>
        <v>FuelEF_</v>
      </c>
      <c r="Q728" s="422"/>
      <c r="R728" s="422"/>
      <c r="S728" s="422"/>
      <c r="T728" s="8"/>
    </row>
    <row r="729" spans="1:20" s="701" customFormat="1" x14ac:dyDescent="0.2">
      <c r="A729" s="422"/>
      <c r="B729" s="398"/>
      <c r="C729" s="398"/>
      <c r="E729" s="516"/>
      <c r="F729" s="831"/>
      <c r="G729" s="831"/>
      <c r="H729" s="831"/>
      <c r="I729" s="1006"/>
      <c r="J729" s="1006"/>
      <c r="K729" s="1006"/>
      <c r="L729" s="1006"/>
      <c r="M729" s="1006"/>
      <c r="N729" s="831"/>
      <c r="O729" s="20"/>
      <c r="P729" s="422"/>
      <c r="Q729" s="422"/>
      <c r="R729" s="422"/>
      <c r="S729" s="422"/>
      <c r="T729" s="8"/>
    </row>
    <row r="730" spans="1:20" s="701" customFormat="1" x14ac:dyDescent="0.2">
      <c r="A730" s="422"/>
      <c r="B730" s="398"/>
      <c r="C730" s="398"/>
      <c r="E730" s="1739" t="str">
        <f>Translations!$B$687</f>
        <v>Emisje bezpośrednie</v>
      </c>
      <c r="F730" s="1740"/>
      <c r="G730" s="1740"/>
      <c r="H730" s="453" t="str">
        <f>EUconst_tCO2pa</f>
        <v>t CO2 / rok</v>
      </c>
      <c r="I730" s="1007" t="str">
        <f>IF($I709="","",IF(INDEX(F_ProductBM!I:I,MATCH($P730,F_ProductBM!$P:$P,0))="","",INDEX(F_ProductBM!I:I,MATCH($P730,F_ProductBM!$P:$P,0))))</f>
        <v/>
      </c>
      <c r="J730" s="1007" t="str">
        <f>IF($I709="","",IF(INDEX(F_ProductBM!J:J,MATCH($P730,F_ProductBM!$P:$P,0))="","",INDEX(F_ProductBM!J:J,MATCH($P730,F_ProductBM!$P:$P,0))))</f>
        <v/>
      </c>
      <c r="K730" s="1007" t="str">
        <f>IF($I709="","",IF(INDEX(F_ProductBM!K:K,MATCH($P730,F_ProductBM!$P:$P,0))="","",INDEX(F_ProductBM!K:K,MATCH($P730,F_ProductBM!$P:$P,0))))</f>
        <v/>
      </c>
      <c r="L730" s="1007" t="str">
        <f>IF($I709="","",IF(INDEX(F_ProductBM!L:L,MATCH($P730,F_ProductBM!$P:$P,0))="","",INDEX(F_ProductBM!L:L,MATCH($P730,F_ProductBM!$P:$P,0))))</f>
        <v/>
      </c>
      <c r="M730" s="1007" t="str">
        <f>IF($I709="","",IF(INDEX(F_ProductBM!M:M,MATCH($P730,F_ProductBM!$P:$P,0))="","",INDEX(F_ProductBM!M:M,MATCH($P730,F_ProductBM!$P:$P,0))))</f>
        <v/>
      </c>
      <c r="N730" s="831"/>
      <c r="O730" s="20"/>
      <c r="P730" s="351" t="str">
        <f>EUconst_CNTR_Emissions &amp; I709</f>
        <v>DirEmissions_</v>
      </c>
      <c r="Q730" s="422"/>
      <c r="R730" s="422"/>
      <c r="S730" s="422"/>
      <c r="T730" s="8"/>
    </row>
    <row r="731" spans="1:20" s="701" customFormat="1" x14ac:dyDescent="0.2">
      <c r="A731" s="422"/>
      <c r="B731" s="398"/>
      <c r="C731" s="398"/>
      <c r="E731" s="1974" t="str">
        <f>Translations!$B$742</f>
        <v>Dalsze strumienie materiałów wsadowych – 1:</v>
      </c>
      <c r="F731" s="1974"/>
      <c r="G731" s="1974"/>
      <c r="H731" s="453" t="str">
        <f>EUconst_tCO2pa</f>
        <v>t CO2 / rok</v>
      </c>
      <c r="I731" s="1007" t="str">
        <f>IF($I709="","",IF(INDEX(F_ProductBM!I:I,MATCH($P731,F_ProductBM!$P:$P,0))="","",INDEX(F_ProductBM!I:I,MATCH($P731,F_ProductBM!$P:$P,0))))</f>
        <v/>
      </c>
      <c r="J731" s="1007" t="str">
        <f>IF($I709="","",IF(INDEX(F_ProductBM!J:J,MATCH($P731,F_ProductBM!$P:$P,0))="","",INDEX(F_ProductBM!J:J,MATCH($P731,F_ProductBM!$P:$P,0))))</f>
        <v/>
      </c>
      <c r="K731" s="1007" t="str">
        <f>IF($I709="","",IF(INDEX(F_ProductBM!K:K,MATCH($P731,F_ProductBM!$P:$P,0))="","",INDEX(F_ProductBM!K:K,MATCH($P731,F_ProductBM!$P:$P,0))))</f>
        <v/>
      </c>
      <c r="L731" s="1007" t="str">
        <f>IF($I709="","",IF(INDEX(F_ProductBM!L:L,MATCH($P731,F_ProductBM!$P:$P,0))="","",INDEX(F_ProductBM!L:L,MATCH($P731,F_ProductBM!$P:$P,0))))</f>
        <v/>
      </c>
      <c r="M731" s="1007" t="str">
        <f>IF($I709="","",IF(INDEX(F_ProductBM!M:M,MATCH($P731,F_ProductBM!$P:$P,0))="","",INDEX(F_ProductBM!M:M,MATCH($P731,F_ProductBM!$P:$P,0))))</f>
        <v/>
      </c>
      <c r="N731" s="831"/>
      <c r="O731" s="20"/>
      <c r="P731" s="351" t="str">
        <f>EUconst_CNTR_EmissionsIntSource1 &amp; I709</f>
        <v>EmInternalSource1_</v>
      </c>
      <c r="Q731" s="422"/>
      <c r="R731" s="422"/>
      <c r="S731" s="422"/>
      <c r="T731" s="8"/>
    </row>
    <row r="732" spans="1:20" s="701" customFormat="1" x14ac:dyDescent="0.2">
      <c r="A732" s="422"/>
      <c r="B732" s="398"/>
      <c r="C732" s="398"/>
      <c r="E732" s="1974" t="str">
        <f>Translations!$B$752</f>
        <v>Dalsze strumienie materiałów wsadowych – 2:</v>
      </c>
      <c r="F732" s="1974"/>
      <c r="G732" s="1974"/>
      <c r="H732" s="453" t="str">
        <f>EUconst_tCO2pa</f>
        <v>t CO2 / rok</v>
      </c>
      <c r="I732" s="1007" t="str">
        <f>IF($I709="","",IF(INDEX(F_ProductBM!I:I,MATCH($P732,F_ProductBM!$P:$P,0))="","",INDEX(F_ProductBM!I:I,MATCH($P732,F_ProductBM!$P:$P,0))))</f>
        <v/>
      </c>
      <c r="J732" s="1007" t="str">
        <f>IF($I709="","",IF(INDEX(F_ProductBM!J:J,MATCH($P732,F_ProductBM!$P:$P,0))="","",INDEX(F_ProductBM!J:J,MATCH($P732,F_ProductBM!$P:$P,0))))</f>
        <v/>
      </c>
      <c r="K732" s="1007" t="str">
        <f>IF($I709="","",IF(INDEX(F_ProductBM!K:K,MATCH($P732,F_ProductBM!$P:$P,0))="","",INDEX(F_ProductBM!K:K,MATCH($P732,F_ProductBM!$P:$P,0))))</f>
        <v/>
      </c>
      <c r="L732" s="1007" t="str">
        <f>IF($I709="","",IF(INDEX(F_ProductBM!L:L,MATCH($P732,F_ProductBM!$P:$P,0))="","",INDEX(F_ProductBM!L:L,MATCH($P732,F_ProductBM!$P:$P,0))))</f>
        <v/>
      </c>
      <c r="M732" s="1007" t="str">
        <f>IF($I709="","",IF(INDEX(F_ProductBM!M:M,MATCH($P732,F_ProductBM!$P:$P,0))="","",INDEX(F_ProductBM!M:M,MATCH($P732,F_ProductBM!$P:$P,0))))</f>
        <v/>
      </c>
      <c r="N732" s="831"/>
      <c r="O732" s="20"/>
      <c r="P732" s="351" t="str">
        <f>EUconst_CNTR_EmissionsIntSource2 &amp; I709</f>
        <v>EmInternalSource2_</v>
      </c>
      <c r="Q732" s="422"/>
      <c r="R732" s="422"/>
      <c r="S732" s="422"/>
      <c r="T732" s="8"/>
    </row>
    <row r="733" spans="1:20" s="701" customFormat="1" x14ac:dyDescent="0.2">
      <c r="A733" s="422"/>
      <c r="B733" s="398"/>
      <c r="C733" s="398"/>
      <c r="D733" s="398"/>
      <c r="E733" s="1739" t="str">
        <f>Translations!$B$756</f>
        <v>Wprowadzone lub wyprowadzone gazy cieplarniane</v>
      </c>
      <c r="F733" s="1740"/>
      <c r="G733" s="1740"/>
      <c r="H733" s="453" t="str">
        <f>EUconst_tCO2epa</f>
        <v>t CO2e/rok</v>
      </c>
      <c r="I733" s="1007" t="str">
        <f>IF($I709="","",IF(INDEX(F_ProductBM!I:I,MATCH($P733,F_ProductBM!$P:$P,0))="","",INDEX(F_ProductBM!I:I,MATCH($P733,F_ProductBM!$P:$P,0))))</f>
        <v/>
      </c>
      <c r="J733" s="1007" t="str">
        <f>IF($I709="","",IF(INDEX(F_ProductBM!J:J,MATCH($P733,F_ProductBM!$P:$P,0))="","",INDEX(F_ProductBM!J:J,MATCH($P733,F_ProductBM!$P:$P,0))))</f>
        <v/>
      </c>
      <c r="K733" s="1007" t="str">
        <f>IF($I709="","",IF(INDEX(F_ProductBM!K:K,MATCH($P733,F_ProductBM!$P:$P,0))="","",INDEX(F_ProductBM!K:K,MATCH($P733,F_ProductBM!$P:$P,0))))</f>
        <v/>
      </c>
      <c r="L733" s="1007" t="str">
        <f>IF($I709="","",IF(INDEX(F_ProductBM!L:L,MATCH($P733,F_ProductBM!$P:$P,0))="","",INDEX(F_ProductBM!L:L,MATCH($P733,F_ProductBM!$P:$P,0))))</f>
        <v/>
      </c>
      <c r="M733" s="1007" t="str">
        <f>IF($I709="","",IF(INDEX(F_ProductBM!M:M,MATCH($P733,F_ProductBM!$P:$P,0))="","",INDEX(F_ProductBM!M:M,MATCH($P733,F_ProductBM!$P:$P,0))))</f>
        <v/>
      </c>
      <c r="N733" s="831"/>
      <c r="O733" s="20"/>
      <c r="P733" s="351" t="str">
        <f>EUconst_CNTR_CO2Feedstock &amp; I709</f>
        <v>EmCO2Feedstock_</v>
      </c>
      <c r="Q733" s="422"/>
      <c r="R733" s="422"/>
      <c r="S733" s="422"/>
      <c r="T733" s="8"/>
    </row>
    <row r="734" spans="1:20" s="701" customFormat="1" x14ac:dyDescent="0.2">
      <c r="A734" s="422"/>
      <c r="B734" s="398"/>
      <c r="C734" s="398"/>
      <c r="D734" s="398"/>
      <c r="E734" s="831"/>
      <c r="F734" s="831"/>
      <c r="G734" s="831"/>
      <c r="H734" s="831"/>
      <c r="I734" s="1006"/>
      <c r="J734" s="1006"/>
      <c r="K734" s="1006"/>
      <c r="L734" s="1006"/>
      <c r="M734" s="1006"/>
      <c r="N734" s="831"/>
      <c r="O734" s="20"/>
      <c r="P734" s="422"/>
      <c r="Q734" s="422"/>
      <c r="R734" s="422"/>
      <c r="S734" s="422"/>
      <c r="T734" s="8"/>
    </row>
    <row r="735" spans="1:20" s="701" customFormat="1" x14ac:dyDescent="0.2">
      <c r="A735" s="422"/>
      <c r="B735" s="398"/>
      <c r="C735" s="398"/>
      <c r="D735" s="398"/>
      <c r="E735" s="1766" t="str">
        <f>Translations!$B$764</f>
        <v>Ciepło wprowadzone netto</v>
      </c>
      <c r="F735" s="1767"/>
      <c r="G735" s="1767"/>
      <c r="H735" s="454" t="str">
        <f>EUconst_TJpa</f>
        <v>TJ / rok</v>
      </c>
      <c r="I735" s="1004" t="str">
        <f>IF($I709="","",IF(INDEX(F_ProductBM!I:I,MATCH($P735,F_ProductBM!$P:$P,0))="","",INDEX(F_ProductBM!I:I,MATCH($P735,F_ProductBM!$P:$P,0))))</f>
        <v/>
      </c>
      <c r="J735" s="1004" t="str">
        <f>IF($I709="","",IF(INDEX(F_ProductBM!J:J,MATCH($P735,F_ProductBM!$P:$P,0))="","",INDEX(F_ProductBM!J:J,MATCH($P735,F_ProductBM!$P:$P,0))))</f>
        <v/>
      </c>
      <c r="K735" s="1004" t="str">
        <f>IF($I709="","",IF(INDEX(F_ProductBM!K:K,MATCH($P735,F_ProductBM!$P:$P,0))="","",INDEX(F_ProductBM!K:K,MATCH($P735,F_ProductBM!$P:$P,0))))</f>
        <v/>
      </c>
      <c r="L735" s="1004" t="str">
        <f>IF($I709="","",IF(INDEX(F_ProductBM!L:L,MATCH($P735,F_ProductBM!$P:$P,0))="","",INDEX(F_ProductBM!L:L,MATCH($P735,F_ProductBM!$P:$P,0))))</f>
        <v/>
      </c>
      <c r="M735" s="1004" t="str">
        <f>IF($I709="","",IF(INDEX(F_ProductBM!M:M,MATCH($P735,F_ProductBM!$P:$P,0))="","",INDEX(F_ProductBM!M:M,MATCH($P735,F_ProductBM!$P:$P,0))))</f>
        <v/>
      </c>
      <c r="N735" s="831"/>
      <c r="O735" s="20"/>
      <c r="P735" s="351" t="str">
        <f>EUconst_CNTR_HeatImport &amp; I709</f>
        <v>HeatIm_</v>
      </c>
      <c r="Q735" s="422"/>
      <c r="R735" s="422"/>
      <c r="S735" s="422"/>
      <c r="T735" s="8"/>
    </row>
    <row r="736" spans="1:20" s="701" customFormat="1" x14ac:dyDescent="0.2">
      <c r="A736" s="422"/>
      <c r="B736" s="398"/>
      <c r="C736" s="398"/>
      <c r="D736" s="398"/>
      <c r="E736" s="1743" t="str">
        <f>Translations!$B$765</f>
        <v>Właściwy współczynnik emisji (ciepło wprowadzone)</v>
      </c>
      <c r="F736" s="1744"/>
      <c r="G736" s="1744"/>
      <c r="H736" s="473" t="str">
        <f>EUconst_tCO2pTJ</f>
        <v>t CO2 / TJ</v>
      </c>
      <c r="I736" s="1005" t="str">
        <f>IF($I709="","",IF(INDEX(F_ProductBM!I:I,MATCH($P736,F_ProductBM!$P:$P,0))="","",INDEX(F_ProductBM!I:I,MATCH($P736,F_ProductBM!$P:$P,0))))</f>
        <v/>
      </c>
      <c r="J736" s="1005" t="str">
        <f>IF($I709="","",IF(INDEX(F_ProductBM!J:J,MATCH($P736,F_ProductBM!$P:$P,0))="","",INDEX(F_ProductBM!J:J,MATCH($P736,F_ProductBM!$P:$P,0))))</f>
        <v/>
      </c>
      <c r="K736" s="1005" t="str">
        <f>IF($I709="","",IF(INDEX(F_ProductBM!K:K,MATCH($P736,F_ProductBM!$P:$P,0))="","",INDEX(F_ProductBM!K:K,MATCH($P736,F_ProductBM!$P:$P,0))))</f>
        <v/>
      </c>
      <c r="L736" s="1005" t="str">
        <f>IF($I709="","",IF(INDEX(F_ProductBM!L:L,MATCH($P736,F_ProductBM!$P:$P,0))="","",INDEX(F_ProductBM!L:L,MATCH($P736,F_ProductBM!$P:$P,0))))</f>
        <v/>
      </c>
      <c r="M736" s="1005" t="str">
        <f>IF($I709="","",IF(INDEX(F_ProductBM!M:M,MATCH($P736,F_ProductBM!$P:$P,0))="","",INDEX(F_ProductBM!M:M,MATCH($P736,F_ProductBM!$P:$P,0))))</f>
        <v/>
      </c>
      <c r="N736" s="831"/>
      <c r="O736" s="20"/>
      <c r="P736" s="351" t="str">
        <f>EUconst_CNTR_HeatImportEF &amp; I709</f>
        <v>HeatImEF_</v>
      </c>
      <c r="Q736" s="422"/>
      <c r="R736" s="422"/>
      <c r="S736" s="422"/>
      <c r="T736" s="8"/>
    </row>
    <row r="737" spans="1:20" s="701" customFormat="1" x14ac:dyDescent="0.2">
      <c r="A737" s="422"/>
      <c r="B737" s="398"/>
      <c r="C737" s="398"/>
      <c r="D737" s="398"/>
      <c r="E737" s="516"/>
      <c r="F737" s="831"/>
      <c r="G737" s="831"/>
      <c r="H737" s="831"/>
      <c r="I737" s="1006"/>
      <c r="J737" s="1006"/>
      <c r="K737" s="1006"/>
      <c r="L737" s="1006"/>
      <c r="M737" s="1006"/>
      <c r="N737" s="831"/>
      <c r="O737" s="20"/>
      <c r="P737" s="8"/>
      <c r="Q737" s="422"/>
      <c r="R737" s="422"/>
      <c r="S737" s="422"/>
      <c r="T737" s="8"/>
    </row>
    <row r="738" spans="1:20" s="701" customFormat="1" x14ac:dyDescent="0.2">
      <c r="A738" s="422"/>
      <c r="B738" s="398"/>
      <c r="C738" s="398"/>
      <c r="D738" s="398"/>
      <c r="E738" s="1739" t="str">
        <f>Translations!$B$820</f>
        <v>Ciepło wprowadzone netto z masy celulozowej</v>
      </c>
      <c r="F738" s="1740"/>
      <c r="G738" s="1740"/>
      <c r="H738" s="453" t="str">
        <f>EUconst_TJpa</f>
        <v>TJ / rok</v>
      </c>
      <c r="I738" s="1007" t="str">
        <f>IF($I709="","",IF(INDEX(F_ProductBM!I:I,MATCH($P738,F_ProductBM!$P:$P,0))="","",INDEX(F_ProductBM!I:I,MATCH($P738,F_ProductBM!$P:$P,0))))</f>
        <v/>
      </c>
      <c r="J738" s="1007" t="str">
        <f>IF($I709="","",IF(INDEX(F_ProductBM!J:J,MATCH($P738,F_ProductBM!$P:$P,0))="","",INDEX(F_ProductBM!J:J,MATCH($P738,F_ProductBM!$P:$P,0))))</f>
        <v/>
      </c>
      <c r="K738" s="1007" t="str">
        <f>IF($I709="","",IF(INDEX(F_ProductBM!K:K,MATCH($P738,F_ProductBM!$P:$P,0))="","",INDEX(F_ProductBM!K:K,MATCH($P738,F_ProductBM!$P:$P,0))))</f>
        <v/>
      </c>
      <c r="L738" s="1007" t="str">
        <f>IF($I709="","",IF(INDEX(F_ProductBM!L:L,MATCH($P738,F_ProductBM!$P:$P,0))="","",INDEX(F_ProductBM!L:L,MATCH($P738,F_ProductBM!$P:$P,0))))</f>
        <v/>
      </c>
      <c r="M738" s="1007" t="str">
        <f>IF($I709="","",IF(INDEX(F_ProductBM!M:M,MATCH($P738,F_ProductBM!$P:$P,0))="","",INDEX(F_ProductBM!M:M,MATCH($P738,F_ProductBM!$P:$P,0))))</f>
        <v/>
      </c>
      <c r="N738" s="831"/>
      <c r="O738" s="20"/>
      <c r="P738" s="351" t="str">
        <f>EUconst_CNTR_HeatImportPulp &amp; I709</f>
        <v>HeatImPulp_</v>
      </c>
      <c r="Q738" s="422"/>
      <c r="R738" s="422"/>
      <c r="S738" s="422"/>
      <c r="T738" s="8"/>
    </row>
    <row r="739" spans="1:20" s="701" customFormat="1" x14ac:dyDescent="0.2">
      <c r="A739" s="422"/>
      <c r="B739" s="398"/>
      <c r="C739" s="398"/>
      <c r="D739" s="398"/>
      <c r="E739" s="1739" t="str">
        <f>Translations!$B$768</f>
        <v>Ciepło wprowadzone netto z podinstalacji wytwarzającej kwas azotowy</v>
      </c>
      <c r="F739" s="1740"/>
      <c r="G739" s="1740"/>
      <c r="H739" s="453" t="str">
        <f>EUconst_TJpa</f>
        <v>TJ / rok</v>
      </c>
      <c r="I739" s="1007" t="str">
        <f>IF($I709="","",IF(INDEX(F_ProductBM!I:I,MATCH($P739,F_ProductBM!$P:$P,0))="","",INDEX(F_ProductBM!I:I,MATCH($P739,F_ProductBM!$P:$P,0))))</f>
        <v/>
      </c>
      <c r="J739" s="1007" t="str">
        <f>IF($I709="","",IF(INDEX(F_ProductBM!J:J,MATCH($P739,F_ProductBM!$P:$P,0))="","",INDEX(F_ProductBM!J:J,MATCH($P739,F_ProductBM!$P:$P,0))))</f>
        <v/>
      </c>
      <c r="K739" s="1007" t="str">
        <f>IF($I709="","",IF(INDEX(F_ProductBM!K:K,MATCH($P739,F_ProductBM!$P:$P,0))="","",INDEX(F_ProductBM!K:K,MATCH($P739,F_ProductBM!$P:$P,0))))</f>
        <v/>
      </c>
      <c r="L739" s="1007" t="str">
        <f>IF($I709="","",IF(INDEX(F_ProductBM!L:L,MATCH($P739,F_ProductBM!$P:$P,0))="","",INDEX(F_ProductBM!L:L,MATCH($P739,F_ProductBM!$P:$P,0))))</f>
        <v/>
      </c>
      <c r="M739" s="1007" t="str">
        <f>IF($I709="","",IF(INDEX(F_ProductBM!M:M,MATCH($P739,F_ProductBM!$P:$P,0))="","",INDEX(F_ProductBM!M:M,MATCH($P739,F_ProductBM!$P:$P,0))))</f>
        <v/>
      </c>
      <c r="N739" s="831"/>
      <c r="O739" s="20"/>
      <c r="P739" s="351" t="str">
        <f>EUconst_CNTR_HeatImportNitric &amp; I709</f>
        <v>HeatImNitric_</v>
      </c>
      <c r="Q739" s="422"/>
      <c r="R739" s="422"/>
      <c r="S739" s="422"/>
      <c r="T739" s="8"/>
    </row>
    <row r="740" spans="1:20" s="701" customFormat="1" x14ac:dyDescent="0.2">
      <c r="A740" s="422"/>
      <c r="B740" s="398"/>
      <c r="C740" s="398"/>
      <c r="D740" s="398"/>
      <c r="E740" s="516"/>
      <c r="F740" s="516"/>
      <c r="G740" s="516"/>
      <c r="H740" s="516"/>
      <c r="I740" s="1006"/>
      <c r="J740" s="1006"/>
      <c r="K740" s="1006"/>
      <c r="L740" s="1006"/>
      <c r="M740" s="1006"/>
      <c r="N740" s="831"/>
      <c r="O740" s="20"/>
      <c r="P740" s="8"/>
      <c r="Q740" s="422"/>
      <c r="R740" s="422"/>
      <c r="S740" s="422"/>
      <c r="T740" s="8"/>
    </row>
    <row r="741" spans="1:20" s="701" customFormat="1" x14ac:dyDescent="0.2">
      <c r="A741" s="422"/>
      <c r="B741" s="398"/>
      <c r="C741" s="398"/>
      <c r="D741" s="398"/>
      <c r="E741" s="1766" t="str">
        <f>Translations!$B$770</f>
        <v>Ciepło wyprowadzone netto</v>
      </c>
      <c r="F741" s="1767"/>
      <c r="G741" s="1767"/>
      <c r="H741" s="454" t="str">
        <f>EUconst_TJpa</f>
        <v>TJ / rok</v>
      </c>
      <c r="I741" s="1004" t="str">
        <f>IF($I709="","",IF(INDEX(F_ProductBM!I:I,MATCH($P741,F_ProductBM!$P:$P,0))="","",INDEX(F_ProductBM!I:I,MATCH($P741,F_ProductBM!$P:$P,0))))</f>
        <v/>
      </c>
      <c r="J741" s="1004" t="str">
        <f>IF($I709="","",IF(INDEX(F_ProductBM!J:J,MATCH($P741,F_ProductBM!$P:$P,0))="","",INDEX(F_ProductBM!J:J,MATCH($P741,F_ProductBM!$P:$P,0))))</f>
        <v/>
      </c>
      <c r="K741" s="1004" t="str">
        <f>IF($I709="","",IF(INDEX(F_ProductBM!K:K,MATCH($P741,F_ProductBM!$P:$P,0))="","",INDEX(F_ProductBM!K:K,MATCH($P741,F_ProductBM!$P:$P,0))))</f>
        <v/>
      </c>
      <c r="L741" s="1004" t="str">
        <f>IF($I709="","",IF(INDEX(F_ProductBM!L:L,MATCH($P741,F_ProductBM!$P:$P,0))="","",INDEX(F_ProductBM!L:L,MATCH($P741,F_ProductBM!$P:$P,0))))</f>
        <v/>
      </c>
      <c r="M741" s="1004" t="str">
        <f>IF($I709="","",IF(INDEX(F_ProductBM!M:M,MATCH($P741,F_ProductBM!$P:$P,0))="","",INDEX(F_ProductBM!M:M,MATCH($P741,F_ProductBM!$P:$P,0))))</f>
        <v/>
      </c>
      <c r="N741" s="831"/>
      <c r="O741" s="20"/>
      <c r="P741" s="351" t="str">
        <f>EUconst_CNTR_HeatExport &amp; I709</f>
        <v>HeatEx_</v>
      </c>
      <c r="Q741" s="422"/>
      <c r="R741" s="422"/>
      <c r="S741" s="422"/>
      <c r="T741" s="8"/>
    </row>
    <row r="742" spans="1:20" s="701" customFormat="1" x14ac:dyDescent="0.2">
      <c r="A742" s="422"/>
      <c r="B742" s="398"/>
      <c r="C742" s="398"/>
      <c r="D742" s="398"/>
      <c r="E742" s="1743" t="str">
        <f>Translations!$B$771</f>
        <v>Właściwy współczynnik emisji (ciepło wyprowadzone)</v>
      </c>
      <c r="F742" s="1744"/>
      <c r="G742" s="1744"/>
      <c r="H742" s="473" t="str">
        <f>EUconst_tCO2pTJ</f>
        <v>t CO2 / TJ</v>
      </c>
      <c r="I742" s="1005" t="str">
        <f>IF($I709="","",IF(INDEX(F_ProductBM!I:I,MATCH($P742,F_ProductBM!$P:$P,0))="","",INDEX(F_ProductBM!I:I,MATCH($P742,F_ProductBM!$P:$P,0))))</f>
        <v/>
      </c>
      <c r="J742" s="1005" t="str">
        <f>IF($I709="","",IF(INDEX(F_ProductBM!J:J,MATCH($P742,F_ProductBM!$P:$P,0))="","",INDEX(F_ProductBM!J:J,MATCH($P742,F_ProductBM!$P:$P,0))))</f>
        <v/>
      </c>
      <c r="K742" s="1005" t="str">
        <f>IF($I709="","",IF(INDEX(F_ProductBM!K:K,MATCH($P742,F_ProductBM!$P:$P,0))="","",INDEX(F_ProductBM!K:K,MATCH($P742,F_ProductBM!$P:$P,0))))</f>
        <v/>
      </c>
      <c r="L742" s="1005" t="str">
        <f>IF($I709="","",IF(INDEX(F_ProductBM!L:L,MATCH($P742,F_ProductBM!$P:$P,0))="","",INDEX(F_ProductBM!L:L,MATCH($P742,F_ProductBM!$P:$P,0))))</f>
        <v/>
      </c>
      <c r="M742" s="1005" t="str">
        <f>IF($I709="","",IF(INDEX(F_ProductBM!M:M,MATCH($P742,F_ProductBM!$P:$P,0))="","",INDEX(F_ProductBM!M:M,MATCH($P742,F_ProductBM!$P:$P,0))))</f>
        <v/>
      </c>
      <c r="N742" s="831"/>
      <c r="O742" s="20"/>
      <c r="P742" s="351" t="str">
        <f>EUconst_CNTR_HeatExportEF &amp; I709</f>
        <v>HeatExEF_</v>
      </c>
      <c r="Q742" s="422"/>
      <c r="R742" s="422"/>
      <c r="S742" s="422"/>
      <c r="T742" s="8"/>
    </row>
    <row r="743" spans="1:20" s="701" customFormat="1" x14ac:dyDescent="0.2">
      <c r="A743" s="422"/>
      <c r="B743" s="398"/>
      <c r="C743" s="398"/>
      <c r="D743" s="398"/>
      <c r="E743" s="516"/>
      <c r="F743" s="516"/>
      <c r="G743" s="516"/>
      <c r="H743" s="516"/>
      <c r="I743" s="1006"/>
      <c r="J743" s="1006"/>
      <c r="K743" s="1006"/>
      <c r="L743" s="1006"/>
      <c r="M743" s="1006"/>
      <c r="N743" s="831"/>
      <c r="O743" s="20"/>
      <c r="P743" s="182"/>
      <c r="Q743" s="422"/>
      <c r="R743" s="422"/>
      <c r="S743" s="422"/>
      <c r="T743" s="8"/>
    </row>
    <row r="744" spans="1:20" s="701" customFormat="1" x14ac:dyDescent="0.2">
      <c r="A744" s="422"/>
      <c r="B744" s="398"/>
      <c r="C744" s="398"/>
      <c r="D744" s="398"/>
      <c r="E744" s="1766" t="str">
        <f>Translations!$B$778</f>
        <v>Gazy odlotowe wytworzone</v>
      </c>
      <c r="F744" s="1767"/>
      <c r="G744" s="1767"/>
      <c r="H744" s="454" t="str">
        <f>EUconst_TJpa</f>
        <v>TJ / rok</v>
      </c>
      <c r="I744" s="1004" t="str">
        <f>IF($I709="","",IF(INDEX(F_ProductBM!I:I,MATCH($P744,F_ProductBM!$P:$P,0))="","",INDEX(F_ProductBM!I:I,MATCH($P744,F_ProductBM!$P:$P,0))))</f>
        <v/>
      </c>
      <c r="J744" s="1004" t="str">
        <f>IF($I709="","",IF(INDEX(F_ProductBM!J:J,MATCH($P744,F_ProductBM!$P:$P,0))="","",INDEX(F_ProductBM!J:J,MATCH($P744,F_ProductBM!$P:$P,0))))</f>
        <v/>
      </c>
      <c r="K744" s="1004" t="str">
        <f>IF($I709="","",IF(INDEX(F_ProductBM!K:K,MATCH($P744,F_ProductBM!$P:$P,0))="","",INDEX(F_ProductBM!K:K,MATCH($P744,F_ProductBM!$P:$P,0))))</f>
        <v/>
      </c>
      <c r="L744" s="1004" t="str">
        <f>IF($I709="","",IF(INDEX(F_ProductBM!L:L,MATCH($P744,F_ProductBM!$P:$P,0))="","",INDEX(F_ProductBM!L:L,MATCH($P744,F_ProductBM!$P:$P,0))))</f>
        <v/>
      </c>
      <c r="M744" s="1004" t="str">
        <f>IF($I709="","",IF(INDEX(F_ProductBM!M:M,MATCH($P744,F_ProductBM!$P:$P,0))="","",INDEX(F_ProductBM!M:M,MATCH($P744,F_ProductBM!$P:$P,0))))</f>
        <v/>
      </c>
      <c r="N744" s="831"/>
      <c r="O744" s="20"/>
      <c r="P744" s="830" t="str">
        <f>EUconst_CNTR_WGProduced &amp; I709</f>
        <v>WasteGasProd_</v>
      </c>
      <c r="Q744" s="422"/>
      <c r="R744" s="422"/>
      <c r="S744" s="422"/>
      <c r="T744" s="8"/>
    </row>
    <row r="745" spans="1:20" s="701" customFormat="1" x14ac:dyDescent="0.2">
      <c r="A745" s="422"/>
      <c r="B745" s="398"/>
      <c r="C745" s="398"/>
      <c r="D745" s="398"/>
      <c r="E745" s="1743" t="str">
        <f>Translations!$B$779</f>
        <v>Właściwy współczynnik emisji (gazy odlotowe wytworzone)</v>
      </c>
      <c r="F745" s="1744"/>
      <c r="G745" s="1744"/>
      <c r="H745" s="473" t="str">
        <f>EUconst_tCO2pTJ</f>
        <v>t CO2 / TJ</v>
      </c>
      <c r="I745" s="1005" t="str">
        <f>IF($I709="","",IF(INDEX(F_ProductBM!I:I,MATCH($P745,F_ProductBM!$P:$P,0))="","",INDEX(F_ProductBM!I:I,MATCH($P745,F_ProductBM!$P:$P,0))))</f>
        <v/>
      </c>
      <c r="J745" s="1005" t="str">
        <f>IF($I709="","",IF(INDEX(F_ProductBM!J:J,MATCH($P745,F_ProductBM!$P:$P,0))="","",INDEX(F_ProductBM!J:J,MATCH($P745,F_ProductBM!$P:$P,0))))</f>
        <v/>
      </c>
      <c r="K745" s="1005" t="str">
        <f>IF($I709="","",IF(INDEX(F_ProductBM!K:K,MATCH($P745,F_ProductBM!$P:$P,0))="","",INDEX(F_ProductBM!K:K,MATCH($P745,F_ProductBM!$P:$P,0))))</f>
        <v/>
      </c>
      <c r="L745" s="1005" t="str">
        <f>IF($I709="","",IF(INDEX(F_ProductBM!L:L,MATCH($P745,F_ProductBM!$P:$P,0))="","",INDEX(F_ProductBM!L:L,MATCH($P745,F_ProductBM!$P:$P,0))))</f>
        <v/>
      </c>
      <c r="M745" s="1005" t="str">
        <f>IF($I709="","",IF(INDEX(F_ProductBM!M:M,MATCH($P745,F_ProductBM!$P:$P,0))="","",INDEX(F_ProductBM!M:M,MATCH($P745,F_ProductBM!$P:$P,0))))</f>
        <v/>
      </c>
      <c r="N745" s="831"/>
      <c r="O745" s="20"/>
      <c r="P745" s="351" t="str">
        <f>EUconst_CNTR_WGProducedEF &amp; I709</f>
        <v>WasteGasProdEF_</v>
      </c>
      <c r="Q745" s="422"/>
      <c r="R745" s="422"/>
      <c r="S745" s="422"/>
      <c r="T745" s="8"/>
    </row>
    <row r="746" spans="1:20" s="701" customFormat="1" x14ac:dyDescent="0.2">
      <c r="A746" s="422"/>
      <c r="B746" s="398"/>
      <c r="C746" s="398"/>
      <c r="D746" s="398"/>
      <c r="E746" s="1766" t="str">
        <f>Translations!$B$783</f>
        <v>Gazy odlotowe zużyte</v>
      </c>
      <c r="F746" s="1767"/>
      <c r="G746" s="1767"/>
      <c r="H746" s="454" t="str">
        <f>EUconst_TJpa</f>
        <v>TJ / rok</v>
      </c>
      <c r="I746" s="1004" t="str">
        <f>IF($I709="","",IF(INDEX(F_ProductBM!I:I,MATCH($P746,F_ProductBM!$P:$P,0))="","",INDEX(F_ProductBM!I:I,MATCH($P746,F_ProductBM!$P:$P,0))))</f>
        <v/>
      </c>
      <c r="J746" s="1004" t="str">
        <f>IF($I709="","",IF(INDEX(F_ProductBM!J:J,MATCH($P746,F_ProductBM!$P:$P,0))="","",INDEX(F_ProductBM!J:J,MATCH($P746,F_ProductBM!$P:$P,0))))</f>
        <v/>
      </c>
      <c r="K746" s="1004" t="str">
        <f>IF($I709="","",IF(INDEX(F_ProductBM!K:K,MATCH($P746,F_ProductBM!$P:$P,0))="","",INDEX(F_ProductBM!K:K,MATCH($P746,F_ProductBM!$P:$P,0))))</f>
        <v/>
      </c>
      <c r="L746" s="1004" t="str">
        <f>IF($I709="","",IF(INDEX(F_ProductBM!L:L,MATCH($P746,F_ProductBM!$P:$P,0))="","",INDEX(F_ProductBM!L:L,MATCH($P746,F_ProductBM!$P:$P,0))))</f>
        <v/>
      </c>
      <c r="M746" s="1004" t="str">
        <f>IF($I709="","",IF(INDEX(F_ProductBM!M:M,MATCH($P746,F_ProductBM!$P:$P,0))="","",INDEX(F_ProductBM!M:M,MATCH($P746,F_ProductBM!$P:$P,0))))</f>
        <v/>
      </c>
      <c r="N746" s="831"/>
      <c r="O746" s="20"/>
      <c r="P746" s="351" t="str">
        <f>EUconst_CNTR_WGConsumed &amp; I709</f>
        <v>WasteGasCons_</v>
      </c>
      <c r="Q746" s="422"/>
      <c r="R746" s="422"/>
      <c r="S746" s="422"/>
      <c r="T746" s="8"/>
    </row>
    <row r="747" spans="1:20" s="701" customFormat="1" x14ac:dyDescent="0.2">
      <c r="A747" s="422"/>
      <c r="B747" s="398"/>
      <c r="C747" s="398"/>
      <c r="D747" s="398"/>
      <c r="E747" s="1743" t="str">
        <f>Translations!$B$784</f>
        <v>Właściwy współczynnik emisji (gazy odlotowe zużyte)</v>
      </c>
      <c r="F747" s="1744"/>
      <c r="G747" s="1744"/>
      <c r="H747" s="473" t="str">
        <f>EUconst_tCO2pTJ</f>
        <v>t CO2 / TJ</v>
      </c>
      <c r="I747" s="1005" t="str">
        <f>IF($I709="","",IF(INDEX(F_ProductBM!I:I,MATCH($P747,F_ProductBM!$P:$P,0))="","",INDEX(F_ProductBM!I:I,MATCH($P747,F_ProductBM!$P:$P,0))))</f>
        <v/>
      </c>
      <c r="J747" s="1005" t="str">
        <f>IF($I709="","",IF(INDEX(F_ProductBM!J:J,MATCH($P747,F_ProductBM!$P:$P,0))="","",INDEX(F_ProductBM!J:J,MATCH($P747,F_ProductBM!$P:$P,0))))</f>
        <v/>
      </c>
      <c r="K747" s="1005" t="str">
        <f>IF($I709="","",IF(INDEX(F_ProductBM!K:K,MATCH($P747,F_ProductBM!$P:$P,0))="","",INDEX(F_ProductBM!K:K,MATCH($P747,F_ProductBM!$P:$P,0))))</f>
        <v/>
      </c>
      <c r="L747" s="1005" t="str">
        <f>IF($I709="","",IF(INDEX(F_ProductBM!L:L,MATCH($P747,F_ProductBM!$P:$P,0))="","",INDEX(F_ProductBM!L:L,MATCH($P747,F_ProductBM!$P:$P,0))))</f>
        <v/>
      </c>
      <c r="M747" s="1005" t="str">
        <f>IF($I709="","",IF(INDEX(F_ProductBM!M:M,MATCH($P747,F_ProductBM!$P:$P,0))="","",INDEX(F_ProductBM!M:M,MATCH($P747,F_ProductBM!$P:$P,0))))</f>
        <v/>
      </c>
      <c r="N747" s="831"/>
      <c r="O747" s="20"/>
      <c r="P747" s="351" t="str">
        <f>EUconst_CNTR_WGConsumedEF &amp; I709</f>
        <v>WasteGasConsEF_</v>
      </c>
      <c r="Q747" s="422"/>
      <c r="R747" s="422"/>
      <c r="S747" s="422"/>
      <c r="T747" s="8"/>
    </row>
    <row r="748" spans="1:20" s="701" customFormat="1" x14ac:dyDescent="0.2">
      <c r="A748" s="422"/>
      <c r="B748" s="398"/>
      <c r="C748" s="398"/>
      <c r="D748" s="398"/>
      <c r="E748" s="1766" t="str">
        <f>Translations!$B$790</f>
        <v>Gazy odlotowe spalone na pochodniach</v>
      </c>
      <c r="F748" s="1767"/>
      <c r="G748" s="1767"/>
      <c r="H748" s="454" t="str">
        <f>EUconst_TJpa</f>
        <v>TJ / rok</v>
      </c>
      <c r="I748" s="1004" t="str">
        <f>IF($I709="","",IF(INDEX(F_ProductBM!I:I,MATCH($P748,F_ProductBM!$P:$P,0))="","",INDEX(F_ProductBM!I:I,MATCH($P748,F_ProductBM!$P:$P,0))))</f>
        <v/>
      </c>
      <c r="J748" s="1004" t="str">
        <f>IF($I709="","",IF(INDEX(F_ProductBM!J:J,MATCH($P748,F_ProductBM!$P:$P,0))="","",INDEX(F_ProductBM!J:J,MATCH($P748,F_ProductBM!$P:$P,0))))</f>
        <v/>
      </c>
      <c r="K748" s="1004" t="str">
        <f>IF($I709="","",IF(INDEX(F_ProductBM!K:K,MATCH($P748,F_ProductBM!$P:$P,0))="","",INDEX(F_ProductBM!K:K,MATCH($P748,F_ProductBM!$P:$P,0))))</f>
        <v/>
      </c>
      <c r="L748" s="1004" t="str">
        <f>IF($I709="","",IF(INDEX(F_ProductBM!L:L,MATCH($P748,F_ProductBM!$P:$P,0))="","",INDEX(F_ProductBM!L:L,MATCH($P748,F_ProductBM!$P:$P,0))))</f>
        <v/>
      </c>
      <c r="M748" s="1004" t="str">
        <f>IF($I709="","",IF(INDEX(F_ProductBM!M:M,MATCH($P748,F_ProductBM!$P:$P,0))="","",INDEX(F_ProductBM!M:M,MATCH($P748,F_ProductBM!$P:$P,0))))</f>
        <v/>
      </c>
      <c r="N748" s="831"/>
      <c r="O748" s="20"/>
      <c r="P748" s="351" t="str">
        <f>EUconst_CNTR_WGFlared &amp; I709</f>
        <v>WasteGasFlare_</v>
      </c>
      <c r="Q748" s="422"/>
      <c r="R748" s="422"/>
      <c r="S748" s="422"/>
      <c r="T748" s="8"/>
    </row>
    <row r="749" spans="1:20" s="701" customFormat="1" x14ac:dyDescent="0.2">
      <c r="A749" s="422"/>
      <c r="B749" s="398"/>
      <c r="C749" s="398"/>
      <c r="D749" s="398"/>
      <c r="E749" s="1743" t="str">
        <f>Translations!$B$791</f>
        <v>Właściwy współczynnik emisji (gazy odlotowe spalone na pochodniach)</v>
      </c>
      <c r="F749" s="1744"/>
      <c r="G749" s="1744"/>
      <c r="H749" s="473" t="str">
        <f>EUconst_tCO2pTJ</f>
        <v>t CO2 / TJ</v>
      </c>
      <c r="I749" s="1005" t="str">
        <f>IF($I709="","",IF(INDEX(F_ProductBM!I:I,MATCH($P749,F_ProductBM!$P:$P,0))="","",INDEX(F_ProductBM!I:I,MATCH($P749,F_ProductBM!$P:$P,0))))</f>
        <v/>
      </c>
      <c r="J749" s="1005" t="str">
        <f>IF($I709="","",IF(INDEX(F_ProductBM!J:J,MATCH($P749,F_ProductBM!$P:$P,0))="","",INDEX(F_ProductBM!J:J,MATCH($P749,F_ProductBM!$P:$P,0))))</f>
        <v/>
      </c>
      <c r="K749" s="1005" t="str">
        <f>IF($I709="","",IF(INDEX(F_ProductBM!K:K,MATCH($P749,F_ProductBM!$P:$P,0))="","",INDEX(F_ProductBM!K:K,MATCH($P749,F_ProductBM!$P:$P,0))))</f>
        <v/>
      </c>
      <c r="L749" s="1005" t="str">
        <f>IF($I709="","",IF(INDEX(F_ProductBM!L:L,MATCH($P749,F_ProductBM!$P:$P,0))="","",INDEX(F_ProductBM!L:L,MATCH($P749,F_ProductBM!$P:$P,0))))</f>
        <v/>
      </c>
      <c r="M749" s="1005" t="str">
        <f>IF($I709="","",IF(INDEX(F_ProductBM!M:M,MATCH($P749,F_ProductBM!$P:$P,0))="","",INDEX(F_ProductBM!M:M,MATCH($P749,F_ProductBM!$P:$P,0))))</f>
        <v/>
      </c>
      <c r="N749" s="831"/>
      <c r="O749" s="20"/>
      <c r="P749" s="351" t="str">
        <f>EUconst_CNTR_WGFlaredEF &amp; I709</f>
        <v>WasteGasFlareEF_</v>
      </c>
      <c r="Q749" s="422"/>
      <c r="R749" s="422"/>
      <c r="S749" s="422"/>
      <c r="T749" s="8"/>
    </row>
    <row r="750" spans="1:20" s="701" customFormat="1" x14ac:dyDescent="0.2">
      <c r="A750" s="422"/>
      <c r="B750" s="398"/>
      <c r="C750" s="398"/>
      <c r="D750" s="398"/>
      <c r="E750" s="1766" t="str">
        <f>Translations!$B$796</f>
        <v>Gazy odlotowe wprowadzone</v>
      </c>
      <c r="F750" s="1767"/>
      <c r="G750" s="1767"/>
      <c r="H750" s="454" t="str">
        <f>EUconst_TJpa</f>
        <v>TJ / rok</v>
      </c>
      <c r="I750" s="1004" t="str">
        <f>IF($I709="","",IF(INDEX(F_ProductBM!I:I,MATCH($P750,F_ProductBM!$P:$P,0))="","",INDEX(F_ProductBM!I:I,MATCH($P750,F_ProductBM!$P:$P,0))))</f>
        <v/>
      </c>
      <c r="J750" s="1004" t="str">
        <f>IF($I709="","",IF(INDEX(F_ProductBM!J:J,MATCH($P750,F_ProductBM!$P:$P,0))="","",INDEX(F_ProductBM!J:J,MATCH($P750,F_ProductBM!$P:$P,0))))</f>
        <v/>
      </c>
      <c r="K750" s="1004" t="str">
        <f>IF($I709="","",IF(INDEX(F_ProductBM!K:K,MATCH($P750,F_ProductBM!$P:$P,0))="","",INDEX(F_ProductBM!K:K,MATCH($P750,F_ProductBM!$P:$P,0))))</f>
        <v/>
      </c>
      <c r="L750" s="1004" t="str">
        <f>IF($I709="","",IF(INDEX(F_ProductBM!L:L,MATCH($P750,F_ProductBM!$P:$P,0))="","",INDEX(F_ProductBM!L:L,MATCH($P750,F_ProductBM!$P:$P,0))))</f>
        <v/>
      </c>
      <c r="M750" s="1004" t="str">
        <f>IF($I709="","",IF(INDEX(F_ProductBM!M:M,MATCH($P750,F_ProductBM!$P:$P,0))="","",INDEX(F_ProductBM!M:M,MATCH($P750,F_ProductBM!$P:$P,0))))</f>
        <v/>
      </c>
      <c r="N750" s="831"/>
      <c r="O750" s="20"/>
      <c r="P750" s="351" t="str">
        <f>EUconst_CNTR_WGImport &amp; I709</f>
        <v>WasteGasIm_</v>
      </c>
      <c r="Q750" s="422"/>
      <c r="R750" s="422"/>
      <c r="S750" s="422"/>
      <c r="T750" s="8"/>
    </row>
    <row r="751" spans="1:20" s="701" customFormat="1" x14ac:dyDescent="0.2">
      <c r="A751" s="422"/>
      <c r="B751" s="398"/>
      <c r="C751" s="398"/>
      <c r="D751" s="398"/>
      <c r="E751" s="1743" t="str">
        <f>Translations!$B$797</f>
        <v>Właściwy współczynnik emisji (gazy odlotowe wprowadzone)</v>
      </c>
      <c r="F751" s="1743"/>
      <c r="G751" s="1743"/>
      <c r="H751" s="832" t="str">
        <f>EUconst_tCO2pTJ</f>
        <v>t CO2 / TJ</v>
      </c>
      <c r="I751" s="1005" t="str">
        <f>IF($I709="","",IF(INDEX(F_ProductBM!I:I,MATCH($P751,F_ProductBM!$P:$P,0))="","",INDEX(F_ProductBM!I:I,MATCH($P751,F_ProductBM!$P:$P,0))))</f>
        <v/>
      </c>
      <c r="J751" s="1005" t="str">
        <f>IF($I709="","",IF(INDEX(F_ProductBM!J:J,MATCH($P751,F_ProductBM!$P:$P,0))="","",INDEX(F_ProductBM!J:J,MATCH($P751,F_ProductBM!$P:$P,0))))</f>
        <v/>
      </c>
      <c r="K751" s="1005" t="str">
        <f>IF($I709="","",IF(INDEX(F_ProductBM!K:K,MATCH($P751,F_ProductBM!$P:$P,0))="","",INDEX(F_ProductBM!K:K,MATCH($P751,F_ProductBM!$P:$P,0))))</f>
        <v/>
      </c>
      <c r="L751" s="1005" t="str">
        <f>IF($I709="","",IF(INDEX(F_ProductBM!L:L,MATCH($P751,F_ProductBM!$P:$P,0))="","",INDEX(F_ProductBM!L:L,MATCH($P751,F_ProductBM!$P:$P,0))))</f>
        <v/>
      </c>
      <c r="M751" s="1005" t="str">
        <f>IF($I709="","",IF(INDEX(F_ProductBM!M:M,MATCH($P751,F_ProductBM!$P:$P,0))="","",INDEX(F_ProductBM!M:M,MATCH($P751,F_ProductBM!$P:$P,0))))</f>
        <v/>
      </c>
      <c r="N751" s="831"/>
      <c r="O751" s="20"/>
      <c r="P751" s="351" t="str">
        <f>EUconst_CNTR_WGImportEF &amp; I709</f>
        <v>WasteGasImEF_</v>
      </c>
      <c r="Q751" s="422"/>
      <c r="R751" s="422"/>
      <c r="S751" s="422"/>
      <c r="T751" s="8"/>
    </row>
    <row r="752" spans="1:20" s="701" customFormat="1" x14ac:dyDescent="0.2">
      <c r="A752" s="422"/>
      <c r="B752" s="398"/>
      <c r="C752" s="398"/>
      <c r="D752" s="398"/>
      <c r="E752" s="1766" t="str">
        <f>Translations!$B$801</f>
        <v>Gazy odlotowe wyprowadzone</v>
      </c>
      <c r="F752" s="1767"/>
      <c r="G752" s="1767"/>
      <c r="H752" s="454" t="str">
        <f>EUconst_TJpa</f>
        <v>TJ / rok</v>
      </c>
      <c r="I752" s="1004" t="str">
        <f>IF($I709="","",IF(INDEX(F_ProductBM!I:I,MATCH($P752,F_ProductBM!$P:$P,0))="","",INDEX(F_ProductBM!I:I,MATCH($P752,F_ProductBM!$P:$P,0))))</f>
        <v/>
      </c>
      <c r="J752" s="1004" t="str">
        <f>IF($I709="","",IF(INDEX(F_ProductBM!J:J,MATCH($P752,F_ProductBM!$P:$P,0))="","",INDEX(F_ProductBM!J:J,MATCH($P752,F_ProductBM!$P:$P,0))))</f>
        <v/>
      </c>
      <c r="K752" s="1004" t="str">
        <f>IF($I709="","",IF(INDEX(F_ProductBM!K:K,MATCH($P752,F_ProductBM!$P:$P,0))="","",INDEX(F_ProductBM!K:K,MATCH($P752,F_ProductBM!$P:$P,0))))</f>
        <v/>
      </c>
      <c r="L752" s="1004" t="str">
        <f>IF($I709="","",IF(INDEX(F_ProductBM!L:L,MATCH($P752,F_ProductBM!$P:$P,0))="","",INDEX(F_ProductBM!L:L,MATCH($P752,F_ProductBM!$P:$P,0))))</f>
        <v/>
      </c>
      <c r="M752" s="1004" t="str">
        <f>IF($I709="","",IF(INDEX(F_ProductBM!M:M,MATCH($P752,F_ProductBM!$P:$P,0))="","",INDEX(F_ProductBM!M:M,MATCH($P752,F_ProductBM!$P:$P,0))))</f>
        <v/>
      </c>
      <c r="N752" s="831"/>
      <c r="O752" s="20"/>
      <c r="P752" s="351" t="str">
        <f>EUconst_CNTR_WGExport &amp; I709</f>
        <v>WasteGasEx_</v>
      </c>
      <c r="Q752" s="422"/>
      <c r="R752" s="422"/>
      <c r="S752" s="422"/>
      <c r="T752" s="8"/>
    </row>
    <row r="753" spans="1:20" s="701" customFormat="1" x14ac:dyDescent="0.2">
      <c r="A753" s="422"/>
      <c r="B753" s="398"/>
      <c r="C753" s="398"/>
      <c r="D753" s="398"/>
      <c r="E753" s="1743" t="str">
        <f>Translations!$B$802</f>
        <v>Właściwy współczynnik emisji (gazy odlotowe wyprowadzone)</v>
      </c>
      <c r="F753" s="1743"/>
      <c r="G753" s="1743"/>
      <c r="H753" s="832" t="str">
        <f>EUconst_tCO2pTJ</f>
        <v>t CO2 / TJ</v>
      </c>
      <c r="I753" s="1005" t="str">
        <f>IF($I709="","",IF(INDEX(F_ProductBM!I:I,MATCH($P753,F_ProductBM!$P:$P,0))="","",INDEX(F_ProductBM!I:I,MATCH($P753,F_ProductBM!$P:$P,0))))</f>
        <v/>
      </c>
      <c r="J753" s="1005" t="str">
        <f>IF($I709="","",IF(INDEX(F_ProductBM!J:J,MATCH($P753,F_ProductBM!$P:$P,0))="","",INDEX(F_ProductBM!J:J,MATCH($P753,F_ProductBM!$P:$P,0))))</f>
        <v/>
      </c>
      <c r="K753" s="1005" t="str">
        <f>IF($I709="","",IF(INDEX(F_ProductBM!K:K,MATCH($P753,F_ProductBM!$P:$P,0))="","",INDEX(F_ProductBM!K:K,MATCH($P753,F_ProductBM!$P:$P,0))))</f>
        <v/>
      </c>
      <c r="L753" s="1005" t="str">
        <f>IF($I709="","",IF(INDEX(F_ProductBM!L:L,MATCH($P753,F_ProductBM!$P:$P,0))="","",INDEX(F_ProductBM!L:L,MATCH($P753,F_ProductBM!$P:$P,0))))</f>
        <v/>
      </c>
      <c r="M753" s="1005" t="str">
        <f>IF($I709="","",IF(INDEX(F_ProductBM!M:M,MATCH($P753,F_ProductBM!$P:$P,0))="","",INDEX(F_ProductBM!M:M,MATCH($P753,F_ProductBM!$P:$P,0))))</f>
        <v/>
      </c>
      <c r="N753" s="831"/>
      <c r="O753" s="20"/>
      <c r="P753" s="351" t="str">
        <f>EUconst_CNTR_WGExportEF &amp; I709</f>
        <v>WasteGasExEF_</v>
      </c>
      <c r="Q753" s="422"/>
      <c r="R753" s="422"/>
      <c r="S753" s="422"/>
      <c r="T753" s="8"/>
    </row>
    <row r="754" spans="1:20" s="701" customFormat="1" x14ac:dyDescent="0.2">
      <c r="A754" s="422"/>
      <c r="B754" s="398"/>
      <c r="C754" s="398"/>
      <c r="D754" s="398"/>
      <c r="E754" s="516"/>
      <c r="F754" s="516"/>
      <c r="G754" s="516"/>
      <c r="H754" s="516"/>
      <c r="I754" s="1006"/>
      <c r="J754" s="1006"/>
      <c r="K754" s="1006"/>
      <c r="L754" s="1006"/>
      <c r="M754" s="1006"/>
      <c r="N754" s="831"/>
      <c r="O754" s="20"/>
      <c r="P754" s="182"/>
      <c r="Q754" s="422"/>
      <c r="R754" s="422"/>
      <c r="S754" s="422"/>
      <c r="T754" s="8"/>
    </row>
    <row r="755" spans="1:20" s="701" customFormat="1" x14ac:dyDescent="0.2">
      <c r="A755" s="422"/>
      <c r="B755" s="398"/>
      <c r="C755" s="398"/>
      <c r="D755" s="398"/>
      <c r="E755" s="1739" t="str">
        <f>Translations!$B$689</f>
        <v>Odpowiednie zużycie energii elektrycznej</v>
      </c>
      <c r="F755" s="1740"/>
      <c r="G755" s="1740"/>
      <c r="H755" s="453" t="str">
        <f>EUconst_MWhpa</f>
        <v>MWh / rok</v>
      </c>
      <c r="I755" s="1007" t="str">
        <f>IF($I709="","",IF(INDEX(F_ProductBM!I:I,MATCH($P755,F_ProductBM!$Q:$Q,0))="","",INDEX(F_ProductBM!I:I,MATCH($P755,F_ProductBM!$Q:$Q,0))))</f>
        <v/>
      </c>
      <c r="J755" s="1007" t="str">
        <f>IF($I709="","",IF(INDEX(F_ProductBM!J:J,MATCH($P755,F_ProductBM!$Q:$Q,0))="","",INDEX(F_ProductBM!J:J,MATCH($P755,F_ProductBM!$Q:$Q,0))))</f>
        <v/>
      </c>
      <c r="K755" s="1007" t="str">
        <f>IF($I709="","",IF(INDEX(F_ProductBM!K:K,MATCH($P755,F_ProductBM!$Q:$Q,0))="","",INDEX(F_ProductBM!K:K,MATCH($P755,F_ProductBM!$Q:$Q,0))))</f>
        <v/>
      </c>
      <c r="L755" s="1007" t="str">
        <f>IF($I709="","",IF(INDEX(F_ProductBM!L:L,MATCH($P755,F_ProductBM!$Q:$Q,0))="","",INDEX(F_ProductBM!L:L,MATCH($P755,F_ProductBM!$Q:$Q,0))))</f>
        <v/>
      </c>
      <c r="M755" s="1007" t="str">
        <f>IF($I709="","",IF(INDEX(F_ProductBM!M:M,MATCH($P755,F_ProductBM!$Q:$Q,0))="","",INDEX(F_ProductBM!M:M,MATCH($P755,F_ProductBM!$Q:$Q,0))))</f>
        <v/>
      </c>
      <c r="N755" s="831"/>
      <c r="O755" s="20"/>
      <c r="P755" s="185" t="str">
        <f>EUconst_CNTR_HAL&amp;EUconst_CNTR_ELEXCH &amp; I709</f>
        <v>HAL_ELEXCH_</v>
      </c>
      <c r="Q755" s="422"/>
      <c r="R755" s="422"/>
      <c r="S755" s="422"/>
      <c r="T755" s="8"/>
    </row>
    <row r="756" spans="1:20" s="701" customFormat="1" x14ac:dyDescent="0.2">
      <c r="A756" s="422"/>
      <c r="B756" s="398"/>
      <c r="C756" s="398"/>
      <c r="D756" s="398"/>
      <c r="E756" s="1739" t="str">
        <f>Translations!$B$805</f>
        <v>Energia elektryczna wytworzona</v>
      </c>
      <c r="F756" s="1740"/>
      <c r="G756" s="1740"/>
      <c r="H756" s="453" t="str">
        <f>EUconst_MWhpa</f>
        <v>MWh / rok</v>
      </c>
      <c r="I756" s="1007" t="str">
        <f>IF($I709="","",IF(INDEX(F_ProductBM!I:I,MATCH($P756,F_ProductBM!$P:$P,0))="","",INDEX(F_ProductBM!I:I,MATCH($P756,F_ProductBM!$P:$P,0))))</f>
        <v/>
      </c>
      <c r="J756" s="1007" t="str">
        <f>IF($I709="","",IF(INDEX(F_ProductBM!J:J,MATCH($P756,F_ProductBM!$P:$P,0))="","",INDEX(F_ProductBM!J:J,MATCH($P756,F_ProductBM!$P:$P,0))))</f>
        <v/>
      </c>
      <c r="K756" s="1007" t="str">
        <f>IF($I709="","",IF(INDEX(F_ProductBM!K:K,MATCH($P756,F_ProductBM!$P:$P,0))="","",INDEX(F_ProductBM!K:K,MATCH($P756,F_ProductBM!$P:$P,0))))</f>
        <v/>
      </c>
      <c r="L756" s="1007" t="str">
        <f>IF($I709="","",IF(INDEX(F_ProductBM!L:L,MATCH($P756,F_ProductBM!$P:$P,0))="","",INDEX(F_ProductBM!L:L,MATCH($P756,F_ProductBM!$P:$P,0))))</f>
        <v/>
      </c>
      <c r="M756" s="1007" t="str">
        <f>IF($I709="","",IF(INDEX(F_ProductBM!M:M,MATCH($P756,F_ProductBM!$P:$P,0))="","",INDEX(F_ProductBM!M:M,MATCH($P756,F_ProductBM!$P:$P,0))))</f>
        <v/>
      </c>
      <c r="N756" s="831"/>
      <c r="O756" s="20"/>
      <c r="P756" s="351" t="str">
        <f>EUconst_CNTR_ElectricityExported &amp; I709</f>
        <v>ElecEx_</v>
      </c>
      <c r="Q756" s="422"/>
      <c r="R756" s="422"/>
      <c r="S756" s="422"/>
      <c r="T756" s="8"/>
    </row>
    <row r="757" spans="1:20" s="701" customFormat="1" x14ac:dyDescent="0.2">
      <c r="A757" s="422"/>
      <c r="B757" s="398"/>
      <c r="C757" s="398"/>
      <c r="D757" s="398"/>
      <c r="E757" s="516"/>
      <c r="F757" s="516"/>
      <c r="G757" s="516"/>
      <c r="H757" s="516"/>
      <c r="I757" s="1006"/>
      <c r="J757" s="1006"/>
      <c r="K757" s="1006"/>
      <c r="L757" s="1006"/>
      <c r="M757" s="1006"/>
      <c r="N757" s="831"/>
      <c r="O757" s="20"/>
      <c r="P757" s="182"/>
      <c r="Q757" s="422"/>
      <c r="R757" s="422"/>
      <c r="S757" s="422"/>
      <c r="T757" s="8"/>
    </row>
    <row r="758" spans="1:20" s="701" customFormat="1" x14ac:dyDescent="0.2">
      <c r="A758" s="422"/>
      <c r="B758" s="398"/>
      <c r="C758" s="398"/>
      <c r="D758" s="398"/>
      <c r="E758" s="1739" t="str">
        <f>Translations!$B$806</f>
        <v>Całkowita ilość wyprodukowanej masy celulozowej</v>
      </c>
      <c r="F758" s="1740"/>
      <c r="G758" s="1740"/>
      <c r="H758" s="453" t="str">
        <f>EUconst_Tons</f>
        <v>tony</v>
      </c>
      <c r="I758" s="1007" t="str">
        <f>IF($I709="","",IF(INDEX(F_ProductBM!I:I,MATCH($P758,F_ProductBM!$P:$P,0))="","",INDEX(F_ProductBM!I:I,MATCH($P758,F_ProductBM!$P:$P,0))))</f>
        <v/>
      </c>
      <c r="J758" s="1007" t="str">
        <f>IF($I709="","",IF(INDEX(F_ProductBM!J:J,MATCH($P758,F_ProductBM!$P:$P,0))="","",INDEX(F_ProductBM!J:J,MATCH($P758,F_ProductBM!$P:$P,0))))</f>
        <v/>
      </c>
      <c r="K758" s="1007" t="str">
        <f>IF($I709="","",IF(INDEX(F_ProductBM!K:K,MATCH($P758,F_ProductBM!$P:$P,0))="","",INDEX(F_ProductBM!K:K,MATCH($P758,F_ProductBM!$P:$P,0))))</f>
        <v/>
      </c>
      <c r="L758" s="1007" t="str">
        <f>IF($I709="","",IF(INDEX(F_ProductBM!L:L,MATCH($P758,F_ProductBM!$P:$P,0))="","",INDEX(F_ProductBM!L:L,MATCH($P758,F_ProductBM!$P:$P,0))))</f>
        <v/>
      </c>
      <c r="M758" s="1007" t="str">
        <f>IF($I709="","",IF(INDEX(F_ProductBM!M:M,MATCH($P758,F_ProductBM!$P:$P,0))="","",INDEX(F_ProductBM!M:M,MATCH($P758,F_ProductBM!$P:$P,0))))</f>
        <v/>
      </c>
      <c r="N758" s="831"/>
      <c r="O758" s="20"/>
      <c r="P758" s="351" t="str">
        <f>EUconst_CNTR_HALPulpTotal &amp; I709</f>
        <v>HALPulpTotal_</v>
      </c>
      <c r="Q758" s="422"/>
      <c r="R758" s="422"/>
      <c r="S758" s="422"/>
      <c r="T758" s="8"/>
    </row>
    <row r="759" spans="1:20" s="701" customFormat="1" x14ac:dyDescent="0.2">
      <c r="A759" s="422"/>
      <c r="B759" s="398"/>
      <c r="C759" s="398"/>
      <c r="D759" s="398"/>
      <c r="E759" s="516"/>
      <c r="F759" s="516"/>
      <c r="G759" s="516"/>
      <c r="H759" s="516"/>
      <c r="I759" s="1006"/>
      <c r="J759" s="1006"/>
      <c r="K759" s="1006"/>
      <c r="L759" s="1006"/>
      <c r="M759" s="1006"/>
      <c r="N759" s="831"/>
      <c r="O759" s="20"/>
      <c r="P759" s="182"/>
      <c r="Q759" s="422"/>
      <c r="R759" s="422"/>
      <c r="S759" s="422"/>
      <c r="T759" s="8"/>
    </row>
    <row r="760" spans="1:20" s="701" customFormat="1" x14ac:dyDescent="0.2">
      <c r="A760" s="422"/>
      <c r="B760" s="398"/>
      <c r="C760" s="398"/>
      <c r="D760" s="398"/>
      <c r="E760" s="1268" t="str">
        <f>Translations!$B$1239</f>
        <v>Wprowadzanie pośrednie:</v>
      </c>
      <c r="F760" s="516"/>
      <c r="G760" s="516"/>
      <c r="H760" s="516"/>
      <c r="I760" s="1006"/>
      <c r="J760" s="1006"/>
      <c r="K760" s="1006"/>
      <c r="L760" s="1006"/>
      <c r="M760" s="1006"/>
      <c r="N760" s="831"/>
      <c r="O760" s="20"/>
      <c r="P760" s="182"/>
      <c r="Q760" s="422"/>
      <c r="R760" s="422"/>
      <c r="S760" s="422"/>
      <c r="T760" s="8"/>
    </row>
    <row r="761" spans="1:20" s="701" customFormat="1" x14ac:dyDescent="0.2">
      <c r="A761" s="422"/>
      <c r="B761" s="398"/>
      <c r="C761" s="398"/>
      <c r="D761" s="398"/>
      <c r="E761" s="1762" t="str">
        <f>IF($I709="","",IF(INDEX(F_ProductBM!E:E,MATCH($P761,F_ProductBM!$P:$P,0))="","",INDEX(F_ProductBM!E:E,MATCH($P761,F_ProductBM!$P:$P,0))))</f>
        <v/>
      </c>
      <c r="F761" s="1762"/>
      <c r="G761" s="1762"/>
      <c r="H761" s="453" t="str">
        <f>EUconst_Tons</f>
        <v>tony</v>
      </c>
      <c r="I761" s="1007" t="str">
        <f>IF($I709="","",IF(INDEX(F_ProductBM!I:I,MATCH($P761,F_ProductBM!$P:$P,0))="","",INDEX(F_ProductBM!I:I,MATCH($P761,F_ProductBM!$P:$P,0))))</f>
        <v/>
      </c>
      <c r="J761" s="1007" t="str">
        <f>IF($I709="","",IF(INDEX(F_ProductBM!J:J,MATCH($P761,F_ProductBM!$P:$P,0))="","",INDEX(F_ProductBM!J:J,MATCH($P761,F_ProductBM!$P:$P,0))))</f>
        <v/>
      </c>
      <c r="K761" s="1007" t="str">
        <f>IF($I709="","",IF(INDEX(F_ProductBM!K:K,MATCH($P761,F_ProductBM!$P:$P,0))="","",INDEX(F_ProductBM!K:K,MATCH($P761,F_ProductBM!$P:$P,0))))</f>
        <v/>
      </c>
      <c r="L761" s="1007" t="str">
        <f>IF($I709="","",IF(INDEX(F_ProductBM!L:L,MATCH($P761,F_ProductBM!$P:$P,0))="","",INDEX(F_ProductBM!L:L,MATCH($P761,F_ProductBM!$P:$P,0))))</f>
        <v/>
      </c>
      <c r="M761" s="1007" t="str">
        <f>IF($I709="","",IF(INDEX(F_ProductBM!M:M,MATCH($P761,F_ProductBM!$P:$P,0))="","",INDEX(F_ProductBM!M:M,MATCH($P761,F_ProductBM!$P:$P,0))))</f>
        <v/>
      </c>
      <c r="N761" s="831"/>
      <c r="O761" s="20"/>
      <c r="P761" s="351" t="str">
        <f>EUconst_CNTR_IntermediateImport &amp; R761 &amp; "_" &amp; I709</f>
        <v>IntImp_1_</v>
      </c>
      <c r="Q761" s="422"/>
      <c r="R761" s="879">
        <v>1</v>
      </c>
      <c r="S761" s="422"/>
      <c r="T761" s="8"/>
    </row>
    <row r="762" spans="1:20" s="701" customFormat="1" x14ac:dyDescent="0.2">
      <c r="A762" s="422"/>
      <c r="B762" s="398"/>
      <c r="C762" s="398"/>
      <c r="D762" s="398"/>
      <c r="E762" s="1762" t="str">
        <f>IF($I709="","",IF(INDEX(F_ProductBM!E:E,MATCH($P762,F_ProductBM!$P:$P,0))="","",INDEX(F_ProductBM!E:E,MATCH($P762,F_ProductBM!$P:$P,0))))</f>
        <v/>
      </c>
      <c r="F762" s="1762"/>
      <c r="G762" s="1762"/>
      <c r="H762" s="453" t="str">
        <f>EUconst_Tons</f>
        <v>tony</v>
      </c>
      <c r="I762" s="1007" t="str">
        <f>IF($I709="","",IF(INDEX(F_ProductBM!I:I,MATCH($P762,F_ProductBM!$P:$P,0))="","",INDEX(F_ProductBM!I:I,MATCH($P762,F_ProductBM!$P:$P,0))))</f>
        <v/>
      </c>
      <c r="J762" s="1007" t="str">
        <f>IF($I709="","",IF(INDEX(F_ProductBM!J:J,MATCH($P762,F_ProductBM!$P:$P,0))="","",INDEX(F_ProductBM!J:J,MATCH($P762,F_ProductBM!$P:$P,0))))</f>
        <v/>
      </c>
      <c r="K762" s="1007" t="str">
        <f>IF($I709="","",IF(INDEX(F_ProductBM!K:K,MATCH($P762,F_ProductBM!$P:$P,0))="","",INDEX(F_ProductBM!K:K,MATCH($P762,F_ProductBM!$P:$P,0))))</f>
        <v/>
      </c>
      <c r="L762" s="1007" t="str">
        <f>IF($I709="","",IF(INDEX(F_ProductBM!L:L,MATCH($P762,F_ProductBM!$P:$P,0))="","",INDEX(F_ProductBM!L:L,MATCH($P762,F_ProductBM!$P:$P,0))))</f>
        <v/>
      </c>
      <c r="M762" s="1007" t="str">
        <f>IF($I709="","",IF(INDEX(F_ProductBM!M:M,MATCH($P762,F_ProductBM!$P:$P,0))="","",INDEX(F_ProductBM!M:M,MATCH($P762,F_ProductBM!$P:$P,0))))</f>
        <v/>
      </c>
      <c r="N762" s="831"/>
      <c r="O762" s="20"/>
      <c r="P762" s="351" t="str">
        <f>EUconst_CNTR_IntermediateImport &amp; R762 &amp; "_" &amp; I709</f>
        <v>IntImp_2_</v>
      </c>
      <c r="Q762" s="422"/>
      <c r="R762" s="879">
        <v>2</v>
      </c>
      <c r="S762" s="422"/>
      <c r="T762" s="8"/>
    </row>
    <row r="763" spans="1:20" s="701" customFormat="1" x14ac:dyDescent="0.2">
      <c r="A763" s="422"/>
      <c r="B763" s="398"/>
      <c r="C763" s="398"/>
      <c r="D763" s="398"/>
      <c r="E763" s="1268" t="str">
        <f>Translations!$B$1240</f>
        <v>Wyprowadzanie pośrednie:</v>
      </c>
      <c r="F763" s="516"/>
      <c r="G763" s="516"/>
      <c r="H763" s="516"/>
      <c r="I763" s="1006"/>
      <c r="J763" s="1006"/>
      <c r="K763" s="1006"/>
      <c r="L763" s="1006"/>
      <c r="M763" s="1006"/>
      <c r="N763" s="831"/>
      <c r="O763" s="20"/>
      <c r="P763" s="182"/>
      <c r="Q763" s="422"/>
      <c r="R763" s="422"/>
      <c r="S763" s="422"/>
      <c r="T763" s="8"/>
    </row>
    <row r="764" spans="1:20" s="701" customFormat="1" x14ac:dyDescent="0.2">
      <c r="A764" s="422"/>
      <c r="B764" s="398"/>
      <c r="C764" s="398"/>
      <c r="D764" s="398"/>
      <c r="E764" s="1762" t="str">
        <f>IF($I709="","",IF(INDEX(F_ProductBM!E:E,MATCH($P764,F_ProductBM!$P:$P,0))="","",INDEX(F_ProductBM!E:E,MATCH($P764,F_ProductBM!$P:$P,0))))</f>
        <v/>
      </c>
      <c r="F764" s="1762"/>
      <c r="G764" s="1762"/>
      <c r="H764" s="453" t="str">
        <f>EUconst_Tons</f>
        <v>tony</v>
      </c>
      <c r="I764" s="1007" t="str">
        <f>IF($I709="","",IF(INDEX(F_ProductBM!I:I,MATCH($P764,F_ProductBM!$P:$P,0))="","",INDEX(F_ProductBM!I:I,MATCH($P764,F_ProductBM!$P:$P,0))))</f>
        <v/>
      </c>
      <c r="J764" s="1007" t="str">
        <f>IF($I709="","",IF(INDEX(F_ProductBM!J:J,MATCH($P764,F_ProductBM!$P:$P,0))="","",INDEX(F_ProductBM!J:J,MATCH($P764,F_ProductBM!$P:$P,0))))</f>
        <v/>
      </c>
      <c r="K764" s="1007" t="str">
        <f>IF($I709="","",IF(INDEX(F_ProductBM!K:K,MATCH($P764,F_ProductBM!$P:$P,0))="","",INDEX(F_ProductBM!K:K,MATCH($P764,F_ProductBM!$P:$P,0))))</f>
        <v/>
      </c>
      <c r="L764" s="1007" t="str">
        <f>IF($I709="","",IF(INDEX(F_ProductBM!L:L,MATCH($P764,F_ProductBM!$P:$P,0))="","",INDEX(F_ProductBM!L:L,MATCH($P764,F_ProductBM!$P:$P,0))))</f>
        <v/>
      </c>
      <c r="M764" s="1007" t="str">
        <f>IF($I709="","",IF(INDEX(F_ProductBM!M:M,MATCH($P764,F_ProductBM!$P:$P,0))="","",INDEX(F_ProductBM!M:M,MATCH($P764,F_ProductBM!$P:$P,0))))</f>
        <v/>
      </c>
      <c r="N764" s="831"/>
      <c r="O764" s="20"/>
      <c r="P764" s="351" t="str">
        <f>EUconst_CNTR_IntermediateExport &amp; R761 &amp; "_" &amp; I709</f>
        <v>IntExp_1_</v>
      </c>
      <c r="Q764" s="422"/>
      <c r="R764" s="879">
        <v>1</v>
      </c>
      <c r="S764" s="422"/>
      <c r="T764" s="8"/>
    </row>
    <row r="765" spans="1:20" s="701" customFormat="1" x14ac:dyDescent="0.2">
      <c r="A765" s="422"/>
      <c r="B765" s="398"/>
      <c r="C765" s="398"/>
      <c r="D765" s="398"/>
      <c r="E765" s="1762" t="str">
        <f>IF($I709="","",IF(INDEX(F_ProductBM!E:E,MATCH($P765,F_ProductBM!$P:$P,0))="","",INDEX(F_ProductBM!E:E,MATCH($P765,F_ProductBM!$P:$P,0))))</f>
        <v/>
      </c>
      <c r="F765" s="1762"/>
      <c r="G765" s="1762"/>
      <c r="H765" s="453" t="str">
        <f>EUconst_Tons</f>
        <v>tony</v>
      </c>
      <c r="I765" s="1007" t="str">
        <f>IF($I709="","",IF(INDEX(F_ProductBM!I:I,MATCH($P765,F_ProductBM!$P:$P,0))="","",INDEX(F_ProductBM!I:I,MATCH($P765,F_ProductBM!$P:$P,0))))</f>
        <v/>
      </c>
      <c r="J765" s="1007" t="str">
        <f>IF($I709="","",IF(INDEX(F_ProductBM!J:J,MATCH($P765,F_ProductBM!$P:$P,0))="","",INDEX(F_ProductBM!J:J,MATCH($P765,F_ProductBM!$P:$P,0))))</f>
        <v/>
      </c>
      <c r="K765" s="1007" t="str">
        <f>IF($I709="","",IF(INDEX(F_ProductBM!K:K,MATCH($P765,F_ProductBM!$P:$P,0))="","",INDEX(F_ProductBM!K:K,MATCH($P765,F_ProductBM!$P:$P,0))))</f>
        <v/>
      </c>
      <c r="L765" s="1007" t="str">
        <f>IF($I709="","",IF(INDEX(F_ProductBM!L:L,MATCH($P765,F_ProductBM!$P:$P,0))="","",INDEX(F_ProductBM!L:L,MATCH($P765,F_ProductBM!$P:$P,0))))</f>
        <v/>
      </c>
      <c r="M765" s="1007" t="str">
        <f>IF($I709="","",IF(INDEX(F_ProductBM!M:M,MATCH($P765,F_ProductBM!$P:$P,0))="","",INDEX(F_ProductBM!M:M,MATCH($P765,F_ProductBM!$P:$P,0))))</f>
        <v/>
      </c>
      <c r="N765" s="831"/>
      <c r="O765" s="20"/>
      <c r="P765" s="351" t="str">
        <f>EUconst_CNTR_IntermediateExport &amp; R765 &amp; "_" &amp; I709</f>
        <v>IntExp_2_</v>
      </c>
      <c r="Q765" s="422"/>
      <c r="R765" s="879">
        <v>2</v>
      </c>
      <c r="S765" s="422"/>
      <c r="T765" s="8"/>
    </row>
    <row r="766" spans="1:20" s="701" customFormat="1" x14ac:dyDescent="0.2">
      <c r="A766" s="422"/>
      <c r="B766" s="398"/>
      <c r="C766" s="398"/>
      <c r="D766" s="398"/>
      <c r="E766" s="516"/>
      <c r="F766" s="516"/>
      <c r="G766" s="516"/>
      <c r="H766" s="516"/>
      <c r="I766" s="831"/>
      <c r="J766" s="831"/>
      <c r="K766" s="831"/>
      <c r="L766" s="831"/>
      <c r="M766" s="831"/>
      <c r="N766" s="831"/>
      <c r="O766" s="20"/>
      <c r="P766" s="182"/>
      <c r="Q766" s="422"/>
      <c r="R766" s="422"/>
      <c r="S766" s="422"/>
      <c r="T766" s="8"/>
    </row>
    <row r="767" spans="1:20" s="701" customFormat="1" ht="13.5" thickBot="1" x14ac:dyDescent="0.25">
      <c r="A767" s="422"/>
      <c r="B767" s="398"/>
      <c r="C767" s="398"/>
      <c r="D767" s="398"/>
      <c r="E767" s="1017"/>
      <c r="O767" s="20"/>
      <c r="P767" s="422"/>
      <c r="Q767" s="422"/>
      <c r="R767" s="422"/>
      <c r="S767" s="422"/>
      <c r="T767" s="8"/>
    </row>
    <row r="768" spans="1:20" s="701" customFormat="1" ht="13.5" thickBot="1" x14ac:dyDescent="0.25">
      <c r="A768" s="422"/>
      <c r="B768" s="3"/>
      <c r="C768" s="281"/>
      <c r="D768" s="281"/>
      <c r="E768" s="281"/>
      <c r="F768" s="281"/>
      <c r="G768" s="281"/>
      <c r="H768" s="281"/>
      <c r="I768" s="281"/>
      <c r="J768" s="281"/>
      <c r="K768" s="281"/>
      <c r="L768" s="281"/>
      <c r="M768" s="281"/>
      <c r="N768" s="281"/>
      <c r="O768" s="20"/>
      <c r="P768" s="422"/>
      <c r="Q768" s="422"/>
      <c r="R768" s="422"/>
      <c r="S768" s="422"/>
      <c r="T768" s="8" t="s">
        <v>583</v>
      </c>
    </row>
    <row r="769" spans="1:20" s="701" customFormat="1" ht="15.75" thickBot="1" x14ac:dyDescent="0.3">
      <c r="A769" s="422"/>
      <c r="B769" s="398"/>
      <c r="C769" s="18">
        <f>C709+1</f>
        <v>6</v>
      </c>
      <c r="D769" s="1439" t="str">
        <f>CONCATENATE(EUconst_BMSubinst," ",C769, ":")</f>
        <v>Podinstalacja i wskaźnik emisyjności dla produktów 6:</v>
      </c>
      <c r="E769" s="1439"/>
      <c r="F769" s="1439"/>
      <c r="G769" s="1439"/>
      <c r="H769" s="2024"/>
      <c r="I769" s="1781" t="str">
        <f>IF(INDEX(CNTR_SubInstListIsProdBM,$C769),INDEX(CNTR_SubInstListNames,$C769),"")</f>
        <v/>
      </c>
      <c r="J769" s="2025"/>
      <c r="K769" s="2025"/>
      <c r="L769" s="2025"/>
      <c r="M769" s="2025"/>
      <c r="N769" s="2026"/>
      <c r="O769" s="20"/>
      <c r="P769" s="422"/>
      <c r="Q769" s="986">
        <f>C769</f>
        <v>6</v>
      </c>
      <c r="R769" s="983" t="str">
        <f>I769</f>
        <v/>
      </c>
      <c r="S769" s="985" t="str">
        <f>H772</f>
        <v>Nie dotyczy</v>
      </c>
      <c r="T769" s="984" t="str">
        <f>IF(M781="","",IF(S772=0,0,SUM(M781)/S772))</f>
        <v/>
      </c>
    </row>
    <row r="770" spans="1:20" s="701" customFormat="1" ht="13.5" thickBot="1" x14ac:dyDescent="0.25">
      <c r="A770" s="422"/>
      <c r="B770" s="398"/>
      <c r="C770" s="398"/>
      <c r="D770" s="398"/>
      <c r="E770" s="398"/>
      <c r="F770" s="398"/>
      <c r="G770" s="398"/>
      <c r="H770" s="398"/>
      <c r="I770" s="398"/>
      <c r="J770" s="398"/>
      <c r="K770" s="398"/>
      <c r="L770" s="398"/>
      <c r="M770" s="398"/>
      <c r="N770" s="398"/>
      <c r="O770" s="20"/>
      <c r="P770" s="422"/>
      <c r="Q770" s="422"/>
      <c r="R770" s="422"/>
      <c r="S770" s="422"/>
      <c r="T770" s="8"/>
    </row>
    <row r="771" spans="1:20" s="1299" customFormat="1" ht="51" x14ac:dyDescent="0.2">
      <c r="A771" s="970"/>
      <c r="B771" s="1300"/>
      <c r="C771" s="1300"/>
      <c r="D771" s="1300"/>
      <c r="E771" s="1300"/>
      <c r="F771" s="1300"/>
      <c r="G771" s="1300"/>
      <c r="H771" s="1304" t="str">
        <f>Translations!$B$1204</f>
        <v>narażenie na ryzyko ucieczki emisji</v>
      </c>
      <c r="I771" s="1305" t="s">
        <v>516</v>
      </c>
      <c r="J771" s="1305" t="str">
        <f>Translations!$B$1208</f>
        <v>Rozpoczęcie</v>
      </c>
      <c r="K771" s="1305" t="str">
        <f>Translations!$B$1206</f>
        <v>Nr wskaźnika</v>
      </c>
      <c r="L771" s="1306" t="str">
        <f>Translations!$B$1212</f>
        <v>Art. 15 ust. 7 akapit trzeci?</v>
      </c>
      <c r="M771" s="1307" t="str">
        <f>Translations!$B$1234</f>
        <v>Wart. wskaźnika (min./maks./faktyczna)</v>
      </c>
      <c r="N771" s="1308"/>
      <c r="O771" s="121"/>
      <c r="P771" s="970"/>
      <c r="Q771" s="970"/>
      <c r="R771" s="970"/>
      <c r="S771" s="970"/>
      <c r="T771" s="972"/>
    </row>
    <row r="772" spans="1:20" s="701" customFormat="1" x14ac:dyDescent="0.2">
      <c r="A772" s="422"/>
      <c r="B772" s="398"/>
      <c r="C772" s="398"/>
      <c r="D772" s="398"/>
      <c r="E772" s="652" t="str">
        <f>I769</f>
        <v/>
      </c>
      <c r="F772" s="653"/>
      <c r="G772" s="590"/>
      <c r="H772" s="654" t="str">
        <f>IF(K772=EUconst_NA,EUconst_NA,INDEX(EUconst_BMlistCLstatus,K772))</f>
        <v>Nie dotyczy</v>
      </c>
      <c r="I772" s="655" t="str">
        <f>IF(E772="","",INDEX(EUconst_BMlistElExchangability,K772))</f>
        <v/>
      </c>
      <c r="J772" s="857" t="str">
        <f>IF($I769="",EUconst_NA,INDEX(CNTR_SubInstStartDate,MATCH(E772,CNTR_SubInstListNames,0)))</f>
        <v>Nie dotyczy</v>
      </c>
      <c r="K772" s="536" t="str">
        <f>IF($I769="",EUconst_NA,MATCH(E772,EUconst_BMlistNames,0))</f>
        <v>Nie dotyczy</v>
      </c>
      <c r="L772" s="1071" t="str">
        <f>IF(E772="","",INDEX(CNTR_SubInstLess1Year,MATCH(E772,CNTR_SubInstListNames,0)))</f>
        <v/>
      </c>
      <c r="M772" s="1073" t="str">
        <f>IF(I769="",EUconst_NA,INDEX(EUconst_BMlistBMvaluesMatrix,K772,2))</f>
        <v>Nie dotyczy</v>
      </c>
      <c r="N772" s="1074" t="str">
        <f>EUconst_EUA &amp; "/" &amp; H777</f>
        <v>Uprawnienia do emisji ogólnych/tony</v>
      </c>
      <c r="O772" s="20"/>
      <c r="P772" s="422"/>
      <c r="Q772" s="422"/>
      <c r="R772" s="736" t="s">
        <v>577</v>
      </c>
      <c r="S772" s="822" t="str">
        <f>IF(H772=EUconst_NA,"",IF(H772,1,INDEX(EUconst_CLEFYears,1)))</f>
        <v/>
      </c>
      <c r="T772" s="8"/>
    </row>
    <row r="773" spans="1:20" s="1299" customFormat="1" ht="51" x14ac:dyDescent="0.2">
      <c r="A773" s="970"/>
      <c r="B773" s="1300"/>
      <c r="C773" s="1300"/>
      <c r="D773" s="1300"/>
      <c r="G773" s="1305" t="str">
        <f>Translations!$B$1218</f>
        <v>ciepło nieobjęte systemem EU ETS</v>
      </c>
      <c r="H773" s="1306" t="str">
        <f>Translations!$B$1220</f>
        <v>WGflare</v>
      </c>
      <c r="I773" s="1305" t="s">
        <v>572</v>
      </c>
      <c r="J773" s="1305" t="s">
        <v>573</v>
      </c>
      <c r="K773" s="1305" t="s">
        <v>574</v>
      </c>
      <c r="L773" s="1306" t="str">
        <f>Translations!$B$1214</f>
        <v>Art. 15 ust. 7 akapit trzeci – HPD</v>
      </c>
      <c r="M773" s="1309" t="str">
        <f>IF(I769="",EUconst_NA,INDEX(EUconst_BMlistBMvaluesMatrix,K772,1))</f>
        <v>Nie dotyczy</v>
      </c>
      <c r="N773" s="1303" t="str">
        <f>EUconst_EUA &amp; "/" &amp; H777</f>
        <v>Uprawnienia do emisji ogólnych/tony</v>
      </c>
      <c r="O773" s="121"/>
      <c r="P773" s="970"/>
      <c r="Q773" s="970"/>
      <c r="R773" s="1310"/>
      <c r="S773" s="1311"/>
      <c r="T773" s="972"/>
    </row>
    <row r="774" spans="1:20" s="701" customFormat="1" ht="13.5" thickBot="1" x14ac:dyDescent="0.25">
      <c r="A774" s="422"/>
      <c r="B774" s="398"/>
      <c r="C774" s="398"/>
      <c r="D774" s="398"/>
      <c r="E774" s="877" t="str">
        <f>Translations!$B$1235</f>
        <v>Czynniki szczególne:</v>
      </c>
      <c r="F774" s="878"/>
      <c r="G774" s="536" t="str">
        <f>IF($I769="","",SUMIF(F_ProductBM!$P:$P,EUconst_CNTR_HEAT&amp;$I769,F_ProductBM!$Q:$Q))</f>
        <v/>
      </c>
      <c r="H774" s="855" t="str">
        <f>IF(OR($I769="",CNTR_BaselinePeriod&lt;&gt;2),"",SUMIF(F_ProductBM!$P:$P,EUconst_CNTR_WGFlaredEF &amp; I769,F_ProductBM!$R:$R))</f>
        <v/>
      </c>
      <c r="I774" s="821">
        <f>IF(AND($I769&lt;&gt;"",$I772=TRUE),IF(ISNUMBER(INDEX(F_ProductBM!$Q:$Q,MATCH(EUconst_CNTR_ELEXCH&amp;$I769,F_ProductBM!$P:$P,0))),INDEX(F_ProductBM!$Q:$Q,MATCH(EUconst_CNTR_ELEXCH&amp;$I769,F_ProductBM!$P:$P,0)),1),1)</f>
        <v>1</v>
      </c>
      <c r="J774" s="536" t="str">
        <f>IF($I769="","",IF($K772=42,SUMIF(H_SpecialBM!$P$9:$P$384,EUconst_CNTR_HVC,H_SpecialBM!$I$9:$I$384),0))</f>
        <v/>
      </c>
      <c r="K774" s="876" t="str">
        <f>IF($I769="","",IF($K772=47,IF(ISNUMBER(INDEX(H_SpecialBM!$I$9:$I$384,MATCH(EUconst_CNTR_VCM,H_SpecialBM!$P$9:$P$384,0))),INDEX(H_SpecialBM!$I$9:$I$384,MATCH(EUconst_CNTR_VCM,H_SpecialBM!$P$9:$P$384,0)),1),1))</f>
        <v/>
      </c>
      <c r="L774" s="855" t="str">
        <f>IF($L772=TRUE,SUMIF(F_ProductBM!$P$11:$P$2192,EUconst_CNTR_HAL&amp;$I769,F_ProductBM!$N$11:$N$2192),"")</f>
        <v/>
      </c>
      <c r="M774" s="1075" t="str">
        <f>IF(I769="",EUconst_NA,IF(EUconst_StatusOfDataCollection,INDEX(EUconst_BMlistBMvaluesMatrix,K772,3),""))</f>
        <v>Nie dotyczy</v>
      </c>
      <c r="N774" s="1076" t="str">
        <f>EUconst_EUA &amp; "/" &amp; H777</f>
        <v>Uprawnienia do emisji ogólnych/tony</v>
      </c>
      <c r="O774" s="20"/>
      <c r="P774" s="422"/>
      <c r="Q774" s="422"/>
      <c r="R774" s="736"/>
      <c r="S774" s="875"/>
      <c r="T774" s="8"/>
    </row>
    <row r="775" spans="1:20" s="701" customFormat="1" x14ac:dyDescent="0.2">
      <c r="A775" s="422"/>
      <c r="B775" s="398"/>
      <c r="C775" s="398"/>
      <c r="D775" s="398"/>
      <c r="E775" s="398"/>
      <c r="F775" s="398"/>
      <c r="G775" s="398"/>
      <c r="H775" s="398"/>
      <c r="I775" s="398"/>
      <c r="J775" s="398"/>
      <c r="K775" s="398"/>
      <c r="L775" s="398"/>
      <c r="M775" s="398"/>
      <c r="N775" s="398"/>
      <c r="O775" s="20"/>
      <c r="P775" s="422"/>
      <c r="Q775" s="422"/>
      <c r="R775" s="422"/>
      <c r="S775" s="422"/>
      <c r="T775" s="8"/>
    </row>
    <row r="776" spans="1:20" s="701" customFormat="1" x14ac:dyDescent="0.2">
      <c r="A776" s="422"/>
      <c r="B776" s="398"/>
      <c r="C776" s="398"/>
      <c r="D776" s="398"/>
      <c r="E776" s="656"/>
      <c r="F776" s="656"/>
      <c r="G776" s="657"/>
      <c r="H776" s="873" t="str">
        <f>EUconst_Unit</f>
        <v>Jednostka</v>
      </c>
      <c r="I776" s="432">
        <f>I$1397</f>
        <v>2014</v>
      </c>
      <c r="J776" s="432">
        <f>J$1397</f>
        <v>2015</v>
      </c>
      <c r="K776" s="432">
        <f>K$1397</f>
        <v>2016</v>
      </c>
      <c r="L776" s="432">
        <f>L$1397</f>
        <v>2017</v>
      </c>
      <c r="M776" s="432">
        <f>M$1397</f>
        <v>2018</v>
      </c>
      <c r="N776" s="398"/>
      <c r="O776" s="20"/>
      <c r="P776" s="185" t="s">
        <v>237</v>
      </c>
      <c r="Q776" s="422"/>
      <c r="R776" s="422"/>
      <c r="S776" s="422"/>
      <c r="T776" s="8"/>
    </row>
    <row r="777" spans="1:20" s="701" customFormat="1" x14ac:dyDescent="0.2">
      <c r="A777" s="422"/>
      <c r="B777" s="398"/>
      <c r="C777" s="398"/>
      <c r="D777" s="398"/>
      <c r="E777" s="658" t="str">
        <f>Translations!$B$1236</f>
        <v>Zgłoszony HPD (historyczny poziom działalności)</v>
      </c>
      <c r="F777" s="659"/>
      <c r="G777" s="660"/>
      <c r="H777" s="654" t="str">
        <f>IF(ISNUMBER(K772),INDEX(EUconst_BMlistUnits,K772),EUconst_Tons)</f>
        <v>tony</v>
      </c>
      <c r="I777" s="536" t="str">
        <f>IF($I769="","",SUMIF(F_ProductBM!$P$11:$P$1876,$P777,F_ProductBM!I$11:I$1876))</f>
        <v/>
      </c>
      <c r="J777" s="536" t="str">
        <f>IF($I769="","",SUMIF(F_ProductBM!$P$11:$P$1876,$P777,F_ProductBM!J$11:J$1876))</f>
        <v/>
      </c>
      <c r="K777" s="536" t="str">
        <f>IF($I769="","",SUMIF(F_ProductBM!$P$11:$P$1876,$P777,F_ProductBM!K$11:K$1876))</f>
        <v/>
      </c>
      <c r="L777" s="536" t="str">
        <f>IF($I769="","",SUMIF(F_ProductBM!$P$11:$P$1876,$P777,F_ProductBM!L$11:L$1876))</f>
        <v/>
      </c>
      <c r="M777" s="536" t="str">
        <f>IF($I769="","",SUMIF(F_ProductBM!$P$11:$P$1876,$P777,F_ProductBM!M$11:M$1876))</f>
        <v/>
      </c>
      <c r="N777" s="651" t="str">
        <f>Translations!$B$1224</f>
        <v>Średnia</v>
      </c>
      <c r="O777" s="20"/>
      <c r="P777" s="185" t="str">
        <f>EUconst_CNTR_HAL&amp;I769</f>
        <v>HAL_</v>
      </c>
      <c r="Q777" s="422"/>
      <c r="R777" s="422"/>
      <c r="S777" s="422"/>
      <c r="T777" s="8"/>
    </row>
    <row r="778" spans="1:20" s="701" customFormat="1" x14ac:dyDescent="0.2">
      <c r="A778" s="422"/>
      <c r="B778" s="398"/>
      <c r="C778" s="398"/>
      <c r="D778" s="398"/>
      <c r="E778" s="658" t="str">
        <f>Translations!$B$1237</f>
        <v>Wartości wykorzystywane do obliczania zgłoszonego HPD:</v>
      </c>
      <c r="F778" s="659"/>
      <c r="G778" s="660"/>
      <c r="H778" s="654" t="str">
        <f>H777</f>
        <v>tony</v>
      </c>
      <c r="I778" s="536" t="str">
        <f>IF($I769="","",INDEX(F_ProductBM!S$11:S$1876,MATCH($P778,F_ProductBM!$P$11:$P$1876,0)))</f>
        <v/>
      </c>
      <c r="J778" s="536" t="str">
        <f>IF($I769="","",INDEX(F_ProductBM!T$11:T$1876,MATCH($P778,F_ProductBM!$P$11:$P$1876,0)))</f>
        <v/>
      </c>
      <c r="K778" s="536" t="str">
        <f>IF($I769="","",INDEX(F_ProductBM!U$11:U$1876,MATCH($P778,F_ProductBM!$P$11:$P$1876,0)))</f>
        <v/>
      </c>
      <c r="L778" s="536" t="str">
        <f>IF($I769="","",INDEX(F_ProductBM!V$11:V$1876,MATCH($P778,F_ProductBM!$P$11:$P$1876,0)))</f>
        <v/>
      </c>
      <c r="M778" s="536" t="str">
        <f>IF($I769="","",INDEX(F_ProductBM!W$11:W$1876,MATCH($P778,F_ProductBM!$P$11:$P$1876,0)))</f>
        <v/>
      </c>
      <c r="N778" s="536" t="str">
        <f>IF(OR($I769="",$L772=TRUE),"",IF(COUNT($I778:$M778)&gt;0,AVERAGE($I778:$M778),""))</f>
        <v/>
      </c>
      <c r="O778" s="20"/>
      <c r="P778" s="185" t="str">
        <f>EUconst_CNTR_HAL&amp;I769</f>
        <v>HAL_</v>
      </c>
      <c r="Q778" s="422"/>
      <c r="R778" s="1013" t="s">
        <v>630</v>
      </c>
      <c r="S778" s="1013" t="s">
        <v>631</v>
      </c>
      <c r="T778" s="1013" t="s">
        <v>632</v>
      </c>
    </row>
    <row r="779" spans="1:20" s="701" customFormat="1" ht="13.5" thickBot="1" x14ac:dyDescent="0.25">
      <c r="A779" s="422"/>
      <c r="B779" s="398"/>
      <c r="C779" s="398"/>
      <c r="D779" s="398"/>
      <c r="E779" s="874"/>
      <c r="F779" s="874"/>
      <c r="G779" s="874"/>
      <c r="H779" s="874"/>
      <c r="I779" s="874"/>
      <c r="J779" s="874"/>
      <c r="K779" s="874"/>
      <c r="L779" s="874"/>
      <c r="O779" s="20"/>
      <c r="P779" s="422"/>
      <c r="Q779" s="422"/>
      <c r="R779" s="422"/>
      <c r="S779" s="422"/>
      <c r="T779" s="8"/>
    </row>
    <row r="780" spans="1:20" s="701" customFormat="1" ht="13.5" thickBot="1" x14ac:dyDescent="0.25">
      <c r="A780" s="422"/>
      <c r="B780" s="398"/>
      <c r="D780" s="398"/>
      <c r="E780" s="874"/>
      <c r="F780" s="823" t="s">
        <v>520</v>
      </c>
      <c r="G780" s="824"/>
      <c r="I780" s="823" t="str">
        <f>Translations!$B$1226</f>
        <v>Wst. przydział rok 1 (min.)</v>
      </c>
      <c r="J780" s="824"/>
      <c r="K780" s="823" t="str">
        <f>Translations!$B$1229</f>
        <v>Wst. przydział rok 1 (maks.)</v>
      </c>
      <c r="L780" s="824"/>
      <c r="M780" s="823" t="str">
        <f>Translations!$B$1231</f>
        <v>Wst. przydział rok 1 (faktyczny)</v>
      </c>
      <c r="N780" s="824"/>
      <c r="O780" s="20"/>
      <c r="P780" s="185" t="str">
        <f>EUconst_AllocPrelim&amp;I769</f>
        <v>AllocPrelim_</v>
      </c>
      <c r="Q780" s="422"/>
      <c r="R780" s="982" t="str">
        <f>IF(I781="","",IF(S772=0,0,SUM(I781)/S772))</f>
        <v/>
      </c>
      <c r="S780" s="982" t="str">
        <f>IF(K781="","",IF(S772=0,0,SUM(K781)/S772))</f>
        <v/>
      </c>
      <c r="T780" s="982" t="str">
        <f>T769</f>
        <v/>
      </c>
    </row>
    <row r="781" spans="1:20" s="701" customFormat="1" ht="13.5" thickBot="1" x14ac:dyDescent="0.25">
      <c r="A781" s="422"/>
      <c r="B781" s="398"/>
      <c r="E781" s="874"/>
      <c r="F781" s="662" t="str">
        <f>IF(I769="","",MAX(0, IF(L772=TRUE, SUM(L774), SUM(N778))))</f>
        <v/>
      </c>
      <c r="G781" s="663" t="str">
        <f>H777&amp;" / "&amp;EUconst_Year</f>
        <v>tony / rok</v>
      </c>
      <c r="I781" s="820" t="str">
        <f>IF(I769="","",ROUND((SUM(M772)*SUM(F781)*SUM(I774)*SUM(K774)-SUM(G774)-SUM(H774)+SUM(J774))*SUM(S772),0))</f>
        <v/>
      </c>
      <c r="J781" s="966" t="str">
        <f>EUconst_EUApa</f>
        <v>Uprawnienia do emisji ogólnych / rok</v>
      </c>
      <c r="K781" s="820" t="str">
        <f>IF(I769="","",ROUND((SUM(M773)*SUM(F781)*SUM(I774)*SUM(K774)-SUM(G774)-SUM(H774)+SUM(J774))*SUM(S772),0))</f>
        <v/>
      </c>
      <c r="L781" s="966" t="str">
        <f>EUconst_EUApa</f>
        <v>Uprawnienia do emisji ogólnych / rok</v>
      </c>
      <c r="M781" s="820" t="str">
        <f>IF(OR(I769="",M774=""),"",ROUND((SUM(M774)*SUM(F781)*SUM(I774)*SUM(K774)-SUM(G774)-SUM(H774)+SUM(J774))*SUM(S772),0))</f>
        <v/>
      </c>
      <c r="N781" s="966" t="str">
        <f>EUconst_EUApa</f>
        <v>Uprawnienia do emisji ogólnych / rok</v>
      </c>
      <c r="O781" s="20"/>
      <c r="P781" s="185" t="str">
        <f>EUconst_HALsum &amp; I769</f>
        <v>HALsum_</v>
      </c>
      <c r="Q781" s="422"/>
      <c r="R781" s="422"/>
      <c r="S781" s="422"/>
      <c r="T781" s="8"/>
    </row>
    <row r="782" spans="1:20" s="701" customFormat="1" x14ac:dyDescent="0.2">
      <c r="A782" s="422"/>
      <c r="B782" s="398"/>
      <c r="C782" s="398"/>
      <c r="E782" s="425"/>
      <c r="F782" s="398"/>
      <c r="G782" s="398"/>
      <c r="H782" s="398"/>
      <c r="I782" s="398"/>
      <c r="J782" s="398"/>
      <c r="K782" s="398"/>
      <c r="L782" s="398"/>
      <c r="M782" s="398"/>
      <c r="N782" s="398"/>
      <c r="O782" s="20"/>
      <c r="P782" s="422"/>
      <c r="Q782" s="422"/>
      <c r="R782" s="422"/>
      <c r="S782" s="422"/>
      <c r="T782" s="8"/>
    </row>
    <row r="783" spans="1:20" s="701" customFormat="1" x14ac:dyDescent="0.2">
      <c r="A783" s="422"/>
      <c r="B783" s="398"/>
      <c r="C783" s="398"/>
      <c r="D783" s="398"/>
      <c r="E783" s="516"/>
      <c r="F783" s="831"/>
      <c r="G783" s="831"/>
      <c r="H783" s="831"/>
      <c r="I783" s="831"/>
      <c r="J783" s="831"/>
      <c r="K783" s="831"/>
      <c r="L783" s="831"/>
      <c r="M783" s="831"/>
      <c r="N783" s="831"/>
      <c r="O783" s="20"/>
      <c r="P783" s="422"/>
      <c r="Q783" s="422"/>
      <c r="R783" s="422"/>
      <c r="S783" s="422"/>
      <c r="T783" s="8"/>
    </row>
    <row r="784" spans="1:20" s="701" customFormat="1" ht="13.5" thickBot="1" x14ac:dyDescent="0.25">
      <c r="A784" s="422"/>
      <c r="B784" s="398"/>
      <c r="C784" s="398"/>
      <c r="D784" s="398"/>
      <c r="E784" s="516"/>
      <c r="F784" s="831"/>
      <c r="G784" s="831"/>
      <c r="H784" s="515" t="str">
        <f>EUconst_Unit</f>
        <v>Jednostka</v>
      </c>
      <c r="I784" s="1011">
        <f>I$1397</f>
        <v>2014</v>
      </c>
      <c r="J784" s="451">
        <f>J$1397</f>
        <v>2015</v>
      </c>
      <c r="K784" s="451">
        <f>K$1397</f>
        <v>2016</v>
      </c>
      <c r="L784" s="451">
        <f>L$1397</f>
        <v>2017</v>
      </c>
      <c r="M784" s="451">
        <f>M$1397</f>
        <v>2018</v>
      </c>
      <c r="N784" s="831"/>
      <c r="O784" s="20"/>
      <c r="P784" s="422"/>
      <c r="Q784" s="422"/>
      <c r="R784" s="422"/>
      <c r="S784" s="422"/>
      <c r="T784" s="8"/>
    </row>
    <row r="785" spans="1:20" s="701" customFormat="1" ht="13.5" thickBot="1" x14ac:dyDescent="0.25">
      <c r="A785" s="422"/>
      <c r="B785" s="398"/>
      <c r="C785" s="398"/>
      <c r="D785" s="398"/>
      <c r="E785" s="1876" t="str">
        <f>Translations!$B$1238</f>
        <v>Całkowite przypisane emisje</v>
      </c>
      <c r="F785" s="1876"/>
      <c r="G785" s="1876"/>
      <c r="H785" s="968" t="str">
        <f>EUconst_tCO2epa</f>
        <v>t CO2e/rok</v>
      </c>
      <c r="I785" s="1000" t="str">
        <f>INDEX(I$93:I$109,MATCH($I769,$E$93:$E$109,0))</f>
        <v/>
      </c>
      <c r="J785" s="1001" t="str">
        <f>INDEX(J$93:J$109,MATCH($I769,$E$93:$E$109,0))</f>
        <v/>
      </c>
      <c r="K785" s="1001" t="str">
        <f>INDEX(K$93:K$109,MATCH($I769,$E$93:$E$109,0))</f>
        <v/>
      </c>
      <c r="L785" s="1001" t="str">
        <f>INDEX(L$93:L$109,MATCH($I769,$E$93:$E$109,0))</f>
        <v/>
      </c>
      <c r="M785" s="1002" t="str">
        <f>INDEX(M$93:M$109,MATCH($I769,$E$93:$E$109,0))</f>
        <v/>
      </c>
      <c r="N785" s="831"/>
      <c r="O785" s="20"/>
      <c r="P785" s="422"/>
      <c r="Q785" s="422"/>
      <c r="R785" s="422"/>
      <c r="S785" s="422"/>
      <c r="T785" s="8"/>
    </row>
    <row r="786" spans="1:20" s="701" customFormat="1" x14ac:dyDescent="0.2">
      <c r="A786" s="422"/>
      <c r="B786" s="398"/>
      <c r="C786" s="398"/>
      <c r="D786" s="398"/>
      <c r="E786" s="516"/>
      <c r="F786" s="516"/>
      <c r="G786" s="516"/>
      <c r="H786" s="516"/>
      <c r="I786" s="1003"/>
      <c r="J786" s="1003"/>
      <c r="K786" s="1003"/>
      <c r="L786" s="1003"/>
      <c r="M786" s="1003"/>
      <c r="N786" s="516"/>
      <c r="O786" s="20"/>
      <c r="P786" s="422"/>
      <c r="Q786" s="422"/>
      <c r="R786" s="422"/>
      <c r="S786" s="422"/>
      <c r="T786" s="8"/>
    </row>
    <row r="787" spans="1:20" s="701" customFormat="1" x14ac:dyDescent="0.2">
      <c r="A787" s="422"/>
      <c r="B787" s="398"/>
      <c r="C787" s="398"/>
      <c r="D787" s="398"/>
      <c r="E787" s="1766" t="str">
        <f>Translations!$B$731</f>
        <v>Wsad paliwa</v>
      </c>
      <c r="F787" s="1767"/>
      <c r="G787" s="1767"/>
      <c r="H787" s="454" t="str">
        <f>EUconst_TJpa</f>
        <v>TJ / rok</v>
      </c>
      <c r="I787" s="1004" t="str">
        <f>IF($I769="","",IF(INDEX(F_ProductBM!I:I,MATCH($P787,F_ProductBM!$P:$P,0))="","",INDEX(F_ProductBM!I:I,MATCH($P787,F_ProductBM!$P:$P,0))))</f>
        <v/>
      </c>
      <c r="J787" s="1004" t="str">
        <f>IF($I769="","",IF(INDEX(F_ProductBM!J:J,MATCH($P787,F_ProductBM!$P:$P,0))="","",INDEX(F_ProductBM!J:J,MATCH($P787,F_ProductBM!$P:$P,0))))</f>
        <v/>
      </c>
      <c r="K787" s="1004" t="str">
        <f>IF($I769="","",IF(INDEX(F_ProductBM!K:K,MATCH($P787,F_ProductBM!$P:$P,0))="","",INDEX(F_ProductBM!K:K,MATCH($P787,F_ProductBM!$P:$P,0))))</f>
        <v/>
      </c>
      <c r="L787" s="1004" t="str">
        <f>IF($I769="","",IF(INDEX(F_ProductBM!L:L,MATCH($P787,F_ProductBM!$P:$P,0))="","",INDEX(F_ProductBM!L:L,MATCH($P787,F_ProductBM!$P:$P,0))))</f>
        <v/>
      </c>
      <c r="M787" s="1004" t="str">
        <f>IF($I769="","",IF(INDEX(F_ProductBM!M:M,MATCH($P787,F_ProductBM!$P:$P,0))="","",INDEX(F_ProductBM!M:M,MATCH($P787,F_ProductBM!$P:$P,0))))</f>
        <v/>
      </c>
      <c r="N787" s="831"/>
      <c r="O787" s="20"/>
      <c r="P787" s="830" t="str">
        <f>EUconst_CNTR_FuelInput &amp; I769</f>
        <v>FuelInput_</v>
      </c>
      <c r="Q787" s="422"/>
      <c r="R787" s="422"/>
      <c r="S787" s="422"/>
      <c r="T787" s="8"/>
    </row>
    <row r="788" spans="1:20" s="701" customFormat="1" x14ac:dyDescent="0.2">
      <c r="A788" s="422"/>
      <c r="B788" s="398"/>
      <c r="C788" s="398"/>
      <c r="D788" s="398"/>
      <c r="E788" s="1743" t="str">
        <f>Translations!$B$732</f>
        <v>Ważony współczynnik emisji</v>
      </c>
      <c r="F788" s="1744"/>
      <c r="G788" s="1744"/>
      <c r="H788" s="473" t="str">
        <f>EUconst_tCO2pTJ</f>
        <v>t CO2 / TJ</v>
      </c>
      <c r="I788" s="1005" t="str">
        <f>IF($I769="","",IF(INDEX(F_ProductBM!I:I,MATCH($P788,F_ProductBM!$P:$P,0))="","",INDEX(F_ProductBM!I:I,MATCH($P788,F_ProductBM!$P:$P,0))))</f>
        <v/>
      </c>
      <c r="J788" s="1005" t="str">
        <f>IF($I769="","",IF(INDEX(F_ProductBM!J:J,MATCH($P788,F_ProductBM!$P:$P,0))="","",INDEX(F_ProductBM!J:J,MATCH($P788,F_ProductBM!$P:$P,0))))</f>
        <v/>
      </c>
      <c r="K788" s="1005" t="str">
        <f>IF($I769="","",IF(INDEX(F_ProductBM!K:K,MATCH($P788,F_ProductBM!$P:$P,0))="","",INDEX(F_ProductBM!K:K,MATCH($P788,F_ProductBM!$P:$P,0))))</f>
        <v/>
      </c>
      <c r="L788" s="1005" t="str">
        <f>IF($I769="","",IF(INDEX(F_ProductBM!L:L,MATCH($P788,F_ProductBM!$P:$P,0))="","",INDEX(F_ProductBM!L:L,MATCH($P788,F_ProductBM!$P:$P,0))))</f>
        <v/>
      </c>
      <c r="M788" s="1005" t="str">
        <f>IF($I769="","",IF(INDEX(F_ProductBM!M:M,MATCH($P788,F_ProductBM!$P:$P,0))="","",INDEX(F_ProductBM!M:M,MATCH($P788,F_ProductBM!$P:$P,0))))</f>
        <v/>
      </c>
      <c r="N788" s="831"/>
      <c r="O788" s="20"/>
      <c r="P788" s="351" t="str">
        <f>EUconst_CNTR_FuelEF &amp; I769</f>
        <v>FuelEF_</v>
      </c>
      <c r="Q788" s="422"/>
      <c r="R788" s="422"/>
      <c r="S788" s="422"/>
      <c r="T788" s="8"/>
    </row>
    <row r="789" spans="1:20" s="701" customFormat="1" x14ac:dyDescent="0.2">
      <c r="A789" s="422"/>
      <c r="B789" s="398"/>
      <c r="C789" s="398"/>
      <c r="E789" s="516"/>
      <c r="F789" s="831"/>
      <c r="G789" s="831"/>
      <c r="H789" s="831"/>
      <c r="I789" s="1006"/>
      <c r="J789" s="1006"/>
      <c r="K789" s="1006"/>
      <c r="L789" s="1006"/>
      <c r="M789" s="1006"/>
      <c r="N789" s="831"/>
      <c r="O789" s="20"/>
      <c r="P789" s="422"/>
      <c r="Q789" s="422"/>
      <c r="R789" s="422"/>
      <c r="S789" s="422"/>
      <c r="T789" s="8"/>
    </row>
    <row r="790" spans="1:20" s="701" customFormat="1" x14ac:dyDescent="0.2">
      <c r="A790" s="422"/>
      <c r="B790" s="398"/>
      <c r="C790" s="398"/>
      <c r="E790" s="1739" t="str">
        <f>Translations!$B$687</f>
        <v>Emisje bezpośrednie</v>
      </c>
      <c r="F790" s="1740"/>
      <c r="G790" s="1740"/>
      <c r="H790" s="453" t="str">
        <f>EUconst_tCO2pa</f>
        <v>t CO2 / rok</v>
      </c>
      <c r="I790" s="1007" t="str">
        <f>IF($I769="","",IF(INDEX(F_ProductBM!I:I,MATCH($P790,F_ProductBM!$P:$P,0))="","",INDEX(F_ProductBM!I:I,MATCH($P790,F_ProductBM!$P:$P,0))))</f>
        <v/>
      </c>
      <c r="J790" s="1007" t="str">
        <f>IF($I769="","",IF(INDEX(F_ProductBM!J:J,MATCH($P790,F_ProductBM!$P:$P,0))="","",INDEX(F_ProductBM!J:J,MATCH($P790,F_ProductBM!$P:$P,0))))</f>
        <v/>
      </c>
      <c r="K790" s="1007" t="str">
        <f>IF($I769="","",IF(INDEX(F_ProductBM!K:K,MATCH($P790,F_ProductBM!$P:$P,0))="","",INDEX(F_ProductBM!K:K,MATCH($P790,F_ProductBM!$P:$P,0))))</f>
        <v/>
      </c>
      <c r="L790" s="1007" t="str">
        <f>IF($I769="","",IF(INDEX(F_ProductBM!L:L,MATCH($P790,F_ProductBM!$P:$P,0))="","",INDEX(F_ProductBM!L:L,MATCH($P790,F_ProductBM!$P:$P,0))))</f>
        <v/>
      </c>
      <c r="M790" s="1007" t="str">
        <f>IF($I769="","",IF(INDEX(F_ProductBM!M:M,MATCH($P790,F_ProductBM!$P:$P,0))="","",INDEX(F_ProductBM!M:M,MATCH($P790,F_ProductBM!$P:$P,0))))</f>
        <v/>
      </c>
      <c r="N790" s="831"/>
      <c r="O790" s="20"/>
      <c r="P790" s="351" t="str">
        <f>EUconst_CNTR_Emissions &amp; I769</f>
        <v>DirEmissions_</v>
      </c>
      <c r="Q790" s="422"/>
      <c r="R790" s="422"/>
      <c r="S790" s="422"/>
      <c r="T790" s="8"/>
    </row>
    <row r="791" spans="1:20" s="701" customFormat="1" x14ac:dyDescent="0.2">
      <c r="A791" s="422"/>
      <c r="B791" s="398"/>
      <c r="C791" s="398"/>
      <c r="E791" s="1974" t="str">
        <f>Translations!$B$742</f>
        <v>Dalsze strumienie materiałów wsadowych – 1:</v>
      </c>
      <c r="F791" s="1974"/>
      <c r="G791" s="1974"/>
      <c r="H791" s="453" t="str">
        <f>EUconst_tCO2pa</f>
        <v>t CO2 / rok</v>
      </c>
      <c r="I791" s="1007" t="str">
        <f>IF($I769="","",IF(INDEX(F_ProductBM!I:I,MATCH($P791,F_ProductBM!$P:$P,0))="","",INDEX(F_ProductBM!I:I,MATCH($P791,F_ProductBM!$P:$P,0))))</f>
        <v/>
      </c>
      <c r="J791" s="1007" t="str">
        <f>IF($I769="","",IF(INDEX(F_ProductBM!J:J,MATCH($P791,F_ProductBM!$P:$P,0))="","",INDEX(F_ProductBM!J:J,MATCH($P791,F_ProductBM!$P:$P,0))))</f>
        <v/>
      </c>
      <c r="K791" s="1007" t="str">
        <f>IF($I769="","",IF(INDEX(F_ProductBM!K:K,MATCH($P791,F_ProductBM!$P:$P,0))="","",INDEX(F_ProductBM!K:K,MATCH($P791,F_ProductBM!$P:$P,0))))</f>
        <v/>
      </c>
      <c r="L791" s="1007" t="str">
        <f>IF($I769="","",IF(INDEX(F_ProductBM!L:L,MATCH($P791,F_ProductBM!$P:$P,0))="","",INDEX(F_ProductBM!L:L,MATCH($P791,F_ProductBM!$P:$P,0))))</f>
        <v/>
      </c>
      <c r="M791" s="1007" t="str">
        <f>IF($I769="","",IF(INDEX(F_ProductBM!M:M,MATCH($P791,F_ProductBM!$P:$P,0))="","",INDEX(F_ProductBM!M:M,MATCH($P791,F_ProductBM!$P:$P,0))))</f>
        <v/>
      </c>
      <c r="N791" s="831"/>
      <c r="O791" s="20"/>
      <c r="P791" s="351" t="str">
        <f>EUconst_CNTR_EmissionsIntSource1 &amp; I769</f>
        <v>EmInternalSource1_</v>
      </c>
      <c r="Q791" s="422"/>
      <c r="R791" s="422"/>
      <c r="S791" s="422"/>
      <c r="T791" s="8"/>
    </row>
    <row r="792" spans="1:20" s="701" customFormat="1" x14ac:dyDescent="0.2">
      <c r="A792" s="422"/>
      <c r="B792" s="398"/>
      <c r="C792" s="398"/>
      <c r="E792" s="1974" t="str">
        <f>Translations!$B$752</f>
        <v>Dalsze strumienie materiałów wsadowych – 2:</v>
      </c>
      <c r="F792" s="1974"/>
      <c r="G792" s="1974"/>
      <c r="H792" s="453" t="str">
        <f>EUconst_tCO2pa</f>
        <v>t CO2 / rok</v>
      </c>
      <c r="I792" s="1007" t="str">
        <f>IF($I769="","",IF(INDEX(F_ProductBM!I:I,MATCH($P792,F_ProductBM!$P:$P,0))="","",INDEX(F_ProductBM!I:I,MATCH($P792,F_ProductBM!$P:$P,0))))</f>
        <v/>
      </c>
      <c r="J792" s="1007" t="str">
        <f>IF($I769="","",IF(INDEX(F_ProductBM!J:J,MATCH($P792,F_ProductBM!$P:$P,0))="","",INDEX(F_ProductBM!J:J,MATCH($P792,F_ProductBM!$P:$P,0))))</f>
        <v/>
      </c>
      <c r="K792" s="1007" t="str">
        <f>IF($I769="","",IF(INDEX(F_ProductBM!K:K,MATCH($P792,F_ProductBM!$P:$P,0))="","",INDEX(F_ProductBM!K:K,MATCH($P792,F_ProductBM!$P:$P,0))))</f>
        <v/>
      </c>
      <c r="L792" s="1007" t="str">
        <f>IF($I769="","",IF(INDEX(F_ProductBM!L:L,MATCH($P792,F_ProductBM!$P:$P,0))="","",INDEX(F_ProductBM!L:L,MATCH($P792,F_ProductBM!$P:$P,0))))</f>
        <v/>
      </c>
      <c r="M792" s="1007" t="str">
        <f>IF($I769="","",IF(INDEX(F_ProductBM!M:M,MATCH($P792,F_ProductBM!$P:$P,0))="","",INDEX(F_ProductBM!M:M,MATCH($P792,F_ProductBM!$P:$P,0))))</f>
        <v/>
      </c>
      <c r="N792" s="831"/>
      <c r="O792" s="20"/>
      <c r="P792" s="351" t="str">
        <f>EUconst_CNTR_EmissionsIntSource2 &amp; I769</f>
        <v>EmInternalSource2_</v>
      </c>
      <c r="Q792" s="422"/>
      <c r="R792" s="422"/>
      <c r="S792" s="422"/>
      <c r="T792" s="8"/>
    </row>
    <row r="793" spans="1:20" s="701" customFormat="1" x14ac:dyDescent="0.2">
      <c r="A793" s="422"/>
      <c r="B793" s="398"/>
      <c r="C793" s="398"/>
      <c r="D793" s="398"/>
      <c r="E793" s="1739" t="str">
        <f>Translations!$B$756</f>
        <v>Wprowadzone lub wyprowadzone gazy cieplarniane</v>
      </c>
      <c r="F793" s="1740"/>
      <c r="G793" s="1740"/>
      <c r="H793" s="453" t="str">
        <f>EUconst_tCO2epa</f>
        <v>t CO2e/rok</v>
      </c>
      <c r="I793" s="1007" t="str">
        <f>IF($I769="","",IF(INDEX(F_ProductBM!I:I,MATCH($P793,F_ProductBM!$P:$P,0))="","",INDEX(F_ProductBM!I:I,MATCH($P793,F_ProductBM!$P:$P,0))))</f>
        <v/>
      </c>
      <c r="J793" s="1007" t="str">
        <f>IF($I769="","",IF(INDEX(F_ProductBM!J:J,MATCH($P793,F_ProductBM!$P:$P,0))="","",INDEX(F_ProductBM!J:J,MATCH($P793,F_ProductBM!$P:$P,0))))</f>
        <v/>
      </c>
      <c r="K793" s="1007" t="str">
        <f>IF($I769="","",IF(INDEX(F_ProductBM!K:K,MATCH($P793,F_ProductBM!$P:$P,0))="","",INDEX(F_ProductBM!K:K,MATCH($P793,F_ProductBM!$P:$P,0))))</f>
        <v/>
      </c>
      <c r="L793" s="1007" t="str">
        <f>IF($I769="","",IF(INDEX(F_ProductBM!L:L,MATCH($P793,F_ProductBM!$P:$P,0))="","",INDEX(F_ProductBM!L:L,MATCH($P793,F_ProductBM!$P:$P,0))))</f>
        <v/>
      </c>
      <c r="M793" s="1007" t="str">
        <f>IF($I769="","",IF(INDEX(F_ProductBM!M:M,MATCH($P793,F_ProductBM!$P:$P,0))="","",INDEX(F_ProductBM!M:M,MATCH($P793,F_ProductBM!$P:$P,0))))</f>
        <v/>
      </c>
      <c r="N793" s="831"/>
      <c r="O793" s="20"/>
      <c r="P793" s="351" t="str">
        <f>EUconst_CNTR_CO2Feedstock &amp; I769</f>
        <v>EmCO2Feedstock_</v>
      </c>
      <c r="Q793" s="422"/>
      <c r="R793" s="422"/>
      <c r="S793" s="422"/>
      <c r="T793" s="8"/>
    </row>
    <row r="794" spans="1:20" s="701" customFormat="1" x14ac:dyDescent="0.2">
      <c r="A794" s="422"/>
      <c r="B794" s="398"/>
      <c r="C794" s="398"/>
      <c r="D794" s="398"/>
      <c r="E794" s="831"/>
      <c r="F794" s="831"/>
      <c r="G794" s="831"/>
      <c r="H794" s="831"/>
      <c r="I794" s="1006"/>
      <c r="J794" s="1006"/>
      <c r="K794" s="1006"/>
      <c r="L794" s="1006"/>
      <c r="M794" s="1006"/>
      <c r="N794" s="831"/>
      <c r="O794" s="20"/>
      <c r="P794" s="422"/>
      <c r="Q794" s="422"/>
      <c r="R794" s="422"/>
      <c r="S794" s="422"/>
      <c r="T794" s="8"/>
    </row>
    <row r="795" spans="1:20" s="701" customFormat="1" x14ac:dyDescent="0.2">
      <c r="A795" s="422"/>
      <c r="B795" s="398"/>
      <c r="C795" s="398"/>
      <c r="D795" s="398"/>
      <c r="E795" s="1766" t="str">
        <f>Translations!$B$764</f>
        <v>Ciepło wprowadzone netto</v>
      </c>
      <c r="F795" s="1767"/>
      <c r="G795" s="1767"/>
      <c r="H795" s="454" t="str">
        <f>EUconst_TJpa</f>
        <v>TJ / rok</v>
      </c>
      <c r="I795" s="1004" t="str">
        <f>IF($I769="","",IF(INDEX(F_ProductBM!I:I,MATCH($P795,F_ProductBM!$P:$P,0))="","",INDEX(F_ProductBM!I:I,MATCH($P795,F_ProductBM!$P:$P,0))))</f>
        <v/>
      </c>
      <c r="J795" s="1004" t="str">
        <f>IF($I769="","",IF(INDEX(F_ProductBM!J:J,MATCH($P795,F_ProductBM!$P:$P,0))="","",INDEX(F_ProductBM!J:J,MATCH($P795,F_ProductBM!$P:$P,0))))</f>
        <v/>
      </c>
      <c r="K795" s="1004" t="str">
        <f>IF($I769="","",IF(INDEX(F_ProductBM!K:K,MATCH($P795,F_ProductBM!$P:$P,0))="","",INDEX(F_ProductBM!K:K,MATCH($P795,F_ProductBM!$P:$P,0))))</f>
        <v/>
      </c>
      <c r="L795" s="1004" t="str">
        <f>IF($I769="","",IF(INDEX(F_ProductBM!L:L,MATCH($P795,F_ProductBM!$P:$P,0))="","",INDEX(F_ProductBM!L:L,MATCH($P795,F_ProductBM!$P:$P,0))))</f>
        <v/>
      </c>
      <c r="M795" s="1004" t="str">
        <f>IF($I769="","",IF(INDEX(F_ProductBM!M:M,MATCH($P795,F_ProductBM!$P:$P,0))="","",INDEX(F_ProductBM!M:M,MATCH($P795,F_ProductBM!$P:$P,0))))</f>
        <v/>
      </c>
      <c r="N795" s="831"/>
      <c r="O795" s="20"/>
      <c r="P795" s="351" t="str">
        <f>EUconst_CNTR_HeatImport &amp; I769</f>
        <v>HeatIm_</v>
      </c>
      <c r="Q795" s="422"/>
      <c r="R795" s="422"/>
      <c r="S795" s="422"/>
      <c r="T795" s="8"/>
    </row>
    <row r="796" spans="1:20" s="701" customFormat="1" x14ac:dyDescent="0.2">
      <c r="A796" s="422"/>
      <c r="B796" s="398"/>
      <c r="C796" s="398"/>
      <c r="D796" s="398"/>
      <c r="E796" s="1743" t="str">
        <f>Translations!$B$765</f>
        <v>Właściwy współczynnik emisji (ciepło wprowadzone)</v>
      </c>
      <c r="F796" s="1744"/>
      <c r="G796" s="1744"/>
      <c r="H796" s="473" t="str">
        <f>EUconst_tCO2pTJ</f>
        <v>t CO2 / TJ</v>
      </c>
      <c r="I796" s="1005" t="str">
        <f>IF($I769="","",IF(INDEX(F_ProductBM!I:I,MATCH($P796,F_ProductBM!$P:$P,0))="","",INDEX(F_ProductBM!I:I,MATCH($P796,F_ProductBM!$P:$P,0))))</f>
        <v/>
      </c>
      <c r="J796" s="1005" t="str">
        <f>IF($I769="","",IF(INDEX(F_ProductBM!J:J,MATCH($P796,F_ProductBM!$P:$P,0))="","",INDEX(F_ProductBM!J:J,MATCH($P796,F_ProductBM!$P:$P,0))))</f>
        <v/>
      </c>
      <c r="K796" s="1005" t="str">
        <f>IF($I769="","",IF(INDEX(F_ProductBM!K:K,MATCH($P796,F_ProductBM!$P:$P,0))="","",INDEX(F_ProductBM!K:K,MATCH($P796,F_ProductBM!$P:$P,0))))</f>
        <v/>
      </c>
      <c r="L796" s="1005" t="str">
        <f>IF($I769="","",IF(INDEX(F_ProductBM!L:L,MATCH($P796,F_ProductBM!$P:$P,0))="","",INDEX(F_ProductBM!L:L,MATCH($P796,F_ProductBM!$P:$P,0))))</f>
        <v/>
      </c>
      <c r="M796" s="1005" t="str">
        <f>IF($I769="","",IF(INDEX(F_ProductBM!M:M,MATCH($P796,F_ProductBM!$P:$P,0))="","",INDEX(F_ProductBM!M:M,MATCH($P796,F_ProductBM!$P:$P,0))))</f>
        <v/>
      </c>
      <c r="N796" s="831"/>
      <c r="O796" s="20"/>
      <c r="P796" s="351" t="str">
        <f>EUconst_CNTR_HeatImportEF &amp; I769</f>
        <v>HeatImEF_</v>
      </c>
      <c r="Q796" s="422"/>
      <c r="R796" s="422"/>
      <c r="S796" s="422"/>
      <c r="T796" s="8"/>
    </row>
    <row r="797" spans="1:20" s="701" customFormat="1" x14ac:dyDescent="0.2">
      <c r="A797" s="422"/>
      <c r="B797" s="398"/>
      <c r="C797" s="398"/>
      <c r="D797" s="398"/>
      <c r="E797" s="516"/>
      <c r="F797" s="831"/>
      <c r="G797" s="831"/>
      <c r="H797" s="831"/>
      <c r="I797" s="1006"/>
      <c r="J797" s="1006"/>
      <c r="K797" s="1006"/>
      <c r="L797" s="1006"/>
      <c r="M797" s="1006"/>
      <c r="N797" s="831"/>
      <c r="O797" s="20"/>
      <c r="P797" s="8"/>
      <c r="Q797" s="422"/>
      <c r="R797" s="422"/>
      <c r="S797" s="422"/>
      <c r="T797" s="8"/>
    </row>
    <row r="798" spans="1:20" s="701" customFormat="1" x14ac:dyDescent="0.2">
      <c r="A798" s="422"/>
      <c r="B798" s="398"/>
      <c r="C798" s="398"/>
      <c r="D798" s="398"/>
      <c r="E798" s="1739" t="str">
        <f>Translations!$B$820</f>
        <v>Ciepło wprowadzone netto z masy celulozowej</v>
      </c>
      <c r="F798" s="1740"/>
      <c r="G798" s="1740"/>
      <c r="H798" s="453" t="str">
        <f>EUconst_TJpa</f>
        <v>TJ / rok</v>
      </c>
      <c r="I798" s="1007" t="str">
        <f>IF($I769="","",IF(INDEX(F_ProductBM!I:I,MATCH($P798,F_ProductBM!$P:$P,0))="","",INDEX(F_ProductBM!I:I,MATCH($P798,F_ProductBM!$P:$P,0))))</f>
        <v/>
      </c>
      <c r="J798" s="1007" t="str">
        <f>IF($I769="","",IF(INDEX(F_ProductBM!J:J,MATCH($P798,F_ProductBM!$P:$P,0))="","",INDEX(F_ProductBM!J:J,MATCH($P798,F_ProductBM!$P:$P,0))))</f>
        <v/>
      </c>
      <c r="K798" s="1007" t="str">
        <f>IF($I769="","",IF(INDEX(F_ProductBM!K:K,MATCH($P798,F_ProductBM!$P:$P,0))="","",INDEX(F_ProductBM!K:K,MATCH($P798,F_ProductBM!$P:$P,0))))</f>
        <v/>
      </c>
      <c r="L798" s="1007" t="str">
        <f>IF($I769="","",IF(INDEX(F_ProductBM!L:L,MATCH($P798,F_ProductBM!$P:$P,0))="","",INDEX(F_ProductBM!L:L,MATCH($P798,F_ProductBM!$P:$P,0))))</f>
        <v/>
      </c>
      <c r="M798" s="1007" t="str">
        <f>IF($I769="","",IF(INDEX(F_ProductBM!M:M,MATCH($P798,F_ProductBM!$P:$P,0))="","",INDEX(F_ProductBM!M:M,MATCH($P798,F_ProductBM!$P:$P,0))))</f>
        <v/>
      </c>
      <c r="N798" s="831"/>
      <c r="O798" s="20"/>
      <c r="P798" s="351" t="str">
        <f>EUconst_CNTR_HeatImportPulp &amp; I769</f>
        <v>HeatImPulp_</v>
      </c>
      <c r="Q798" s="422"/>
      <c r="R798" s="422"/>
      <c r="S798" s="422"/>
      <c r="T798" s="8"/>
    </row>
    <row r="799" spans="1:20" s="701" customFormat="1" x14ac:dyDescent="0.2">
      <c r="A799" s="422"/>
      <c r="B799" s="398"/>
      <c r="C799" s="398"/>
      <c r="D799" s="398"/>
      <c r="E799" s="1739" t="str">
        <f>Translations!$B$768</f>
        <v>Ciepło wprowadzone netto z podinstalacji wytwarzającej kwas azotowy</v>
      </c>
      <c r="F799" s="1740"/>
      <c r="G799" s="1740"/>
      <c r="H799" s="453" t="str">
        <f>EUconst_TJpa</f>
        <v>TJ / rok</v>
      </c>
      <c r="I799" s="1007" t="str">
        <f>IF($I769="","",IF(INDEX(F_ProductBM!I:I,MATCH($P799,F_ProductBM!$P:$P,0))="","",INDEX(F_ProductBM!I:I,MATCH($P799,F_ProductBM!$P:$P,0))))</f>
        <v/>
      </c>
      <c r="J799" s="1007" t="str">
        <f>IF($I769="","",IF(INDEX(F_ProductBM!J:J,MATCH($P799,F_ProductBM!$P:$P,0))="","",INDEX(F_ProductBM!J:J,MATCH($P799,F_ProductBM!$P:$P,0))))</f>
        <v/>
      </c>
      <c r="K799" s="1007" t="str">
        <f>IF($I769="","",IF(INDEX(F_ProductBM!K:K,MATCH($P799,F_ProductBM!$P:$P,0))="","",INDEX(F_ProductBM!K:K,MATCH($P799,F_ProductBM!$P:$P,0))))</f>
        <v/>
      </c>
      <c r="L799" s="1007" t="str">
        <f>IF($I769="","",IF(INDEX(F_ProductBM!L:L,MATCH($P799,F_ProductBM!$P:$P,0))="","",INDEX(F_ProductBM!L:L,MATCH($P799,F_ProductBM!$P:$P,0))))</f>
        <v/>
      </c>
      <c r="M799" s="1007" t="str">
        <f>IF($I769="","",IF(INDEX(F_ProductBM!M:M,MATCH($P799,F_ProductBM!$P:$P,0))="","",INDEX(F_ProductBM!M:M,MATCH($P799,F_ProductBM!$P:$P,0))))</f>
        <v/>
      </c>
      <c r="N799" s="831"/>
      <c r="O799" s="20"/>
      <c r="P799" s="351" t="str">
        <f>EUconst_CNTR_HeatImportNitric &amp; I769</f>
        <v>HeatImNitric_</v>
      </c>
      <c r="Q799" s="422"/>
      <c r="R799" s="422"/>
      <c r="S799" s="422"/>
      <c r="T799" s="8"/>
    </row>
    <row r="800" spans="1:20" s="701" customFormat="1" x14ac:dyDescent="0.2">
      <c r="A800" s="422"/>
      <c r="B800" s="398"/>
      <c r="C800" s="398"/>
      <c r="D800" s="398"/>
      <c r="E800" s="516"/>
      <c r="F800" s="516"/>
      <c r="G800" s="516"/>
      <c r="H800" s="516"/>
      <c r="I800" s="1006"/>
      <c r="J800" s="1006"/>
      <c r="K800" s="1006"/>
      <c r="L800" s="1006"/>
      <c r="M800" s="1006"/>
      <c r="N800" s="831"/>
      <c r="O800" s="20"/>
      <c r="P800" s="8"/>
      <c r="Q800" s="422"/>
      <c r="R800" s="422"/>
      <c r="S800" s="422"/>
      <c r="T800" s="8"/>
    </row>
    <row r="801" spans="1:20" s="701" customFormat="1" x14ac:dyDescent="0.2">
      <c r="A801" s="422"/>
      <c r="B801" s="398"/>
      <c r="C801" s="398"/>
      <c r="D801" s="398"/>
      <c r="E801" s="1766" t="str">
        <f>Translations!$B$770</f>
        <v>Ciepło wyprowadzone netto</v>
      </c>
      <c r="F801" s="1767"/>
      <c r="G801" s="1767"/>
      <c r="H801" s="454" t="str">
        <f>EUconst_TJpa</f>
        <v>TJ / rok</v>
      </c>
      <c r="I801" s="1004" t="str">
        <f>IF($I769="","",IF(INDEX(F_ProductBM!I:I,MATCH($P801,F_ProductBM!$P:$P,0))="","",INDEX(F_ProductBM!I:I,MATCH($P801,F_ProductBM!$P:$P,0))))</f>
        <v/>
      </c>
      <c r="J801" s="1004" t="str">
        <f>IF($I769="","",IF(INDEX(F_ProductBM!J:J,MATCH($P801,F_ProductBM!$P:$P,0))="","",INDEX(F_ProductBM!J:J,MATCH($P801,F_ProductBM!$P:$P,0))))</f>
        <v/>
      </c>
      <c r="K801" s="1004" t="str">
        <f>IF($I769="","",IF(INDEX(F_ProductBM!K:K,MATCH($P801,F_ProductBM!$P:$P,0))="","",INDEX(F_ProductBM!K:K,MATCH($P801,F_ProductBM!$P:$P,0))))</f>
        <v/>
      </c>
      <c r="L801" s="1004" t="str">
        <f>IF($I769="","",IF(INDEX(F_ProductBM!L:L,MATCH($P801,F_ProductBM!$P:$P,0))="","",INDEX(F_ProductBM!L:L,MATCH($P801,F_ProductBM!$P:$P,0))))</f>
        <v/>
      </c>
      <c r="M801" s="1004" t="str">
        <f>IF($I769="","",IF(INDEX(F_ProductBM!M:M,MATCH($P801,F_ProductBM!$P:$P,0))="","",INDEX(F_ProductBM!M:M,MATCH($P801,F_ProductBM!$P:$P,0))))</f>
        <v/>
      </c>
      <c r="N801" s="831"/>
      <c r="O801" s="20"/>
      <c r="P801" s="351" t="str">
        <f>EUconst_CNTR_HeatExport &amp; I769</f>
        <v>HeatEx_</v>
      </c>
      <c r="Q801" s="422"/>
      <c r="R801" s="422"/>
      <c r="S801" s="422"/>
      <c r="T801" s="8"/>
    </row>
    <row r="802" spans="1:20" s="701" customFormat="1" x14ac:dyDescent="0.2">
      <c r="A802" s="422"/>
      <c r="B802" s="398"/>
      <c r="C802" s="398"/>
      <c r="D802" s="398"/>
      <c r="E802" s="1743" t="str">
        <f>Translations!$B$771</f>
        <v>Właściwy współczynnik emisji (ciepło wyprowadzone)</v>
      </c>
      <c r="F802" s="1744"/>
      <c r="G802" s="1744"/>
      <c r="H802" s="473" t="str">
        <f>EUconst_tCO2pTJ</f>
        <v>t CO2 / TJ</v>
      </c>
      <c r="I802" s="1005" t="str">
        <f>IF($I769="","",IF(INDEX(F_ProductBM!I:I,MATCH($P802,F_ProductBM!$P:$P,0))="","",INDEX(F_ProductBM!I:I,MATCH($P802,F_ProductBM!$P:$P,0))))</f>
        <v/>
      </c>
      <c r="J802" s="1005" t="str">
        <f>IF($I769="","",IF(INDEX(F_ProductBM!J:J,MATCH($P802,F_ProductBM!$P:$P,0))="","",INDEX(F_ProductBM!J:J,MATCH($P802,F_ProductBM!$P:$P,0))))</f>
        <v/>
      </c>
      <c r="K802" s="1005" t="str">
        <f>IF($I769="","",IF(INDEX(F_ProductBM!K:K,MATCH($P802,F_ProductBM!$P:$P,0))="","",INDEX(F_ProductBM!K:K,MATCH($P802,F_ProductBM!$P:$P,0))))</f>
        <v/>
      </c>
      <c r="L802" s="1005" t="str">
        <f>IF($I769="","",IF(INDEX(F_ProductBM!L:L,MATCH($P802,F_ProductBM!$P:$P,0))="","",INDEX(F_ProductBM!L:L,MATCH($P802,F_ProductBM!$P:$P,0))))</f>
        <v/>
      </c>
      <c r="M802" s="1005" t="str">
        <f>IF($I769="","",IF(INDEX(F_ProductBM!M:M,MATCH($P802,F_ProductBM!$P:$P,0))="","",INDEX(F_ProductBM!M:M,MATCH($P802,F_ProductBM!$P:$P,0))))</f>
        <v/>
      </c>
      <c r="N802" s="831"/>
      <c r="O802" s="20"/>
      <c r="P802" s="351" t="str">
        <f>EUconst_CNTR_HeatExportEF &amp; I769</f>
        <v>HeatExEF_</v>
      </c>
      <c r="Q802" s="422"/>
      <c r="R802" s="422"/>
      <c r="S802" s="422"/>
      <c r="T802" s="8"/>
    </row>
    <row r="803" spans="1:20" s="701" customFormat="1" x14ac:dyDescent="0.2">
      <c r="A803" s="422"/>
      <c r="B803" s="398"/>
      <c r="C803" s="398"/>
      <c r="D803" s="398"/>
      <c r="E803" s="516"/>
      <c r="F803" s="516"/>
      <c r="G803" s="516"/>
      <c r="H803" s="516"/>
      <c r="I803" s="1006"/>
      <c r="J803" s="1006"/>
      <c r="K803" s="1006"/>
      <c r="L803" s="1006"/>
      <c r="M803" s="1006"/>
      <c r="N803" s="831"/>
      <c r="O803" s="20"/>
      <c r="P803" s="182"/>
      <c r="Q803" s="422"/>
      <c r="R803" s="422"/>
      <c r="S803" s="422"/>
      <c r="T803" s="8"/>
    </row>
    <row r="804" spans="1:20" s="701" customFormat="1" x14ac:dyDescent="0.2">
      <c r="A804" s="422"/>
      <c r="B804" s="398"/>
      <c r="C804" s="398"/>
      <c r="D804" s="398"/>
      <c r="E804" s="1766" t="str">
        <f>Translations!$B$778</f>
        <v>Gazy odlotowe wytworzone</v>
      </c>
      <c r="F804" s="1767"/>
      <c r="G804" s="1767"/>
      <c r="H804" s="454" t="str">
        <f>EUconst_TJpa</f>
        <v>TJ / rok</v>
      </c>
      <c r="I804" s="1004" t="str">
        <f>IF($I769="","",IF(INDEX(F_ProductBM!I:I,MATCH($P804,F_ProductBM!$P:$P,0))="","",INDEX(F_ProductBM!I:I,MATCH($P804,F_ProductBM!$P:$P,0))))</f>
        <v/>
      </c>
      <c r="J804" s="1004" t="str">
        <f>IF($I769="","",IF(INDEX(F_ProductBM!J:J,MATCH($P804,F_ProductBM!$P:$P,0))="","",INDEX(F_ProductBM!J:J,MATCH($P804,F_ProductBM!$P:$P,0))))</f>
        <v/>
      </c>
      <c r="K804" s="1004" t="str">
        <f>IF($I769="","",IF(INDEX(F_ProductBM!K:K,MATCH($P804,F_ProductBM!$P:$P,0))="","",INDEX(F_ProductBM!K:K,MATCH($P804,F_ProductBM!$P:$P,0))))</f>
        <v/>
      </c>
      <c r="L804" s="1004" t="str">
        <f>IF($I769="","",IF(INDEX(F_ProductBM!L:L,MATCH($P804,F_ProductBM!$P:$P,0))="","",INDEX(F_ProductBM!L:L,MATCH($P804,F_ProductBM!$P:$P,0))))</f>
        <v/>
      </c>
      <c r="M804" s="1004" t="str">
        <f>IF($I769="","",IF(INDEX(F_ProductBM!M:M,MATCH($P804,F_ProductBM!$P:$P,0))="","",INDEX(F_ProductBM!M:M,MATCH($P804,F_ProductBM!$P:$P,0))))</f>
        <v/>
      </c>
      <c r="N804" s="831"/>
      <c r="O804" s="20"/>
      <c r="P804" s="830" t="str">
        <f>EUconst_CNTR_WGProduced &amp; I769</f>
        <v>WasteGasProd_</v>
      </c>
      <c r="Q804" s="422"/>
      <c r="R804" s="422"/>
      <c r="S804" s="422"/>
      <c r="T804" s="8"/>
    </row>
    <row r="805" spans="1:20" s="701" customFormat="1" x14ac:dyDescent="0.2">
      <c r="A805" s="422"/>
      <c r="B805" s="398"/>
      <c r="C805" s="398"/>
      <c r="D805" s="398"/>
      <c r="E805" s="1743" t="str">
        <f>Translations!$B$779</f>
        <v>Właściwy współczynnik emisji (gazy odlotowe wytworzone)</v>
      </c>
      <c r="F805" s="1744"/>
      <c r="G805" s="1744"/>
      <c r="H805" s="473" t="str">
        <f>EUconst_tCO2pTJ</f>
        <v>t CO2 / TJ</v>
      </c>
      <c r="I805" s="1005" t="str">
        <f>IF($I769="","",IF(INDEX(F_ProductBM!I:I,MATCH($P805,F_ProductBM!$P:$P,0))="","",INDEX(F_ProductBM!I:I,MATCH($P805,F_ProductBM!$P:$P,0))))</f>
        <v/>
      </c>
      <c r="J805" s="1005" t="str">
        <f>IF($I769="","",IF(INDEX(F_ProductBM!J:J,MATCH($P805,F_ProductBM!$P:$P,0))="","",INDEX(F_ProductBM!J:J,MATCH($P805,F_ProductBM!$P:$P,0))))</f>
        <v/>
      </c>
      <c r="K805" s="1005" t="str">
        <f>IF($I769="","",IF(INDEX(F_ProductBM!K:K,MATCH($P805,F_ProductBM!$P:$P,0))="","",INDEX(F_ProductBM!K:K,MATCH($P805,F_ProductBM!$P:$P,0))))</f>
        <v/>
      </c>
      <c r="L805" s="1005" t="str">
        <f>IF($I769="","",IF(INDEX(F_ProductBM!L:L,MATCH($P805,F_ProductBM!$P:$P,0))="","",INDEX(F_ProductBM!L:L,MATCH($P805,F_ProductBM!$P:$P,0))))</f>
        <v/>
      </c>
      <c r="M805" s="1005" t="str">
        <f>IF($I769="","",IF(INDEX(F_ProductBM!M:M,MATCH($P805,F_ProductBM!$P:$P,0))="","",INDEX(F_ProductBM!M:M,MATCH($P805,F_ProductBM!$P:$P,0))))</f>
        <v/>
      </c>
      <c r="N805" s="831"/>
      <c r="O805" s="20"/>
      <c r="P805" s="351" t="str">
        <f>EUconst_CNTR_WGProducedEF &amp; I769</f>
        <v>WasteGasProdEF_</v>
      </c>
      <c r="Q805" s="422"/>
      <c r="R805" s="422"/>
      <c r="S805" s="422"/>
      <c r="T805" s="8"/>
    </row>
    <row r="806" spans="1:20" s="701" customFormat="1" x14ac:dyDescent="0.2">
      <c r="A806" s="422"/>
      <c r="B806" s="398"/>
      <c r="C806" s="398"/>
      <c r="D806" s="398"/>
      <c r="E806" s="1766" t="str">
        <f>Translations!$B$783</f>
        <v>Gazy odlotowe zużyte</v>
      </c>
      <c r="F806" s="1767"/>
      <c r="G806" s="1767"/>
      <c r="H806" s="454" t="str">
        <f>EUconst_TJpa</f>
        <v>TJ / rok</v>
      </c>
      <c r="I806" s="1004" t="str">
        <f>IF($I769="","",IF(INDEX(F_ProductBM!I:I,MATCH($P806,F_ProductBM!$P:$P,0))="","",INDEX(F_ProductBM!I:I,MATCH($P806,F_ProductBM!$P:$P,0))))</f>
        <v/>
      </c>
      <c r="J806" s="1004" t="str">
        <f>IF($I769="","",IF(INDEX(F_ProductBM!J:J,MATCH($P806,F_ProductBM!$P:$P,0))="","",INDEX(F_ProductBM!J:J,MATCH($P806,F_ProductBM!$P:$P,0))))</f>
        <v/>
      </c>
      <c r="K806" s="1004" t="str">
        <f>IF($I769="","",IF(INDEX(F_ProductBM!K:K,MATCH($P806,F_ProductBM!$P:$P,0))="","",INDEX(F_ProductBM!K:K,MATCH($P806,F_ProductBM!$P:$P,0))))</f>
        <v/>
      </c>
      <c r="L806" s="1004" t="str">
        <f>IF($I769="","",IF(INDEX(F_ProductBM!L:L,MATCH($P806,F_ProductBM!$P:$P,0))="","",INDEX(F_ProductBM!L:L,MATCH($P806,F_ProductBM!$P:$P,0))))</f>
        <v/>
      </c>
      <c r="M806" s="1004" t="str">
        <f>IF($I769="","",IF(INDEX(F_ProductBM!M:M,MATCH($P806,F_ProductBM!$P:$P,0))="","",INDEX(F_ProductBM!M:M,MATCH($P806,F_ProductBM!$P:$P,0))))</f>
        <v/>
      </c>
      <c r="N806" s="831"/>
      <c r="O806" s="20"/>
      <c r="P806" s="351" t="str">
        <f>EUconst_CNTR_WGConsumed &amp; I769</f>
        <v>WasteGasCons_</v>
      </c>
      <c r="Q806" s="422"/>
      <c r="R806" s="422"/>
      <c r="S806" s="422"/>
      <c r="T806" s="8"/>
    </row>
    <row r="807" spans="1:20" s="701" customFormat="1" x14ac:dyDescent="0.2">
      <c r="A807" s="422"/>
      <c r="B807" s="398"/>
      <c r="C807" s="398"/>
      <c r="D807" s="398"/>
      <c r="E807" s="1743" t="str">
        <f>Translations!$B$784</f>
        <v>Właściwy współczynnik emisji (gazy odlotowe zużyte)</v>
      </c>
      <c r="F807" s="1744"/>
      <c r="G807" s="1744"/>
      <c r="H807" s="473" t="str">
        <f>EUconst_tCO2pTJ</f>
        <v>t CO2 / TJ</v>
      </c>
      <c r="I807" s="1005" t="str">
        <f>IF($I769="","",IF(INDEX(F_ProductBM!I:I,MATCH($P807,F_ProductBM!$P:$P,0))="","",INDEX(F_ProductBM!I:I,MATCH($P807,F_ProductBM!$P:$P,0))))</f>
        <v/>
      </c>
      <c r="J807" s="1005" t="str">
        <f>IF($I769="","",IF(INDEX(F_ProductBM!J:J,MATCH($P807,F_ProductBM!$P:$P,0))="","",INDEX(F_ProductBM!J:J,MATCH($P807,F_ProductBM!$P:$P,0))))</f>
        <v/>
      </c>
      <c r="K807" s="1005" t="str">
        <f>IF($I769="","",IF(INDEX(F_ProductBM!K:K,MATCH($P807,F_ProductBM!$P:$P,0))="","",INDEX(F_ProductBM!K:K,MATCH($P807,F_ProductBM!$P:$P,0))))</f>
        <v/>
      </c>
      <c r="L807" s="1005" t="str">
        <f>IF($I769="","",IF(INDEX(F_ProductBM!L:L,MATCH($P807,F_ProductBM!$P:$P,0))="","",INDEX(F_ProductBM!L:L,MATCH($P807,F_ProductBM!$P:$P,0))))</f>
        <v/>
      </c>
      <c r="M807" s="1005" t="str">
        <f>IF($I769="","",IF(INDEX(F_ProductBM!M:M,MATCH($P807,F_ProductBM!$P:$P,0))="","",INDEX(F_ProductBM!M:M,MATCH($P807,F_ProductBM!$P:$P,0))))</f>
        <v/>
      </c>
      <c r="N807" s="831"/>
      <c r="O807" s="20"/>
      <c r="P807" s="351" t="str">
        <f>EUconst_CNTR_WGConsumedEF &amp; I769</f>
        <v>WasteGasConsEF_</v>
      </c>
      <c r="Q807" s="422"/>
      <c r="R807" s="422"/>
      <c r="S807" s="422"/>
      <c r="T807" s="8"/>
    </row>
    <row r="808" spans="1:20" s="701" customFormat="1" x14ac:dyDescent="0.2">
      <c r="A808" s="422"/>
      <c r="B808" s="398"/>
      <c r="C808" s="398"/>
      <c r="D808" s="398"/>
      <c r="E808" s="1766" t="str">
        <f>Translations!$B$790</f>
        <v>Gazy odlotowe spalone na pochodniach</v>
      </c>
      <c r="F808" s="1767"/>
      <c r="G808" s="1767"/>
      <c r="H808" s="454" t="str">
        <f>EUconst_TJpa</f>
        <v>TJ / rok</v>
      </c>
      <c r="I808" s="1004" t="str">
        <f>IF($I769="","",IF(INDEX(F_ProductBM!I:I,MATCH($P808,F_ProductBM!$P:$P,0))="","",INDEX(F_ProductBM!I:I,MATCH($P808,F_ProductBM!$P:$P,0))))</f>
        <v/>
      </c>
      <c r="J808" s="1004" t="str">
        <f>IF($I769="","",IF(INDEX(F_ProductBM!J:J,MATCH($P808,F_ProductBM!$P:$P,0))="","",INDEX(F_ProductBM!J:J,MATCH($P808,F_ProductBM!$P:$P,0))))</f>
        <v/>
      </c>
      <c r="K808" s="1004" t="str">
        <f>IF($I769="","",IF(INDEX(F_ProductBM!K:K,MATCH($P808,F_ProductBM!$P:$P,0))="","",INDEX(F_ProductBM!K:K,MATCH($P808,F_ProductBM!$P:$P,0))))</f>
        <v/>
      </c>
      <c r="L808" s="1004" t="str">
        <f>IF($I769="","",IF(INDEX(F_ProductBM!L:L,MATCH($P808,F_ProductBM!$P:$P,0))="","",INDEX(F_ProductBM!L:L,MATCH($P808,F_ProductBM!$P:$P,0))))</f>
        <v/>
      </c>
      <c r="M808" s="1004" t="str">
        <f>IF($I769="","",IF(INDEX(F_ProductBM!M:M,MATCH($P808,F_ProductBM!$P:$P,0))="","",INDEX(F_ProductBM!M:M,MATCH($P808,F_ProductBM!$P:$P,0))))</f>
        <v/>
      </c>
      <c r="N808" s="831"/>
      <c r="O808" s="20"/>
      <c r="P808" s="351" t="str">
        <f>EUconst_CNTR_WGFlared &amp; I769</f>
        <v>WasteGasFlare_</v>
      </c>
      <c r="Q808" s="422"/>
      <c r="R808" s="422"/>
      <c r="S808" s="422"/>
      <c r="T808" s="8"/>
    </row>
    <row r="809" spans="1:20" s="701" customFormat="1" x14ac:dyDescent="0.2">
      <c r="A809" s="422"/>
      <c r="B809" s="398"/>
      <c r="C809" s="398"/>
      <c r="D809" s="398"/>
      <c r="E809" s="1743" t="str">
        <f>Translations!$B$791</f>
        <v>Właściwy współczynnik emisji (gazy odlotowe spalone na pochodniach)</v>
      </c>
      <c r="F809" s="1744"/>
      <c r="G809" s="1744"/>
      <c r="H809" s="473" t="str">
        <f>EUconst_tCO2pTJ</f>
        <v>t CO2 / TJ</v>
      </c>
      <c r="I809" s="1005" t="str">
        <f>IF($I769="","",IF(INDEX(F_ProductBM!I:I,MATCH($P809,F_ProductBM!$P:$P,0))="","",INDEX(F_ProductBM!I:I,MATCH($P809,F_ProductBM!$P:$P,0))))</f>
        <v/>
      </c>
      <c r="J809" s="1005" t="str">
        <f>IF($I769="","",IF(INDEX(F_ProductBM!J:J,MATCH($P809,F_ProductBM!$P:$P,0))="","",INDEX(F_ProductBM!J:J,MATCH($P809,F_ProductBM!$P:$P,0))))</f>
        <v/>
      </c>
      <c r="K809" s="1005" t="str">
        <f>IF($I769="","",IF(INDEX(F_ProductBM!K:K,MATCH($P809,F_ProductBM!$P:$P,0))="","",INDEX(F_ProductBM!K:K,MATCH($P809,F_ProductBM!$P:$P,0))))</f>
        <v/>
      </c>
      <c r="L809" s="1005" t="str">
        <f>IF($I769="","",IF(INDEX(F_ProductBM!L:L,MATCH($P809,F_ProductBM!$P:$P,0))="","",INDEX(F_ProductBM!L:L,MATCH($P809,F_ProductBM!$P:$P,0))))</f>
        <v/>
      </c>
      <c r="M809" s="1005" t="str">
        <f>IF($I769="","",IF(INDEX(F_ProductBM!M:M,MATCH($P809,F_ProductBM!$P:$P,0))="","",INDEX(F_ProductBM!M:M,MATCH($P809,F_ProductBM!$P:$P,0))))</f>
        <v/>
      </c>
      <c r="N809" s="831"/>
      <c r="O809" s="20"/>
      <c r="P809" s="351" t="str">
        <f>EUconst_CNTR_WGFlaredEF &amp; I769</f>
        <v>WasteGasFlareEF_</v>
      </c>
      <c r="Q809" s="422"/>
      <c r="R809" s="422"/>
      <c r="S809" s="422"/>
      <c r="T809" s="8"/>
    </row>
    <row r="810" spans="1:20" s="701" customFormat="1" x14ac:dyDescent="0.2">
      <c r="A810" s="422"/>
      <c r="B810" s="398"/>
      <c r="C810" s="398"/>
      <c r="D810" s="398"/>
      <c r="E810" s="1766" t="str">
        <f>Translations!$B$796</f>
        <v>Gazy odlotowe wprowadzone</v>
      </c>
      <c r="F810" s="1767"/>
      <c r="G810" s="1767"/>
      <c r="H810" s="454" t="str">
        <f>EUconst_TJpa</f>
        <v>TJ / rok</v>
      </c>
      <c r="I810" s="1004" t="str">
        <f>IF($I769="","",IF(INDEX(F_ProductBM!I:I,MATCH($P810,F_ProductBM!$P:$P,0))="","",INDEX(F_ProductBM!I:I,MATCH($P810,F_ProductBM!$P:$P,0))))</f>
        <v/>
      </c>
      <c r="J810" s="1004" t="str">
        <f>IF($I769="","",IF(INDEX(F_ProductBM!J:J,MATCH($P810,F_ProductBM!$P:$P,0))="","",INDEX(F_ProductBM!J:J,MATCH($P810,F_ProductBM!$P:$P,0))))</f>
        <v/>
      </c>
      <c r="K810" s="1004" t="str">
        <f>IF($I769="","",IF(INDEX(F_ProductBM!K:K,MATCH($P810,F_ProductBM!$P:$P,0))="","",INDEX(F_ProductBM!K:K,MATCH($P810,F_ProductBM!$P:$P,0))))</f>
        <v/>
      </c>
      <c r="L810" s="1004" t="str">
        <f>IF($I769="","",IF(INDEX(F_ProductBM!L:L,MATCH($P810,F_ProductBM!$P:$P,0))="","",INDEX(F_ProductBM!L:L,MATCH($P810,F_ProductBM!$P:$P,0))))</f>
        <v/>
      </c>
      <c r="M810" s="1004" t="str">
        <f>IF($I769="","",IF(INDEX(F_ProductBM!M:M,MATCH($P810,F_ProductBM!$P:$P,0))="","",INDEX(F_ProductBM!M:M,MATCH($P810,F_ProductBM!$P:$P,0))))</f>
        <v/>
      </c>
      <c r="N810" s="831"/>
      <c r="O810" s="20"/>
      <c r="P810" s="351" t="str">
        <f>EUconst_CNTR_WGImport &amp; I769</f>
        <v>WasteGasIm_</v>
      </c>
      <c r="Q810" s="422"/>
      <c r="R810" s="422"/>
      <c r="S810" s="422"/>
      <c r="T810" s="8"/>
    </row>
    <row r="811" spans="1:20" s="701" customFormat="1" x14ac:dyDescent="0.2">
      <c r="A811" s="422"/>
      <c r="B811" s="398"/>
      <c r="C811" s="398"/>
      <c r="D811" s="398"/>
      <c r="E811" s="1743" t="str">
        <f>Translations!$B$797</f>
        <v>Właściwy współczynnik emisji (gazy odlotowe wprowadzone)</v>
      </c>
      <c r="F811" s="1743"/>
      <c r="G811" s="1743"/>
      <c r="H811" s="832" t="str">
        <f>EUconst_tCO2pTJ</f>
        <v>t CO2 / TJ</v>
      </c>
      <c r="I811" s="1005" t="str">
        <f>IF($I769="","",IF(INDEX(F_ProductBM!I:I,MATCH($P811,F_ProductBM!$P:$P,0))="","",INDEX(F_ProductBM!I:I,MATCH($P811,F_ProductBM!$P:$P,0))))</f>
        <v/>
      </c>
      <c r="J811" s="1005" t="str">
        <f>IF($I769="","",IF(INDEX(F_ProductBM!J:J,MATCH($P811,F_ProductBM!$P:$P,0))="","",INDEX(F_ProductBM!J:J,MATCH($P811,F_ProductBM!$P:$P,0))))</f>
        <v/>
      </c>
      <c r="K811" s="1005" t="str">
        <f>IF($I769="","",IF(INDEX(F_ProductBM!K:K,MATCH($P811,F_ProductBM!$P:$P,0))="","",INDEX(F_ProductBM!K:K,MATCH($P811,F_ProductBM!$P:$P,0))))</f>
        <v/>
      </c>
      <c r="L811" s="1005" t="str">
        <f>IF($I769="","",IF(INDEX(F_ProductBM!L:L,MATCH($P811,F_ProductBM!$P:$P,0))="","",INDEX(F_ProductBM!L:L,MATCH($P811,F_ProductBM!$P:$P,0))))</f>
        <v/>
      </c>
      <c r="M811" s="1005" t="str">
        <f>IF($I769="","",IF(INDEX(F_ProductBM!M:M,MATCH($P811,F_ProductBM!$P:$P,0))="","",INDEX(F_ProductBM!M:M,MATCH($P811,F_ProductBM!$P:$P,0))))</f>
        <v/>
      </c>
      <c r="N811" s="831"/>
      <c r="O811" s="20"/>
      <c r="P811" s="351" t="str">
        <f>EUconst_CNTR_WGImportEF &amp; I769</f>
        <v>WasteGasImEF_</v>
      </c>
      <c r="Q811" s="422"/>
      <c r="R811" s="422"/>
      <c r="S811" s="422"/>
      <c r="T811" s="8"/>
    </row>
    <row r="812" spans="1:20" s="701" customFormat="1" x14ac:dyDescent="0.2">
      <c r="A812" s="422"/>
      <c r="B812" s="398"/>
      <c r="C812" s="398"/>
      <c r="D812" s="398"/>
      <c r="E812" s="1766" t="str">
        <f>Translations!$B$801</f>
        <v>Gazy odlotowe wyprowadzone</v>
      </c>
      <c r="F812" s="1767"/>
      <c r="G812" s="1767"/>
      <c r="H812" s="454" t="str">
        <f>EUconst_TJpa</f>
        <v>TJ / rok</v>
      </c>
      <c r="I812" s="1004" t="str">
        <f>IF($I769="","",IF(INDEX(F_ProductBM!I:I,MATCH($P812,F_ProductBM!$P:$P,0))="","",INDEX(F_ProductBM!I:I,MATCH($P812,F_ProductBM!$P:$P,0))))</f>
        <v/>
      </c>
      <c r="J812" s="1004" t="str">
        <f>IF($I769="","",IF(INDEX(F_ProductBM!J:J,MATCH($P812,F_ProductBM!$P:$P,0))="","",INDEX(F_ProductBM!J:J,MATCH($P812,F_ProductBM!$P:$P,0))))</f>
        <v/>
      </c>
      <c r="K812" s="1004" t="str">
        <f>IF($I769="","",IF(INDEX(F_ProductBM!K:K,MATCH($P812,F_ProductBM!$P:$P,0))="","",INDEX(F_ProductBM!K:K,MATCH($P812,F_ProductBM!$P:$P,0))))</f>
        <v/>
      </c>
      <c r="L812" s="1004" t="str">
        <f>IF($I769="","",IF(INDEX(F_ProductBM!L:L,MATCH($P812,F_ProductBM!$P:$P,0))="","",INDEX(F_ProductBM!L:L,MATCH($P812,F_ProductBM!$P:$P,0))))</f>
        <v/>
      </c>
      <c r="M812" s="1004" t="str">
        <f>IF($I769="","",IF(INDEX(F_ProductBM!M:M,MATCH($P812,F_ProductBM!$P:$P,0))="","",INDEX(F_ProductBM!M:M,MATCH($P812,F_ProductBM!$P:$P,0))))</f>
        <v/>
      </c>
      <c r="N812" s="831"/>
      <c r="O812" s="20"/>
      <c r="P812" s="351" t="str">
        <f>EUconst_CNTR_WGExport &amp; I769</f>
        <v>WasteGasEx_</v>
      </c>
      <c r="Q812" s="422"/>
      <c r="R812" s="422"/>
      <c r="S812" s="422"/>
      <c r="T812" s="8"/>
    </row>
    <row r="813" spans="1:20" s="701" customFormat="1" x14ac:dyDescent="0.2">
      <c r="A813" s="422"/>
      <c r="B813" s="398"/>
      <c r="C813" s="398"/>
      <c r="D813" s="398"/>
      <c r="E813" s="1743" t="str">
        <f>Translations!$B$802</f>
        <v>Właściwy współczynnik emisji (gazy odlotowe wyprowadzone)</v>
      </c>
      <c r="F813" s="1743"/>
      <c r="G813" s="1743"/>
      <c r="H813" s="832" t="str">
        <f>EUconst_tCO2pTJ</f>
        <v>t CO2 / TJ</v>
      </c>
      <c r="I813" s="1005" t="str">
        <f>IF($I769="","",IF(INDEX(F_ProductBM!I:I,MATCH($P813,F_ProductBM!$P:$P,0))="","",INDEX(F_ProductBM!I:I,MATCH($P813,F_ProductBM!$P:$P,0))))</f>
        <v/>
      </c>
      <c r="J813" s="1005" t="str">
        <f>IF($I769="","",IF(INDEX(F_ProductBM!J:J,MATCH($P813,F_ProductBM!$P:$P,0))="","",INDEX(F_ProductBM!J:J,MATCH($P813,F_ProductBM!$P:$P,0))))</f>
        <v/>
      </c>
      <c r="K813" s="1005" t="str">
        <f>IF($I769="","",IF(INDEX(F_ProductBM!K:K,MATCH($P813,F_ProductBM!$P:$P,0))="","",INDEX(F_ProductBM!K:K,MATCH($P813,F_ProductBM!$P:$P,0))))</f>
        <v/>
      </c>
      <c r="L813" s="1005" t="str">
        <f>IF($I769="","",IF(INDEX(F_ProductBM!L:L,MATCH($P813,F_ProductBM!$P:$P,0))="","",INDEX(F_ProductBM!L:L,MATCH($P813,F_ProductBM!$P:$P,0))))</f>
        <v/>
      </c>
      <c r="M813" s="1005" t="str">
        <f>IF($I769="","",IF(INDEX(F_ProductBM!M:M,MATCH($P813,F_ProductBM!$P:$P,0))="","",INDEX(F_ProductBM!M:M,MATCH($P813,F_ProductBM!$P:$P,0))))</f>
        <v/>
      </c>
      <c r="N813" s="831"/>
      <c r="O813" s="20"/>
      <c r="P813" s="351" t="str">
        <f>EUconst_CNTR_WGExportEF &amp; I769</f>
        <v>WasteGasExEF_</v>
      </c>
      <c r="Q813" s="422"/>
      <c r="R813" s="422"/>
      <c r="S813" s="422"/>
      <c r="T813" s="8"/>
    </row>
    <row r="814" spans="1:20" s="701" customFormat="1" x14ac:dyDescent="0.2">
      <c r="A814" s="422"/>
      <c r="B814" s="398"/>
      <c r="C814" s="398"/>
      <c r="D814" s="398"/>
      <c r="E814" s="516"/>
      <c r="F814" s="516"/>
      <c r="G814" s="516"/>
      <c r="H814" s="516"/>
      <c r="I814" s="1006"/>
      <c r="J814" s="1006"/>
      <c r="K814" s="1006"/>
      <c r="L814" s="1006"/>
      <c r="M814" s="1006"/>
      <c r="N814" s="831"/>
      <c r="O814" s="20"/>
      <c r="P814" s="182"/>
      <c r="Q814" s="422"/>
      <c r="R814" s="422"/>
      <c r="S814" s="422"/>
      <c r="T814" s="8"/>
    </row>
    <row r="815" spans="1:20" s="701" customFormat="1" x14ac:dyDescent="0.2">
      <c r="A815" s="422"/>
      <c r="B815" s="398"/>
      <c r="C815" s="398"/>
      <c r="D815" s="398"/>
      <c r="E815" s="1739" t="str">
        <f>Translations!$B$689</f>
        <v>Odpowiednie zużycie energii elektrycznej</v>
      </c>
      <c r="F815" s="1740"/>
      <c r="G815" s="1740"/>
      <c r="H815" s="453" t="str">
        <f>EUconst_MWhpa</f>
        <v>MWh / rok</v>
      </c>
      <c r="I815" s="1007" t="str">
        <f>IF($I769="","",IF(INDEX(F_ProductBM!I:I,MATCH($P815,F_ProductBM!$Q:$Q,0))="","",INDEX(F_ProductBM!I:I,MATCH($P815,F_ProductBM!$Q:$Q,0))))</f>
        <v/>
      </c>
      <c r="J815" s="1007" t="str">
        <f>IF($I769="","",IF(INDEX(F_ProductBM!J:J,MATCH($P815,F_ProductBM!$Q:$Q,0))="","",INDEX(F_ProductBM!J:J,MATCH($P815,F_ProductBM!$Q:$Q,0))))</f>
        <v/>
      </c>
      <c r="K815" s="1007" t="str">
        <f>IF($I769="","",IF(INDEX(F_ProductBM!K:K,MATCH($P815,F_ProductBM!$Q:$Q,0))="","",INDEX(F_ProductBM!K:K,MATCH($P815,F_ProductBM!$Q:$Q,0))))</f>
        <v/>
      </c>
      <c r="L815" s="1007" t="str">
        <f>IF($I769="","",IF(INDEX(F_ProductBM!L:L,MATCH($P815,F_ProductBM!$Q:$Q,0))="","",INDEX(F_ProductBM!L:L,MATCH($P815,F_ProductBM!$Q:$Q,0))))</f>
        <v/>
      </c>
      <c r="M815" s="1007" t="str">
        <f>IF($I769="","",IF(INDEX(F_ProductBM!M:M,MATCH($P815,F_ProductBM!$Q:$Q,0))="","",INDEX(F_ProductBM!M:M,MATCH($P815,F_ProductBM!$Q:$Q,0))))</f>
        <v/>
      </c>
      <c r="N815" s="831"/>
      <c r="O815" s="20"/>
      <c r="P815" s="185" t="str">
        <f>EUconst_CNTR_HAL&amp;EUconst_CNTR_ELEXCH &amp; I769</f>
        <v>HAL_ELEXCH_</v>
      </c>
      <c r="Q815" s="422"/>
      <c r="R815" s="422"/>
      <c r="S815" s="422"/>
      <c r="T815" s="8"/>
    </row>
    <row r="816" spans="1:20" s="701" customFormat="1" x14ac:dyDescent="0.2">
      <c r="A816" s="422"/>
      <c r="B816" s="398"/>
      <c r="C816" s="398"/>
      <c r="D816" s="398"/>
      <c r="E816" s="1739" t="str">
        <f>Translations!$B$805</f>
        <v>Energia elektryczna wytworzona</v>
      </c>
      <c r="F816" s="1740"/>
      <c r="G816" s="1740"/>
      <c r="H816" s="453" t="str">
        <f>EUconst_MWhpa</f>
        <v>MWh / rok</v>
      </c>
      <c r="I816" s="1007" t="str">
        <f>IF($I769="","",IF(INDEX(F_ProductBM!I:I,MATCH($P816,F_ProductBM!$P:$P,0))="","",INDEX(F_ProductBM!I:I,MATCH($P816,F_ProductBM!$P:$P,0))))</f>
        <v/>
      </c>
      <c r="J816" s="1007" t="str">
        <f>IF($I769="","",IF(INDEX(F_ProductBM!J:J,MATCH($P816,F_ProductBM!$P:$P,0))="","",INDEX(F_ProductBM!J:J,MATCH($P816,F_ProductBM!$P:$P,0))))</f>
        <v/>
      </c>
      <c r="K816" s="1007" t="str">
        <f>IF($I769="","",IF(INDEX(F_ProductBM!K:K,MATCH($P816,F_ProductBM!$P:$P,0))="","",INDEX(F_ProductBM!K:K,MATCH($P816,F_ProductBM!$P:$P,0))))</f>
        <v/>
      </c>
      <c r="L816" s="1007" t="str">
        <f>IF($I769="","",IF(INDEX(F_ProductBM!L:L,MATCH($P816,F_ProductBM!$P:$P,0))="","",INDEX(F_ProductBM!L:L,MATCH($P816,F_ProductBM!$P:$P,0))))</f>
        <v/>
      </c>
      <c r="M816" s="1007" t="str">
        <f>IF($I769="","",IF(INDEX(F_ProductBM!M:M,MATCH($P816,F_ProductBM!$P:$P,0))="","",INDEX(F_ProductBM!M:M,MATCH($P816,F_ProductBM!$P:$P,0))))</f>
        <v/>
      </c>
      <c r="N816" s="831"/>
      <c r="O816" s="20"/>
      <c r="P816" s="351" t="str">
        <f>EUconst_CNTR_ElectricityExported &amp; I769</f>
        <v>ElecEx_</v>
      </c>
      <c r="Q816" s="422"/>
      <c r="R816" s="422"/>
      <c r="S816" s="422"/>
      <c r="T816" s="8"/>
    </row>
    <row r="817" spans="1:20" s="701" customFormat="1" x14ac:dyDescent="0.2">
      <c r="A817" s="422"/>
      <c r="B817" s="398"/>
      <c r="C817" s="398"/>
      <c r="D817" s="398"/>
      <c r="E817" s="516"/>
      <c r="F817" s="516"/>
      <c r="G817" s="516"/>
      <c r="H817" s="516"/>
      <c r="I817" s="1006"/>
      <c r="J817" s="1006"/>
      <c r="K817" s="1006"/>
      <c r="L817" s="1006"/>
      <c r="M817" s="1006"/>
      <c r="N817" s="831"/>
      <c r="O817" s="20"/>
      <c r="P817" s="182"/>
      <c r="Q817" s="422"/>
      <c r="R817" s="422"/>
      <c r="S817" s="422"/>
      <c r="T817" s="8"/>
    </row>
    <row r="818" spans="1:20" s="701" customFormat="1" x14ac:dyDescent="0.2">
      <c r="A818" s="422"/>
      <c r="B818" s="398"/>
      <c r="C818" s="398"/>
      <c r="D818" s="398"/>
      <c r="E818" s="1739" t="str">
        <f>Translations!$B$806</f>
        <v>Całkowita ilość wyprodukowanej masy celulozowej</v>
      </c>
      <c r="F818" s="1740"/>
      <c r="G818" s="1740"/>
      <c r="H818" s="453" t="str">
        <f>EUconst_Tons</f>
        <v>tony</v>
      </c>
      <c r="I818" s="1007" t="str">
        <f>IF($I769="","",IF(INDEX(F_ProductBM!I:I,MATCH($P818,F_ProductBM!$P:$P,0))="","",INDEX(F_ProductBM!I:I,MATCH($P818,F_ProductBM!$P:$P,0))))</f>
        <v/>
      </c>
      <c r="J818" s="1007" t="str">
        <f>IF($I769="","",IF(INDEX(F_ProductBM!J:J,MATCH($P818,F_ProductBM!$P:$P,0))="","",INDEX(F_ProductBM!J:J,MATCH($P818,F_ProductBM!$P:$P,0))))</f>
        <v/>
      </c>
      <c r="K818" s="1007" t="str">
        <f>IF($I769="","",IF(INDEX(F_ProductBM!K:K,MATCH($P818,F_ProductBM!$P:$P,0))="","",INDEX(F_ProductBM!K:K,MATCH($P818,F_ProductBM!$P:$P,0))))</f>
        <v/>
      </c>
      <c r="L818" s="1007" t="str">
        <f>IF($I769="","",IF(INDEX(F_ProductBM!L:L,MATCH($P818,F_ProductBM!$P:$P,0))="","",INDEX(F_ProductBM!L:L,MATCH($P818,F_ProductBM!$P:$P,0))))</f>
        <v/>
      </c>
      <c r="M818" s="1007" t="str">
        <f>IF($I769="","",IF(INDEX(F_ProductBM!M:M,MATCH($P818,F_ProductBM!$P:$P,0))="","",INDEX(F_ProductBM!M:M,MATCH($P818,F_ProductBM!$P:$P,0))))</f>
        <v/>
      </c>
      <c r="N818" s="831"/>
      <c r="O818" s="20"/>
      <c r="P818" s="351" t="str">
        <f>EUconst_CNTR_HALPulpTotal &amp; I769</f>
        <v>HALPulpTotal_</v>
      </c>
      <c r="Q818" s="422"/>
      <c r="R818" s="422"/>
      <c r="S818" s="422"/>
      <c r="T818" s="8"/>
    </row>
    <row r="819" spans="1:20" s="701" customFormat="1" x14ac:dyDescent="0.2">
      <c r="A819" s="422"/>
      <c r="B819" s="398"/>
      <c r="C819" s="398"/>
      <c r="D819" s="398"/>
      <c r="E819" s="516"/>
      <c r="F819" s="516"/>
      <c r="G819" s="516"/>
      <c r="H819" s="516"/>
      <c r="I819" s="1006"/>
      <c r="J819" s="1006"/>
      <c r="K819" s="1006"/>
      <c r="L819" s="1006"/>
      <c r="M819" s="1006"/>
      <c r="N819" s="831"/>
      <c r="O819" s="20"/>
      <c r="P819" s="182"/>
      <c r="Q819" s="422"/>
      <c r="R819" s="422"/>
      <c r="S819" s="422"/>
      <c r="T819" s="8"/>
    </row>
    <row r="820" spans="1:20" s="701" customFormat="1" x14ac:dyDescent="0.2">
      <c r="A820" s="422"/>
      <c r="B820" s="398"/>
      <c r="C820" s="398"/>
      <c r="D820" s="398"/>
      <c r="E820" s="1268" t="str">
        <f>Translations!$B$1239</f>
        <v>Wprowadzanie pośrednie:</v>
      </c>
      <c r="F820" s="516"/>
      <c r="G820" s="516"/>
      <c r="H820" s="516"/>
      <c r="I820" s="1006"/>
      <c r="J820" s="1006"/>
      <c r="K820" s="1006"/>
      <c r="L820" s="1006"/>
      <c r="M820" s="1006"/>
      <c r="N820" s="831"/>
      <c r="O820" s="20"/>
      <c r="P820" s="182"/>
      <c r="Q820" s="422"/>
      <c r="R820" s="422"/>
      <c r="S820" s="422"/>
      <c r="T820" s="8"/>
    </row>
    <row r="821" spans="1:20" s="701" customFormat="1" x14ac:dyDescent="0.2">
      <c r="A821" s="422"/>
      <c r="B821" s="398"/>
      <c r="C821" s="398"/>
      <c r="D821" s="398"/>
      <c r="E821" s="1762" t="str">
        <f>IF($I769="","",IF(INDEX(F_ProductBM!E:E,MATCH($P821,F_ProductBM!$P:$P,0))="","",INDEX(F_ProductBM!E:E,MATCH($P821,F_ProductBM!$P:$P,0))))</f>
        <v/>
      </c>
      <c r="F821" s="1762"/>
      <c r="G821" s="1762"/>
      <c r="H821" s="453" t="str">
        <f>EUconst_Tons</f>
        <v>tony</v>
      </c>
      <c r="I821" s="1007" t="str">
        <f>IF($I769="","",IF(INDEX(F_ProductBM!I:I,MATCH($P821,F_ProductBM!$P:$P,0))="","",INDEX(F_ProductBM!I:I,MATCH($P821,F_ProductBM!$P:$P,0))))</f>
        <v/>
      </c>
      <c r="J821" s="1007" t="str">
        <f>IF($I769="","",IF(INDEX(F_ProductBM!J:J,MATCH($P821,F_ProductBM!$P:$P,0))="","",INDEX(F_ProductBM!J:J,MATCH($P821,F_ProductBM!$P:$P,0))))</f>
        <v/>
      </c>
      <c r="K821" s="1007" t="str">
        <f>IF($I769="","",IF(INDEX(F_ProductBM!K:K,MATCH($P821,F_ProductBM!$P:$P,0))="","",INDEX(F_ProductBM!K:K,MATCH($P821,F_ProductBM!$P:$P,0))))</f>
        <v/>
      </c>
      <c r="L821" s="1007" t="str">
        <f>IF($I769="","",IF(INDEX(F_ProductBM!L:L,MATCH($P821,F_ProductBM!$P:$P,0))="","",INDEX(F_ProductBM!L:L,MATCH($P821,F_ProductBM!$P:$P,0))))</f>
        <v/>
      </c>
      <c r="M821" s="1007" t="str">
        <f>IF($I769="","",IF(INDEX(F_ProductBM!M:M,MATCH($P821,F_ProductBM!$P:$P,0))="","",INDEX(F_ProductBM!M:M,MATCH($P821,F_ProductBM!$P:$P,0))))</f>
        <v/>
      </c>
      <c r="N821" s="831"/>
      <c r="O821" s="20"/>
      <c r="P821" s="351" t="str">
        <f>EUconst_CNTR_IntermediateImport &amp; R821 &amp; "_" &amp; I769</f>
        <v>IntImp_1_</v>
      </c>
      <c r="Q821" s="422"/>
      <c r="R821" s="879">
        <v>1</v>
      </c>
      <c r="S821" s="422"/>
      <c r="T821" s="8"/>
    </row>
    <row r="822" spans="1:20" s="701" customFormat="1" x14ac:dyDescent="0.2">
      <c r="A822" s="422"/>
      <c r="B822" s="398"/>
      <c r="C822" s="398"/>
      <c r="D822" s="398"/>
      <c r="E822" s="1762" t="str">
        <f>IF($I769="","",IF(INDEX(F_ProductBM!E:E,MATCH($P822,F_ProductBM!$P:$P,0))="","",INDEX(F_ProductBM!E:E,MATCH($P822,F_ProductBM!$P:$P,0))))</f>
        <v/>
      </c>
      <c r="F822" s="1762"/>
      <c r="G822" s="1762"/>
      <c r="H822" s="453" t="str">
        <f>EUconst_Tons</f>
        <v>tony</v>
      </c>
      <c r="I822" s="1007" t="str">
        <f>IF($I769="","",IF(INDEX(F_ProductBM!I:I,MATCH($P822,F_ProductBM!$P:$P,0))="","",INDEX(F_ProductBM!I:I,MATCH($P822,F_ProductBM!$P:$P,0))))</f>
        <v/>
      </c>
      <c r="J822" s="1007" t="str">
        <f>IF($I769="","",IF(INDEX(F_ProductBM!J:J,MATCH($P822,F_ProductBM!$P:$P,0))="","",INDEX(F_ProductBM!J:J,MATCH($P822,F_ProductBM!$P:$P,0))))</f>
        <v/>
      </c>
      <c r="K822" s="1007" t="str">
        <f>IF($I769="","",IF(INDEX(F_ProductBM!K:K,MATCH($P822,F_ProductBM!$P:$P,0))="","",INDEX(F_ProductBM!K:K,MATCH($P822,F_ProductBM!$P:$P,0))))</f>
        <v/>
      </c>
      <c r="L822" s="1007" t="str">
        <f>IF($I769="","",IF(INDEX(F_ProductBM!L:L,MATCH($P822,F_ProductBM!$P:$P,0))="","",INDEX(F_ProductBM!L:L,MATCH($P822,F_ProductBM!$P:$P,0))))</f>
        <v/>
      </c>
      <c r="M822" s="1007" t="str">
        <f>IF($I769="","",IF(INDEX(F_ProductBM!M:M,MATCH($P822,F_ProductBM!$P:$P,0))="","",INDEX(F_ProductBM!M:M,MATCH($P822,F_ProductBM!$P:$P,0))))</f>
        <v/>
      </c>
      <c r="N822" s="831"/>
      <c r="O822" s="20"/>
      <c r="P822" s="351" t="str">
        <f>EUconst_CNTR_IntermediateImport &amp; R822 &amp; "_" &amp; I769</f>
        <v>IntImp_2_</v>
      </c>
      <c r="Q822" s="422"/>
      <c r="R822" s="879">
        <v>2</v>
      </c>
      <c r="S822" s="422"/>
      <c r="T822" s="8"/>
    </row>
    <row r="823" spans="1:20" s="701" customFormat="1" x14ac:dyDescent="0.2">
      <c r="A823" s="422"/>
      <c r="B823" s="398"/>
      <c r="C823" s="398"/>
      <c r="D823" s="398"/>
      <c r="E823" s="1268" t="str">
        <f>Translations!$B$1240</f>
        <v>Wyprowadzanie pośrednie:</v>
      </c>
      <c r="F823" s="516"/>
      <c r="G823" s="516"/>
      <c r="H823" s="516"/>
      <c r="I823" s="1006"/>
      <c r="J823" s="1006"/>
      <c r="K823" s="1006"/>
      <c r="L823" s="1006"/>
      <c r="M823" s="1006"/>
      <c r="N823" s="831"/>
      <c r="O823" s="20"/>
      <c r="P823" s="182"/>
      <c r="Q823" s="422"/>
      <c r="R823" s="422"/>
      <c r="S823" s="422"/>
      <c r="T823" s="8"/>
    </row>
    <row r="824" spans="1:20" s="701" customFormat="1" x14ac:dyDescent="0.2">
      <c r="A824" s="422"/>
      <c r="B824" s="398"/>
      <c r="C824" s="398"/>
      <c r="D824" s="398"/>
      <c r="E824" s="1762" t="str">
        <f>IF($I769="","",IF(INDEX(F_ProductBM!E:E,MATCH($P824,F_ProductBM!$P:$P,0))="","",INDEX(F_ProductBM!E:E,MATCH($P824,F_ProductBM!$P:$P,0))))</f>
        <v/>
      </c>
      <c r="F824" s="1762"/>
      <c r="G824" s="1762"/>
      <c r="H824" s="453" t="str">
        <f>EUconst_Tons</f>
        <v>tony</v>
      </c>
      <c r="I824" s="1007" t="str">
        <f>IF($I769="","",IF(INDEX(F_ProductBM!I:I,MATCH($P824,F_ProductBM!$P:$P,0))="","",INDEX(F_ProductBM!I:I,MATCH($P824,F_ProductBM!$P:$P,0))))</f>
        <v/>
      </c>
      <c r="J824" s="1007" t="str">
        <f>IF($I769="","",IF(INDEX(F_ProductBM!J:J,MATCH($P824,F_ProductBM!$P:$P,0))="","",INDEX(F_ProductBM!J:J,MATCH($P824,F_ProductBM!$P:$P,0))))</f>
        <v/>
      </c>
      <c r="K824" s="1007" t="str">
        <f>IF($I769="","",IF(INDEX(F_ProductBM!K:K,MATCH($P824,F_ProductBM!$P:$P,0))="","",INDEX(F_ProductBM!K:K,MATCH($P824,F_ProductBM!$P:$P,0))))</f>
        <v/>
      </c>
      <c r="L824" s="1007" t="str">
        <f>IF($I769="","",IF(INDEX(F_ProductBM!L:L,MATCH($P824,F_ProductBM!$P:$P,0))="","",INDEX(F_ProductBM!L:L,MATCH($P824,F_ProductBM!$P:$P,0))))</f>
        <v/>
      </c>
      <c r="M824" s="1007" t="str">
        <f>IF($I769="","",IF(INDEX(F_ProductBM!M:M,MATCH($P824,F_ProductBM!$P:$P,0))="","",INDEX(F_ProductBM!M:M,MATCH($P824,F_ProductBM!$P:$P,0))))</f>
        <v/>
      </c>
      <c r="N824" s="831"/>
      <c r="O824" s="20"/>
      <c r="P824" s="351" t="str">
        <f>EUconst_CNTR_IntermediateExport &amp; R821 &amp; "_" &amp; I769</f>
        <v>IntExp_1_</v>
      </c>
      <c r="Q824" s="422"/>
      <c r="R824" s="879">
        <v>1</v>
      </c>
      <c r="S824" s="422"/>
      <c r="T824" s="8"/>
    </row>
    <row r="825" spans="1:20" s="701" customFormat="1" x14ac:dyDescent="0.2">
      <c r="A825" s="422"/>
      <c r="B825" s="398"/>
      <c r="C825" s="398"/>
      <c r="D825" s="398"/>
      <c r="E825" s="1762" t="str">
        <f>IF($I769="","",IF(INDEX(F_ProductBM!E:E,MATCH($P825,F_ProductBM!$P:$P,0))="","",INDEX(F_ProductBM!E:E,MATCH($P825,F_ProductBM!$P:$P,0))))</f>
        <v/>
      </c>
      <c r="F825" s="1762"/>
      <c r="G825" s="1762"/>
      <c r="H825" s="453" t="str">
        <f>EUconst_Tons</f>
        <v>tony</v>
      </c>
      <c r="I825" s="1007" t="str">
        <f>IF($I769="","",IF(INDEX(F_ProductBM!I:I,MATCH($P825,F_ProductBM!$P:$P,0))="","",INDEX(F_ProductBM!I:I,MATCH($P825,F_ProductBM!$P:$P,0))))</f>
        <v/>
      </c>
      <c r="J825" s="1007" t="str">
        <f>IF($I769="","",IF(INDEX(F_ProductBM!J:J,MATCH($P825,F_ProductBM!$P:$P,0))="","",INDEX(F_ProductBM!J:J,MATCH($P825,F_ProductBM!$P:$P,0))))</f>
        <v/>
      </c>
      <c r="K825" s="1007" t="str">
        <f>IF($I769="","",IF(INDEX(F_ProductBM!K:K,MATCH($P825,F_ProductBM!$P:$P,0))="","",INDEX(F_ProductBM!K:K,MATCH($P825,F_ProductBM!$P:$P,0))))</f>
        <v/>
      </c>
      <c r="L825" s="1007" t="str">
        <f>IF($I769="","",IF(INDEX(F_ProductBM!L:L,MATCH($P825,F_ProductBM!$P:$P,0))="","",INDEX(F_ProductBM!L:L,MATCH($P825,F_ProductBM!$P:$P,0))))</f>
        <v/>
      </c>
      <c r="M825" s="1007" t="str">
        <f>IF($I769="","",IF(INDEX(F_ProductBM!M:M,MATCH($P825,F_ProductBM!$P:$P,0))="","",INDEX(F_ProductBM!M:M,MATCH($P825,F_ProductBM!$P:$P,0))))</f>
        <v/>
      </c>
      <c r="N825" s="831"/>
      <c r="O825" s="20"/>
      <c r="P825" s="351" t="str">
        <f>EUconst_CNTR_IntermediateExport &amp; R825 &amp; "_" &amp; I769</f>
        <v>IntExp_2_</v>
      </c>
      <c r="Q825" s="422"/>
      <c r="R825" s="879">
        <v>2</v>
      </c>
      <c r="S825" s="422"/>
      <c r="T825" s="8"/>
    </row>
    <row r="826" spans="1:20" s="701" customFormat="1" x14ac:dyDescent="0.2">
      <c r="A826" s="422"/>
      <c r="B826" s="398"/>
      <c r="C826" s="398"/>
      <c r="D826" s="398"/>
      <c r="E826" s="516"/>
      <c r="F826" s="516"/>
      <c r="G826" s="516"/>
      <c r="H826" s="516"/>
      <c r="I826" s="831"/>
      <c r="J826" s="831"/>
      <c r="K826" s="831"/>
      <c r="L826" s="831"/>
      <c r="M826" s="831"/>
      <c r="N826" s="831"/>
      <c r="O826" s="20"/>
      <c r="P826" s="182"/>
      <c r="Q826" s="422"/>
      <c r="R826" s="422"/>
      <c r="S826" s="422"/>
      <c r="T826" s="8"/>
    </row>
    <row r="827" spans="1:20" s="701" customFormat="1" ht="13.5" thickBot="1" x14ac:dyDescent="0.25">
      <c r="A827" s="422"/>
      <c r="B827" s="398"/>
      <c r="C827" s="398"/>
      <c r="D827" s="398"/>
      <c r="E827" s="1017"/>
      <c r="O827" s="20"/>
      <c r="P827" s="422"/>
      <c r="Q827" s="422"/>
      <c r="R827" s="422"/>
      <c r="S827" s="422"/>
      <c r="T827" s="8"/>
    </row>
    <row r="828" spans="1:20" s="701" customFormat="1" ht="13.5" thickBot="1" x14ac:dyDescent="0.25">
      <c r="A828" s="422"/>
      <c r="B828" s="3"/>
      <c r="C828" s="281"/>
      <c r="D828" s="281"/>
      <c r="E828" s="281"/>
      <c r="F828" s="281"/>
      <c r="G828" s="281"/>
      <c r="H828" s="281"/>
      <c r="I828" s="281"/>
      <c r="J828" s="281"/>
      <c r="K828" s="281"/>
      <c r="L828" s="281"/>
      <c r="M828" s="281"/>
      <c r="N828" s="281"/>
      <c r="O828" s="20"/>
      <c r="P828" s="422"/>
      <c r="Q828" s="422"/>
      <c r="R828" s="422"/>
      <c r="S828" s="422"/>
      <c r="T828" s="8" t="s">
        <v>583</v>
      </c>
    </row>
    <row r="829" spans="1:20" s="701" customFormat="1" ht="15.75" thickBot="1" x14ac:dyDescent="0.3">
      <c r="A829" s="422"/>
      <c r="B829" s="398"/>
      <c r="C829" s="18">
        <f>C769+1</f>
        <v>7</v>
      </c>
      <c r="D829" s="1439" t="str">
        <f>CONCATENATE(EUconst_BMSubinst," ",C829, ":")</f>
        <v>Podinstalacja i wskaźnik emisyjności dla produktów 7:</v>
      </c>
      <c r="E829" s="1439"/>
      <c r="F829" s="1439"/>
      <c r="G829" s="1439"/>
      <c r="H829" s="2024"/>
      <c r="I829" s="1781" t="str">
        <f>IF(INDEX(CNTR_SubInstListIsProdBM,$C829),INDEX(CNTR_SubInstListNames,$C829),"")</f>
        <v/>
      </c>
      <c r="J829" s="2025"/>
      <c r="K829" s="2025"/>
      <c r="L829" s="2025"/>
      <c r="M829" s="2025"/>
      <c r="N829" s="2026"/>
      <c r="O829" s="20"/>
      <c r="P829" s="422"/>
      <c r="Q829" s="986">
        <f>C829</f>
        <v>7</v>
      </c>
      <c r="R829" s="983" t="str">
        <f>I829</f>
        <v/>
      </c>
      <c r="S829" s="985" t="str">
        <f>H832</f>
        <v>Nie dotyczy</v>
      </c>
      <c r="T829" s="984" t="str">
        <f>IF(M841="","",IF(S832=0,0,SUM(M841)/S832))</f>
        <v/>
      </c>
    </row>
    <row r="830" spans="1:20" s="701" customFormat="1" ht="13.5" thickBot="1" x14ac:dyDescent="0.25">
      <c r="A830" s="422"/>
      <c r="B830" s="398"/>
      <c r="C830" s="398"/>
      <c r="D830" s="398"/>
      <c r="E830" s="398"/>
      <c r="F830" s="398"/>
      <c r="G830" s="398"/>
      <c r="H830" s="398"/>
      <c r="I830" s="398"/>
      <c r="J830" s="398"/>
      <c r="K830" s="398"/>
      <c r="L830" s="398"/>
      <c r="M830" s="398"/>
      <c r="N830" s="398"/>
      <c r="O830" s="20"/>
      <c r="P830" s="422"/>
      <c r="Q830" s="422"/>
      <c r="R830" s="422"/>
      <c r="S830" s="422"/>
      <c r="T830" s="8"/>
    </row>
    <row r="831" spans="1:20" s="1299" customFormat="1" ht="51" x14ac:dyDescent="0.2">
      <c r="A831" s="970"/>
      <c r="B831" s="1300"/>
      <c r="C831" s="1300"/>
      <c r="D831" s="1300"/>
      <c r="E831" s="1300"/>
      <c r="F831" s="1300"/>
      <c r="G831" s="1300"/>
      <c r="H831" s="1304" t="str">
        <f>Translations!$B$1204</f>
        <v>narażenie na ryzyko ucieczki emisji</v>
      </c>
      <c r="I831" s="1305" t="s">
        <v>516</v>
      </c>
      <c r="J831" s="1305" t="str">
        <f>Translations!$B$1208</f>
        <v>Rozpoczęcie</v>
      </c>
      <c r="K831" s="1305" t="str">
        <f>Translations!$B$1206</f>
        <v>Nr wskaźnika</v>
      </c>
      <c r="L831" s="1306" t="str">
        <f>Translations!$B$1212</f>
        <v>Art. 15 ust. 7 akapit trzeci?</v>
      </c>
      <c r="M831" s="1307" t="str">
        <f>Translations!$B$1234</f>
        <v>Wart. wskaźnika (min./maks./faktyczna)</v>
      </c>
      <c r="N831" s="1308"/>
      <c r="O831" s="121"/>
      <c r="P831" s="970"/>
      <c r="Q831" s="970"/>
      <c r="R831" s="970"/>
      <c r="S831" s="970"/>
      <c r="T831" s="972"/>
    </row>
    <row r="832" spans="1:20" s="701" customFormat="1" x14ac:dyDescent="0.2">
      <c r="A832" s="422"/>
      <c r="B832" s="398"/>
      <c r="C832" s="398"/>
      <c r="D832" s="398"/>
      <c r="E832" s="652" t="str">
        <f>I829</f>
        <v/>
      </c>
      <c r="F832" s="653"/>
      <c r="G832" s="590"/>
      <c r="H832" s="654" t="str">
        <f>IF(K832=EUconst_NA,EUconst_NA,INDEX(EUconst_BMlistCLstatus,K832))</f>
        <v>Nie dotyczy</v>
      </c>
      <c r="I832" s="655" t="str">
        <f>IF(E832="","",INDEX(EUconst_BMlistElExchangability,K832))</f>
        <v/>
      </c>
      <c r="J832" s="857" t="str">
        <f>IF($I829="",EUconst_NA,INDEX(CNTR_SubInstStartDate,MATCH(E832,CNTR_SubInstListNames,0)))</f>
        <v>Nie dotyczy</v>
      </c>
      <c r="K832" s="536" t="str">
        <f>IF($I829="",EUconst_NA,MATCH(E832,EUconst_BMlistNames,0))</f>
        <v>Nie dotyczy</v>
      </c>
      <c r="L832" s="1071" t="str">
        <f>IF(E832="","",INDEX(CNTR_SubInstLess1Year,MATCH(E832,CNTR_SubInstListNames,0)))</f>
        <v/>
      </c>
      <c r="M832" s="1073" t="str">
        <f>IF(I829="",EUconst_NA,INDEX(EUconst_BMlistBMvaluesMatrix,K832,2))</f>
        <v>Nie dotyczy</v>
      </c>
      <c r="N832" s="1074" t="str">
        <f>EUconst_EUA &amp; "/" &amp; H837</f>
        <v>Uprawnienia do emisji ogólnych/tony</v>
      </c>
      <c r="O832" s="20"/>
      <c r="P832" s="422"/>
      <c r="Q832" s="422"/>
      <c r="R832" s="736" t="s">
        <v>577</v>
      </c>
      <c r="S832" s="822" t="str">
        <f>IF(H832=EUconst_NA,"",IF(H832,1,INDEX(EUconst_CLEFYears,1)))</f>
        <v/>
      </c>
      <c r="T832" s="8"/>
    </row>
    <row r="833" spans="1:20" s="1299" customFormat="1" ht="51" x14ac:dyDescent="0.2">
      <c r="A833" s="970"/>
      <c r="B833" s="1300"/>
      <c r="C833" s="1300"/>
      <c r="D833" s="1300"/>
      <c r="G833" s="1305" t="str">
        <f>Translations!$B$1218</f>
        <v>ciepło nieobjęte systemem EU ETS</v>
      </c>
      <c r="H833" s="1306" t="str">
        <f>Translations!$B$1220</f>
        <v>WGflare</v>
      </c>
      <c r="I833" s="1305" t="s">
        <v>572</v>
      </c>
      <c r="J833" s="1305" t="s">
        <v>573</v>
      </c>
      <c r="K833" s="1305" t="s">
        <v>574</v>
      </c>
      <c r="L833" s="1306" t="str">
        <f>Translations!$B$1214</f>
        <v>Art. 15 ust. 7 akapit trzeci – HPD</v>
      </c>
      <c r="M833" s="1309" t="str">
        <f>IF(I829="",EUconst_NA,INDEX(EUconst_BMlistBMvaluesMatrix,K832,1))</f>
        <v>Nie dotyczy</v>
      </c>
      <c r="N833" s="1303" t="str">
        <f>EUconst_EUA &amp; "/" &amp; H837</f>
        <v>Uprawnienia do emisji ogólnych/tony</v>
      </c>
      <c r="O833" s="121"/>
      <c r="P833" s="970"/>
      <c r="Q833" s="970"/>
      <c r="R833" s="1310"/>
      <c r="S833" s="1311"/>
      <c r="T833" s="972"/>
    </row>
    <row r="834" spans="1:20" s="701" customFormat="1" ht="13.5" thickBot="1" x14ac:dyDescent="0.25">
      <c r="A834" s="422"/>
      <c r="B834" s="398"/>
      <c r="C834" s="398"/>
      <c r="D834" s="398"/>
      <c r="E834" s="877" t="str">
        <f>Translations!$B$1235</f>
        <v>Czynniki szczególne:</v>
      </c>
      <c r="F834" s="878"/>
      <c r="G834" s="536" t="str">
        <f>IF($I829="","",SUMIF(F_ProductBM!$P:$P,EUconst_CNTR_HEAT&amp;$I829,F_ProductBM!$Q:$Q))</f>
        <v/>
      </c>
      <c r="H834" s="855" t="str">
        <f>IF(OR($I829="",CNTR_BaselinePeriod&lt;&gt;2),"",SUMIF(F_ProductBM!$P:$P,EUconst_CNTR_WGFlaredEF &amp; I829,F_ProductBM!$R:$R))</f>
        <v/>
      </c>
      <c r="I834" s="821">
        <f>IF(AND($I829&lt;&gt;"",$I832=TRUE),IF(ISNUMBER(INDEX(F_ProductBM!$Q:$Q,MATCH(EUconst_CNTR_ELEXCH&amp;$I829,F_ProductBM!$P:$P,0))),INDEX(F_ProductBM!$Q:$Q,MATCH(EUconst_CNTR_ELEXCH&amp;$I829,F_ProductBM!$P:$P,0)),1),1)</f>
        <v>1</v>
      </c>
      <c r="J834" s="536" t="str">
        <f>IF($I829="","",IF($K832=42,SUMIF(H_SpecialBM!$P$9:$P$384,EUconst_CNTR_HVC,H_SpecialBM!$I$9:$I$384),0))</f>
        <v/>
      </c>
      <c r="K834" s="876" t="str">
        <f>IF($I829="","",IF($K832=47,IF(ISNUMBER(INDEX(H_SpecialBM!$I$9:$I$384,MATCH(EUconst_CNTR_VCM,H_SpecialBM!$P$9:$P$384,0))),INDEX(H_SpecialBM!$I$9:$I$384,MATCH(EUconst_CNTR_VCM,H_SpecialBM!$P$9:$P$384,0)),1),1))</f>
        <v/>
      </c>
      <c r="L834" s="855" t="str">
        <f>IF($L832=TRUE,SUMIF(F_ProductBM!$P$11:$P$2192,EUconst_CNTR_HAL&amp;$I829,F_ProductBM!$N$11:$N$2192),"")</f>
        <v/>
      </c>
      <c r="M834" s="1075" t="str">
        <f>IF(I829="",EUconst_NA,IF(EUconst_StatusOfDataCollection,INDEX(EUconst_BMlistBMvaluesMatrix,K832,3),""))</f>
        <v>Nie dotyczy</v>
      </c>
      <c r="N834" s="1076" t="str">
        <f>EUconst_EUA &amp; "/" &amp; H837</f>
        <v>Uprawnienia do emisji ogólnych/tony</v>
      </c>
      <c r="O834" s="20"/>
      <c r="P834" s="422"/>
      <c r="Q834" s="422"/>
      <c r="R834" s="736"/>
      <c r="S834" s="875"/>
      <c r="T834" s="8"/>
    </row>
    <row r="835" spans="1:20" s="701" customFormat="1" x14ac:dyDescent="0.2">
      <c r="A835" s="422"/>
      <c r="B835" s="398"/>
      <c r="C835" s="398"/>
      <c r="D835" s="398"/>
      <c r="E835" s="398"/>
      <c r="F835" s="398"/>
      <c r="G835" s="398"/>
      <c r="H835" s="398"/>
      <c r="I835" s="398"/>
      <c r="J835" s="398"/>
      <c r="K835" s="398"/>
      <c r="L835" s="398"/>
      <c r="M835" s="398"/>
      <c r="N835" s="398"/>
      <c r="O835" s="20"/>
      <c r="P835" s="422"/>
      <c r="Q835" s="422"/>
      <c r="R835" s="422"/>
      <c r="S835" s="422"/>
      <c r="T835" s="8"/>
    </row>
    <row r="836" spans="1:20" s="701" customFormat="1" x14ac:dyDescent="0.2">
      <c r="A836" s="422"/>
      <c r="B836" s="398"/>
      <c r="C836" s="398"/>
      <c r="D836" s="398"/>
      <c r="E836" s="656"/>
      <c r="F836" s="656"/>
      <c r="G836" s="657"/>
      <c r="H836" s="873" t="str">
        <f>EUconst_Unit</f>
        <v>Jednostka</v>
      </c>
      <c r="I836" s="432">
        <f>I$1397</f>
        <v>2014</v>
      </c>
      <c r="J836" s="432">
        <f>J$1397</f>
        <v>2015</v>
      </c>
      <c r="K836" s="432">
        <f>K$1397</f>
        <v>2016</v>
      </c>
      <c r="L836" s="432">
        <f>L$1397</f>
        <v>2017</v>
      </c>
      <c r="M836" s="432">
        <f>M$1397</f>
        <v>2018</v>
      </c>
      <c r="N836" s="398"/>
      <c r="O836" s="20"/>
      <c r="P836" s="185" t="s">
        <v>237</v>
      </c>
      <c r="Q836" s="422"/>
      <c r="R836" s="422"/>
      <c r="S836" s="422"/>
      <c r="T836" s="8"/>
    </row>
    <row r="837" spans="1:20" s="701" customFormat="1" x14ac:dyDescent="0.2">
      <c r="A837" s="422"/>
      <c r="B837" s="398"/>
      <c r="C837" s="398"/>
      <c r="D837" s="398"/>
      <c r="E837" s="658" t="str">
        <f>Translations!$B$1236</f>
        <v>Zgłoszony HPD (historyczny poziom działalności)</v>
      </c>
      <c r="F837" s="659"/>
      <c r="G837" s="660"/>
      <c r="H837" s="654" t="str">
        <f>IF(ISNUMBER(K832),INDEX(EUconst_BMlistUnits,K832),EUconst_Tons)</f>
        <v>tony</v>
      </c>
      <c r="I837" s="536" t="str">
        <f>IF($I829="","",SUMIF(F_ProductBM!$P$11:$P$1876,$P837,F_ProductBM!I$11:I$1876))</f>
        <v/>
      </c>
      <c r="J837" s="536" t="str">
        <f>IF($I829="","",SUMIF(F_ProductBM!$P$11:$P$1876,$P837,F_ProductBM!J$11:J$1876))</f>
        <v/>
      </c>
      <c r="K837" s="536" t="str">
        <f>IF($I829="","",SUMIF(F_ProductBM!$P$11:$P$1876,$P837,F_ProductBM!K$11:K$1876))</f>
        <v/>
      </c>
      <c r="L837" s="536" t="str">
        <f>IF($I829="","",SUMIF(F_ProductBM!$P$11:$P$1876,$P837,F_ProductBM!L$11:L$1876))</f>
        <v/>
      </c>
      <c r="M837" s="536" t="str">
        <f>IF($I829="","",SUMIF(F_ProductBM!$P$11:$P$1876,$P837,F_ProductBM!M$11:M$1876))</f>
        <v/>
      </c>
      <c r="N837" s="651" t="str">
        <f>Translations!$B$1224</f>
        <v>Średnia</v>
      </c>
      <c r="O837" s="20"/>
      <c r="P837" s="185" t="str">
        <f>EUconst_CNTR_HAL&amp;I829</f>
        <v>HAL_</v>
      </c>
      <c r="Q837" s="422"/>
      <c r="R837" s="422"/>
      <c r="S837" s="422"/>
      <c r="T837" s="8"/>
    </row>
    <row r="838" spans="1:20" s="701" customFormat="1" x14ac:dyDescent="0.2">
      <c r="A838" s="422"/>
      <c r="B838" s="398"/>
      <c r="C838" s="398"/>
      <c r="D838" s="398"/>
      <c r="E838" s="658" t="str">
        <f>Translations!$B$1237</f>
        <v>Wartości wykorzystywane do obliczania zgłoszonego HPD:</v>
      </c>
      <c r="F838" s="659"/>
      <c r="G838" s="660"/>
      <c r="H838" s="654" t="str">
        <f>H837</f>
        <v>tony</v>
      </c>
      <c r="I838" s="536" t="str">
        <f>IF($I829="","",INDEX(F_ProductBM!S$11:S$1876,MATCH($P838,F_ProductBM!$P$11:$P$1876,0)))</f>
        <v/>
      </c>
      <c r="J838" s="536" t="str">
        <f>IF($I829="","",INDEX(F_ProductBM!T$11:T$1876,MATCH($P838,F_ProductBM!$P$11:$P$1876,0)))</f>
        <v/>
      </c>
      <c r="K838" s="536" t="str">
        <f>IF($I829="","",INDEX(F_ProductBM!U$11:U$1876,MATCH($P838,F_ProductBM!$P$11:$P$1876,0)))</f>
        <v/>
      </c>
      <c r="L838" s="536" t="str">
        <f>IF($I829="","",INDEX(F_ProductBM!V$11:V$1876,MATCH($P838,F_ProductBM!$P$11:$P$1876,0)))</f>
        <v/>
      </c>
      <c r="M838" s="536" t="str">
        <f>IF($I829="","",INDEX(F_ProductBM!W$11:W$1876,MATCH($P838,F_ProductBM!$P$11:$P$1876,0)))</f>
        <v/>
      </c>
      <c r="N838" s="536" t="str">
        <f>IF(OR($I829="",$L832=TRUE),"",IF(COUNT($I838:$M838)&gt;0,AVERAGE($I838:$M838),""))</f>
        <v/>
      </c>
      <c r="O838" s="20"/>
      <c r="P838" s="185" t="str">
        <f>EUconst_CNTR_HAL&amp;I829</f>
        <v>HAL_</v>
      </c>
      <c r="Q838" s="422"/>
      <c r="R838" s="1013" t="s">
        <v>630</v>
      </c>
      <c r="S838" s="1013" t="s">
        <v>631</v>
      </c>
      <c r="T838" s="1013" t="s">
        <v>632</v>
      </c>
    </row>
    <row r="839" spans="1:20" s="701" customFormat="1" ht="13.5" thickBot="1" x14ac:dyDescent="0.25">
      <c r="A839" s="422"/>
      <c r="B839" s="398"/>
      <c r="C839" s="398"/>
      <c r="D839" s="398"/>
      <c r="E839" s="874"/>
      <c r="F839" s="874"/>
      <c r="G839" s="874"/>
      <c r="H839" s="874"/>
      <c r="I839" s="874"/>
      <c r="J839" s="874"/>
      <c r="K839" s="874"/>
      <c r="L839" s="874"/>
      <c r="O839" s="20"/>
      <c r="P839" s="422"/>
      <c r="Q839" s="422"/>
      <c r="R839" s="422"/>
      <c r="S839" s="422"/>
      <c r="T839" s="8"/>
    </row>
    <row r="840" spans="1:20" s="701" customFormat="1" ht="13.5" thickBot="1" x14ac:dyDescent="0.25">
      <c r="A840" s="422"/>
      <c r="B840" s="398"/>
      <c r="D840" s="398"/>
      <c r="E840" s="874"/>
      <c r="F840" s="823" t="s">
        <v>520</v>
      </c>
      <c r="G840" s="824"/>
      <c r="I840" s="823" t="str">
        <f>Translations!$B$1226</f>
        <v>Wst. przydział rok 1 (min.)</v>
      </c>
      <c r="J840" s="824"/>
      <c r="K840" s="823" t="str">
        <f>Translations!$B$1229</f>
        <v>Wst. przydział rok 1 (maks.)</v>
      </c>
      <c r="L840" s="824"/>
      <c r="M840" s="823" t="str">
        <f>Translations!$B$1231</f>
        <v>Wst. przydział rok 1 (faktyczny)</v>
      </c>
      <c r="N840" s="824"/>
      <c r="O840" s="20"/>
      <c r="P840" s="185" t="str">
        <f>EUconst_AllocPrelim&amp;I829</f>
        <v>AllocPrelim_</v>
      </c>
      <c r="Q840" s="422"/>
      <c r="R840" s="982" t="str">
        <f>IF(I841="","",IF(S832=0,0,SUM(I841)/S832))</f>
        <v/>
      </c>
      <c r="S840" s="982" t="str">
        <f>IF(K841="","",IF(S832=0,0,SUM(K841)/S832))</f>
        <v/>
      </c>
      <c r="T840" s="982" t="str">
        <f>T829</f>
        <v/>
      </c>
    </row>
    <row r="841" spans="1:20" s="701" customFormat="1" ht="13.5" thickBot="1" x14ac:dyDescent="0.25">
      <c r="A841" s="422"/>
      <c r="B841" s="398"/>
      <c r="E841" s="874"/>
      <c r="F841" s="662" t="str">
        <f>IF(I829="","",MAX(0, IF(L832=TRUE, SUM(L834), SUM(N838))))</f>
        <v/>
      </c>
      <c r="G841" s="663" t="str">
        <f>H837&amp;" / "&amp;EUconst_Year</f>
        <v>tony / rok</v>
      </c>
      <c r="I841" s="820" t="str">
        <f>IF(I829="","",ROUND((SUM(M832)*SUM(F841)*SUM(I834)*SUM(K834)-SUM(G834)-SUM(H834)+SUM(J834))*SUM(S832),0))</f>
        <v/>
      </c>
      <c r="J841" s="966" t="str">
        <f>EUconst_EUApa</f>
        <v>Uprawnienia do emisji ogólnych / rok</v>
      </c>
      <c r="K841" s="820" t="str">
        <f>IF(I829="","",ROUND((SUM(M833)*SUM(F841)*SUM(I834)*SUM(K834)-SUM(G834)-SUM(H834)+SUM(J834))*SUM(S832),0))</f>
        <v/>
      </c>
      <c r="L841" s="966" t="str">
        <f>EUconst_EUApa</f>
        <v>Uprawnienia do emisji ogólnych / rok</v>
      </c>
      <c r="M841" s="820" t="str">
        <f>IF(OR(I829="",M834=""),"",ROUND((SUM(M834)*SUM(F841)*SUM(I834)*SUM(K834)-SUM(G834)-SUM(H834)+SUM(J834))*SUM(S832),0))</f>
        <v/>
      </c>
      <c r="N841" s="966" t="str">
        <f>EUconst_EUApa</f>
        <v>Uprawnienia do emisji ogólnych / rok</v>
      </c>
      <c r="O841" s="20"/>
      <c r="P841" s="185" t="str">
        <f>EUconst_HALsum &amp; I829</f>
        <v>HALsum_</v>
      </c>
      <c r="Q841" s="422"/>
      <c r="R841" s="422"/>
      <c r="S841" s="422"/>
      <c r="T841" s="8"/>
    </row>
    <row r="842" spans="1:20" s="701" customFormat="1" x14ac:dyDescent="0.2">
      <c r="A842" s="422"/>
      <c r="B842" s="398"/>
      <c r="C842" s="398"/>
      <c r="E842" s="425"/>
      <c r="F842" s="398"/>
      <c r="G842" s="398"/>
      <c r="H842" s="398"/>
      <c r="I842" s="398"/>
      <c r="J842" s="398"/>
      <c r="K842" s="398"/>
      <c r="L842" s="398"/>
      <c r="M842" s="398"/>
      <c r="N842" s="398"/>
      <c r="O842" s="20"/>
      <c r="P842" s="422"/>
      <c r="Q842" s="422"/>
      <c r="R842" s="422"/>
      <c r="S842" s="422"/>
      <c r="T842" s="8"/>
    </row>
    <row r="843" spans="1:20" s="701" customFormat="1" x14ac:dyDescent="0.2">
      <c r="A843" s="422"/>
      <c r="B843" s="398"/>
      <c r="C843" s="398"/>
      <c r="D843" s="398"/>
      <c r="E843" s="516"/>
      <c r="F843" s="831"/>
      <c r="G843" s="831"/>
      <c r="H843" s="831"/>
      <c r="I843" s="831"/>
      <c r="J843" s="831"/>
      <c r="K843" s="831"/>
      <c r="L843" s="831"/>
      <c r="M843" s="831"/>
      <c r="N843" s="831"/>
      <c r="O843" s="20"/>
      <c r="P843" s="422"/>
      <c r="Q843" s="422"/>
      <c r="R843" s="422"/>
      <c r="S843" s="422"/>
      <c r="T843" s="8"/>
    </row>
    <row r="844" spans="1:20" s="701" customFormat="1" ht="13.5" thickBot="1" x14ac:dyDescent="0.25">
      <c r="A844" s="422"/>
      <c r="B844" s="398"/>
      <c r="C844" s="398"/>
      <c r="D844" s="398"/>
      <c r="E844" s="516"/>
      <c r="F844" s="831"/>
      <c r="G844" s="831"/>
      <c r="H844" s="515" t="str">
        <f>EUconst_Unit</f>
        <v>Jednostka</v>
      </c>
      <c r="I844" s="1011">
        <f>I$1397</f>
        <v>2014</v>
      </c>
      <c r="J844" s="451">
        <f>J$1397</f>
        <v>2015</v>
      </c>
      <c r="K844" s="451">
        <f>K$1397</f>
        <v>2016</v>
      </c>
      <c r="L844" s="451">
        <f>L$1397</f>
        <v>2017</v>
      </c>
      <c r="M844" s="451">
        <f>M$1397</f>
        <v>2018</v>
      </c>
      <c r="N844" s="831"/>
      <c r="O844" s="20"/>
      <c r="P844" s="422"/>
      <c r="Q844" s="422"/>
      <c r="R844" s="422"/>
      <c r="S844" s="422"/>
      <c r="T844" s="8"/>
    </row>
    <row r="845" spans="1:20" s="701" customFormat="1" ht="13.5" thickBot="1" x14ac:dyDescent="0.25">
      <c r="A845" s="422"/>
      <c r="B845" s="398"/>
      <c r="C845" s="398"/>
      <c r="D845" s="398"/>
      <c r="E845" s="1876" t="str">
        <f>Translations!$B$1238</f>
        <v>Całkowite przypisane emisje</v>
      </c>
      <c r="F845" s="1876"/>
      <c r="G845" s="1876"/>
      <c r="H845" s="968" t="str">
        <f>EUconst_tCO2epa</f>
        <v>t CO2e/rok</v>
      </c>
      <c r="I845" s="1000" t="str">
        <f>INDEX(I$93:I$109,MATCH($I829,$E$93:$E$109,0))</f>
        <v/>
      </c>
      <c r="J845" s="1001" t="str">
        <f>INDEX(J$93:J$109,MATCH($I829,$E$93:$E$109,0))</f>
        <v/>
      </c>
      <c r="K845" s="1001" t="str">
        <f>INDEX(K$93:K$109,MATCH($I829,$E$93:$E$109,0))</f>
        <v/>
      </c>
      <c r="L845" s="1001" t="str">
        <f>INDEX(L$93:L$109,MATCH($I829,$E$93:$E$109,0))</f>
        <v/>
      </c>
      <c r="M845" s="1002" t="str">
        <f>INDEX(M$93:M$109,MATCH($I829,$E$93:$E$109,0))</f>
        <v/>
      </c>
      <c r="N845" s="831"/>
      <c r="O845" s="20"/>
      <c r="P845" s="422"/>
      <c r="Q845" s="422"/>
      <c r="R845" s="422"/>
      <c r="S845" s="422"/>
      <c r="T845" s="8"/>
    </row>
    <row r="846" spans="1:20" s="701" customFormat="1" x14ac:dyDescent="0.2">
      <c r="A846" s="422"/>
      <c r="B846" s="398"/>
      <c r="C846" s="398"/>
      <c r="D846" s="398"/>
      <c r="E846" s="516"/>
      <c r="F846" s="516"/>
      <c r="G846" s="516"/>
      <c r="H846" s="516"/>
      <c r="I846" s="1003"/>
      <c r="J846" s="1003"/>
      <c r="K846" s="1003"/>
      <c r="L846" s="1003"/>
      <c r="M846" s="1003"/>
      <c r="N846" s="516"/>
      <c r="O846" s="20"/>
      <c r="P846" s="422"/>
      <c r="Q846" s="422"/>
      <c r="R846" s="422"/>
      <c r="S846" s="422"/>
      <c r="T846" s="8"/>
    </row>
    <row r="847" spans="1:20" s="701" customFormat="1" x14ac:dyDescent="0.2">
      <c r="A847" s="422"/>
      <c r="B847" s="398"/>
      <c r="C847" s="398"/>
      <c r="D847" s="398"/>
      <c r="E847" s="1766" t="str">
        <f>Translations!$B$731</f>
        <v>Wsad paliwa</v>
      </c>
      <c r="F847" s="1767"/>
      <c r="G847" s="1767"/>
      <c r="H847" s="454" t="str">
        <f>EUconst_TJpa</f>
        <v>TJ / rok</v>
      </c>
      <c r="I847" s="1004" t="str">
        <f>IF($I829="","",IF(INDEX(F_ProductBM!I:I,MATCH($P847,F_ProductBM!$P:$P,0))="","",INDEX(F_ProductBM!I:I,MATCH($P847,F_ProductBM!$P:$P,0))))</f>
        <v/>
      </c>
      <c r="J847" s="1004" t="str">
        <f>IF($I829="","",IF(INDEX(F_ProductBM!J:J,MATCH($P847,F_ProductBM!$P:$P,0))="","",INDEX(F_ProductBM!J:J,MATCH($P847,F_ProductBM!$P:$P,0))))</f>
        <v/>
      </c>
      <c r="K847" s="1004" t="str">
        <f>IF($I829="","",IF(INDEX(F_ProductBM!K:K,MATCH($P847,F_ProductBM!$P:$P,0))="","",INDEX(F_ProductBM!K:K,MATCH($P847,F_ProductBM!$P:$P,0))))</f>
        <v/>
      </c>
      <c r="L847" s="1004" t="str">
        <f>IF($I829="","",IF(INDEX(F_ProductBM!L:L,MATCH($P847,F_ProductBM!$P:$P,0))="","",INDEX(F_ProductBM!L:L,MATCH($P847,F_ProductBM!$P:$P,0))))</f>
        <v/>
      </c>
      <c r="M847" s="1004" t="str">
        <f>IF($I829="","",IF(INDEX(F_ProductBM!M:M,MATCH($P847,F_ProductBM!$P:$P,0))="","",INDEX(F_ProductBM!M:M,MATCH($P847,F_ProductBM!$P:$P,0))))</f>
        <v/>
      </c>
      <c r="N847" s="831"/>
      <c r="O847" s="20"/>
      <c r="P847" s="830" t="str">
        <f>EUconst_CNTR_FuelInput &amp; I829</f>
        <v>FuelInput_</v>
      </c>
      <c r="Q847" s="422"/>
      <c r="R847" s="422"/>
      <c r="S847" s="422"/>
      <c r="T847" s="8"/>
    </row>
    <row r="848" spans="1:20" s="701" customFormat="1" x14ac:dyDescent="0.2">
      <c r="A848" s="422"/>
      <c r="B848" s="398"/>
      <c r="C848" s="398"/>
      <c r="D848" s="398"/>
      <c r="E848" s="1743" t="str">
        <f>Translations!$B$732</f>
        <v>Ważony współczynnik emisji</v>
      </c>
      <c r="F848" s="1744"/>
      <c r="G848" s="1744"/>
      <c r="H848" s="473" t="str">
        <f>EUconst_tCO2pTJ</f>
        <v>t CO2 / TJ</v>
      </c>
      <c r="I848" s="1005" t="str">
        <f>IF($I829="","",IF(INDEX(F_ProductBM!I:I,MATCH($P848,F_ProductBM!$P:$P,0))="","",INDEX(F_ProductBM!I:I,MATCH($P848,F_ProductBM!$P:$P,0))))</f>
        <v/>
      </c>
      <c r="J848" s="1005" t="str">
        <f>IF($I829="","",IF(INDEX(F_ProductBM!J:J,MATCH($P848,F_ProductBM!$P:$P,0))="","",INDEX(F_ProductBM!J:J,MATCH($P848,F_ProductBM!$P:$P,0))))</f>
        <v/>
      </c>
      <c r="K848" s="1005" t="str">
        <f>IF($I829="","",IF(INDEX(F_ProductBM!K:K,MATCH($P848,F_ProductBM!$P:$P,0))="","",INDEX(F_ProductBM!K:K,MATCH($P848,F_ProductBM!$P:$P,0))))</f>
        <v/>
      </c>
      <c r="L848" s="1005" t="str">
        <f>IF($I829="","",IF(INDEX(F_ProductBM!L:L,MATCH($P848,F_ProductBM!$P:$P,0))="","",INDEX(F_ProductBM!L:L,MATCH($P848,F_ProductBM!$P:$P,0))))</f>
        <v/>
      </c>
      <c r="M848" s="1005" t="str">
        <f>IF($I829="","",IF(INDEX(F_ProductBM!M:M,MATCH($P848,F_ProductBM!$P:$P,0))="","",INDEX(F_ProductBM!M:M,MATCH($P848,F_ProductBM!$P:$P,0))))</f>
        <v/>
      </c>
      <c r="N848" s="831"/>
      <c r="O848" s="20"/>
      <c r="P848" s="351" t="str">
        <f>EUconst_CNTR_FuelEF &amp; I829</f>
        <v>FuelEF_</v>
      </c>
      <c r="Q848" s="422"/>
      <c r="R848" s="422"/>
      <c r="S848" s="422"/>
      <c r="T848" s="8"/>
    </row>
    <row r="849" spans="1:20" s="701" customFormat="1" x14ac:dyDescent="0.2">
      <c r="A849" s="422"/>
      <c r="B849" s="398"/>
      <c r="C849" s="398"/>
      <c r="E849" s="516"/>
      <c r="F849" s="831"/>
      <c r="G849" s="831"/>
      <c r="H849" s="831"/>
      <c r="I849" s="1006"/>
      <c r="J849" s="1006"/>
      <c r="K849" s="1006"/>
      <c r="L849" s="1006"/>
      <c r="M849" s="1006"/>
      <c r="N849" s="831"/>
      <c r="O849" s="20"/>
      <c r="P849" s="422"/>
      <c r="Q849" s="422"/>
      <c r="R849" s="422"/>
      <c r="S849" s="422"/>
      <c r="T849" s="8"/>
    </row>
    <row r="850" spans="1:20" s="701" customFormat="1" x14ac:dyDescent="0.2">
      <c r="A850" s="422"/>
      <c r="B850" s="398"/>
      <c r="C850" s="398"/>
      <c r="E850" s="1739" t="str">
        <f>Translations!$B$687</f>
        <v>Emisje bezpośrednie</v>
      </c>
      <c r="F850" s="1740"/>
      <c r="G850" s="1740"/>
      <c r="H850" s="453" t="str">
        <f>EUconst_tCO2pa</f>
        <v>t CO2 / rok</v>
      </c>
      <c r="I850" s="1007" t="str">
        <f>IF($I829="","",IF(INDEX(F_ProductBM!I:I,MATCH($P850,F_ProductBM!$P:$P,0))="","",INDEX(F_ProductBM!I:I,MATCH($P850,F_ProductBM!$P:$P,0))))</f>
        <v/>
      </c>
      <c r="J850" s="1007" t="str">
        <f>IF($I829="","",IF(INDEX(F_ProductBM!J:J,MATCH($P850,F_ProductBM!$P:$P,0))="","",INDEX(F_ProductBM!J:J,MATCH($P850,F_ProductBM!$P:$P,0))))</f>
        <v/>
      </c>
      <c r="K850" s="1007" t="str">
        <f>IF($I829="","",IF(INDEX(F_ProductBM!K:K,MATCH($P850,F_ProductBM!$P:$P,0))="","",INDEX(F_ProductBM!K:K,MATCH($P850,F_ProductBM!$P:$P,0))))</f>
        <v/>
      </c>
      <c r="L850" s="1007" t="str">
        <f>IF($I829="","",IF(INDEX(F_ProductBM!L:L,MATCH($P850,F_ProductBM!$P:$P,0))="","",INDEX(F_ProductBM!L:L,MATCH($P850,F_ProductBM!$P:$P,0))))</f>
        <v/>
      </c>
      <c r="M850" s="1007" t="str">
        <f>IF($I829="","",IF(INDEX(F_ProductBM!M:M,MATCH($P850,F_ProductBM!$P:$P,0))="","",INDEX(F_ProductBM!M:M,MATCH($P850,F_ProductBM!$P:$P,0))))</f>
        <v/>
      </c>
      <c r="N850" s="831"/>
      <c r="O850" s="20"/>
      <c r="P850" s="351" t="str">
        <f>EUconst_CNTR_Emissions &amp; I829</f>
        <v>DirEmissions_</v>
      </c>
      <c r="Q850" s="422"/>
      <c r="R850" s="422"/>
      <c r="S850" s="422"/>
      <c r="T850" s="8"/>
    </row>
    <row r="851" spans="1:20" s="701" customFormat="1" x14ac:dyDescent="0.2">
      <c r="A851" s="422"/>
      <c r="B851" s="398"/>
      <c r="C851" s="398"/>
      <c r="E851" s="1974" t="str">
        <f>Translations!$B$742</f>
        <v>Dalsze strumienie materiałów wsadowych – 1:</v>
      </c>
      <c r="F851" s="1974"/>
      <c r="G851" s="1974"/>
      <c r="H851" s="453" t="str">
        <f>EUconst_tCO2pa</f>
        <v>t CO2 / rok</v>
      </c>
      <c r="I851" s="1007" t="str">
        <f>IF($I829="","",IF(INDEX(F_ProductBM!I:I,MATCH($P851,F_ProductBM!$P:$P,0))="","",INDEX(F_ProductBM!I:I,MATCH($P851,F_ProductBM!$P:$P,0))))</f>
        <v/>
      </c>
      <c r="J851" s="1007" t="str">
        <f>IF($I829="","",IF(INDEX(F_ProductBM!J:J,MATCH($P851,F_ProductBM!$P:$P,0))="","",INDEX(F_ProductBM!J:J,MATCH($P851,F_ProductBM!$P:$P,0))))</f>
        <v/>
      </c>
      <c r="K851" s="1007" t="str">
        <f>IF($I829="","",IF(INDEX(F_ProductBM!K:K,MATCH($P851,F_ProductBM!$P:$P,0))="","",INDEX(F_ProductBM!K:K,MATCH($P851,F_ProductBM!$P:$P,0))))</f>
        <v/>
      </c>
      <c r="L851" s="1007" t="str">
        <f>IF($I829="","",IF(INDEX(F_ProductBM!L:L,MATCH($P851,F_ProductBM!$P:$P,0))="","",INDEX(F_ProductBM!L:L,MATCH($P851,F_ProductBM!$P:$P,0))))</f>
        <v/>
      </c>
      <c r="M851" s="1007" t="str">
        <f>IF($I829="","",IF(INDEX(F_ProductBM!M:M,MATCH($P851,F_ProductBM!$P:$P,0))="","",INDEX(F_ProductBM!M:M,MATCH($P851,F_ProductBM!$P:$P,0))))</f>
        <v/>
      </c>
      <c r="N851" s="831"/>
      <c r="O851" s="20"/>
      <c r="P851" s="351" t="str">
        <f>EUconst_CNTR_EmissionsIntSource1 &amp; I829</f>
        <v>EmInternalSource1_</v>
      </c>
      <c r="Q851" s="422"/>
      <c r="R851" s="422"/>
      <c r="S851" s="422"/>
      <c r="T851" s="8"/>
    </row>
    <row r="852" spans="1:20" s="701" customFormat="1" x14ac:dyDescent="0.2">
      <c r="A852" s="422"/>
      <c r="B852" s="398"/>
      <c r="C852" s="398"/>
      <c r="E852" s="1974" t="str">
        <f>Translations!$B$752</f>
        <v>Dalsze strumienie materiałów wsadowych – 2:</v>
      </c>
      <c r="F852" s="1974"/>
      <c r="G852" s="1974"/>
      <c r="H852" s="453" t="str">
        <f>EUconst_tCO2pa</f>
        <v>t CO2 / rok</v>
      </c>
      <c r="I852" s="1007" t="str">
        <f>IF($I829="","",IF(INDEX(F_ProductBM!I:I,MATCH($P852,F_ProductBM!$P:$P,0))="","",INDEX(F_ProductBM!I:I,MATCH($P852,F_ProductBM!$P:$P,0))))</f>
        <v/>
      </c>
      <c r="J852" s="1007" t="str">
        <f>IF($I829="","",IF(INDEX(F_ProductBM!J:J,MATCH($P852,F_ProductBM!$P:$P,0))="","",INDEX(F_ProductBM!J:J,MATCH($P852,F_ProductBM!$P:$P,0))))</f>
        <v/>
      </c>
      <c r="K852" s="1007" t="str">
        <f>IF($I829="","",IF(INDEX(F_ProductBM!K:K,MATCH($P852,F_ProductBM!$P:$P,0))="","",INDEX(F_ProductBM!K:K,MATCH($P852,F_ProductBM!$P:$P,0))))</f>
        <v/>
      </c>
      <c r="L852" s="1007" t="str">
        <f>IF($I829="","",IF(INDEX(F_ProductBM!L:L,MATCH($P852,F_ProductBM!$P:$P,0))="","",INDEX(F_ProductBM!L:L,MATCH($P852,F_ProductBM!$P:$P,0))))</f>
        <v/>
      </c>
      <c r="M852" s="1007" t="str">
        <f>IF($I829="","",IF(INDEX(F_ProductBM!M:M,MATCH($P852,F_ProductBM!$P:$P,0))="","",INDEX(F_ProductBM!M:M,MATCH($P852,F_ProductBM!$P:$P,0))))</f>
        <v/>
      </c>
      <c r="N852" s="831"/>
      <c r="O852" s="20"/>
      <c r="P852" s="351" t="str">
        <f>EUconst_CNTR_EmissionsIntSource2 &amp; I829</f>
        <v>EmInternalSource2_</v>
      </c>
      <c r="Q852" s="422"/>
      <c r="R852" s="422"/>
      <c r="S852" s="422"/>
      <c r="T852" s="8"/>
    </row>
    <row r="853" spans="1:20" s="701" customFormat="1" x14ac:dyDescent="0.2">
      <c r="A853" s="422"/>
      <c r="B853" s="398"/>
      <c r="C853" s="398"/>
      <c r="D853" s="398"/>
      <c r="E853" s="1739" t="str">
        <f>Translations!$B$756</f>
        <v>Wprowadzone lub wyprowadzone gazy cieplarniane</v>
      </c>
      <c r="F853" s="1740"/>
      <c r="G853" s="1740"/>
      <c r="H853" s="453" t="str">
        <f>EUconst_tCO2epa</f>
        <v>t CO2e/rok</v>
      </c>
      <c r="I853" s="1007" t="str">
        <f>IF($I829="","",IF(INDEX(F_ProductBM!I:I,MATCH($P853,F_ProductBM!$P:$P,0))="","",INDEX(F_ProductBM!I:I,MATCH($P853,F_ProductBM!$P:$P,0))))</f>
        <v/>
      </c>
      <c r="J853" s="1007" t="str">
        <f>IF($I829="","",IF(INDEX(F_ProductBM!J:J,MATCH($P853,F_ProductBM!$P:$P,0))="","",INDEX(F_ProductBM!J:J,MATCH($P853,F_ProductBM!$P:$P,0))))</f>
        <v/>
      </c>
      <c r="K853" s="1007" t="str">
        <f>IF($I829="","",IF(INDEX(F_ProductBM!K:K,MATCH($P853,F_ProductBM!$P:$P,0))="","",INDEX(F_ProductBM!K:K,MATCH($P853,F_ProductBM!$P:$P,0))))</f>
        <v/>
      </c>
      <c r="L853" s="1007" t="str">
        <f>IF($I829="","",IF(INDEX(F_ProductBM!L:L,MATCH($P853,F_ProductBM!$P:$P,0))="","",INDEX(F_ProductBM!L:L,MATCH($P853,F_ProductBM!$P:$P,0))))</f>
        <v/>
      </c>
      <c r="M853" s="1007" t="str">
        <f>IF($I829="","",IF(INDEX(F_ProductBM!M:M,MATCH($P853,F_ProductBM!$P:$P,0))="","",INDEX(F_ProductBM!M:M,MATCH($P853,F_ProductBM!$P:$P,0))))</f>
        <v/>
      </c>
      <c r="N853" s="831"/>
      <c r="O853" s="20"/>
      <c r="P853" s="351" t="str">
        <f>EUconst_CNTR_CO2Feedstock &amp; I829</f>
        <v>EmCO2Feedstock_</v>
      </c>
      <c r="Q853" s="422"/>
      <c r="R853" s="422"/>
      <c r="S853" s="422"/>
      <c r="T853" s="8"/>
    </row>
    <row r="854" spans="1:20" s="701" customFormat="1" x14ac:dyDescent="0.2">
      <c r="A854" s="422"/>
      <c r="B854" s="398"/>
      <c r="C854" s="398"/>
      <c r="D854" s="398"/>
      <c r="E854" s="831"/>
      <c r="F854" s="831"/>
      <c r="G854" s="831"/>
      <c r="H854" s="831"/>
      <c r="I854" s="1006"/>
      <c r="J854" s="1006"/>
      <c r="K854" s="1006"/>
      <c r="L854" s="1006"/>
      <c r="M854" s="1006"/>
      <c r="N854" s="831"/>
      <c r="O854" s="20"/>
      <c r="P854" s="422"/>
      <c r="Q854" s="422"/>
      <c r="R854" s="422"/>
      <c r="S854" s="422"/>
      <c r="T854" s="8"/>
    </row>
    <row r="855" spans="1:20" s="701" customFormat="1" x14ac:dyDescent="0.2">
      <c r="A855" s="422"/>
      <c r="B855" s="398"/>
      <c r="C855" s="398"/>
      <c r="D855" s="398"/>
      <c r="E855" s="1766" t="str">
        <f>Translations!$B$764</f>
        <v>Ciepło wprowadzone netto</v>
      </c>
      <c r="F855" s="1767"/>
      <c r="G855" s="1767"/>
      <c r="H855" s="454" t="str">
        <f>EUconst_TJpa</f>
        <v>TJ / rok</v>
      </c>
      <c r="I855" s="1004" t="str">
        <f>IF($I829="","",IF(INDEX(F_ProductBM!I:I,MATCH($P855,F_ProductBM!$P:$P,0))="","",INDEX(F_ProductBM!I:I,MATCH($P855,F_ProductBM!$P:$P,0))))</f>
        <v/>
      </c>
      <c r="J855" s="1004" t="str">
        <f>IF($I829="","",IF(INDEX(F_ProductBM!J:J,MATCH($P855,F_ProductBM!$P:$P,0))="","",INDEX(F_ProductBM!J:J,MATCH($P855,F_ProductBM!$P:$P,0))))</f>
        <v/>
      </c>
      <c r="K855" s="1004" t="str">
        <f>IF($I829="","",IF(INDEX(F_ProductBM!K:K,MATCH($P855,F_ProductBM!$P:$P,0))="","",INDEX(F_ProductBM!K:K,MATCH($P855,F_ProductBM!$P:$P,0))))</f>
        <v/>
      </c>
      <c r="L855" s="1004" t="str">
        <f>IF($I829="","",IF(INDEX(F_ProductBM!L:L,MATCH($P855,F_ProductBM!$P:$P,0))="","",INDEX(F_ProductBM!L:L,MATCH($P855,F_ProductBM!$P:$P,0))))</f>
        <v/>
      </c>
      <c r="M855" s="1004" t="str">
        <f>IF($I829="","",IF(INDEX(F_ProductBM!M:M,MATCH($P855,F_ProductBM!$P:$P,0))="","",INDEX(F_ProductBM!M:M,MATCH($P855,F_ProductBM!$P:$P,0))))</f>
        <v/>
      </c>
      <c r="N855" s="831"/>
      <c r="O855" s="20"/>
      <c r="P855" s="351" t="str">
        <f>EUconst_CNTR_HeatImport &amp; I829</f>
        <v>HeatIm_</v>
      </c>
      <c r="Q855" s="422"/>
      <c r="R855" s="422"/>
      <c r="S855" s="422"/>
      <c r="T855" s="8"/>
    </row>
    <row r="856" spans="1:20" s="701" customFormat="1" x14ac:dyDescent="0.2">
      <c r="A856" s="422"/>
      <c r="B856" s="398"/>
      <c r="C856" s="398"/>
      <c r="D856" s="398"/>
      <c r="E856" s="1743" t="str">
        <f>Translations!$B$765</f>
        <v>Właściwy współczynnik emisji (ciepło wprowadzone)</v>
      </c>
      <c r="F856" s="1744"/>
      <c r="G856" s="1744"/>
      <c r="H856" s="473" t="str">
        <f>EUconst_tCO2pTJ</f>
        <v>t CO2 / TJ</v>
      </c>
      <c r="I856" s="1005" t="str">
        <f>IF($I829="","",IF(INDEX(F_ProductBM!I:I,MATCH($P856,F_ProductBM!$P:$P,0))="","",INDEX(F_ProductBM!I:I,MATCH($P856,F_ProductBM!$P:$P,0))))</f>
        <v/>
      </c>
      <c r="J856" s="1005" t="str">
        <f>IF($I829="","",IF(INDEX(F_ProductBM!J:J,MATCH($P856,F_ProductBM!$P:$P,0))="","",INDEX(F_ProductBM!J:J,MATCH($P856,F_ProductBM!$P:$P,0))))</f>
        <v/>
      </c>
      <c r="K856" s="1005" t="str">
        <f>IF($I829="","",IF(INDEX(F_ProductBM!K:K,MATCH($P856,F_ProductBM!$P:$P,0))="","",INDEX(F_ProductBM!K:K,MATCH($P856,F_ProductBM!$P:$P,0))))</f>
        <v/>
      </c>
      <c r="L856" s="1005" t="str">
        <f>IF($I829="","",IF(INDEX(F_ProductBM!L:L,MATCH($P856,F_ProductBM!$P:$P,0))="","",INDEX(F_ProductBM!L:L,MATCH($P856,F_ProductBM!$P:$P,0))))</f>
        <v/>
      </c>
      <c r="M856" s="1005" t="str">
        <f>IF($I829="","",IF(INDEX(F_ProductBM!M:M,MATCH($P856,F_ProductBM!$P:$P,0))="","",INDEX(F_ProductBM!M:M,MATCH($P856,F_ProductBM!$P:$P,0))))</f>
        <v/>
      </c>
      <c r="N856" s="831"/>
      <c r="O856" s="20"/>
      <c r="P856" s="351" t="str">
        <f>EUconst_CNTR_HeatImportEF &amp; I829</f>
        <v>HeatImEF_</v>
      </c>
      <c r="Q856" s="422"/>
      <c r="R856" s="422"/>
      <c r="S856" s="422"/>
      <c r="T856" s="8"/>
    </row>
    <row r="857" spans="1:20" s="701" customFormat="1" x14ac:dyDescent="0.2">
      <c r="A857" s="422"/>
      <c r="B857" s="398"/>
      <c r="C857" s="398"/>
      <c r="D857" s="398"/>
      <c r="E857" s="516"/>
      <c r="F857" s="831"/>
      <c r="G857" s="831"/>
      <c r="H857" s="831"/>
      <c r="I857" s="1006"/>
      <c r="J857" s="1006"/>
      <c r="K857" s="1006"/>
      <c r="L857" s="1006"/>
      <c r="M857" s="1006"/>
      <c r="N857" s="831"/>
      <c r="O857" s="20"/>
      <c r="P857" s="8"/>
      <c r="Q857" s="422"/>
      <c r="R857" s="422"/>
      <c r="S857" s="422"/>
      <c r="T857" s="8"/>
    </row>
    <row r="858" spans="1:20" s="701" customFormat="1" x14ac:dyDescent="0.2">
      <c r="A858" s="422"/>
      <c r="B858" s="398"/>
      <c r="C858" s="398"/>
      <c r="D858" s="398"/>
      <c r="E858" s="1739" t="str">
        <f>Translations!$B$820</f>
        <v>Ciepło wprowadzone netto z masy celulozowej</v>
      </c>
      <c r="F858" s="1740"/>
      <c r="G858" s="1740"/>
      <c r="H858" s="453" t="str">
        <f>EUconst_TJpa</f>
        <v>TJ / rok</v>
      </c>
      <c r="I858" s="1007" t="str">
        <f>IF($I829="","",IF(INDEX(F_ProductBM!I:I,MATCH($P858,F_ProductBM!$P:$P,0))="","",INDEX(F_ProductBM!I:I,MATCH($P858,F_ProductBM!$P:$P,0))))</f>
        <v/>
      </c>
      <c r="J858" s="1007" t="str">
        <f>IF($I829="","",IF(INDEX(F_ProductBM!J:J,MATCH($P858,F_ProductBM!$P:$P,0))="","",INDEX(F_ProductBM!J:J,MATCH($P858,F_ProductBM!$P:$P,0))))</f>
        <v/>
      </c>
      <c r="K858" s="1007" t="str">
        <f>IF($I829="","",IF(INDEX(F_ProductBM!K:K,MATCH($P858,F_ProductBM!$P:$P,0))="","",INDEX(F_ProductBM!K:K,MATCH($P858,F_ProductBM!$P:$P,0))))</f>
        <v/>
      </c>
      <c r="L858" s="1007" t="str">
        <f>IF($I829="","",IF(INDEX(F_ProductBM!L:L,MATCH($P858,F_ProductBM!$P:$P,0))="","",INDEX(F_ProductBM!L:L,MATCH($P858,F_ProductBM!$P:$P,0))))</f>
        <v/>
      </c>
      <c r="M858" s="1007" t="str">
        <f>IF($I829="","",IF(INDEX(F_ProductBM!M:M,MATCH($P858,F_ProductBM!$P:$P,0))="","",INDEX(F_ProductBM!M:M,MATCH($P858,F_ProductBM!$P:$P,0))))</f>
        <v/>
      </c>
      <c r="N858" s="831"/>
      <c r="O858" s="20"/>
      <c r="P858" s="351" t="str">
        <f>EUconst_CNTR_HeatImportPulp &amp; I829</f>
        <v>HeatImPulp_</v>
      </c>
      <c r="Q858" s="422"/>
      <c r="R858" s="422"/>
      <c r="S858" s="422"/>
      <c r="T858" s="8"/>
    </row>
    <row r="859" spans="1:20" s="701" customFormat="1" x14ac:dyDescent="0.2">
      <c r="A859" s="422"/>
      <c r="B859" s="398"/>
      <c r="C859" s="398"/>
      <c r="D859" s="398"/>
      <c r="E859" s="1739" t="str">
        <f>Translations!$B$768</f>
        <v>Ciepło wprowadzone netto z podinstalacji wytwarzającej kwas azotowy</v>
      </c>
      <c r="F859" s="1740"/>
      <c r="G859" s="1740"/>
      <c r="H859" s="453" t="str">
        <f>EUconst_TJpa</f>
        <v>TJ / rok</v>
      </c>
      <c r="I859" s="1007" t="str">
        <f>IF($I829="","",IF(INDEX(F_ProductBM!I:I,MATCH($P859,F_ProductBM!$P:$P,0))="","",INDEX(F_ProductBM!I:I,MATCH($P859,F_ProductBM!$P:$P,0))))</f>
        <v/>
      </c>
      <c r="J859" s="1007" t="str">
        <f>IF($I829="","",IF(INDEX(F_ProductBM!J:J,MATCH($P859,F_ProductBM!$P:$P,0))="","",INDEX(F_ProductBM!J:J,MATCH($P859,F_ProductBM!$P:$P,0))))</f>
        <v/>
      </c>
      <c r="K859" s="1007" t="str">
        <f>IF($I829="","",IF(INDEX(F_ProductBM!K:K,MATCH($P859,F_ProductBM!$P:$P,0))="","",INDEX(F_ProductBM!K:K,MATCH($P859,F_ProductBM!$P:$P,0))))</f>
        <v/>
      </c>
      <c r="L859" s="1007" t="str">
        <f>IF($I829="","",IF(INDEX(F_ProductBM!L:L,MATCH($P859,F_ProductBM!$P:$P,0))="","",INDEX(F_ProductBM!L:L,MATCH($P859,F_ProductBM!$P:$P,0))))</f>
        <v/>
      </c>
      <c r="M859" s="1007" t="str">
        <f>IF($I829="","",IF(INDEX(F_ProductBM!M:M,MATCH($P859,F_ProductBM!$P:$P,0))="","",INDEX(F_ProductBM!M:M,MATCH($P859,F_ProductBM!$P:$P,0))))</f>
        <v/>
      </c>
      <c r="N859" s="831"/>
      <c r="O859" s="20"/>
      <c r="P859" s="351" t="str">
        <f>EUconst_CNTR_HeatImportNitric &amp; I829</f>
        <v>HeatImNitric_</v>
      </c>
      <c r="Q859" s="422"/>
      <c r="R859" s="422"/>
      <c r="S859" s="422"/>
      <c r="T859" s="8"/>
    </row>
    <row r="860" spans="1:20" s="701" customFormat="1" x14ac:dyDescent="0.2">
      <c r="A860" s="422"/>
      <c r="B860" s="398"/>
      <c r="C860" s="398"/>
      <c r="D860" s="398"/>
      <c r="E860" s="516"/>
      <c r="F860" s="516"/>
      <c r="G860" s="516"/>
      <c r="H860" s="516"/>
      <c r="I860" s="1006"/>
      <c r="J860" s="1006"/>
      <c r="K860" s="1006"/>
      <c r="L860" s="1006"/>
      <c r="M860" s="1006"/>
      <c r="N860" s="831"/>
      <c r="O860" s="20"/>
      <c r="P860" s="8"/>
      <c r="Q860" s="422"/>
      <c r="R860" s="422"/>
      <c r="S860" s="422"/>
      <c r="T860" s="8"/>
    </row>
    <row r="861" spans="1:20" s="701" customFormat="1" x14ac:dyDescent="0.2">
      <c r="A861" s="422"/>
      <c r="B861" s="398"/>
      <c r="C861" s="398"/>
      <c r="D861" s="398"/>
      <c r="E861" s="1766" t="str">
        <f>Translations!$B$770</f>
        <v>Ciepło wyprowadzone netto</v>
      </c>
      <c r="F861" s="1767"/>
      <c r="G861" s="1767"/>
      <c r="H861" s="454" t="str">
        <f>EUconst_TJpa</f>
        <v>TJ / rok</v>
      </c>
      <c r="I861" s="1004" t="str">
        <f>IF($I829="","",IF(INDEX(F_ProductBM!I:I,MATCH($P861,F_ProductBM!$P:$P,0))="","",INDEX(F_ProductBM!I:I,MATCH($P861,F_ProductBM!$P:$P,0))))</f>
        <v/>
      </c>
      <c r="J861" s="1004" t="str">
        <f>IF($I829="","",IF(INDEX(F_ProductBM!J:J,MATCH($P861,F_ProductBM!$P:$P,0))="","",INDEX(F_ProductBM!J:J,MATCH($P861,F_ProductBM!$P:$P,0))))</f>
        <v/>
      </c>
      <c r="K861" s="1004" t="str">
        <f>IF($I829="","",IF(INDEX(F_ProductBM!K:K,MATCH($P861,F_ProductBM!$P:$P,0))="","",INDEX(F_ProductBM!K:K,MATCH($P861,F_ProductBM!$P:$P,0))))</f>
        <v/>
      </c>
      <c r="L861" s="1004" t="str">
        <f>IF($I829="","",IF(INDEX(F_ProductBM!L:L,MATCH($P861,F_ProductBM!$P:$P,0))="","",INDEX(F_ProductBM!L:L,MATCH($P861,F_ProductBM!$P:$P,0))))</f>
        <v/>
      </c>
      <c r="M861" s="1004" t="str">
        <f>IF($I829="","",IF(INDEX(F_ProductBM!M:M,MATCH($P861,F_ProductBM!$P:$P,0))="","",INDEX(F_ProductBM!M:M,MATCH($P861,F_ProductBM!$P:$P,0))))</f>
        <v/>
      </c>
      <c r="N861" s="831"/>
      <c r="O861" s="20"/>
      <c r="P861" s="351" t="str">
        <f>EUconst_CNTR_HeatExport &amp; I829</f>
        <v>HeatEx_</v>
      </c>
      <c r="Q861" s="422"/>
      <c r="R861" s="422"/>
      <c r="S861" s="422"/>
      <c r="T861" s="8"/>
    </row>
    <row r="862" spans="1:20" s="701" customFormat="1" x14ac:dyDescent="0.2">
      <c r="A862" s="422"/>
      <c r="B862" s="398"/>
      <c r="C862" s="398"/>
      <c r="D862" s="398"/>
      <c r="E862" s="1743" t="str">
        <f>Translations!$B$771</f>
        <v>Właściwy współczynnik emisji (ciepło wyprowadzone)</v>
      </c>
      <c r="F862" s="1744"/>
      <c r="G862" s="1744"/>
      <c r="H862" s="473" t="str">
        <f>EUconst_tCO2pTJ</f>
        <v>t CO2 / TJ</v>
      </c>
      <c r="I862" s="1005" t="str">
        <f>IF($I829="","",IF(INDEX(F_ProductBM!I:I,MATCH($P862,F_ProductBM!$P:$P,0))="","",INDEX(F_ProductBM!I:I,MATCH($P862,F_ProductBM!$P:$P,0))))</f>
        <v/>
      </c>
      <c r="J862" s="1005" t="str">
        <f>IF($I829="","",IF(INDEX(F_ProductBM!J:J,MATCH($P862,F_ProductBM!$P:$P,0))="","",INDEX(F_ProductBM!J:J,MATCH($P862,F_ProductBM!$P:$P,0))))</f>
        <v/>
      </c>
      <c r="K862" s="1005" t="str">
        <f>IF($I829="","",IF(INDEX(F_ProductBM!K:K,MATCH($P862,F_ProductBM!$P:$P,0))="","",INDEX(F_ProductBM!K:K,MATCH($P862,F_ProductBM!$P:$P,0))))</f>
        <v/>
      </c>
      <c r="L862" s="1005" t="str">
        <f>IF($I829="","",IF(INDEX(F_ProductBM!L:L,MATCH($P862,F_ProductBM!$P:$P,0))="","",INDEX(F_ProductBM!L:L,MATCH($P862,F_ProductBM!$P:$P,0))))</f>
        <v/>
      </c>
      <c r="M862" s="1005" t="str">
        <f>IF($I829="","",IF(INDEX(F_ProductBM!M:M,MATCH($P862,F_ProductBM!$P:$P,0))="","",INDEX(F_ProductBM!M:M,MATCH($P862,F_ProductBM!$P:$P,0))))</f>
        <v/>
      </c>
      <c r="N862" s="831"/>
      <c r="O862" s="20"/>
      <c r="P862" s="351" t="str">
        <f>EUconst_CNTR_HeatExportEF &amp; I829</f>
        <v>HeatExEF_</v>
      </c>
      <c r="Q862" s="422"/>
      <c r="R862" s="422"/>
      <c r="S862" s="422"/>
      <c r="T862" s="8"/>
    </row>
    <row r="863" spans="1:20" s="701" customFormat="1" x14ac:dyDescent="0.2">
      <c r="A863" s="422"/>
      <c r="B863" s="398"/>
      <c r="C863" s="398"/>
      <c r="D863" s="398"/>
      <c r="E863" s="516"/>
      <c r="F863" s="516"/>
      <c r="G863" s="516"/>
      <c r="H863" s="516"/>
      <c r="I863" s="1006"/>
      <c r="J863" s="1006"/>
      <c r="K863" s="1006"/>
      <c r="L863" s="1006"/>
      <c r="M863" s="1006"/>
      <c r="N863" s="831"/>
      <c r="O863" s="20"/>
      <c r="P863" s="182"/>
      <c r="Q863" s="422"/>
      <c r="R863" s="422"/>
      <c r="S863" s="422"/>
      <c r="T863" s="8"/>
    </row>
    <row r="864" spans="1:20" s="701" customFormat="1" x14ac:dyDescent="0.2">
      <c r="A864" s="422"/>
      <c r="B864" s="398"/>
      <c r="C864" s="398"/>
      <c r="D864" s="398"/>
      <c r="E864" s="1766" t="str">
        <f>Translations!$B$778</f>
        <v>Gazy odlotowe wytworzone</v>
      </c>
      <c r="F864" s="1767"/>
      <c r="G864" s="1767"/>
      <c r="H864" s="454" t="str">
        <f>EUconst_TJpa</f>
        <v>TJ / rok</v>
      </c>
      <c r="I864" s="1004" t="str">
        <f>IF($I829="","",IF(INDEX(F_ProductBM!I:I,MATCH($P864,F_ProductBM!$P:$P,0))="","",INDEX(F_ProductBM!I:I,MATCH($P864,F_ProductBM!$P:$P,0))))</f>
        <v/>
      </c>
      <c r="J864" s="1004" t="str">
        <f>IF($I829="","",IF(INDEX(F_ProductBM!J:J,MATCH($P864,F_ProductBM!$P:$P,0))="","",INDEX(F_ProductBM!J:J,MATCH($P864,F_ProductBM!$P:$P,0))))</f>
        <v/>
      </c>
      <c r="K864" s="1004" t="str">
        <f>IF($I829="","",IF(INDEX(F_ProductBM!K:K,MATCH($P864,F_ProductBM!$P:$P,0))="","",INDEX(F_ProductBM!K:K,MATCH($P864,F_ProductBM!$P:$P,0))))</f>
        <v/>
      </c>
      <c r="L864" s="1004" t="str">
        <f>IF($I829="","",IF(INDEX(F_ProductBM!L:L,MATCH($P864,F_ProductBM!$P:$P,0))="","",INDEX(F_ProductBM!L:L,MATCH($P864,F_ProductBM!$P:$P,0))))</f>
        <v/>
      </c>
      <c r="M864" s="1004" t="str">
        <f>IF($I829="","",IF(INDEX(F_ProductBM!M:M,MATCH($P864,F_ProductBM!$P:$P,0))="","",INDEX(F_ProductBM!M:M,MATCH($P864,F_ProductBM!$P:$P,0))))</f>
        <v/>
      </c>
      <c r="N864" s="831"/>
      <c r="O864" s="20"/>
      <c r="P864" s="830" t="str">
        <f>EUconst_CNTR_WGProduced &amp; I829</f>
        <v>WasteGasProd_</v>
      </c>
      <c r="Q864" s="422"/>
      <c r="R864" s="422"/>
      <c r="S864" s="422"/>
      <c r="T864" s="8"/>
    </row>
    <row r="865" spans="1:20" s="701" customFormat="1" x14ac:dyDescent="0.2">
      <c r="A865" s="422"/>
      <c r="B865" s="398"/>
      <c r="C865" s="398"/>
      <c r="D865" s="398"/>
      <c r="E865" s="1743" t="str">
        <f>Translations!$B$779</f>
        <v>Właściwy współczynnik emisji (gazy odlotowe wytworzone)</v>
      </c>
      <c r="F865" s="1744"/>
      <c r="G865" s="1744"/>
      <c r="H865" s="473" t="str">
        <f>EUconst_tCO2pTJ</f>
        <v>t CO2 / TJ</v>
      </c>
      <c r="I865" s="1005" t="str">
        <f>IF($I829="","",IF(INDEX(F_ProductBM!I:I,MATCH($P865,F_ProductBM!$P:$P,0))="","",INDEX(F_ProductBM!I:I,MATCH($P865,F_ProductBM!$P:$P,0))))</f>
        <v/>
      </c>
      <c r="J865" s="1005" t="str">
        <f>IF($I829="","",IF(INDEX(F_ProductBM!J:J,MATCH($P865,F_ProductBM!$P:$P,0))="","",INDEX(F_ProductBM!J:J,MATCH($P865,F_ProductBM!$P:$P,0))))</f>
        <v/>
      </c>
      <c r="K865" s="1005" t="str">
        <f>IF($I829="","",IF(INDEX(F_ProductBM!K:K,MATCH($P865,F_ProductBM!$P:$P,0))="","",INDEX(F_ProductBM!K:K,MATCH($P865,F_ProductBM!$P:$P,0))))</f>
        <v/>
      </c>
      <c r="L865" s="1005" t="str">
        <f>IF($I829="","",IF(INDEX(F_ProductBM!L:L,MATCH($P865,F_ProductBM!$P:$P,0))="","",INDEX(F_ProductBM!L:L,MATCH($P865,F_ProductBM!$P:$P,0))))</f>
        <v/>
      </c>
      <c r="M865" s="1005" t="str">
        <f>IF($I829="","",IF(INDEX(F_ProductBM!M:M,MATCH($P865,F_ProductBM!$P:$P,0))="","",INDEX(F_ProductBM!M:M,MATCH($P865,F_ProductBM!$P:$P,0))))</f>
        <v/>
      </c>
      <c r="N865" s="831"/>
      <c r="O865" s="20"/>
      <c r="P865" s="351" t="str">
        <f>EUconst_CNTR_WGProducedEF &amp; I829</f>
        <v>WasteGasProdEF_</v>
      </c>
      <c r="Q865" s="422"/>
      <c r="R865" s="422"/>
      <c r="S865" s="422"/>
      <c r="T865" s="8"/>
    </row>
    <row r="866" spans="1:20" s="701" customFormat="1" x14ac:dyDescent="0.2">
      <c r="A866" s="422"/>
      <c r="B866" s="398"/>
      <c r="C866" s="398"/>
      <c r="D866" s="398"/>
      <c r="E866" s="1766" t="str">
        <f>Translations!$B$783</f>
        <v>Gazy odlotowe zużyte</v>
      </c>
      <c r="F866" s="1767"/>
      <c r="G866" s="1767"/>
      <c r="H866" s="454" t="str">
        <f>EUconst_TJpa</f>
        <v>TJ / rok</v>
      </c>
      <c r="I866" s="1004" t="str">
        <f>IF($I829="","",IF(INDEX(F_ProductBM!I:I,MATCH($P866,F_ProductBM!$P:$P,0))="","",INDEX(F_ProductBM!I:I,MATCH($P866,F_ProductBM!$P:$P,0))))</f>
        <v/>
      </c>
      <c r="J866" s="1004" t="str">
        <f>IF($I829="","",IF(INDEX(F_ProductBM!J:J,MATCH($P866,F_ProductBM!$P:$P,0))="","",INDEX(F_ProductBM!J:J,MATCH($P866,F_ProductBM!$P:$P,0))))</f>
        <v/>
      </c>
      <c r="K866" s="1004" t="str">
        <f>IF($I829="","",IF(INDEX(F_ProductBM!K:K,MATCH($P866,F_ProductBM!$P:$P,0))="","",INDEX(F_ProductBM!K:K,MATCH($P866,F_ProductBM!$P:$P,0))))</f>
        <v/>
      </c>
      <c r="L866" s="1004" t="str">
        <f>IF($I829="","",IF(INDEX(F_ProductBM!L:L,MATCH($P866,F_ProductBM!$P:$P,0))="","",INDEX(F_ProductBM!L:L,MATCH($P866,F_ProductBM!$P:$P,0))))</f>
        <v/>
      </c>
      <c r="M866" s="1004" t="str">
        <f>IF($I829="","",IF(INDEX(F_ProductBM!M:M,MATCH($P866,F_ProductBM!$P:$P,0))="","",INDEX(F_ProductBM!M:M,MATCH($P866,F_ProductBM!$P:$P,0))))</f>
        <v/>
      </c>
      <c r="N866" s="831"/>
      <c r="O866" s="20"/>
      <c r="P866" s="351" t="str">
        <f>EUconst_CNTR_WGConsumed &amp; I829</f>
        <v>WasteGasCons_</v>
      </c>
      <c r="Q866" s="422"/>
      <c r="R866" s="422"/>
      <c r="S866" s="422"/>
      <c r="T866" s="8"/>
    </row>
    <row r="867" spans="1:20" s="701" customFormat="1" x14ac:dyDescent="0.2">
      <c r="A867" s="422"/>
      <c r="B867" s="398"/>
      <c r="C867" s="398"/>
      <c r="D867" s="398"/>
      <c r="E867" s="1743" t="str">
        <f>Translations!$B$784</f>
        <v>Właściwy współczynnik emisji (gazy odlotowe zużyte)</v>
      </c>
      <c r="F867" s="1744"/>
      <c r="G867" s="1744"/>
      <c r="H867" s="473" t="str">
        <f>EUconst_tCO2pTJ</f>
        <v>t CO2 / TJ</v>
      </c>
      <c r="I867" s="1005" t="str">
        <f>IF($I829="","",IF(INDEX(F_ProductBM!I:I,MATCH($P867,F_ProductBM!$P:$P,0))="","",INDEX(F_ProductBM!I:I,MATCH($P867,F_ProductBM!$P:$P,0))))</f>
        <v/>
      </c>
      <c r="J867" s="1005" t="str">
        <f>IF($I829="","",IF(INDEX(F_ProductBM!J:J,MATCH($P867,F_ProductBM!$P:$P,0))="","",INDEX(F_ProductBM!J:J,MATCH($P867,F_ProductBM!$P:$P,0))))</f>
        <v/>
      </c>
      <c r="K867" s="1005" t="str">
        <f>IF($I829="","",IF(INDEX(F_ProductBM!K:K,MATCH($P867,F_ProductBM!$P:$P,0))="","",INDEX(F_ProductBM!K:K,MATCH($P867,F_ProductBM!$P:$P,0))))</f>
        <v/>
      </c>
      <c r="L867" s="1005" t="str">
        <f>IF($I829="","",IF(INDEX(F_ProductBM!L:L,MATCH($P867,F_ProductBM!$P:$P,0))="","",INDEX(F_ProductBM!L:L,MATCH($P867,F_ProductBM!$P:$P,0))))</f>
        <v/>
      </c>
      <c r="M867" s="1005" t="str">
        <f>IF($I829="","",IF(INDEX(F_ProductBM!M:M,MATCH($P867,F_ProductBM!$P:$P,0))="","",INDEX(F_ProductBM!M:M,MATCH($P867,F_ProductBM!$P:$P,0))))</f>
        <v/>
      </c>
      <c r="N867" s="831"/>
      <c r="O867" s="20"/>
      <c r="P867" s="351" t="str">
        <f>EUconst_CNTR_WGConsumedEF &amp; I829</f>
        <v>WasteGasConsEF_</v>
      </c>
      <c r="Q867" s="422"/>
      <c r="R867" s="422"/>
      <c r="S867" s="422"/>
      <c r="T867" s="8"/>
    </row>
    <row r="868" spans="1:20" s="701" customFormat="1" x14ac:dyDescent="0.2">
      <c r="A868" s="422"/>
      <c r="B868" s="398"/>
      <c r="C868" s="398"/>
      <c r="D868" s="398"/>
      <c r="E868" s="1766" t="str">
        <f>Translations!$B$790</f>
        <v>Gazy odlotowe spalone na pochodniach</v>
      </c>
      <c r="F868" s="1767"/>
      <c r="G868" s="1767"/>
      <c r="H868" s="454" t="str">
        <f>EUconst_TJpa</f>
        <v>TJ / rok</v>
      </c>
      <c r="I868" s="1004" t="str">
        <f>IF($I829="","",IF(INDEX(F_ProductBM!I:I,MATCH($P868,F_ProductBM!$P:$P,0))="","",INDEX(F_ProductBM!I:I,MATCH($P868,F_ProductBM!$P:$P,0))))</f>
        <v/>
      </c>
      <c r="J868" s="1004" t="str">
        <f>IF($I829="","",IF(INDEX(F_ProductBM!J:J,MATCH($P868,F_ProductBM!$P:$P,0))="","",INDEX(F_ProductBM!J:J,MATCH($P868,F_ProductBM!$P:$P,0))))</f>
        <v/>
      </c>
      <c r="K868" s="1004" t="str">
        <f>IF($I829="","",IF(INDEX(F_ProductBM!K:K,MATCH($P868,F_ProductBM!$P:$P,0))="","",INDEX(F_ProductBM!K:K,MATCH($P868,F_ProductBM!$P:$P,0))))</f>
        <v/>
      </c>
      <c r="L868" s="1004" t="str">
        <f>IF($I829="","",IF(INDEX(F_ProductBM!L:L,MATCH($P868,F_ProductBM!$P:$P,0))="","",INDEX(F_ProductBM!L:L,MATCH($P868,F_ProductBM!$P:$P,0))))</f>
        <v/>
      </c>
      <c r="M868" s="1004" t="str">
        <f>IF($I829="","",IF(INDEX(F_ProductBM!M:M,MATCH($P868,F_ProductBM!$P:$P,0))="","",INDEX(F_ProductBM!M:M,MATCH($P868,F_ProductBM!$P:$P,0))))</f>
        <v/>
      </c>
      <c r="N868" s="831"/>
      <c r="O868" s="20"/>
      <c r="P868" s="351" t="str">
        <f>EUconst_CNTR_WGFlared &amp; I829</f>
        <v>WasteGasFlare_</v>
      </c>
      <c r="Q868" s="422"/>
      <c r="R868" s="422"/>
      <c r="S868" s="422"/>
      <c r="T868" s="8"/>
    </row>
    <row r="869" spans="1:20" s="701" customFormat="1" x14ac:dyDescent="0.2">
      <c r="A869" s="422"/>
      <c r="B869" s="398"/>
      <c r="C869" s="398"/>
      <c r="D869" s="398"/>
      <c r="E869" s="1743" t="str">
        <f>Translations!$B$791</f>
        <v>Właściwy współczynnik emisji (gazy odlotowe spalone na pochodniach)</v>
      </c>
      <c r="F869" s="1744"/>
      <c r="G869" s="1744"/>
      <c r="H869" s="473" t="str">
        <f>EUconst_tCO2pTJ</f>
        <v>t CO2 / TJ</v>
      </c>
      <c r="I869" s="1005" t="str">
        <f>IF($I829="","",IF(INDEX(F_ProductBM!I:I,MATCH($P869,F_ProductBM!$P:$P,0))="","",INDEX(F_ProductBM!I:I,MATCH($P869,F_ProductBM!$P:$P,0))))</f>
        <v/>
      </c>
      <c r="J869" s="1005" t="str">
        <f>IF($I829="","",IF(INDEX(F_ProductBM!J:J,MATCH($P869,F_ProductBM!$P:$P,0))="","",INDEX(F_ProductBM!J:J,MATCH($P869,F_ProductBM!$P:$P,0))))</f>
        <v/>
      </c>
      <c r="K869" s="1005" t="str">
        <f>IF($I829="","",IF(INDEX(F_ProductBM!K:K,MATCH($P869,F_ProductBM!$P:$P,0))="","",INDEX(F_ProductBM!K:K,MATCH($P869,F_ProductBM!$P:$P,0))))</f>
        <v/>
      </c>
      <c r="L869" s="1005" t="str">
        <f>IF($I829="","",IF(INDEX(F_ProductBM!L:L,MATCH($P869,F_ProductBM!$P:$P,0))="","",INDEX(F_ProductBM!L:L,MATCH($P869,F_ProductBM!$P:$P,0))))</f>
        <v/>
      </c>
      <c r="M869" s="1005" t="str">
        <f>IF($I829="","",IF(INDEX(F_ProductBM!M:M,MATCH($P869,F_ProductBM!$P:$P,0))="","",INDEX(F_ProductBM!M:M,MATCH($P869,F_ProductBM!$P:$P,0))))</f>
        <v/>
      </c>
      <c r="N869" s="831"/>
      <c r="O869" s="20"/>
      <c r="P869" s="351" t="str">
        <f>EUconst_CNTR_WGFlaredEF &amp; I829</f>
        <v>WasteGasFlareEF_</v>
      </c>
      <c r="Q869" s="422"/>
      <c r="R869" s="422"/>
      <c r="S869" s="422"/>
      <c r="T869" s="8"/>
    </row>
    <row r="870" spans="1:20" s="701" customFormat="1" x14ac:dyDescent="0.2">
      <c r="A870" s="422"/>
      <c r="B870" s="398"/>
      <c r="C870" s="398"/>
      <c r="D870" s="398"/>
      <c r="E870" s="1766" t="str">
        <f>Translations!$B$796</f>
        <v>Gazy odlotowe wprowadzone</v>
      </c>
      <c r="F870" s="1767"/>
      <c r="G870" s="1767"/>
      <c r="H870" s="454" t="str">
        <f>EUconst_TJpa</f>
        <v>TJ / rok</v>
      </c>
      <c r="I870" s="1004" t="str">
        <f>IF($I829="","",IF(INDEX(F_ProductBM!I:I,MATCH($P870,F_ProductBM!$P:$P,0))="","",INDEX(F_ProductBM!I:I,MATCH($P870,F_ProductBM!$P:$P,0))))</f>
        <v/>
      </c>
      <c r="J870" s="1004" t="str">
        <f>IF($I829="","",IF(INDEX(F_ProductBM!J:J,MATCH($P870,F_ProductBM!$P:$P,0))="","",INDEX(F_ProductBM!J:J,MATCH($P870,F_ProductBM!$P:$P,0))))</f>
        <v/>
      </c>
      <c r="K870" s="1004" t="str">
        <f>IF($I829="","",IF(INDEX(F_ProductBM!K:K,MATCH($P870,F_ProductBM!$P:$P,0))="","",INDEX(F_ProductBM!K:K,MATCH($P870,F_ProductBM!$P:$P,0))))</f>
        <v/>
      </c>
      <c r="L870" s="1004" t="str">
        <f>IF($I829="","",IF(INDEX(F_ProductBM!L:L,MATCH($P870,F_ProductBM!$P:$P,0))="","",INDEX(F_ProductBM!L:L,MATCH($P870,F_ProductBM!$P:$P,0))))</f>
        <v/>
      </c>
      <c r="M870" s="1004" t="str">
        <f>IF($I829="","",IF(INDEX(F_ProductBM!M:M,MATCH($P870,F_ProductBM!$P:$P,0))="","",INDEX(F_ProductBM!M:M,MATCH($P870,F_ProductBM!$P:$P,0))))</f>
        <v/>
      </c>
      <c r="N870" s="831"/>
      <c r="O870" s="20"/>
      <c r="P870" s="351" t="str">
        <f>EUconst_CNTR_WGImport &amp; I829</f>
        <v>WasteGasIm_</v>
      </c>
      <c r="Q870" s="422"/>
      <c r="R870" s="422"/>
      <c r="S870" s="422"/>
      <c r="T870" s="8"/>
    </row>
    <row r="871" spans="1:20" s="701" customFormat="1" x14ac:dyDescent="0.2">
      <c r="A871" s="422"/>
      <c r="B871" s="398"/>
      <c r="C871" s="398"/>
      <c r="D871" s="398"/>
      <c r="E871" s="1743" t="str">
        <f>Translations!$B$797</f>
        <v>Właściwy współczynnik emisji (gazy odlotowe wprowadzone)</v>
      </c>
      <c r="F871" s="1743"/>
      <c r="G871" s="1743"/>
      <c r="H871" s="832" t="str">
        <f>EUconst_tCO2pTJ</f>
        <v>t CO2 / TJ</v>
      </c>
      <c r="I871" s="1005" t="str">
        <f>IF($I829="","",IF(INDEX(F_ProductBM!I:I,MATCH($P871,F_ProductBM!$P:$P,0))="","",INDEX(F_ProductBM!I:I,MATCH($P871,F_ProductBM!$P:$P,0))))</f>
        <v/>
      </c>
      <c r="J871" s="1005" t="str">
        <f>IF($I829="","",IF(INDEX(F_ProductBM!J:J,MATCH($P871,F_ProductBM!$P:$P,0))="","",INDEX(F_ProductBM!J:J,MATCH($P871,F_ProductBM!$P:$P,0))))</f>
        <v/>
      </c>
      <c r="K871" s="1005" t="str">
        <f>IF($I829="","",IF(INDEX(F_ProductBM!K:K,MATCH($P871,F_ProductBM!$P:$P,0))="","",INDEX(F_ProductBM!K:K,MATCH($P871,F_ProductBM!$P:$P,0))))</f>
        <v/>
      </c>
      <c r="L871" s="1005" t="str">
        <f>IF($I829="","",IF(INDEX(F_ProductBM!L:L,MATCH($P871,F_ProductBM!$P:$P,0))="","",INDEX(F_ProductBM!L:L,MATCH($P871,F_ProductBM!$P:$P,0))))</f>
        <v/>
      </c>
      <c r="M871" s="1005" t="str">
        <f>IF($I829="","",IF(INDEX(F_ProductBM!M:M,MATCH($P871,F_ProductBM!$P:$P,0))="","",INDEX(F_ProductBM!M:M,MATCH($P871,F_ProductBM!$P:$P,0))))</f>
        <v/>
      </c>
      <c r="N871" s="831"/>
      <c r="O871" s="20"/>
      <c r="P871" s="351" t="str">
        <f>EUconst_CNTR_WGImportEF &amp; I829</f>
        <v>WasteGasImEF_</v>
      </c>
      <c r="Q871" s="422"/>
      <c r="R871" s="422"/>
      <c r="S871" s="422"/>
      <c r="T871" s="8"/>
    </row>
    <row r="872" spans="1:20" s="701" customFormat="1" x14ac:dyDescent="0.2">
      <c r="A872" s="422"/>
      <c r="B872" s="398"/>
      <c r="C872" s="398"/>
      <c r="D872" s="398"/>
      <c r="E872" s="1766" t="str">
        <f>Translations!$B$801</f>
        <v>Gazy odlotowe wyprowadzone</v>
      </c>
      <c r="F872" s="1767"/>
      <c r="G872" s="1767"/>
      <c r="H872" s="454" t="str">
        <f>EUconst_TJpa</f>
        <v>TJ / rok</v>
      </c>
      <c r="I872" s="1004" t="str">
        <f>IF($I829="","",IF(INDEX(F_ProductBM!I:I,MATCH($P872,F_ProductBM!$P:$P,0))="","",INDEX(F_ProductBM!I:I,MATCH($P872,F_ProductBM!$P:$P,0))))</f>
        <v/>
      </c>
      <c r="J872" s="1004" t="str">
        <f>IF($I829="","",IF(INDEX(F_ProductBM!J:J,MATCH($P872,F_ProductBM!$P:$P,0))="","",INDEX(F_ProductBM!J:J,MATCH($P872,F_ProductBM!$P:$P,0))))</f>
        <v/>
      </c>
      <c r="K872" s="1004" t="str">
        <f>IF($I829="","",IF(INDEX(F_ProductBM!K:K,MATCH($P872,F_ProductBM!$P:$P,0))="","",INDEX(F_ProductBM!K:K,MATCH($P872,F_ProductBM!$P:$P,0))))</f>
        <v/>
      </c>
      <c r="L872" s="1004" t="str">
        <f>IF($I829="","",IF(INDEX(F_ProductBM!L:L,MATCH($P872,F_ProductBM!$P:$P,0))="","",INDEX(F_ProductBM!L:L,MATCH($P872,F_ProductBM!$P:$P,0))))</f>
        <v/>
      </c>
      <c r="M872" s="1004" t="str">
        <f>IF($I829="","",IF(INDEX(F_ProductBM!M:M,MATCH($P872,F_ProductBM!$P:$P,0))="","",INDEX(F_ProductBM!M:M,MATCH($P872,F_ProductBM!$P:$P,0))))</f>
        <v/>
      </c>
      <c r="N872" s="831"/>
      <c r="O872" s="20"/>
      <c r="P872" s="351" t="str">
        <f>EUconst_CNTR_WGExport &amp; I829</f>
        <v>WasteGasEx_</v>
      </c>
      <c r="Q872" s="422"/>
      <c r="R872" s="422"/>
      <c r="S872" s="422"/>
      <c r="T872" s="8"/>
    </row>
    <row r="873" spans="1:20" s="701" customFormat="1" x14ac:dyDescent="0.2">
      <c r="A873" s="422"/>
      <c r="B873" s="398"/>
      <c r="C873" s="398"/>
      <c r="D873" s="398"/>
      <c r="E873" s="1743" t="str">
        <f>Translations!$B$802</f>
        <v>Właściwy współczynnik emisji (gazy odlotowe wyprowadzone)</v>
      </c>
      <c r="F873" s="1743"/>
      <c r="G873" s="1743"/>
      <c r="H873" s="832" t="str">
        <f>EUconst_tCO2pTJ</f>
        <v>t CO2 / TJ</v>
      </c>
      <c r="I873" s="1005" t="str">
        <f>IF($I829="","",IF(INDEX(F_ProductBM!I:I,MATCH($P873,F_ProductBM!$P:$P,0))="","",INDEX(F_ProductBM!I:I,MATCH($P873,F_ProductBM!$P:$P,0))))</f>
        <v/>
      </c>
      <c r="J873" s="1005" t="str">
        <f>IF($I829="","",IF(INDEX(F_ProductBM!J:J,MATCH($P873,F_ProductBM!$P:$P,0))="","",INDEX(F_ProductBM!J:J,MATCH($P873,F_ProductBM!$P:$P,0))))</f>
        <v/>
      </c>
      <c r="K873" s="1005" t="str">
        <f>IF($I829="","",IF(INDEX(F_ProductBM!K:K,MATCH($P873,F_ProductBM!$P:$P,0))="","",INDEX(F_ProductBM!K:K,MATCH($P873,F_ProductBM!$P:$P,0))))</f>
        <v/>
      </c>
      <c r="L873" s="1005" t="str">
        <f>IF($I829="","",IF(INDEX(F_ProductBM!L:L,MATCH($P873,F_ProductBM!$P:$P,0))="","",INDEX(F_ProductBM!L:L,MATCH($P873,F_ProductBM!$P:$P,0))))</f>
        <v/>
      </c>
      <c r="M873" s="1005" t="str">
        <f>IF($I829="","",IF(INDEX(F_ProductBM!M:M,MATCH($P873,F_ProductBM!$P:$P,0))="","",INDEX(F_ProductBM!M:M,MATCH($P873,F_ProductBM!$P:$P,0))))</f>
        <v/>
      </c>
      <c r="N873" s="831"/>
      <c r="O873" s="20"/>
      <c r="P873" s="351" t="str">
        <f>EUconst_CNTR_WGExportEF &amp; I829</f>
        <v>WasteGasExEF_</v>
      </c>
      <c r="Q873" s="422"/>
      <c r="R873" s="422"/>
      <c r="S873" s="422"/>
      <c r="T873" s="8"/>
    </row>
    <row r="874" spans="1:20" s="701" customFormat="1" x14ac:dyDescent="0.2">
      <c r="A874" s="422"/>
      <c r="B874" s="398"/>
      <c r="C874" s="398"/>
      <c r="D874" s="398"/>
      <c r="E874" s="516"/>
      <c r="F874" s="516"/>
      <c r="G874" s="516"/>
      <c r="H874" s="516"/>
      <c r="I874" s="1006"/>
      <c r="J874" s="1006"/>
      <c r="K874" s="1006"/>
      <c r="L874" s="1006"/>
      <c r="M874" s="1006"/>
      <c r="N874" s="831"/>
      <c r="O874" s="20"/>
      <c r="P874" s="182"/>
      <c r="Q874" s="422"/>
      <c r="R874" s="422"/>
      <c r="S874" s="422"/>
      <c r="T874" s="8"/>
    </row>
    <row r="875" spans="1:20" s="701" customFormat="1" x14ac:dyDescent="0.2">
      <c r="A875" s="422"/>
      <c r="B875" s="398"/>
      <c r="C875" s="398"/>
      <c r="D875" s="398"/>
      <c r="E875" s="1739" t="str">
        <f>Translations!$B$689</f>
        <v>Odpowiednie zużycie energii elektrycznej</v>
      </c>
      <c r="F875" s="1740"/>
      <c r="G875" s="1740"/>
      <c r="H875" s="453" t="str">
        <f>EUconst_MWhpa</f>
        <v>MWh / rok</v>
      </c>
      <c r="I875" s="1007" t="str">
        <f>IF($I829="","",IF(INDEX(F_ProductBM!I:I,MATCH($P875,F_ProductBM!$Q:$Q,0))="","",INDEX(F_ProductBM!I:I,MATCH($P875,F_ProductBM!$Q:$Q,0))))</f>
        <v/>
      </c>
      <c r="J875" s="1007" t="str">
        <f>IF($I829="","",IF(INDEX(F_ProductBM!J:J,MATCH($P875,F_ProductBM!$Q:$Q,0))="","",INDEX(F_ProductBM!J:J,MATCH($P875,F_ProductBM!$Q:$Q,0))))</f>
        <v/>
      </c>
      <c r="K875" s="1007" t="str">
        <f>IF($I829="","",IF(INDEX(F_ProductBM!K:K,MATCH($P875,F_ProductBM!$Q:$Q,0))="","",INDEX(F_ProductBM!K:K,MATCH($P875,F_ProductBM!$Q:$Q,0))))</f>
        <v/>
      </c>
      <c r="L875" s="1007" t="str">
        <f>IF($I829="","",IF(INDEX(F_ProductBM!L:L,MATCH($P875,F_ProductBM!$Q:$Q,0))="","",INDEX(F_ProductBM!L:L,MATCH($P875,F_ProductBM!$Q:$Q,0))))</f>
        <v/>
      </c>
      <c r="M875" s="1007" t="str">
        <f>IF($I829="","",IF(INDEX(F_ProductBM!M:M,MATCH($P875,F_ProductBM!$Q:$Q,0))="","",INDEX(F_ProductBM!M:M,MATCH($P875,F_ProductBM!$Q:$Q,0))))</f>
        <v/>
      </c>
      <c r="N875" s="831"/>
      <c r="O875" s="20"/>
      <c r="P875" s="185" t="str">
        <f>EUconst_CNTR_HAL&amp;EUconst_CNTR_ELEXCH &amp; I829</f>
        <v>HAL_ELEXCH_</v>
      </c>
      <c r="Q875" s="422"/>
      <c r="R875" s="422"/>
      <c r="S875" s="422"/>
      <c r="T875" s="8"/>
    </row>
    <row r="876" spans="1:20" s="701" customFormat="1" x14ac:dyDescent="0.2">
      <c r="A876" s="422"/>
      <c r="B876" s="398"/>
      <c r="C876" s="398"/>
      <c r="D876" s="398"/>
      <c r="E876" s="1739" t="str">
        <f>Translations!$B$805</f>
        <v>Energia elektryczna wytworzona</v>
      </c>
      <c r="F876" s="1740"/>
      <c r="G876" s="1740"/>
      <c r="H876" s="453" t="str">
        <f>EUconst_MWhpa</f>
        <v>MWh / rok</v>
      </c>
      <c r="I876" s="1007" t="str">
        <f>IF($I829="","",IF(INDEX(F_ProductBM!I:I,MATCH($P876,F_ProductBM!$P:$P,0))="","",INDEX(F_ProductBM!I:I,MATCH($P876,F_ProductBM!$P:$P,0))))</f>
        <v/>
      </c>
      <c r="J876" s="1007" t="str">
        <f>IF($I829="","",IF(INDEX(F_ProductBM!J:J,MATCH($P876,F_ProductBM!$P:$P,0))="","",INDEX(F_ProductBM!J:J,MATCH($P876,F_ProductBM!$P:$P,0))))</f>
        <v/>
      </c>
      <c r="K876" s="1007" t="str">
        <f>IF($I829="","",IF(INDEX(F_ProductBM!K:K,MATCH($P876,F_ProductBM!$P:$P,0))="","",INDEX(F_ProductBM!K:K,MATCH($P876,F_ProductBM!$P:$P,0))))</f>
        <v/>
      </c>
      <c r="L876" s="1007" t="str">
        <f>IF($I829="","",IF(INDEX(F_ProductBM!L:L,MATCH($P876,F_ProductBM!$P:$P,0))="","",INDEX(F_ProductBM!L:L,MATCH($P876,F_ProductBM!$P:$P,0))))</f>
        <v/>
      </c>
      <c r="M876" s="1007" t="str">
        <f>IF($I829="","",IF(INDEX(F_ProductBM!M:M,MATCH($P876,F_ProductBM!$P:$P,0))="","",INDEX(F_ProductBM!M:M,MATCH($P876,F_ProductBM!$P:$P,0))))</f>
        <v/>
      </c>
      <c r="N876" s="831"/>
      <c r="O876" s="20"/>
      <c r="P876" s="351" t="str">
        <f>EUconst_CNTR_ElectricityExported &amp; I829</f>
        <v>ElecEx_</v>
      </c>
      <c r="Q876" s="422"/>
      <c r="R876" s="422"/>
      <c r="S876" s="422"/>
      <c r="T876" s="8"/>
    </row>
    <row r="877" spans="1:20" s="701" customFormat="1" x14ac:dyDescent="0.2">
      <c r="A877" s="422"/>
      <c r="B877" s="398"/>
      <c r="C877" s="398"/>
      <c r="D877" s="398"/>
      <c r="E877" s="516"/>
      <c r="F877" s="516"/>
      <c r="G877" s="516"/>
      <c r="H877" s="516"/>
      <c r="I877" s="1006"/>
      <c r="J877" s="1006"/>
      <c r="K877" s="1006"/>
      <c r="L877" s="1006"/>
      <c r="M877" s="1006"/>
      <c r="N877" s="831"/>
      <c r="O877" s="20"/>
      <c r="P877" s="182"/>
      <c r="Q877" s="422"/>
      <c r="R877" s="422"/>
      <c r="S877" s="422"/>
      <c r="T877" s="8"/>
    </row>
    <row r="878" spans="1:20" s="701" customFormat="1" x14ac:dyDescent="0.2">
      <c r="A878" s="422"/>
      <c r="B878" s="398"/>
      <c r="C878" s="398"/>
      <c r="D878" s="398"/>
      <c r="E878" s="1739" t="str">
        <f>Translations!$B$806</f>
        <v>Całkowita ilość wyprodukowanej masy celulozowej</v>
      </c>
      <c r="F878" s="1740"/>
      <c r="G878" s="1740"/>
      <c r="H878" s="453" t="str">
        <f>EUconst_Tons</f>
        <v>tony</v>
      </c>
      <c r="I878" s="1007" t="str">
        <f>IF($I829="","",IF(INDEX(F_ProductBM!I:I,MATCH($P878,F_ProductBM!$P:$P,0))="","",INDEX(F_ProductBM!I:I,MATCH($P878,F_ProductBM!$P:$P,0))))</f>
        <v/>
      </c>
      <c r="J878" s="1007" t="str">
        <f>IF($I829="","",IF(INDEX(F_ProductBM!J:J,MATCH($P878,F_ProductBM!$P:$P,0))="","",INDEX(F_ProductBM!J:J,MATCH($P878,F_ProductBM!$P:$P,0))))</f>
        <v/>
      </c>
      <c r="K878" s="1007" t="str">
        <f>IF($I829="","",IF(INDEX(F_ProductBM!K:K,MATCH($P878,F_ProductBM!$P:$P,0))="","",INDEX(F_ProductBM!K:K,MATCH($P878,F_ProductBM!$P:$P,0))))</f>
        <v/>
      </c>
      <c r="L878" s="1007" t="str">
        <f>IF($I829="","",IF(INDEX(F_ProductBM!L:L,MATCH($P878,F_ProductBM!$P:$P,0))="","",INDEX(F_ProductBM!L:L,MATCH($P878,F_ProductBM!$P:$P,0))))</f>
        <v/>
      </c>
      <c r="M878" s="1007" t="str">
        <f>IF($I829="","",IF(INDEX(F_ProductBM!M:M,MATCH($P878,F_ProductBM!$P:$P,0))="","",INDEX(F_ProductBM!M:M,MATCH($P878,F_ProductBM!$P:$P,0))))</f>
        <v/>
      </c>
      <c r="N878" s="831"/>
      <c r="O878" s="20"/>
      <c r="P878" s="351" t="str">
        <f>EUconst_CNTR_HALPulpTotal &amp; I829</f>
        <v>HALPulpTotal_</v>
      </c>
      <c r="Q878" s="422"/>
      <c r="R878" s="422"/>
      <c r="S878" s="422"/>
      <c r="T878" s="8"/>
    </row>
    <row r="879" spans="1:20" s="701" customFormat="1" x14ac:dyDescent="0.2">
      <c r="A879" s="422"/>
      <c r="B879" s="398"/>
      <c r="C879" s="398"/>
      <c r="D879" s="398"/>
      <c r="E879" s="516"/>
      <c r="F879" s="516"/>
      <c r="G879" s="516"/>
      <c r="H879" s="516"/>
      <c r="I879" s="1006"/>
      <c r="J879" s="1006"/>
      <c r="K879" s="1006"/>
      <c r="L879" s="1006"/>
      <c r="M879" s="1006"/>
      <c r="N879" s="831"/>
      <c r="O879" s="20"/>
      <c r="P879" s="182"/>
      <c r="Q879" s="422"/>
      <c r="R879" s="422"/>
      <c r="S879" s="422"/>
      <c r="T879" s="8"/>
    </row>
    <row r="880" spans="1:20" s="701" customFormat="1" x14ac:dyDescent="0.2">
      <c r="A880" s="422"/>
      <c r="B880" s="398"/>
      <c r="C880" s="398"/>
      <c r="D880" s="398"/>
      <c r="E880" s="1268" t="str">
        <f>Translations!$B$1239</f>
        <v>Wprowadzanie pośrednie:</v>
      </c>
      <c r="F880" s="516"/>
      <c r="G880" s="516"/>
      <c r="H880" s="516"/>
      <c r="I880" s="1006"/>
      <c r="J880" s="1006"/>
      <c r="K880" s="1006"/>
      <c r="L880" s="1006"/>
      <c r="M880" s="1006"/>
      <c r="N880" s="831"/>
      <c r="O880" s="20"/>
      <c r="P880" s="182"/>
      <c r="Q880" s="422"/>
      <c r="R880" s="422"/>
      <c r="S880" s="422"/>
      <c r="T880" s="8"/>
    </row>
    <row r="881" spans="1:20" s="701" customFormat="1" x14ac:dyDescent="0.2">
      <c r="A881" s="422"/>
      <c r="B881" s="398"/>
      <c r="C881" s="398"/>
      <c r="D881" s="398"/>
      <c r="E881" s="1762" t="str">
        <f>IF($I829="","",IF(INDEX(F_ProductBM!E:E,MATCH($P881,F_ProductBM!$P:$P,0))="","",INDEX(F_ProductBM!E:E,MATCH($P881,F_ProductBM!$P:$P,0))))</f>
        <v/>
      </c>
      <c r="F881" s="1762"/>
      <c r="G881" s="1762"/>
      <c r="H881" s="453" t="str">
        <f>EUconst_Tons</f>
        <v>tony</v>
      </c>
      <c r="I881" s="1007" t="str">
        <f>IF($I829="","",IF(INDEX(F_ProductBM!I:I,MATCH($P881,F_ProductBM!$P:$P,0))="","",INDEX(F_ProductBM!I:I,MATCH($P881,F_ProductBM!$P:$P,0))))</f>
        <v/>
      </c>
      <c r="J881" s="1007" t="str">
        <f>IF($I829="","",IF(INDEX(F_ProductBM!J:J,MATCH($P881,F_ProductBM!$P:$P,0))="","",INDEX(F_ProductBM!J:J,MATCH($P881,F_ProductBM!$P:$P,0))))</f>
        <v/>
      </c>
      <c r="K881" s="1007" t="str">
        <f>IF($I829="","",IF(INDEX(F_ProductBM!K:K,MATCH($P881,F_ProductBM!$P:$P,0))="","",INDEX(F_ProductBM!K:K,MATCH($P881,F_ProductBM!$P:$P,0))))</f>
        <v/>
      </c>
      <c r="L881" s="1007" t="str">
        <f>IF($I829="","",IF(INDEX(F_ProductBM!L:L,MATCH($P881,F_ProductBM!$P:$P,0))="","",INDEX(F_ProductBM!L:L,MATCH($P881,F_ProductBM!$P:$P,0))))</f>
        <v/>
      </c>
      <c r="M881" s="1007" t="str">
        <f>IF($I829="","",IF(INDEX(F_ProductBM!M:M,MATCH($P881,F_ProductBM!$P:$P,0))="","",INDEX(F_ProductBM!M:M,MATCH($P881,F_ProductBM!$P:$P,0))))</f>
        <v/>
      </c>
      <c r="N881" s="831"/>
      <c r="O881" s="20"/>
      <c r="P881" s="351" t="str">
        <f>EUconst_CNTR_IntermediateImport &amp; R881 &amp; "_" &amp; I829</f>
        <v>IntImp_1_</v>
      </c>
      <c r="Q881" s="422"/>
      <c r="R881" s="879">
        <v>1</v>
      </c>
      <c r="S881" s="422"/>
      <c r="T881" s="8"/>
    </row>
    <row r="882" spans="1:20" s="701" customFormat="1" x14ac:dyDescent="0.2">
      <c r="A882" s="422"/>
      <c r="B882" s="398"/>
      <c r="C882" s="398"/>
      <c r="D882" s="398"/>
      <c r="E882" s="1762" t="str">
        <f>IF($I829="","",IF(INDEX(F_ProductBM!E:E,MATCH($P882,F_ProductBM!$P:$P,0))="","",INDEX(F_ProductBM!E:E,MATCH($P882,F_ProductBM!$P:$P,0))))</f>
        <v/>
      </c>
      <c r="F882" s="1762"/>
      <c r="G882" s="1762"/>
      <c r="H882" s="453" t="str">
        <f>EUconst_Tons</f>
        <v>tony</v>
      </c>
      <c r="I882" s="1007" t="str">
        <f>IF($I829="","",IF(INDEX(F_ProductBM!I:I,MATCH($P882,F_ProductBM!$P:$P,0))="","",INDEX(F_ProductBM!I:I,MATCH($P882,F_ProductBM!$P:$P,0))))</f>
        <v/>
      </c>
      <c r="J882" s="1007" t="str">
        <f>IF($I829="","",IF(INDEX(F_ProductBM!J:J,MATCH($P882,F_ProductBM!$P:$P,0))="","",INDEX(F_ProductBM!J:J,MATCH($P882,F_ProductBM!$P:$P,0))))</f>
        <v/>
      </c>
      <c r="K882" s="1007" t="str">
        <f>IF($I829="","",IF(INDEX(F_ProductBM!K:K,MATCH($P882,F_ProductBM!$P:$P,0))="","",INDEX(F_ProductBM!K:K,MATCH($P882,F_ProductBM!$P:$P,0))))</f>
        <v/>
      </c>
      <c r="L882" s="1007" t="str">
        <f>IF($I829="","",IF(INDEX(F_ProductBM!L:L,MATCH($P882,F_ProductBM!$P:$P,0))="","",INDEX(F_ProductBM!L:L,MATCH($P882,F_ProductBM!$P:$P,0))))</f>
        <v/>
      </c>
      <c r="M882" s="1007" t="str">
        <f>IF($I829="","",IF(INDEX(F_ProductBM!M:M,MATCH($P882,F_ProductBM!$P:$P,0))="","",INDEX(F_ProductBM!M:M,MATCH($P882,F_ProductBM!$P:$P,0))))</f>
        <v/>
      </c>
      <c r="N882" s="831"/>
      <c r="O882" s="20"/>
      <c r="P882" s="351" t="str">
        <f>EUconst_CNTR_IntermediateImport &amp; R882 &amp; "_" &amp; I829</f>
        <v>IntImp_2_</v>
      </c>
      <c r="Q882" s="422"/>
      <c r="R882" s="879">
        <v>2</v>
      </c>
      <c r="S882" s="422"/>
      <c r="T882" s="8"/>
    </row>
    <row r="883" spans="1:20" s="701" customFormat="1" x14ac:dyDescent="0.2">
      <c r="A883" s="422"/>
      <c r="B883" s="398"/>
      <c r="C883" s="398"/>
      <c r="D883" s="398"/>
      <c r="E883" s="1268" t="str">
        <f>Translations!$B$1240</f>
        <v>Wyprowadzanie pośrednie:</v>
      </c>
      <c r="F883" s="516"/>
      <c r="G883" s="516"/>
      <c r="H883" s="516"/>
      <c r="I883" s="1006"/>
      <c r="J883" s="1006"/>
      <c r="K883" s="1006"/>
      <c r="L883" s="1006"/>
      <c r="M883" s="1006"/>
      <c r="N883" s="831"/>
      <c r="O883" s="20"/>
      <c r="P883" s="182"/>
      <c r="Q883" s="422"/>
      <c r="R883" s="422"/>
      <c r="S883" s="422"/>
      <c r="T883" s="8"/>
    </row>
    <row r="884" spans="1:20" s="701" customFormat="1" x14ac:dyDescent="0.2">
      <c r="A884" s="422"/>
      <c r="B884" s="398"/>
      <c r="C884" s="398"/>
      <c r="D884" s="398"/>
      <c r="E884" s="1762" t="str">
        <f>IF($I829="","",IF(INDEX(F_ProductBM!E:E,MATCH($P884,F_ProductBM!$P:$P,0))="","",INDEX(F_ProductBM!E:E,MATCH($P884,F_ProductBM!$P:$P,0))))</f>
        <v/>
      </c>
      <c r="F884" s="1762"/>
      <c r="G884" s="1762"/>
      <c r="H884" s="453" t="str">
        <f>EUconst_Tons</f>
        <v>tony</v>
      </c>
      <c r="I884" s="1007" t="str">
        <f>IF($I829="","",IF(INDEX(F_ProductBM!I:I,MATCH($P884,F_ProductBM!$P:$P,0))="","",INDEX(F_ProductBM!I:I,MATCH($P884,F_ProductBM!$P:$P,0))))</f>
        <v/>
      </c>
      <c r="J884" s="1007" t="str">
        <f>IF($I829="","",IF(INDEX(F_ProductBM!J:J,MATCH($P884,F_ProductBM!$P:$P,0))="","",INDEX(F_ProductBM!J:J,MATCH($P884,F_ProductBM!$P:$P,0))))</f>
        <v/>
      </c>
      <c r="K884" s="1007" t="str">
        <f>IF($I829="","",IF(INDEX(F_ProductBM!K:K,MATCH($P884,F_ProductBM!$P:$P,0))="","",INDEX(F_ProductBM!K:K,MATCH($P884,F_ProductBM!$P:$P,0))))</f>
        <v/>
      </c>
      <c r="L884" s="1007" t="str">
        <f>IF($I829="","",IF(INDEX(F_ProductBM!L:L,MATCH($P884,F_ProductBM!$P:$P,0))="","",INDEX(F_ProductBM!L:L,MATCH($P884,F_ProductBM!$P:$P,0))))</f>
        <v/>
      </c>
      <c r="M884" s="1007" t="str">
        <f>IF($I829="","",IF(INDEX(F_ProductBM!M:M,MATCH($P884,F_ProductBM!$P:$P,0))="","",INDEX(F_ProductBM!M:M,MATCH($P884,F_ProductBM!$P:$P,0))))</f>
        <v/>
      </c>
      <c r="N884" s="831"/>
      <c r="O884" s="20"/>
      <c r="P884" s="351" t="str">
        <f>EUconst_CNTR_IntermediateExport &amp; R881 &amp; "_" &amp; I829</f>
        <v>IntExp_1_</v>
      </c>
      <c r="Q884" s="422"/>
      <c r="R884" s="879">
        <v>1</v>
      </c>
      <c r="S884" s="422"/>
      <c r="T884" s="8"/>
    </row>
    <row r="885" spans="1:20" s="701" customFormat="1" x14ac:dyDescent="0.2">
      <c r="A885" s="422"/>
      <c r="B885" s="398"/>
      <c r="C885" s="398"/>
      <c r="D885" s="398"/>
      <c r="E885" s="1762" t="str">
        <f>IF($I829="","",IF(INDEX(F_ProductBM!E:E,MATCH($P885,F_ProductBM!$P:$P,0))="","",INDEX(F_ProductBM!E:E,MATCH($P885,F_ProductBM!$P:$P,0))))</f>
        <v/>
      </c>
      <c r="F885" s="1762"/>
      <c r="G885" s="1762"/>
      <c r="H885" s="453" t="str">
        <f>EUconst_Tons</f>
        <v>tony</v>
      </c>
      <c r="I885" s="1007" t="str">
        <f>IF($I829="","",IF(INDEX(F_ProductBM!I:I,MATCH($P885,F_ProductBM!$P:$P,0))="","",INDEX(F_ProductBM!I:I,MATCH($P885,F_ProductBM!$P:$P,0))))</f>
        <v/>
      </c>
      <c r="J885" s="1007" t="str">
        <f>IF($I829="","",IF(INDEX(F_ProductBM!J:J,MATCH($P885,F_ProductBM!$P:$P,0))="","",INDEX(F_ProductBM!J:J,MATCH($P885,F_ProductBM!$P:$P,0))))</f>
        <v/>
      </c>
      <c r="K885" s="1007" t="str">
        <f>IF($I829="","",IF(INDEX(F_ProductBM!K:K,MATCH($P885,F_ProductBM!$P:$P,0))="","",INDEX(F_ProductBM!K:K,MATCH($P885,F_ProductBM!$P:$P,0))))</f>
        <v/>
      </c>
      <c r="L885" s="1007" t="str">
        <f>IF($I829="","",IF(INDEX(F_ProductBM!L:L,MATCH($P885,F_ProductBM!$P:$P,0))="","",INDEX(F_ProductBM!L:L,MATCH($P885,F_ProductBM!$P:$P,0))))</f>
        <v/>
      </c>
      <c r="M885" s="1007" t="str">
        <f>IF($I829="","",IF(INDEX(F_ProductBM!M:M,MATCH($P885,F_ProductBM!$P:$P,0))="","",INDEX(F_ProductBM!M:M,MATCH($P885,F_ProductBM!$P:$P,0))))</f>
        <v/>
      </c>
      <c r="N885" s="831"/>
      <c r="O885" s="20"/>
      <c r="P885" s="351" t="str">
        <f>EUconst_CNTR_IntermediateExport &amp; R885 &amp; "_" &amp; I829</f>
        <v>IntExp_2_</v>
      </c>
      <c r="Q885" s="422"/>
      <c r="R885" s="879">
        <v>2</v>
      </c>
      <c r="S885" s="422"/>
      <c r="T885" s="8"/>
    </row>
    <row r="886" spans="1:20" s="701" customFormat="1" x14ac:dyDescent="0.2">
      <c r="A886" s="422"/>
      <c r="B886" s="398"/>
      <c r="C886" s="398"/>
      <c r="D886" s="398"/>
      <c r="E886" s="516"/>
      <c r="F886" s="516"/>
      <c r="G886" s="516"/>
      <c r="H886" s="516"/>
      <c r="I886" s="831"/>
      <c r="J886" s="831"/>
      <c r="K886" s="831"/>
      <c r="L886" s="831"/>
      <c r="M886" s="831"/>
      <c r="N886" s="831"/>
      <c r="O886" s="20"/>
      <c r="P886" s="182"/>
      <c r="Q886" s="422"/>
      <c r="R886" s="422"/>
      <c r="S886" s="422"/>
      <c r="T886" s="8"/>
    </row>
    <row r="887" spans="1:20" s="701" customFormat="1" ht="13.5" thickBot="1" x14ac:dyDescent="0.25">
      <c r="A887" s="422"/>
      <c r="B887" s="398"/>
      <c r="C887" s="398"/>
      <c r="D887" s="398"/>
      <c r="E887" s="1017"/>
      <c r="O887" s="20"/>
      <c r="P887" s="422"/>
      <c r="Q887" s="422"/>
      <c r="R887" s="422"/>
      <c r="S887" s="422"/>
      <c r="T887" s="8"/>
    </row>
    <row r="888" spans="1:20" s="701" customFormat="1" ht="13.5" thickBot="1" x14ac:dyDescent="0.25">
      <c r="A888" s="422"/>
      <c r="B888" s="3"/>
      <c r="C888" s="281"/>
      <c r="D888" s="281"/>
      <c r="E888" s="281"/>
      <c r="F888" s="281"/>
      <c r="G888" s="281"/>
      <c r="H888" s="281"/>
      <c r="I888" s="281"/>
      <c r="J888" s="281"/>
      <c r="K888" s="281"/>
      <c r="L888" s="281"/>
      <c r="M888" s="281"/>
      <c r="N888" s="281"/>
      <c r="O888" s="20"/>
      <c r="P888" s="422"/>
      <c r="Q888" s="422"/>
      <c r="R888" s="422"/>
      <c r="S888" s="422"/>
      <c r="T888" s="8" t="s">
        <v>583</v>
      </c>
    </row>
    <row r="889" spans="1:20" s="701" customFormat="1" ht="15.75" thickBot="1" x14ac:dyDescent="0.3">
      <c r="A889" s="422"/>
      <c r="B889" s="398"/>
      <c r="C889" s="18">
        <f>C829+1</f>
        <v>8</v>
      </c>
      <c r="D889" s="1439" t="str">
        <f>CONCATENATE(EUconst_BMSubinst," ",C889, ":")</f>
        <v>Podinstalacja i wskaźnik emisyjności dla produktów 8:</v>
      </c>
      <c r="E889" s="1439"/>
      <c r="F889" s="1439"/>
      <c r="G889" s="1439"/>
      <c r="H889" s="2024"/>
      <c r="I889" s="1781" t="str">
        <f>IF(INDEX(CNTR_SubInstListIsProdBM,$C889),INDEX(CNTR_SubInstListNames,$C889),"")</f>
        <v/>
      </c>
      <c r="J889" s="2025"/>
      <c r="K889" s="2025"/>
      <c r="L889" s="2025"/>
      <c r="M889" s="2025"/>
      <c r="N889" s="2026"/>
      <c r="O889" s="20"/>
      <c r="P889" s="422"/>
      <c r="Q889" s="986">
        <f>C889</f>
        <v>8</v>
      </c>
      <c r="R889" s="983" t="str">
        <f>I889</f>
        <v/>
      </c>
      <c r="S889" s="985" t="str">
        <f>H892</f>
        <v>Nie dotyczy</v>
      </c>
      <c r="T889" s="984" t="str">
        <f>IF(M901="","",IF(S892=0,0,SUM(M901)/S892))</f>
        <v/>
      </c>
    </row>
    <row r="890" spans="1:20" s="701" customFormat="1" ht="13.5" thickBot="1" x14ac:dyDescent="0.25">
      <c r="A890" s="422"/>
      <c r="B890" s="398"/>
      <c r="C890" s="398"/>
      <c r="D890" s="398"/>
      <c r="E890" s="398"/>
      <c r="F890" s="398"/>
      <c r="G890" s="398"/>
      <c r="H890" s="398"/>
      <c r="I890" s="398"/>
      <c r="J890" s="398"/>
      <c r="K890" s="398"/>
      <c r="L890" s="398"/>
      <c r="M890" s="398"/>
      <c r="N890" s="398"/>
      <c r="O890" s="20"/>
      <c r="P890" s="422"/>
      <c r="Q890" s="422"/>
      <c r="R890" s="422"/>
      <c r="S890" s="422"/>
      <c r="T890" s="8"/>
    </row>
    <row r="891" spans="1:20" s="1299" customFormat="1" ht="51" x14ac:dyDescent="0.2">
      <c r="A891" s="970"/>
      <c r="B891" s="1300"/>
      <c r="C891" s="1300"/>
      <c r="D891" s="1300"/>
      <c r="E891" s="1300"/>
      <c r="F891" s="1300"/>
      <c r="G891" s="1300"/>
      <c r="H891" s="1304" t="str">
        <f>Translations!$B$1204</f>
        <v>narażenie na ryzyko ucieczki emisji</v>
      </c>
      <c r="I891" s="1305" t="s">
        <v>516</v>
      </c>
      <c r="J891" s="1305" t="str">
        <f>Translations!$B$1208</f>
        <v>Rozpoczęcie</v>
      </c>
      <c r="K891" s="1305" t="str">
        <f>Translations!$B$1206</f>
        <v>Nr wskaźnika</v>
      </c>
      <c r="L891" s="1306" t="str">
        <f>Translations!$B$1212</f>
        <v>Art. 15 ust. 7 akapit trzeci?</v>
      </c>
      <c r="M891" s="1307" t="str">
        <f>Translations!$B$1234</f>
        <v>Wart. wskaźnika (min./maks./faktyczna)</v>
      </c>
      <c r="N891" s="1308"/>
      <c r="O891" s="121"/>
      <c r="P891" s="970"/>
      <c r="Q891" s="970"/>
      <c r="R891" s="970"/>
      <c r="S891" s="970"/>
      <c r="T891" s="972"/>
    </row>
    <row r="892" spans="1:20" s="701" customFormat="1" x14ac:dyDescent="0.2">
      <c r="A892" s="422"/>
      <c r="B892" s="398"/>
      <c r="C892" s="398"/>
      <c r="D892" s="398"/>
      <c r="E892" s="652" t="str">
        <f>I889</f>
        <v/>
      </c>
      <c r="F892" s="653"/>
      <c r="G892" s="590"/>
      <c r="H892" s="654" t="str">
        <f>IF(K892=EUconst_NA,EUconst_NA,INDEX(EUconst_BMlistCLstatus,K892))</f>
        <v>Nie dotyczy</v>
      </c>
      <c r="I892" s="655" t="str">
        <f>IF(E892="","",INDEX(EUconst_BMlistElExchangability,K892))</f>
        <v/>
      </c>
      <c r="J892" s="857" t="str">
        <f>IF($I889="",EUconst_NA,INDEX(CNTR_SubInstStartDate,MATCH(E892,CNTR_SubInstListNames,0)))</f>
        <v>Nie dotyczy</v>
      </c>
      <c r="K892" s="536" t="str">
        <f>IF($I889="",EUconst_NA,MATCH(E892,EUconst_BMlistNames,0))</f>
        <v>Nie dotyczy</v>
      </c>
      <c r="L892" s="1071" t="str">
        <f>IF(E892="","",INDEX(CNTR_SubInstLess1Year,MATCH(E892,CNTR_SubInstListNames,0)))</f>
        <v/>
      </c>
      <c r="M892" s="1073" t="str">
        <f>IF(I889="",EUconst_NA,INDEX(EUconst_BMlistBMvaluesMatrix,K892,2))</f>
        <v>Nie dotyczy</v>
      </c>
      <c r="N892" s="1074" t="str">
        <f>EUconst_EUA &amp; "/" &amp; H897</f>
        <v>Uprawnienia do emisji ogólnych/tony</v>
      </c>
      <c r="O892" s="20"/>
      <c r="P892" s="422"/>
      <c r="Q892" s="422"/>
      <c r="R892" s="736" t="s">
        <v>577</v>
      </c>
      <c r="S892" s="822" t="str">
        <f>IF(H892=EUconst_NA,"",IF(H892,1,INDEX(EUconst_CLEFYears,1)))</f>
        <v/>
      </c>
      <c r="T892" s="8"/>
    </row>
    <row r="893" spans="1:20" s="1299" customFormat="1" ht="51" x14ac:dyDescent="0.2">
      <c r="A893" s="970"/>
      <c r="B893" s="1300"/>
      <c r="C893" s="1300"/>
      <c r="D893" s="1300"/>
      <c r="G893" s="1305" t="str">
        <f>Translations!$B$1218</f>
        <v>ciepło nieobjęte systemem EU ETS</v>
      </c>
      <c r="H893" s="1306" t="str">
        <f>Translations!$B$1220</f>
        <v>WGflare</v>
      </c>
      <c r="I893" s="1305" t="s">
        <v>572</v>
      </c>
      <c r="J893" s="1305" t="s">
        <v>573</v>
      </c>
      <c r="K893" s="1305" t="s">
        <v>574</v>
      </c>
      <c r="L893" s="1306" t="str">
        <f>Translations!$B$1214</f>
        <v>Art. 15 ust. 7 akapit trzeci – HPD</v>
      </c>
      <c r="M893" s="1309" t="str">
        <f>IF(I889="",EUconst_NA,INDEX(EUconst_BMlistBMvaluesMatrix,K892,1))</f>
        <v>Nie dotyczy</v>
      </c>
      <c r="N893" s="1303" t="str">
        <f>EUconst_EUA &amp; "/" &amp; H897</f>
        <v>Uprawnienia do emisji ogólnych/tony</v>
      </c>
      <c r="O893" s="121"/>
      <c r="P893" s="970"/>
      <c r="Q893" s="970"/>
      <c r="R893" s="1310"/>
      <c r="S893" s="1311"/>
      <c r="T893" s="972"/>
    </row>
    <row r="894" spans="1:20" s="701" customFormat="1" ht="13.5" thickBot="1" x14ac:dyDescent="0.25">
      <c r="A894" s="422"/>
      <c r="B894" s="398"/>
      <c r="C894" s="398"/>
      <c r="D894" s="398"/>
      <c r="E894" s="877" t="str">
        <f>Translations!$B$1235</f>
        <v>Czynniki szczególne:</v>
      </c>
      <c r="F894" s="878"/>
      <c r="G894" s="536" t="str">
        <f>IF($I889="","",SUMIF(F_ProductBM!$P:$P,EUconst_CNTR_HEAT&amp;$I889,F_ProductBM!$Q:$Q))</f>
        <v/>
      </c>
      <c r="H894" s="855" t="str">
        <f>IF(OR($I889="",CNTR_BaselinePeriod&lt;&gt;2),"",SUMIF(F_ProductBM!$P:$P,EUconst_CNTR_WGFlaredEF &amp; I889,F_ProductBM!$R:$R))</f>
        <v/>
      </c>
      <c r="I894" s="821">
        <f>IF(AND($I889&lt;&gt;"",$I892=TRUE),IF(ISNUMBER(INDEX(F_ProductBM!$Q:$Q,MATCH(EUconst_CNTR_ELEXCH&amp;$I889,F_ProductBM!$P:$P,0))),INDEX(F_ProductBM!$Q:$Q,MATCH(EUconst_CNTR_ELEXCH&amp;$I889,F_ProductBM!$P:$P,0)),1),1)</f>
        <v>1</v>
      </c>
      <c r="J894" s="536" t="str">
        <f>IF($I889="","",IF($K892=42,SUMIF(H_SpecialBM!$P$9:$P$384,EUconst_CNTR_HVC,H_SpecialBM!$I$9:$I$384),0))</f>
        <v/>
      </c>
      <c r="K894" s="876" t="str">
        <f>IF($I889="","",IF($K892=47,IF(ISNUMBER(INDEX(H_SpecialBM!$I$9:$I$384,MATCH(EUconst_CNTR_VCM,H_SpecialBM!$P$9:$P$384,0))),INDEX(H_SpecialBM!$I$9:$I$384,MATCH(EUconst_CNTR_VCM,H_SpecialBM!$P$9:$P$384,0)),1),1))</f>
        <v/>
      </c>
      <c r="L894" s="855" t="str">
        <f>IF($L892=TRUE,SUMIF(F_ProductBM!$P$11:$P$2192,EUconst_CNTR_HAL&amp;$I889,F_ProductBM!$N$11:$N$2192),"")</f>
        <v/>
      </c>
      <c r="M894" s="1075" t="str">
        <f>IF(I889="",EUconst_NA,IF(EUconst_StatusOfDataCollection,INDEX(EUconst_BMlistBMvaluesMatrix,K892,3),""))</f>
        <v>Nie dotyczy</v>
      </c>
      <c r="N894" s="1076" t="str">
        <f>EUconst_EUA &amp; "/" &amp; H897</f>
        <v>Uprawnienia do emisji ogólnych/tony</v>
      </c>
      <c r="O894" s="20"/>
      <c r="P894" s="422"/>
      <c r="Q894" s="422"/>
      <c r="R894" s="736"/>
      <c r="S894" s="875"/>
      <c r="T894" s="8"/>
    </row>
    <row r="895" spans="1:20" s="701" customFormat="1" x14ac:dyDescent="0.2">
      <c r="A895" s="422"/>
      <c r="B895" s="398"/>
      <c r="C895" s="398"/>
      <c r="D895" s="398"/>
      <c r="E895" s="398"/>
      <c r="F895" s="398"/>
      <c r="G895" s="398"/>
      <c r="H895" s="398"/>
      <c r="I895" s="398"/>
      <c r="J895" s="398"/>
      <c r="K895" s="398"/>
      <c r="L895" s="398"/>
      <c r="M895" s="398"/>
      <c r="N895" s="398"/>
      <c r="O895" s="20"/>
      <c r="P895" s="422"/>
      <c r="Q895" s="422"/>
      <c r="R895" s="422"/>
      <c r="S895" s="422"/>
      <c r="T895" s="8"/>
    </row>
    <row r="896" spans="1:20" s="701" customFormat="1" x14ac:dyDescent="0.2">
      <c r="A896" s="422"/>
      <c r="B896" s="398"/>
      <c r="C896" s="398"/>
      <c r="D896" s="398"/>
      <c r="E896" s="656"/>
      <c r="F896" s="656"/>
      <c r="G896" s="657"/>
      <c r="H896" s="873" t="str">
        <f>EUconst_Unit</f>
        <v>Jednostka</v>
      </c>
      <c r="I896" s="432">
        <f>I$1397</f>
        <v>2014</v>
      </c>
      <c r="J896" s="432">
        <f>J$1397</f>
        <v>2015</v>
      </c>
      <c r="K896" s="432">
        <f>K$1397</f>
        <v>2016</v>
      </c>
      <c r="L896" s="432">
        <f>L$1397</f>
        <v>2017</v>
      </c>
      <c r="M896" s="432">
        <f>M$1397</f>
        <v>2018</v>
      </c>
      <c r="N896" s="398"/>
      <c r="O896" s="20"/>
      <c r="P896" s="185" t="s">
        <v>237</v>
      </c>
      <c r="Q896" s="422"/>
      <c r="R896" s="422"/>
      <c r="S896" s="422"/>
      <c r="T896" s="8"/>
    </row>
    <row r="897" spans="1:20" s="701" customFormat="1" x14ac:dyDescent="0.2">
      <c r="A897" s="422"/>
      <c r="B897" s="398"/>
      <c r="C897" s="398"/>
      <c r="D897" s="398"/>
      <c r="E897" s="658" t="str">
        <f>Translations!$B$1236</f>
        <v>Zgłoszony HPD (historyczny poziom działalności)</v>
      </c>
      <c r="F897" s="659"/>
      <c r="G897" s="660"/>
      <c r="H897" s="654" t="str">
        <f>IF(ISNUMBER(K892),INDEX(EUconst_BMlistUnits,K892),EUconst_Tons)</f>
        <v>tony</v>
      </c>
      <c r="I897" s="536" t="str">
        <f>IF($I889="","",SUMIF(F_ProductBM!$P$11:$P$1876,$P897,F_ProductBM!I$11:I$1876))</f>
        <v/>
      </c>
      <c r="J897" s="536" t="str">
        <f>IF($I889="","",SUMIF(F_ProductBM!$P$11:$P$1876,$P897,F_ProductBM!J$11:J$1876))</f>
        <v/>
      </c>
      <c r="K897" s="536" t="str">
        <f>IF($I889="","",SUMIF(F_ProductBM!$P$11:$P$1876,$P897,F_ProductBM!K$11:K$1876))</f>
        <v/>
      </c>
      <c r="L897" s="536" t="str">
        <f>IF($I889="","",SUMIF(F_ProductBM!$P$11:$P$1876,$P897,F_ProductBM!L$11:L$1876))</f>
        <v/>
      </c>
      <c r="M897" s="536" t="str">
        <f>IF($I889="","",SUMIF(F_ProductBM!$P$11:$P$1876,$P897,F_ProductBM!M$11:M$1876))</f>
        <v/>
      </c>
      <c r="N897" s="651" t="str">
        <f>Translations!$B$1224</f>
        <v>Średnia</v>
      </c>
      <c r="O897" s="20"/>
      <c r="P897" s="185" t="str">
        <f>EUconst_CNTR_HAL&amp;I889</f>
        <v>HAL_</v>
      </c>
      <c r="Q897" s="422"/>
      <c r="R897" s="422"/>
      <c r="S897" s="422"/>
      <c r="T897" s="8"/>
    </row>
    <row r="898" spans="1:20" s="701" customFormat="1" x14ac:dyDescent="0.2">
      <c r="A898" s="422"/>
      <c r="B898" s="398"/>
      <c r="C898" s="398"/>
      <c r="D898" s="398"/>
      <c r="E898" s="658" t="str">
        <f>Translations!$B$1237</f>
        <v>Wartości wykorzystywane do obliczania zgłoszonego HPD:</v>
      </c>
      <c r="F898" s="659"/>
      <c r="G898" s="660"/>
      <c r="H898" s="654" t="str">
        <f>H897</f>
        <v>tony</v>
      </c>
      <c r="I898" s="536" t="str">
        <f>IF($I889="","",INDEX(F_ProductBM!S$11:S$1876,MATCH($P898,F_ProductBM!$P$11:$P$1876,0)))</f>
        <v/>
      </c>
      <c r="J898" s="536" t="str">
        <f>IF($I889="","",INDEX(F_ProductBM!T$11:T$1876,MATCH($P898,F_ProductBM!$P$11:$P$1876,0)))</f>
        <v/>
      </c>
      <c r="K898" s="536" t="str">
        <f>IF($I889="","",INDEX(F_ProductBM!U$11:U$1876,MATCH($P898,F_ProductBM!$P$11:$P$1876,0)))</f>
        <v/>
      </c>
      <c r="L898" s="536" t="str">
        <f>IF($I889="","",INDEX(F_ProductBM!V$11:V$1876,MATCH($P898,F_ProductBM!$P$11:$P$1876,0)))</f>
        <v/>
      </c>
      <c r="M898" s="536" t="str">
        <f>IF($I889="","",INDEX(F_ProductBM!W$11:W$1876,MATCH($P898,F_ProductBM!$P$11:$P$1876,0)))</f>
        <v/>
      </c>
      <c r="N898" s="536" t="str">
        <f>IF(OR($I889="",$L892=TRUE),"",IF(COUNT($I898:$M898)&gt;0,AVERAGE($I898:$M898),""))</f>
        <v/>
      </c>
      <c r="O898" s="20"/>
      <c r="P898" s="185" t="str">
        <f>EUconst_CNTR_HAL&amp;I889</f>
        <v>HAL_</v>
      </c>
      <c r="Q898" s="422"/>
      <c r="R898" s="1013" t="s">
        <v>630</v>
      </c>
      <c r="S898" s="1013" t="s">
        <v>631</v>
      </c>
      <c r="T898" s="1013" t="s">
        <v>632</v>
      </c>
    </row>
    <row r="899" spans="1:20" s="701" customFormat="1" ht="13.5" thickBot="1" x14ac:dyDescent="0.25">
      <c r="A899" s="422"/>
      <c r="B899" s="398"/>
      <c r="C899" s="398"/>
      <c r="D899" s="398"/>
      <c r="E899" s="874"/>
      <c r="F899" s="874"/>
      <c r="G899" s="874"/>
      <c r="H899" s="874"/>
      <c r="I899" s="874"/>
      <c r="J899" s="874"/>
      <c r="K899" s="874"/>
      <c r="L899" s="874"/>
      <c r="O899" s="20"/>
      <c r="P899" s="422"/>
      <c r="Q899" s="422"/>
      <c r="R899" s="422"/>
      <c r="S899" s="422"/>
      <c r="T899" s="8"/>
    </row>
    <row r="900" spans="1:20" s="701" customFormat="1" ht="13.5" thickBot="1" x14ac:dyDescent="0.25">
      <c r="A900" s="422"/>
      <c r="B900" s="398"/>
      <c r="D900" s="398"/>
      <c r="E900" s="874"/>
      <c r="F900" s="823" t="s">
        <v>520</v>
      </c>
      <c r="G900" s="824"/>
      <c r="I900" s="823" t="str">
        <f>Translations!$B$1226</f>
        <v>Wst. przydział rok 1 (min.)</v>
      </c>
      <c r="J900" s="824"/>
      <c r="K900" s="823" t="str">
        <f>Translations!$B$1229</f>
        <v>Wst. przydział rok 1 (maks.)</v>
      </c>
      <c r="L900" s="824"/>
      <c r="M900" s="823" t="str">
        <f>Translations!$B$1231</f>
        <v>Wst. przydział rok 1 (faktyczny)</v>
      </c>
      <c r="N900" s="824"/>
      <c r="O900" s="20"/>
      <c r="P900" s="185" t="str">
        <f>EUconst_AllocPrelim&amp;I889</f>
        <v>AllocPrelim_</v>
      </c>
      <c r="Q900" s="422"/>
      <c r="R900" s="982" t="str">
        <f>IF(I901="","",IF(S892=0,0,SUM(I901)/S892))</f>
        <v/>
      </c>
      <c r="S900" s="982" t="str">
        <f>IF(K901="","",IF(S892=0,0,SUM(K901)/S892))</f>
        <v/>
      </c>
      <c r="T900" s="982" t="str">
        <f>T889</f>
        <v/>
      </c>
    </row>
    <row r="901" spans="1:20" s="701" customFormat="1" ht="13.5" thickBot="1" x14ac:dyDescent="0.25">
      <c r="A901" s="422"/>
      <c r="B901" s="398"/>
      <c r="E901" s="874"/>
      <c r="F901" s="662" t="str">
        <f>IF(I889="","",MAX(0, IF(L892=TRUE, SUM(L894), SUM(N898))))</f>
        <v/>
      </c>
      <c r="G901" s="663" t="str">
        <f>H897&amp;" / "&amp;EUconst_Year</f>
        <v>tony / rok</v>
      </c>
      <c r="I901" s="820" t="str">
        <f>IF(I889="","",ROUND((SUM(M892)*SUM(F901)*SUM(I894)*SUM(K894)-SUM(G894)-SUM(H894)+SUM(J894))*SUM(S892),0))</f>
        <v/>
      </c>
      <c r="J901" s="966" t="str">
        <f>EUconst_EUApa</f>
        <v>Uprawnienia do emisji ogólnych / rok</v>
      </c>
      <c r="K901" s="820" t="str">
        <f>IF(I889="","",ROUND((SUM(M893)*SUM(F901)*SUM(I894)*SUM(K894)-SUM(G894)-SUM(H894)+SUM(J894))*SUM(S892),0))</f>
        <v/>
      </c>
      <c r="L901" s="966" t="str">
        <f>EUconst_EUApa</f>
        <v>Uprawnienia do emisji ogólnych / rok</v>
      </c>
      <c r="M901" s="820" t="str">
        <f>IF(OR(I889="",M894=""),"",ROUND((SUM(M894)*SUM(F901)*SUM(I894)*SUM(K894)-SUM(G894)-SUM(H894)+SUM(J894))*SUM(S892),0))</f>
        <v/>
      </c>
      <c r="N901" s="966" t="str">
        <f>EUconst_EUApa</f>
        <v>Uprawnienia do emisji ogólnych / rok</v>
      </c>
      <c r="O901" s="20"/>
      <c r="P901" s="185" t="str">
        <f>EUconst_HALsum &amp; I889</f>
        <v>HALsum_</v>
      </c>
      <c r="Q901" s="422"/>
      <c r="R901" s="422"/>
      <c r="S901" s="422"/>
      <c r="T901" s="8"/>
    </row>
    <row r="902" spans="1:20" s="701" customFormat="1" x14ac:dyDescent="0.2">
      <c r="A902" s="422"/>
      <c r="B902" s="398"/>
      <c r="C902" s="398"/>
      <c r="E902" s="425"/>
      <c r="F902" s="398"/>
      <c r="G902" s="398"/>
      <c r="H902" s="398"/>
      <c r="I902" s="398"/>
      <c r="J902" s="398"/>
      <c r="K902" s="398"/>
      <c r="L902" s="398"/>
      <c r="M902" s="398"/>
      <c r="N902" s="398"/>
      <c r="O902" s="20"/>
      <c r="P902" s="422"/>
      <c r="Q902" s="422"/>
      <c r="R902" s="422"/>
      <c r="S902" s="422"/>
      <c r="T902" s="8"/>
    </row>
    <row r="903" spans="1:20" s="701" customFormat="1" x14ac:dyDescent="0.2">
      <c r="A903" s="422"/>
      <c r="B903" s="398"/>
      <c r="C903" s="398"/>
      <c r="D903" s="398"/>
      <c r="E903" s="516"/>
      <c r="F903" s="831"/>
      <c r="G903" s="831"/>
      <c r="H903" s="831"/>
      <c r="I903" s="831"/>
      <c r="J903" s="831"/>
      <c r="K903" s="831"/>
      <c r="L903" s="831"/>
      <c r="M903" s="831"/>
      <c r="N903" s="831"/>
      <c r="O903" s="20"/>
      <c r="P903" s="422"/>
      <c r="Q903" s="422"/>
      <c r="R903" s="422"/>
      <c r="S903" s="422"/>
      <c r="T903" s="8"/>
    </row>
    <row r="904" spans="1:20" s="701" customFormat="1" ht="13.5" thickBot="1" x14ac:dyDescent="0.25">
      <c r="A904" s="422"/>
      <c r="B904" s="398"/>
      <c r="C904" s="398"/>
      <c r="D904" s="398"/>
      <c r="E904" s="516"/>
      <c r="F904" s="831"/>
      <c r="G904" s="831"/>
      <c r="H904" s="515" t="str">
        <f>EUconst_Unit</f>
        <v>Jednostka</v>
      </c>
      <c r="I904" s="1011">
        <f>I$1397</f>
        <v>2014</v>
      </c>
      <c r="J904" s="451">
        <f>J$1397</f>
        <v>2015</v>
      </c>
      <c r="K904" s="451">
        <f>K$1397</f>
        <v>2016</v>
      </c>
      <c r="L904" s="451">
        <f>L$1397</f>
        <v>2017</v>
      </c>
      <c r="M904" s="451">
        <f>M$1397</f>
        <v>2018</v>
      </c>
      <c r="N904" s="831"/>
      <c r="O904" s="20"/>
      <c r="P904" s="422"/>
      <c r="Q904" s="422"/>
      <c r="R904" s="422"/>
      <c r="S904" s="422"/>
      <c r="T904" s="8"/>
    </row>
    <row r="905" spans="1:20" s="701" customFormat="1" ht="13.5" thickBot="1" x14ac:dyDescent="0.25">
      <c r="A905" s="422"/>
      <c r="B905" s="398"/>
      <c r="C905" s="398"/>
      <c r="D905" s="398"/>
      <c r="E905" s="1876" t="str">
        <f>Translations!$B$1238</f>
        <v>Całkowite przypisane emisje</v>
      </c>
      <c r="F905" s="1876"/>
      <c r="G905" s="1876"/>
      <c r="H905" s="968" t="str">
        <f>EUconst_tCO2epa</f>
        <v>t CO2e/rok</v>
      </c>
      <c r="I905" s="1000" t="str">
        <f>INDEX(I$93:I$109,MATCH($I889,$E$93:$E$109,0))</f>
        <v/>
      </c>
      <c r="J905" s="1001" t="str">
        <f>INDEX(J$93:J$109,MATCH($I889,$E$93:$E$109,0))</f>
        <v/>
      </c>
      <c r="K905" s="1001" t="str">
        <f>INDEX(K$93:K$109,MATCH($I889,$E$93:$E$109,0))</f>
        <v/>
      </c>
      <c r="L905" s="1001" t="str">
        <f>INDEX(L$93:L$109,MATCH($I889,$E$93:$E$109,0))</f>
        <v/>
      </c>
      <c r="M905" s="1002" t="str">
        <f>INDEX(M$93:M$109,MATCH($I889,$E$93:$E$109,0))</f>
        <v/>
      </c>
      <c r="N905" s="831"/>
      <c r="O905" s="20"/>
      <c r="P905" s="422"/>
      <c r="Q905" s="422"/>
      <c r="R905" s="422"/>
      <c r="S905" s="422"/>
      <c r="T905" s="8"/>
    </row>
    <row r="906" spans="1:20" s="701" customFormat="1" x14ac:dyDescent="0.2">
      <c r="A906" s="422"/>
      <c r="B906" s="398"/>
      <c r="C906" s="398"/>
      <c r="D906" s="398"/>
      <c r="E906" s="516"/>
      <c r="F906" s="516"/>
      <c r="G906" s="516"/>
      <c r="H906" s="516"/>
      <c r="I906" s="1003"/>
      <c r="J906" s="1003"/>
      <c r="K906" s="1003"/>
      <c r="L906" s="1003"/>
      <c r="M906" s="1003"/>
      <c r="N906" s="516"/>
      <c r="O906" s="20"/>
      <c r="P906" s="422"/>
      <c r="Q906" s="422"/>
      <c r="R906" s="422"/>
      <c r="S906" s="422"/>
      <c r="T906" s="8"/>
    </row>
    <row r="907" spans="1:20" s="701" customFormat="1" x14ac:dyDescent="0.2">
      <c r="A907" s="422"/>
      <c r="B907" s="398"/>
      <c r="C907" s="398"/>
      <c r="D907" s="398"/>
      <c r="E907" s="1766" t="str">
        <f>Translations!$B$731</f>
        <v>Wsad paliwa</v>
      </c>
      <c r="F907" s="1767"/>
      <c r="G907" s="1767"/>
      <c r="H907" s="454" t="str">
        <f>EUconst_TJpa</f>
        <v>TJ / rok</v>
      </c>
      <c r="I907" s="1004" t="str">
        <f>IF($I889="","",IF(INDEX(F_ProductBM!I:I,MATCH($P907,F_ProductBM!$P:$P,0))="","",INDEX(F_ProductBM!I:I,MATCH($P907,F_ProductBM!$P:$P,0))))</f>
        <v/>
      </c>
      <c r="J907" s="1004" t="str">
        <f>IF($I889="","",IF(INDEX(F_ProductBM!J:J,MATCH($P907,F_ProductBM!$P:$P,0))="","",INDEX(F_ProductBM!J:J,MATCH($P907,F_ProductBM!$P:$P,0))))</f>
        <v/>
      </c>
      <c r="K907" s="1004" t="str">
        <f>IF($I889="","",IF(INDEX(F_ProductBM!K:K,MATCH($P907,F_ProductBM!$P:$P,0))="","",INDEX(F_ProductBM!K:K,MATCH($P907,F_ProductBM!$P:$P,0))))</f>
        <v/>
      </c>
      <c r="L907" s="1004" t="str">
        <f>IF($I889="","",IF(INDEX(F_ProductBM!L:L,MATCH($P907,F_ProductBM!$P:$P,0))="","",INDEX(F_ProductBM!L:L,MATCH($P907,F_ProductBM!$P:$P,0))))</f>
        <v/>
      </c>
      <c r="M907" s="1004" t="str">
        <f>IF($I889="","",IF(INDEX(F_ProductBM!M:M,MATCH($P907,F_ProductBM!$P:$P,0))="","",INDEX(F_ProductBM!M:M,MATCH($P907,F_ProductBM!$P:$P,0))))</f>
        <v/>
      </c>
      <c r="N907" s="831"/>
      <c r="O907" s="20"/>
      <c r="P907" s="830" t="str">
        <f>EUconst_CNTR_FuelInput &amp; I889</f>
        <v>FuelInput_</v>
      </c>
      <c r="Q907" s="422"/>
      <c r="R907" s="422"/>
      <c r="S907" s="422"/>
      <c r="T907" s="8"/>
    </row>
    <row r="908" spans="1:20" s="701" customFormat="1" x14ac:dyDescent="0.2">
      <c r="A908" s="422"/>
      <c r="B908" s="398"/>
      <c r="C908" s="398"/>
      <c r="D908" s="398"/>
      <c r="E908" s="1743" t="str">
        <f>Translations!$B$732</f>
        <v>Ważony współczynnik emisji</v>
      </c>
      <c r="F908" s="1744"/>
      <c r="G908" s="1744"/>
      <c r="H908" s="473" t="str">
        <f>EUconst_tCO2pTJ</f>
        <v>t CO2 / TJ</v>
      </c>
      <c r="I908" s="1005" t="str">
        <f>IF($I889="","",IF(INDEX(F_ProductBM!I:I,MATCH($P908,F_ProductBM!$P:$P,0))="","",INDEX(F_ProductBM!I:I,MATCH($P908,F_ProductBM!$P:$P,0))))</f>
        <v/>
      </c>
      <c r="J908" s="1005" t="str">
        <f>IF($I889="","",IF(INDEX(F_ProductBM!J:J,MATCH($P908,F_ProductBM!$P:$P,0))="","",INDEX(F_ProductBM!J:J,MATCH($P908,F_ProductBM!$P:$P,0))))</f>
        <v/>
      </c>
      <c r="K908" s="1005" t="str">
        <f>IF($I889="","",IF(INDEX(F_ProductBM!K:K,MATCH($P908,F_ProductBM!$P:$P,0))="","",INDEX(F_ProductBM!K:K,MATCH($P908,F_ProductBM!$P:$P,0))))</f>
        <v/>
      </c>
      <c r="L908" s="1005" t="str">
        <f>IF($I889="","",IF(INDEX(F_ProductBM!L:L,MATCH($P908,F_ProductBM!$P:$P,0))="","",INDEX(F_ProductBM!L:L,MATCH($P908,F_ProductBM!$P:$P,0))))</f>
        <v/>
      </c>
      <c r="M908" s="1005" t="str">
        <f>IF($I889="","",IF(INDEX(F_ProductBM!M:M,MATCH($P908,F_ProductBM!$P:$P,0))="","",INDEX(F_ProductBM!M:M,MATCH($P908,F_ProductBM!$P:$P,0))))</f>
        <v/>
      </c>
      <c r="N908" s="831"/>
      <c r="O908" s="20"/>
      <c r="P908" s="351" t="str">
        <f>EUconst_CNTR_FuelEF &amp; I889</f>
        <v>FuelEF_</v>
      </c>
      <c r="Q908" s="422"/>
      <c r="R908" s="422"/>
      <c r="S908" s="422"/>
      <c r="T908" s="8"/>
    </row>
    <row r="909" spans="1:20" s="701" customFormat="1" x14ac:dyDescent="0.2">
      <c r="A909" s="422"/>
      <c r="B909" s="398"/>
      <c r="C909" s="398"/>
      <c r="E909" s="516"/>
      <c r="F909" s="831"/>
      <c r="G909" s="831"/>
      <c r="H909" s="831"/>
      <c r="I909" s="1006"/>
      <c r="J909" s="1006"/>
      <c r="K909" s="1006"/>
      <c r="L909" s="1006"/>
      <c r="M909" s="1006"/>
      <c r="N909" s="831"/>
      <c r="O909" s="20"/>
      <c r="P909" s="422"/>
      <c r="Q909" s="422"/>
      <c r="R909" s="422"/>
      <c r="S909" s="422"/>
      <c r="T909" s="8"/>
    </row>
    <row r="910" spans="1:20" s="701" customFormat="1" x14ac:dyDescent="0.2">
      <c r="A910" s="422"/>
      <c r="B910" s="398"/>
      <c r="C910" s="398"/>
      <c r="E910" s="1739" t="str">
        <f>Translations!$B$687</f>
        <v>Emisje bezpośrednie</v>
      </c>
      <c r="F910" s="1740"/>
      <c r="G910" s="1740"/>
      <c r="H910" s="453" t="str">
        <f>EUconst_tCO2pa</f>
        <v>t CO2 / rok</v>
      </c>
      <c r="I910" s="1007" t="str">
        <f>IF($I889="","",IF(INDEX(F_ProductBM!I:I,MATCH($P910,F_ProductBM!$P:$P,0))="","",INDEX(F_ProductBM!I:I,MATCH($P910,F_ProductBM!$P:$P,0))))</f>
        <v/>
      </c>
      <c r="J910" s="1007" t="str">
        <f>IF($I889="","",IF(INDEX(F_ProductBM!J:J,MATCH($P910,F_ProductBM!$P:$P,0))="","",INDEX(F_ProductBM!J:J,MATCH($P910,F_ProductBM!$P:$P,0))))</f>
        <v/>
      </c>
      <c r="K910" s="1007" t="str">
        <f>IF($I889="","",IF(INDEX(F_ProductBM!K:K,MATCH($P910,F_ProductBM!$P:$P,0))="","",INDEX(F_ProductBM!K:K,MATCH($P910,F_ProductBM!$P:$P,0))))</f>
        <v/>
      </c>
      <c r="L910" s="1007" t="str">
        <f>IF($I889="","",IF(INDEX(F_ProductBM!L:L,MATCH($P910,F_ProductBM!$P:$P,0))="","",INDEX(F_ProductBM!L:L,MATCH($P910,F_ProductBM!$P:$P,0))))</f>
        <v/>
      </c>
      <c r="M910" s="1007" t="str">
        <f>IF($I889="","",IF(INDEX(F_ProductBM!M:M,MATCH($P910,F_ProductBM!$P:$P,0))="","",INDEX(F_ProductBM!M:M,MATCH($P910,F_ProductBM!$P:$P,0))))</f>
        <v/>
      </c>
      <c r="N910" s="831"/>
      <c r="O910" s="20"/>
      <c r="P910" s="351" t="str">
        <f>EUconst_CNTR_Emissions &amp; I889</f>
        <v>DirEmissions_</v>
      </c>
      <c r="Q910" s="422"/>
      <c r="R910" s="422"/>
      <c r="S910" s="422"/>
      <c r="T910" s="8"/>
    </row>
    <row r="911" spans="1:20" s="701" customFormat="1" x14ac:dyDescent="0.2">
      <c r="A911" s="422"/>
      <c r="B911" s="398"/>
      <c r="C911" s="398"/>
      <c r="E911" s="1974" t="str">
        <f>Translations!$B$742</f>
        <v>Dalsze strumienie materiałów wsadowych – 1:</v>
      </c>
      <c r="F911" s="1974"/>
      <c r="G911" s="1974"/>
      <c r="H911" s="453" t="str">
        <f>EUconst_tCO2pa</f>
        <v>t CO2 / rok</v>
      </c>
      <c r="I911" s="1007" t="str">
        <f>IF($I889="","",IF(INDEX(F_ProductBM!I:I,MATCH($P911,F_ProductBM!$P:$P,0))="","",INDEX(F_ProductBM!I:I,MATCH($P911,F_ProductBM!$P:$P,0))))</f>
        <v/>
      </c>
      <c r="J911" s="1007" t="str">
        <f>IF($I889="","",IF(INDEX(F_ProductBM!J:J,MATCH($P911,F_ProductBM!$P:$P,0))="","",INDEX(F_ProductBM!J:J,MATCH($P911,F_ProductBM!$P:$P,0))))</f>
        <v/>
      </c>
      <c r="K911" s="1007" t="str">
        <f>IF($I889="","",IF(INDEX(F_ProductBM!K:K,MATCH($P911,F_ProductBM!$P:$P,0))="","",INDEX(F_ProductBM!K:K,MATCH($P911,F_ProductBM!$P:$P,0))))</f>
        <v/>
      </c>
      <c r="L911" s="1007" t="str">
        <f>IF($I889="","",IF(INDEX(F_ProductBM!L:L,MATCH($P911,F_ProductBM!$P:$P,0))="","",INDEX(F_ProductBM!L:L,MATCH($P911,F_ProductBM!$P:$P,0))))</f>
        <v/>
      </c>
      <c r="M911" s="1007" t="str">
        <f>IF($I889="","",IF(INDEX(F_ProductBM!M:M,MATCH($P911,F_ProductBM!$P:$P,0))="","",INDEX(F_ProductBM!M:M,MATCH($P911,F_ProductBM!$P:$P,0))))</f>
        <v/>
      </c>
      <c r="N911" s="831"/>
      <c r="O911" s="20"/>
      <c r="P911" s="351" t="str">
        <f>EUconst_CNTR_EmissionsIntSource1 &amp; I889</f>
        <v>EmInternalSource1_</v>
      </c>
      <c r="Q911" s="422"/>
      <c r="R911" s="422"/>
      <c r="S911" s="422"/>
      <c r="T911" s="8"/>
    </row>
    <row r="912" spans="1:20" s="701" customFormat="1" x14ac:dyDescent="0.2">
      <c r="A912" s="422"/>
      <c r="B912" s="398"/>
      <c r="C912" s="398"/>
      <c r="E912" s="1974" t="str">
        <f>Translations!$B$752</f>
        <v>Dalsze strumienie materiałów wsadowych – 2:</v>
      </c>
      <c r="F912" s="1974"/>
      <c r="G912" s="1974"/>
      <c r="H912" s="453" t="str">
        <f>EUconst_tCO2pa</f>
        <v>t CO2 / rok</v>
      </c>
      <c r="I912" s="1007" t="str">
        <f>IF($I889="","",IF(INDEX(F_ProductBM!I:I,MATCH($P912,F_ProductBM!$P:$P,0))="","",INDEX(F_ProductBM!I:I,MATCH($P912,F_ProductBM!$P:$P,0))))</f>
        <v/>
      </c>
      <c r="J912" s="1007" t="str">
        <f>IF($I889="","",IF(INDEX(F_ProductBM!J:J,MATCH($P912,F_ProductBM!$P:$P,0))="","",INDEX(F_ProductBM!J:J,MATCH($P912,F_ProductBM!$P:$P,0))))</f>
        <v/>
      </c>
      <c r="K912" s="1007" t="str">
        <f>IF($I889="","",IF(INDEX(F_ProductBM!K:K,MATCH($P912,F_ProductBM!$P:$P,0))="","",INDEX(F_ProductBM!K:K,MATCH($P912,F_ProductBM!$P:$P,0))))</f>
        <v/>
      </c>
      <c r="L912" s="1007" t="str">
        <f>IF($I889="","",IF(INDEX(F_ProductBM!L:L,MATCH($P912,F_ProductBM!$P:$P,0))="","",INDEX(F_ProductBM!L:L,MATCH($P912,F_ProductBM!$P:$P,0))))</f>
        <v/>
      </c>
      <c r="M912" s="1007" t="str">
        <f>IF($I889="","",IF(INDEX(F_ProductBM!M:M,MATCH($P912,F_ProductBM!$P:$P,0))="","",INDEX(F_ProductBM!M:M,MATCH($P912,F_ProductBM!$P:$P,0))))</f>
        <v/>
      </c>
      <c r="N912" s="831"/>
      <c r="O912" s="20"/>
      <c r="P912" s="351" t="str">
        <f>EUconst_CNTR_EmissionsIntSource2 &amp; I889</f>
        <v>EmInternalSource2_</v>
      </c>
      <c r="Q912" s="422"/>
      <c r="R912" s="422"/>
      <c r="S912" s="422"/>
      <c r="T912" s="8"/>
    </row>
    <row r="913" spans="1:20" s="701" customFormat="1" x14ac:dyDescent="0.2">
      <c r="A913" s="422"/>
      <c r="B913" s="398"/>
      <c r="C913" s="398"/>
      <c r="D913" s="398"/>
      <c r="E913" s="1739" t="str">
        <f>Translations!$B$756</f>
        <v>Wprowadzone lub wyprowadzone gazy cieplarniane</v>
      </c>
      <c r="F913" s="1740"/>
      <c r="G913" s="1740"/>
      <c r="H913" s="453" t="str">
        <f>EUconst_tCO2epa</f>
        <v>t CO2e/rok</v>
      </c>
      <c r="I913" s="1007" t="str">
        <f>IF($I889="","",IF(INDEX(F_ProductBM!I:I,MATCH($P913,F_ProductBM!$P:$P,0))="","",INDEX(F_ProductBM!I:I,MATCH($P913,F_ProductBM!$P:$P,0))))</f>
        <v/>
      </c>
      <c r="J913" s="1007" t="str">
        <f>IF($I889="","",IF(INDEX(F_ProductBM!J:J,MATCH($P913,F_ProductBM!$P:$P,0))="","",INDEX(F_ProductBM!J:J,MATCH($P913,F_ProductBM!$P:$P,0))))</f>
        <v/>
      </c>
      <c r="K913" s="1007" t="str">
        <f>IF($I889="","",IF(INDEX(F_ProductBM!K:K,MATCH($P913,F_ProductBM!$P:$P,0))="","",INDEX(F_ProductBM!K:K,MATCH($P913,F_ProductBM!$P:$P,0))))</f>
        <v/>
      </c>
      <c r="L913" s="1007" t="str">
        <f>IF($I889="","",IF(INDEX(F_ProductBM!L:L,MATCH($P913,F_ProductBM!$P:$P,0))="","",INDEX(F_ProductBM!L:L,MATCH($P913,F_ProductBM!$P:$P,0))))</f>
        <v/>
      </c>
      <c r="M913" s="1007" t="str">
        <f>IF($I889="","",IF(INDEX(F_ProductBM!M:M,MATCH($P913,F_ProductBM!$P:$P,0))="","",INDEX(F_ProductBM!M:M,MATCH($P913,F_ProductBM!$P:$P,0))))</f>
        <v/>
      </c>
      <c r="N913" s="831"/>
      <c r="O913" s="20"/>
      <c r="P913" s="351" t="str">
        <f>EUconst_CNTR_CO2Feedstock &amp; I889</f>
        <v>EmCO2Feedstock_</v>
      </c>
      <c r="Q913" s="422"/>
      <c r="R913" s="422"/>
      <c r="S913" s="422"/>
      <c r="T913" s="8"/>
    </row>
    <row r="914" spans="1:20" s="701" customFormat="1" x14ac:dyDescent="0.2">
      <c r="A914" s="422"/>
      <c r="B914" s="398"/>
      <c r="C914" s="398"/>
      <c r="D914" s="398"/>
      <c r="E914" s="831"/>
      <c r="F914" s="831"/>
      <c r="G914" s="831"/>
      <c r="H914" s="831"/>
      <c r="I914" s="1006"/>
      <c r="J914" s="1006"/>
      <c r="K914" s="1006"/>
      <c r="L914" s="1006"/>
      <c r="M914" s="1006"/>
      <c r="N914" s="831"/>
      <c r="O914" s="20"/>
      <c r="P914" s="422"/>
      <c r="Q914" s="422"/>
      <c r="R914" s="422"/>
      <c r="S914" s="422"/>
      <c r="T914" s="8"/>
    </row>
    <row r="915" spans="1:20" s="701" customFormat="1" x14ac:dyDescent="0.2">
      <c r="A915" s="422"/>
      <c r="B915" s="398"/>
      <c r="C915" s="398"/>
      <c r="D915" s="398"/>
      <c r="E915" s="1766" t="str">
        <f>Translations!$B$764</f>
        <v>Ciepło wprowadzone netto</v>
      </c>
      <c r="F915" s="1767"/>
      <c r="G915" s="1767"/>
      <c r="H915" s="454" t="str">
        <f>EUconst_TJpa</f>
        <v>TJ / rok</v>
      </c>
      <c r="I915" s="1004" t="str">
        <f>IF($I889="","",IF(INDEX(F_ProductBM!I:I,MATCH($P915,F_ProductBM!$P:$P,0))="","",INDEX(F_ProductBM!I:I,MATCH($P915,F_ProductBM!$P:$P,0))))</f>
        <v/>
      </c>
      <c r="J915" s="1004" t="str">
        <f>IF($I889="","",IF(INDEX(F_ProductBM!J:J,MATCH($P915,F_ProductBM!$P:$P,0))="","",INDEX(F_ProductBM!J:J,MATCH($P915,F_ProductBM!$P:$P,0))))</f>
        <v/>
      </c>
      <c r="K915" s="1004" t="str">
        <f>IF($I889="","",IF(INDEX(F_ProductBM!K:K,MATCH($P915,F_ProductBM!$P:$P,0))="","",INDEX(F_ProductBM!K:K,MATCH($P915,F_ProductBM!$P:$P,0))))</f>
        <v/>
      </c>
      <c r="L915" s="1004" t="str">
        <f>IF($I889="","",IF(INDEX(F_ProductBM!L:L,MATCH($P915,F_ProductBM!$P:$P,0))="","",INDEX(F_ProductBM!L:L,MATCH($P915,F_ProductBM!$P:$P,0))))</f>
        <v/>
      </c>
      <c r="M915" s="1004" t="str">
        <f>IF($I889="","",IF(INDEX(F_ProductBM!M:M,MATCH($P915,F_ProductBM!$P:$P,0))="","",INDEX(F_ProductBM!M:M,MATCH($P915,F_ProductBM!$P:$P,0))))</f>
        <v/>
      </c>
      <c r="N915" s="831"/>
      <c r="O915" s="20"/>
      <c r="P915" s="351" t="str">
        <f>EUconst_CNTR_HeatImport &amp; I889</f>
        <v>HeatIm_</v>
      </c>
      <c r="Q915" s="422"/>
      <c r="R915" s="422"/>
      <c r="S915" s="422"/>
      <c r="T915" s="8"/>
    </row>
    <row r="916" spans="1:20" s="701" customFormat="1" x14ac:dyDescent="0.2">
      <c r="A916" s="422"/>
      <c r="B916" s="398"/>
      <c r="C916" s="398"/>
      <c r="D916" s="398"/>
      <c r="E916" s="1743" t="str">
        <f>Translations!$B$765</f>
        <v>Właściwy współczynnik emisji (ciepło wprowadzone)</v>
      </c>
      <c r="F916" s="1744"/>
      <c r="G916" s="1744"/>
      <c r="H916" s="473" t="str">
        <f>EUconst_tCO2pTJ</f>
        <v>t CO2 / TJ</v>
      </c>
      <c r="I916" s="1005" t="str">
        <f>IF($I889="","",IF(INDEX(F_ProductBM!I:I,MATCH($P916,F_ProductBM!$P:$P,0))="","",INDEX(F_ProductBM!I:I,MATCH($P916,F_ProductBM!$P:$P,0))))</f>
        <v/>
      </c>
      <c r="J916" s="1005" t="str">
        <f>IF($I889="","",IF(INDEX(F_ProductBM!J:J,MATCH($P916,F_ProductBM!$P:$P,0))="","",INDEX(F_ProductBM!J:J,MATCH($P916,F_ProductBM!$P:$P,0))))</f>
        <v/>
      </c>
      <c r="K916" s="1005" t="str">
        <f>IF($I889="","",IF(INDEX(F_ProductBM!K:K,MATCH($P916,F_ProductBM!$P:$P,0))="","",INDEX(F_ProductBM!K:K,MATCH($P916,F_ProductBM!$P:$P,0))))</f>
        <v/>
      </c>
      <c r="L916" s="1005" t="str">
        <f>IF($I889="","",IF(INDEX(F_ProductBM!L:L,MATCH($P916,F_ProductBM!$P:$P,0))="","",INDEX(F_ProductBM!L:L,MATCH($P916,F_ProductBM!$P:$P,0))))</f>
        <v/>
      </c>
      <c r="M916" s="1005" t="str">
        <f>IF($I889="","",IF(INDEX(F_ProductBM!M:M,MATCH($P916,F_ProductBM!$P:$P,0))="","",INDEX(F_ProductBM!M:M,MATCH($P916,F_ProductBM!$P:$P,0))))</f>
        <v/>
      </c>
      <c r="N916" s="831"/>
      <c r="O916" s="20"/>
      <c r="P916" s="351" t="str">
        <f>EUconst_CNTR_HeatImportEF &amp; I889</f>
        <v>HeatImEF_</v>
      </c>
      <c r="Q916" s="422"/>
      <c r="R916" s="422"/>
      <c r="S916" s="422"/>
      <c r="T916" s="8"/>
    </row>
    <row r="917" spans="1:20" s="701" customFormat="1" x14ac:dyDescent="0.2">
      <c r="A917" s="422"/>
      <c r="B917" s="398"/>
      <c r="C917" s="398"/>
      <c r="D917" s="398"/>
      <c r="E917" s="516"/>
      <c r="F917" s="831"/>
      <c r="G917" s="831"/>
      <c r="H917" s="831"/>
      <c r="I917" s="1006"/>
      <c r="J917" s="1006"/>
      <c r="K917" s="1006"/>
      <c r="L917" s="1006"/>
      <c r="M917" s="1006"/>
      <c r="N917" s="831"/>
      <c r="O917" s="20"/>
      <c r="P917" s="8"/>
      <c r="Q917" s="422"/>
      <c r="R917" s="422"/>
      <c r="S917" s="422"/>
      <c r="T917" s="8"/>
    </row>
    <row r="918" spans="1:20" s="701" customFormat="1" x14ac:dyDescent="0.2">
      <c r="A918" s="422"/>
      <c r="B918" s="398"/>
      <c r="C918" s="398"/>
      <c r="D918" s="398"/>
      <c r="E918" s="1739" t="str">
        <f>Translations!$B$820</f>
        <v>Ciepło wprowadzone netto z masy celulozowej</v>
      </c>
      <c r="F918" s="1740"/>
      <c r="G918" s="1740"/>
      <c r="H918" s="453" t="str">
        <f>EUconst_TJpa</f>
        <v>TJ / rok</v>
      </c>
      <c r="I918" s="1007" t="str">
        <f>IF($I889="","",IF(INDEX(F_ProductBM!I:I,MATCH($P918,F_ProductBM!$P:$P,0))="","",INDEX(F_ProductBM!I:I,MATCH($P918,F_ProductBM!$P:$P,0))))</f>
        <v/>
      </c>
      <c r="J918" s="1007" t="str">
        <f>IF($I889="","",IF(INDEX(F_ProductBM!J:J,MATCH($P918,F_ProductBM!$P:$P,0))="","",INDEX(F_ProductBM!J:J,MATCH($P918,F_ProductBM!$P:$P,0))))</f>
        <v/>
      </c>
      <c r="K918" s="1007" t="str">
        <f>IF($I889="","",IF(INDEX(F_ProductBM!K:K,MATCH($P918,F_ProductBM!$P:$P,0))="","",INDEX(F_ProductBM!K:K,MATCH($P918,F_ProductBM!$P:$P,0))))</f>
        <v/>
      </c>
      <c r="L918" s="1007" t="str">
        <f>IF($I889="","",IF(INDEX(F_ProductBM!L:L,MATCH($P918,F_ProductBM!$P:$P,0))="","",INDEX(F_ProductBM!L:L,MATCH($P918,F_ProductBM!$P:$P,0))))</f>
        <v/>
      </c>
      <c r="M918" s="1007" t="str">
        <f>IF($I889="","",IF(INDEX(F_ProductBM!M:M,MATCH($P918,F_ProductBM!$P:$P,0))="","",INDEX(F_ProductBM!M:M,MATCH($P918,F_ProductBM!$P:$P,0))))</f>
        <v/>
      </c>
      <c r="N918" s="831"/>
      <c r="O918" s="20"/>
      <c r="P918" s="351" t="str">
        <f>EUconst_CNTR_HeatImportPulp &amp; I889</f>
        <v>HeatImPulp_</v>
      </c>
      <c r="Q918" s="422"/>
      <c r="R918" s="422"/>
      <c r="S918" s="422"/>
      <c r="T918" s="8"/>
    </row>
    <row r="919" spans="1:20" s="701" customFormat="1" x14ac:dyDescent="0.2">
      <c r="A919" s="422"/>
      <c r="B919" s="398"/>
      <c r="C919" s="398"/>
      <c r="D919" s="398"/>
      <c r="E919" s="1739" t="str">
        <f>Translations!$B$768</f>
        <v>Ciepło wprowadzone netto z podinstalacji wytwarzającej kwas azotowy</v>
      </c>
      <c r="F919" s="1740"/>
      <c r="G919" s="1740"/>
      <c r="H919" s="453" t="str">
        <f>EUconst_TJpa</f>
        <v>TJ / rok</v>
      </c>
      <c r="I919" s="1007" t="str">
        <f>IF($I889="","",IF(INDEX(F_ProductBM!I:I,MATCH($P919,F_ProductBM!$P:$P,0))="","",INDEX(F_ProductBM!I:I,MATCH($P919,F_ProductBM!$P:$P,0))))</f>
        <v/>
      </c>
      <c r="J919" s="1007" t="str">
        <f>IF($I889="","",IF(INDEX(F_ProductBM!J:J,MATCH($P919,F_ProductBM!$P:$P,0))="","",INDEX(F_ProductBM!J:J,MATCH($P919,F_ProductBM!$P:$P,0))))</f>
        <v/>
      </c>
      <c r="K919" s="1007" t="str">
        <f>IF($I889="","",IF(INDEX(F_ProductBM!K:K,MATCH($P919,F_ProductBM!$P:$P,0))="","",INDEX(F_ProductBM!K:K,MATCH($P919,F_ProductBM!$P:$P,0))))</f>
        <v/>
      </c>
      <c r="L919" s="1007" t="str">
        <f>IF($I889="","",IF(INDEX(F_ProductBM!L:L,MATCH($P919,F_ProductBM!$P:$P,0))="","",INDEX(F_ProductBM!L:L,MATCH($P919,F_ProductBM!$P:$P,0))))</f>
        <v/>
      </c>
      <c r="M919" s="1007" t="str">
        <f>IF($I889="","",IF(INDEX(F_ProductBM!M:M,MATCH($P919,F_ProductBM!$P:$P,0))="","",INDEX(F_ProductBM!M:M,MATCH($P919,F_ProductBM!$P:$P,0))))</f>
        <v/>
      </c>
      <c r="N919" s="831"/>
      <c r="O919" s="20"/>
      <c r="P919" s="351" t="str">
        <f>EUconst_CNTR_HeatImportNitric &amp; I889</f>
        <v>HeatImNitric_</v>
      </c>
      <c r="Q919" s="422"/>
      <c r="R919" s="422"/>
      <c r="S919" s="422"/>
      <c r="T919" s="8"/>
    </row>
    <row r="920" spans="1:20" s="701" customFormat="1" x14ac:dyDescent="0.2">
      <c r="A920" s="422"/>
      <c r="B920" s="398"/>
      <c r="C920" s="398"/>
      <c r="D920" s="398"/>
      <c r="E920" s="516"/>
      <c r="F920" s="516"/>
      <c r="G920" s="516"/>
      <c r="H920" s="516"/>
      <c r="I920" s="1006"/>
      <c r="J920" s="1006"/>
      <c r="K920" s="1006"/>
      <c r="L920" s="1006"/>
      <c r="M920" s="1006"/>
      <c r="N920" s="831"/>
      <c r="O920" s="20"/>
      <c r="P920" s="8"/>
      <c r="Q920" s="422"/>
      <c r="R920" s="422"/>
      <c r="S920" s="422"/>
      <c r="T920" s="8"/>
    </row>
    <row r="921" spans="1:20" s="701" customFormat="1" x14ac:dyDescent="0.2">
      <c r="A921" s="422"/>
      <c r="B921" s="398"/>
      <c r="C921" s="398"/>
      <c r="D921" s="398"/>
      <c r="E921" s="1766" t="str">
        <f>Translations!$B$770</f>
        <v>Ciepło wyprowadzone netto</v>
      </c>
      <c r="F921" s="1767"/>
      <c r="G921" s="1767"/>
      <c r="H921" s="454" t="str">
        <f>EUconst_TJpa</f>
        <v>TJ / rok</v>
      </c>
      <c r="I921" s="1004" t="str">
        <f>IF($I889="","",IF(INDEX(F_ProductBM!I:I,MATCH($P921,F_ProductBM!$P:$P,0))="","",INDEX(F_ProductBM!I:I,MATCH($P921,F_ProductBM!$P:$P,0))))</f>
        <v/>
      </c>
      <c r="J921" s="1004" t="str">
        <f>IF($I889="","",IF(INDEX(F_ProductBM!J:J,MATCH($P921,F_ProductBM!$P:$P,0))="","",INDEX(F_ProductBM!J:J,MATCH($P921,F_ProductBM!$P:$P,0))))</f>
        <v/>
      </c>
      <c r="K921" s="1004" t="str">
        <f>IF($I889="","",IF(INDEX(F_ProductBM!K:K,MATCH($P921,F_ProductBM!$P:$P,0))="","",INDEX(F_ProductBM!K:K,MATCH($P921,F_ProductBM!$P:$P,0))))</f>
        <v/>
      </c>
      <c r="L921" s="1004" t="str">
        <f>IF($I889="","",IF(INDEX(F_ProductBM!L:L,MATCH($P921,F_ProductBM!$P:$P,0))="","",INDEX(F_ProductBM!L:L,MATCH($P921,F_ProductBM!$P:$P,0))))</f>
        <v/>
      </c>
      <c r="M921" s="1004" t="str">
        <f>IF($I889="","",IF(INDEX(F_ProductBM!M:M,MATCH($P921,F_ProductBM!$P:$P,0))="","",INDEX(F_ProductBM!M:M,MATCH($P921,F_ProductBM!$P:$P,0))))</f>
        <v/>
      </c>
      <c r="N921" s="831"/>
      <c r="O921" s="20"/>
      <c r="P921" s="351" t="str">
        <f>EUconst_CNTR_HeatExport &amp; I889</f>
        <v>HeatEx_</v>
      </c>
      <c r="Q921" s="422"/>
      <c r="R921" s="422"/>
      <c r="S921" s="422"/>
      <c r="T921" s="8"/>
    </row>
    <row r="922" spans="1:20" s="701" customFormat="1" x14ac:dyDescent="0.2">
      <c r="A922" s="422"/>
      <c r="B922" s="398"/>
      <c r="C922" s="398"/>
      <c r="D922" s="398"/>
      <c r="E922" s="1743" t="str">
        <f>Translations!$B$771</f>
        <v>Właściwy współczynnik emisji (ciepło wyprowadzone)</v>
      </c>
      <c r="F922" s="1744"/>
      <c r="G922" s="1744"/>
      <c r="H922" s="473" t="str">
        <f>EUconst_tCO2pTJ</f>
        <v>t CO2 / TJ</v>
      </c>
      <c r="I922" s="1005" t="str">
        <f>IF($I889="","",IF(INDEX(F_ProductBM!I:I,MATCH($P922,F_ProductBM!$P:$P,0))="","",INDEX(F_ProductBM!I:I,MATCH($P922,F_ProductBM!$P:$P,0))))</f>
        <v/>
      </c>
      <c r="J922" s="1005" t="str">
        <f>IF($I889="","",IF(INDEX(F_ProductBM!J:J,MATCH($P922,F_ProductBM!$P:$P,0))="","",INDEX(F_ProductBM!J:J,MATCH($P922,F_ProductBM!$P:$P,0))))</f>
        <v/>
      </c>
      <c r="K922" s="1005" t="str">
        <f>IF($I889="","",IF(INDEX(F_ProductBM!K:K,MATCH($P922,F_ProductBM!$P:$P,0))="","",INDEX(F_ProductBM!K:K,MATCH($P922,F_ProductBM!$P:$P,0))))</f>
        <v/>
      </c>
      <c r="L922" s="1005" t="str">
        <f>IF($I889="","",IF(INDEX(F_ProductBM!L:L,MATCH($P922,F_ProductBM!$P:$P,0))="","",INDEX(F_ProductBM!L:L,MATCH($P922,F_ProductBM!$P:$P,0))))</f>
        <v/>
      </c>
      <c r="M922" s="1005" t="str">
        <f>IF($I889="","",IF(INDEX(F_ProductBM!M:M,MATCH($P922,F_ProductBM!$P:$P,0))="","",INDEX(F_ProductBM!M:M,MATCH($P922,F_ProductBM!$P:$P,0))))</f>
        <v/>
      </c>
      <c r="N922" s="831"/>
      <c r="O922" s="20"/>
      <c r="P922" s="351" t="str">
        <f>EUconst_CNTR_HeatExportEF &amp; I889</f>
        <v>HeatExEF_</v>
      </c>
      <c r="Q922" s="422"/>
      <c r="R922" s="422"/>
      <c r="S922" s="422"/>
      <c r="T922" s="8"/>
    </row>
    <row r="923" spans="1:20" s="701" customFormat="1" x14ac:dyDescent="0.2">
      <c r="A923" s="422"/>
      <c r="B923" s="398"/>
      <c r="C923" s="398"/>
      <c r="D923" s="398"/>
      <c r="E923" s="516"/>
      <c r="F923" s="516"/>
      <c r="G923" s="516"/>
      <c r="H923" s="516"/>
      <c r="I923" s="1006"/>
      <c r="J923" s="1006"/>
      <c r="K923" s="1006"/>
      <c r="L923" s="1006"/>
      <c r="M923" s="1006"/>
      <c r="N923" s="831"/>
      <c r="O923" s="20"/>
      <c r="P923" s="182"/>
      <c r="Q923" s="422"/>
      <c r="R923" s="422"/>
      <c r="S923" s="422"/>
      <c r="T923" s="8"/>
    </row>
    <row r="924" spans="1:20" s="701" customFormat="1" x14ac:dyDescent="0.2">
      <c r="A924" s="422"/>
      <c r="B924" s="398"/>
      <c r="C924" s="398"/>
      <c r="D924" s="398"/>
      <c r="E924" s="1766" t="str">
        <f>Translations!$B$778</f>
        <v>Gazy odlotowe wytworzone</v>
      </c>
      <c r="F924" s="1767"/>
      <c r="G924" s="1767"/>
      <c r="H924" s="454" t="str">
        <f>EUconst_TJpa</f>
        <v>TJ / rok</v>
      </c>
      <c r="I924" s="1004" t="str">
        <f>IF($I889="","",IF(INDEX(F_ProductBM!I:I,MATCH($P924,F_ProductBM!$P:$P,0))="","",INDEX(F_ProductBM!I:I,MATCH($P924,F_ProductBM!$P:$P,0))))</f>
        <v/>
      </c>
      <c r="J924" s="1004" t="str">
        <f>IF($I889="","",IF(INDEX(F_ProductBM!J:J,MATCH($P924,F_ProductBM!$P:$P,0))="","",INDEX(F_ProductBM!J:J,MATCH($P924,F_ProductBM!$P:$P,0))))</f>
        <v/>
      </c>
      <c r="K924" s="1004" t="str">
        <f>IF($I889="","",IF(INDEX(F_ProductBM!K:K,MATCH($P924,F_ProductBM!$P:$P,0))="","",INDEX(F_ProductBM!K:K,MATCH($P924,F_ProductBM!$P:$P,0))))</f>
        <v/>
      </c>
      <c r="L924" s="1004" t="str">
        <f>IF($I889="","",IF(INDEX(F_ProductBM!L:L,MATCH($P924,F_ProductBM!$P:$P,0))="","",INDEX(F_ProductBM!L:L,MATCH($P924,F_ProductBM!$P:$P,0))))</f>
        <v/>
      </c>
      <c r="M924" s="1004" t="str">
        <f>IF($I889="","",IF(INDEX(F_ProductBM!M:M,MATCH($P924,F_ProductBM!$P:$P,0))="","",INDEX(F_ProductBM!M:M,MATCH($P924,F_ProductBM!$P:$P,0))))</f>
        <v/>
      </c>
      <c r="N924" s="831"/>
      <c r="O924" s="20"/>
      <c r="P924" s="830" t="str">
        <f>EUconst_CNTR_WGProduced &amp; I889</f>
        <v>WasteGasProd_</v>
      </c>
      <c r="Q924" s="422"/>
      <c r="R924" s="422"/>
      <c r="S924" s="422"/>
      <c r="T924" s="8"/>
    </row>
    <row r="925" spans="1:20" s="701" customFormat="1" x14ac:dyDescent="0.2">
      <c r="A925" s="422"/>
      <c r="B925" s="398"/>
      <c r="C925" s="398"/>
      <c r="D925" s="398"/>
      <c r="E925" s="1743" t="str">
        <f>Translations!$B$779</f>
        <v>Właściwy współczynnik emisji (gazy odlotowe wytworzone)</v>
      </c>
      <c r="F925" s="1744"/>
      <c r="G925" s="1744"/>
      <c r="H925" s="473" t="str">
        <f>EUconst_tCO2pTJ</f>
        <v>t CO2 / TJ</v>
      </c>
      <c r="I925" s="1005" t="str">
        <f>IF($I889="","",IF(INDEX(F_ProductBM!I:I,MATCH($P925,F_ProductBM!$P:$P,0))="","",INDEX(F_ProductBM!I:I,MATCH($P925,F_ProductBM!$P:$P,0))))</f>
        <v/>
      </c>
      <c r="J925" s="1005" t="str">
        <f>IF($I889="","",IF(INDEX(F_ProductBM!J:J,MATCH($P925,F_ProductBM!$P:$P,0))="","",INDEX(F_ProductBM!J:J,MATCH($P925,F_ProductBM!$P:$P,0))))</f>
        <v/>
      </c>
      <c r="K925" s="1005" t="str">
        <f>IF($I889="","",IF(INDEX(F_ProductBM!K:K,MATCH($P925,F_ProductBM!$P:$P,0))="","",INDEX(F_ProductBM!K:K,MATCH($P925,F_ProductBM!$P:$P,0))))</f>
        <v/>
      </c>
      <c r="L925" s="1005" t="str">
        <f>IF($I889="","",IF(INDEX(F_ProductBM!L:L,MATCH($P925,F_ProductBM!$P:$P,0))="","",INDEX(F_ProductBM!L:L,MATCH($P925,F_ProductBM!$P:$P,0))))</f>
        <v/>
      </c>
      <c r="M925" s="1005" t="str">
        <f>IF($I889="","",IF(INDEX(F_ProductBM!M:M,MATCH($P925,F_ProductBM!$P:$P,0))="","",INDEX(F_ProductBM!M:M,MATCH($P925,F_ProductBM!$P:$P,0))))</f>
        <v/>
      </c>
      <c r="N925" s="831"/>
      <c r="O925" s="20"/>
      <c r="P925" s="351" t="str">
        <f>EUconst_CNTR_WGProducedEF &amp; I889</f>
        <v>WasteGasProdEF_</v>
      </c>
      <c r="Q925" s="422"/>
      <c r="R925" s="422"/>
      <c r="S925" s="422"/>
      <c r="T925" s="8"/>
    </row>
    <row r="926" spans="1:20" s="701" customFormat="1" x14ac:dyDescent="0.2">
      <c r="A926" s="422"/>
      <c r="B926" s="398"/>
      <c r="C926" s="398"/>
      <c r="D926" s="398"/>
      <c r="E926" s="1766" t="str">
        <f>Translations!$B$783</f>
        <v>Gazy odlotowe zużyte</v>
      </c>
      <c r="F926" s="1767"/>
      <c r="G926" s="1767"/>
      <c r="H926" s="454" t="str">
        <f>EUconst_TJpa</f>
        <v>TJ / rok</v>
      </c>
      <c r="I926" s="1004" t="str">
        <f>IF($I889="","",IF(INDEX(F_ProductBM!I:I,MATCH($P926,F_ProductBM!$P:$P,0))="","",INDEX(F_ProductBM!I:I,MATCH($P926,F_ProductBM!$P:$P,0))))</f>
        <v/>
      </c>
      <c r="J926" s="1004" t="str">
        <f>IF($I889="","",IF(INDEX(F_ProductBM!J:J,MATCH($P926,F_ProductBM!$P:$P,0))="","",INDEX(F_ProductBM!J:J,MATCH($P926,F_ProductBM!$P:$P,0))))</f>
        <v/>
      </c>
      <c r="K926" s="1004" t="str">
        <f>IF($I889="","",IF(INDEX(F_ProductBM!K:K,MATCH($P926,F_ProductBM!$P:$P,0))="","",INDEX(F_ProductBM!K:K,MATCH($P926,F_ProductBM!$P:$P,0))))</f>
        <v/>
      </c>
      <c r="L926" s="1004" t="str">
        <f>IF($I889="","",IF(INDEX(F_ProductBM!L:L,MATCH($P926,F_ProductBM!$P:$P,0))="","",INDEX(F_ProductBM!L:L,MATCH($P926,F_ProductBM!$P:$P,0))))</f>
        <v/>
      </c>
      <c r="M926" s="1004" t="str">
        <f>IF($I889="","",IF(INDEX(F_ProductBM!M:M,MATCH($P926,F_ProductBM!$P:$P,0))="","",INDEX(F_ProductBM!M:M,MATCH($P926,F_ProductBM!$P:$P,0))))</f>
        <v/>
      </c>
      <c r="N926" s="831"/>
      <c r="O926" s="20"/>
      <c r="P926" s="351" t="str">
        <f>EUconst_CNTR_WGConsumed &amp; I889</f>
        <v>WasteGasCons_</v>
      </c>
      <c r="Q926" s="422"/>
      <c r="R926" s="422"/>
      <c r="S926" s="422"/>
      <c r="T926" s="8"/>
    </row>
    <row r="927" spans="1:20" s="701" customFormat="1" x14ac:dyDescent="0.2">
      <c r="A927" s="422"/>
      <c r="B927" s="398"/>
      <c r="C927" s="398"/>
      <c r="D927" s="398"/>
      <c r="E927" s="1743" t="str">
        <f>Translations!$B$784</f>
        <v>Właściwy współczynnik emisji (gazy odlotowe zużyte)</v>
      </c>
      <c r="F927" s="1744"/>
      <c r="G927" s="1744"/>
      <c r="H927" s="473" t="str">
        <f>EUconst_tCO2pTJ</f>
        <v>t CO2 / TJ</v>
      </c>
      <c r="I927" s="1005" t="str">
        <f>IF($I889="","",IF(INDEX(F_ProductBM!I:I,MATCH($P927,F_ProductBM!$P:$P,0))="","",INDEX(F_ProductBM!I:I,MATCH($P927,F_ProductBM!$P:$P,0))))</f>
        <v/>
      </c>
      <c r="J927" s="1005" t="str">
        <f>IF($I889="","",IF(INDEX(F_ProductBM!J:J,MATCH($P927,F_ProductBM!$P:$P,0))="","",INDEX(F_ProductBM!J:J,MATCH($P927,F_ProductBM!$P:$P,0))))</f>
        <v/>
      </c>
      <c r="K927" s="1005" t="str">
        <f>IF($I889="","",IF(INDEX(F_ProductBM!K:K,MATCH($P927,F_ProductBM!$P:$P,0))="","",INDEX(F_ProductBM!K:K,MATCH($P927,F_ProductBM!$P:$P,0))))</f>
        <v/>
      </c>
      <c r="L927" s="1005" t="str">
        <f>IF($I889="","",IF(INDEX(F_ProductBM!L:L,MATCH($P927,F_ProductBM!$P:$P,0))="","",INDEX(F_ProductBM!L:L,MATCH($P927,F_ProductBM!$P:$P,0))))</f>
        <v/>
      </c>
      <c r="M927" s="1005" t="str">
        <f>IF($I889="","",IF(INDEX(F_ProductBM!M:M,MATCH($P927,F_ProductBM!$P:$P,0))="","",INDEX(F_ProductBM!M:M,MATCH($P927,F_ProductBM!$P:$P,0))))</f>
        <v/>
      </c>
      <c r="N927" s="831"/>
      <c r="O927" s="20"/>
      <c r="P927" s="351" t="str">
        <f>EUconst_CNTR_WGConsumedEF &amp; I889</f>
        <v>WasteGasConsEF_</v>
      </c>
      <c r="Q927" s="422"/>
      <c r="R927" s="422"/>
      <c r="S927" s="422"/>
      <c r="T927" s="8"/>
    </row>
    <row r="928" spans="1:20" s="701" customFormat="1" x14ac:dyDescent="0.2">
      <c r="A928" s="422"/>
      <c r="B928" s="398"/>
      <c r="C928" s="398"/>
      <c r="D928" s="398"/>
      <c r="E928" s="1766" t="str">
        <f>Translations!$B$790</f>
        <v>Gazy odlotowe spalone na pochodniach</v>
      </c>
      <c r="F928" s="1767"/>
      <c r="G928" s="1767"/>
      <c r="H928" s="454" t="str">
        <f>EUconst_TJpa</f>
        <v>TJ / rok</v>
      </c>
      <c r="I928" s="1004" t="str">
        <f>IF($I889="","",IF(INDEX(F_ProductBM!I:I,MATCH($P928,F_ProductBM!$P:$P,0))="","",INDEX(F_ProductBM!I:I,MATCH($P928,F_ProductBM!$P:$P,0))))</f>
        <v/>
      </c>
      <c r="J928" s="1004" t="str">
        <f>IF($I889="","",IF(INDEX(F_ProductBM!J:J,MATCH($P928,F_ProductBM!$P:$P,0))="","",INDEX(F_ProductBM!J:J,MATCH($P928,F_ProductBM!$P:$P,0))))</f>
        <v/>
      </c>
      <c r="K928" s="1004" t="str">
        <f>IF($I889="","",IF(INDEX(F_ProductBM!K:K,MATCH($P928,F_ProductBM!$P:$P,0))="","",INDEX(F_ProductBM!K:K,MATCH($P928,F_ProductBM!$P:$P,0))))</f>
        <v/>
      </c>
      <c r="L928" s="1004" t="str">
        <f>IF($I889="","",IF(INDEX(F_ProductBM!L:L,MATCH($P928,F_ProductBM!$P:$P,0))="","",INDEX(F_ProductBM!L:L,MATCH($P928,F_ProductBM!$P:$P,0))))</f>
        <v/>
      </c>
      <c r="M928" s="1004" t="str">
        <f>IF($I889="","",IF(INDEX(F_ProductBM!M:M,MATCH($P928,F_ProductBM!$P:$P,0))="","",INDEX(F_ProductBM!M:M,MATCH($P928,F_ProductBM!$P:$P,0))))</f>
        <v/>
      </c>
      <c r="N928" s="831"/>
      <c r="O928" s="20"/>
      <c r="P928" s="351" t="str">
        <f>EUconst_CNTR_WGFlared &amp; I889</f>
        <v>WasteGasFlare_</v>
      </c>
      <c r="Q928" s="422"/>
      <c r="R928" s="422"/>
      <c r="S928" s="422"/>
      <c r="T928" s="8"/>
    </row>
    <row r="929" spans="1:20" s="701" customFormat="1" x14ac:dyDescent="0.2">
      <c r="A929" s="422"/>
      <c r="B929" s="398"/>
      <c r="C929" s="398"/>
      <c r="D929" s="398"/>
      <c r="E929" s="1743" t="str">
        <f>Translations!$B$791</f>
        <v>Właściwy współczynnik emisji (gazy odlotowe spalone na pochodniach)</v>
      </c>
      <c r="F929" s="1744"/>
      <c r="G929" s="1744"/>
      <c r="H929" s="473" t="str">
        <f>EUconst_tCO2pTJ</f>
        <v>t CO2 / TJ</v>
      </c>
      <c r="I929" s="1005" t="str">
        <f>IF($I889="","",IF(INDEX(F_ProductBM!I:I,MATCH($P929,F_ProductBM!$P:$P,0))="","",INDEX(F_ProductBM!I:I,MATCH($P929,F_ProductBM!$P:$P,0))))</f>
        <v/>
      </c>
      <c r="J929" s="1005" t="str">
        <f>IF($I889="","",IF(INDEX(F_ProductBM!J:J,MATCH($P929,F_ProductBM!$P:$P,0))="","",INDEX(F_ProductBM!J:J,MATCH($P929,F_ProductBM!$P:$P,0))))</f>
        <v/>
      </c>
      <c r="K929" s="1005" t="str">
        <f>IF($I889="","",IF(INDEX(F_ProductBM!K:K,MATCH($P929,F_ProductBM!$P:$P,0))="","",INDEX(F_ProductBM!K:K,MATCH($P929,F_ProductBM!$P:$P,0))))</f>
        <v/>
      </c>
      <c r="L929" s="1005" t="str">
        <f>IF($I889="","",IF(INDEX(F_ProductBM!L:L,MATCH($P929,F_ProductBM!$P:$P,0))="","",INDEX(F_ProductBM!L:L,MATCH($P929,F_ProductBM!$P:$P,0))))</f>
        <v/>
      </c>
      <c r="M929" s="1005" t="str">
        <f>IF($I889="","",IF(INDEX(F_ProductBM!M:M,MATCH($P929,F_ProductBM!$P:$P,0))="","",INDEX(F_ProductBM!M:M,MATCH($P929,F_ProductBM!$P:$P,0))))</f>
        <v/>
      </c>
      <c r="N929" s="831"/>
      <c r="O929" s="20"/>
      <c r="P929" s="351" t="str">
        <f>EUconst_CNTR_WGFlaredEF &amp; I889</f>
        <v>WasteGasFlareEF_</v>
      </c>
      <c r="Q929" s="422"/>
      <c r="R929" s="422"/>
      <c r="S929" s="422"/>
      <c r="T929" s="8"/>
    </row>
    <row r="930" spans="1:20" s="701" customFormat="1" x14ac:dyDescent="0.2">
      <c r="A930" s="422"/>
      <c r="B930" s="398"/>
      <c r="C930" s="398"/>
      <c r="D930" s="398"/>
      <c r="E930" s="1766" t="str">
        <f>Translations!$B$796</f>
        <v>Gazy odlotowe wprowadzone</v>
      </c>
      <c r="F930" s="1767"/>
      <c r="G930" s="1767"/>
      <c r="H930" s="454" t="str">
        <f>EUconst_TJpa</f>
        <v>TJ / rok</v>
      </c>
      <c r="I930" s="1004" t="str">
        <f>IF($I889="","",IF(INDEX(F_ProductBM!I:I,MATCH($P930,F_ProductBM!$P:$P,0))="","",INDEX(F_ProductBM!I:I,MATCH($P930,F_ProductBM!$P:$P,0))))</f>
        <v/>
      </c>
      <c r="J930" s="1004" t="str">
        <f>IF($I889="","",IF(INDEX(F_ProductBM!J:J,MATCH($P930,F_ProductBM!$P:$P,0))="","",INDEX(F_ProductBM!J:J,MATCH($P930,F_ProductBM!$P:$P,0))))</f>
        <v/>
      </c>
      <c r="K930" s="1004" t="str">
        <f>IF($I889="","",IF(INDEX(F_ProductBM!K:K,MATCH($P930,F_ProductBM!$P:$P,0))="","",INDEX(F_ProductBM!K:K,MATCH($P930,F_ProductBM!$P:$P,0))))</f>
        <v/>
      </c>
      <c r="L930" s="1004" t="str">
        <f>IF($I889="","",IF(INDEX(F_ProductBM!L:L,MATCH($P930,F_ProductBM!$P:$P,0))="","",INDEX(F_ProductBM!L:L,MATCH($P930,F_ProductBM!$P:$P,0))))</f>
        <v/>
      </c>
      <c r="M930" s="1004" t="str">
        <f>IF($I889="","",IF(INDEX(F_ProductBM!M:M,MATCH($P930,F_ProductBM!$P:$P,0))="","",INDEX(F_ProductBM!M:M,MATCH($P930,F_ProductBM!$P:$P,0))))</f>
        <v/>
      </c>
      <c r="N930" s="831"/>
      <c r="O930" s="20"/>
      <c r="P930" s="351" t="str">
        <f>EUconst_CNTR_WGImport &amp; I889</f>
        <v>WasteGasIm_</v>
      </c>
      <c r="Q930" s="422"/>
      <c r="R930" s="422"/>
      <c r="S930" s="422"/>
      <c r="T930" s="8"/>
    </row>
    <row r="931" spans="1:20" s="701" customFormat="1" x14ac:dyDescent="0.2">
      <c r="A931" s="422"/>
      <c r="B931" s="398"/>
      <c r="C931" s="398"/>
      <c r="D931" s="398"/>
      <c r="E931" s="1743" t="str">
        <f>Translations!$B$797</f>
        <v>Właściwy współczynnik emisji (gazy odlotowe wprowadzone)</v>
      </c>
      <c r="F931" s="1743"/>
      <c r="G931" s="1743"/>
      <c r="H931" s="832" t="str">
        <f>EUconst_tCO2pTJ</f>
        <v>t CO2 / TJ</v>
      </c>
      <c r="I931" s="1005" t="str">
        <f>IF($I889="","",IF(INDEX(F_ProductBM!I:I,MATCH($P931,F_ProductBM!$P:$P,0))="","",INDEX(F_ProductBM!I:I,MATCH($P931,F_ProductBM!$P:$P,0))))</f>
        <v/>
      </c>
      <c r="J931" s="1005" t="str">
        <f>IF($I889="","",IF(INDEX(F_ProductBM!J:J,MATCH($P931,F_ProductBM!$P:$P,0))="","",INDEX(F_ProductBM!J:J,MATCH($P931,F_ProductBM!$P:$P,0))))</f>
        <v/>
      </c>
      <c r="K931" s="1005" t="str">
        <f>IF($I889="","",IF(INDEX(F_ProductBM!K:K,MATCH($P931,F_ProductBM!$P:$P,0))="","",INDEX(F_ProductBM!K:K,MATCH($P931,F_ProductBM!$P:$P,0))))</f>
        <v/>
      </c>
      <c r="L931" s="1005" t="str">
        <f>IF($I889="","",IF(INDEX(F_ProductBM!L:L,MATCH($P931,F_ProductBM!$P:$P,0))="","",INDEX(F_ProductBM!L:L,MATCH($P931,F_ProductBM!$P:$P,0))))</f>
        <v/>
      </c>
      <c r="M931" s="1005" t="str">
        <f>IF($I889="","",IF(INDEX(F_ProductBM!M:M,MATCH($P931,F_ProductBM!$P:$P,0))="","",INDEX(F_ProductBM!M:M,MATCH($P931,F_ProductBM!$P:$P,0))))</f>
        <v/>
      </c>
      <c r="N931" s="831"/>
      <c r="O931" s="20"/>
      <c r="P931" s="351" t="str">
        <f>EUconst_CNTR_WGImportEF &amp; I889</f>
        <v>WasteGasImEF_</v>
      </c>
      <c r="Q931" s="422"/>
      <c r="R931" s="422"/>
      <c r="S931" s="422"/>
      <c r="T931" s="8"/>
    </row>
    <row r="932" spans="1:20" s="701" customFormat="1" x14ac:dyDescent="0.2">
      <c r="A932" s="422"/>
      <c r="B932" s="398"/>
      <c r="C932" s="398"/>
      <c r="D932" s="398"/>
      <c r="E932" s="1766" t="str">
        <f>Translations!$B$801</f>
        <v>Gazy odlotowe wyprowadzone</v>
      </c>
      <c r="F932" s="1767"/>
      <c r="G932" s="1767"/>
      <c r="H932" s="454" t="str">
        <f>EUconst_TJpa</f>
        <v>TJ / rok</v>
      </c>
      <c r="I932" s="1004" t="str">
        <f>IF($I889="","",IF(INDEX(F_ProductBM!I:I,MATCH($P932,F_ProductBM!$P:$P,0))="","",INDEX(F_ProductBM!I:I,MATCH($P932,F_ProductBM!$P:$P,0))))</f>
        <v/>
      </c>
      <c r="J932" s="1004" t="str">
        <f>IF($I889="","",IF(INDEX(F_ProductBM!J:J,MATCH($P932,F_ProductBM!$P:$P,0))="","",INDEX(F_ProductBM!J:J,MATCH($P932,F_ProductBM!$P:$P,0))))</f>
        <v/>
      </c>
      <c r="K932" s="1004" t="str">
        <f>IF($I889="","",IF(INDEX(F_ProductBM!K:K,MATCH($P932,F_ProductBM!$P:$P,0))="","",INDEX(F_ProductBM!K:K,MATCH($P932,F_ProductBM!$P:$P,0))))</f>
        <v/>
      </c>
      <c r="L932" s="1004" t="str">
        <f>IF($I889="","",IF(INDEX(F_ProductBM!L:L,MATCH($P932,F_ProductBM!$P:$P,0))="","",INDEX(F_ProductBM!L:L,MATCH($P932,F_ProductBM!$P:$P,0))))</f>
        <v/>
      </c>
      <c r="M932" s="1004" t="str">
        <f>IF($I889="","",IF(INDEX(F_ProductBM!M:M,MATCH($P932,F_ProductBM!$P:$P,0))="","",INDEX(F_ProductBM!M:M,MATCH($P932,F_ProductBM!$P:$P,0))))</f>
        <v/>
      </c>
      <c r="N932" s="831"/>
      <c r="O932" s="20"/>
      <c r="P932" s="351" t="str">
        <f>EUconst_CNTR_WGExport &amp; I889</f>
        <v>WasteGasEx_</v>
      </c>
      <c r="Q932" s="422"/>
      <c r="R932" s="422"/>
      <c r="S932" s="422"/>
      <c r="T932" s="8"/>
    </row>
    <row r="933" spans="1:20" s="701" customFormat="1" x14ac:dyDescent="0.2">
      <c r="A933" s="422"/>
      <c r="B933" s="398"/>
      <c r="C933" s="398"/>
      <c r="D933" s="398"/>
      <c r="E933" s="1743" t="str">
        <f>Translations!$B$802</f>
        <v>Właściwy współczynnik emisji (gazy odlotowe wyprowadzone)</v>
      </c>
      <c r="F933" s="1743"/>
      <c r="G933" s="1743"/>
      <c r="H933" s="832" t="str">
        <f>EUconst_tCO2pTJ</f>
        <v>t CO2 / TJ</v>
      </c>
      <c r="I933" s="1005" t="str">
        <f>IF($I889="","",IF(INDEX(F_ProductBM!I:I,MATCH($P933,F_ProductBM!$P:$P,0))="","",INDEX(F_ProductBM!I:I,MATCH($P933,F_ProductBM!$P:$P,0))))</f>
        <v/>
      </c>
      <c r="J933" s="1005" t="str">
        <f>IF($I889="","",IF(INDEX(F_ProductBM!J:J,MATCH($P933,F_ProductBM!$P:$P,0))="","",INDEX(F_ProductBM!J:J,MATCH($P933,F_ProductBM!$P:$P,0))))</f>
        <v/>
      </c>
      <c r="K933" s="1005" t="str">
        <f>IF($I889="","",IF(INDEX(F_ProductBM!K:K,MATCH($P933,F_ProductBM!$P:$P,0))="","",INDEX(F_ProductBM!K:K,MATCH($P933,F_ProductBM!$P:$P,0))))</f>
        <v/>
      </c>
      <c r="L933" s="1005" t="str">
        <f>IF($I889="","",IF(INDEX(F_ProductBM!L:L,MATCH($P933,F_ProductBM!$P:$P,0))="","",INDEX(F_ProductBM!L:L,MATCH($P933,F_ProductBM!$P:$P,0))))</f>
        <v/>
      </c>
      <c r="M933" s="1005" t="str">
        <f>IF($I889="","",IF(INDEX(F_ProductBM!M:M,MATCH($P933,F_ProductBM!$P:$P,0))="","",INDEX(F_ProductBM!M:M,MATCH($P933,F_ProductBM!$P:$P,0))))</f>
        <v/>
      </c>
      <c r="N933" s="831"/>
      <c r="O933" s="20"/>
      <c r="P933" s="351" t="str">
        <f>EUconst_CNTR_WGExportEF &amp; I889</f>
        <v>WasteGasExEF_</v>
      </c>
      <c r="Q933" s="422"/>
      <c r="R933" s="422"/>
      <c r="S933" s="422"/>
      <c r="T933" s="8"/>
    </row>
    <row r="934" spans="1:20" s="701" customFormat="1" x14ac:dyDescent="0.2">
      <c r="A934" s="422"/>
      <c r="B934" s="398"/>
      <c r="C934" s="398"/>
      <c r="D934" s="398"/>
      <c r="E934" s="516"/>
      <c r="F934" s="516"/>
      <c r="G934" s="516"/>
      <c r="H934" s="516"/>
      <c r="I934" s="1006"/>
      <c r="J934" s="1006"/>
      <c r="K934" s="1006"/>
      <c r="L934" s="1006"/>
      <c r="M934" s="1006"/>
      <c r="N934" s="831"/>
      <c r="O934" s="20"/>
      <c r="P934" s="182"/>
      <c r="Q934" s="422"/>
      <c r="R934" s="422"/>
      <c r="S934" s="422"/>
      <c r="T934" s="8"/>
    </row>
    <row r="935" spans="1:20" s="701" customFormat="1" x14ac:dyDescent="0.2">
      <c r="A935" s="422"/>
      <c r="B935" s="398"/>
      <c r="C935" s="398"/>
      <c r="D935" s="398"/>
      <c r="E935" s="1739" t="str">
        <f>Translations!$B$689</f>
        <v>Odpowiednie zużycie energii elektrycznej</v>
      </c>
      <c r="F935" s="1740"/>
      <c r="G935" s="1740"/>
      <c r="H935" s="453" t="str">
        <f>EUconst_MWhpa</f>
        <v>MWh / rok</v>
      </c>
      <c r="I935" s="1007" t="str">
        <f>IF($I889="","",IF(INDEX(F_ProductBM!I:I,MATCH($P935,F_ProductBM!$Q:$Q,0))="","",INDEX(F_ProductBM!I:I,MATCH($P935,F_ProductBM!$Q:$Q,0))))</f>
        <v/>
      </c>
      <c r="J935" s="1007" t="str">
        <f>IF($I889="","",IF(INDEX(F_ProductBM!J:J,MATCH($P935,F_ProductBM!$Q:$Q,0))="","",INDEX(F_ProductBM!J:J,MATCH($P935,F_ProductBM!$Q:$Q,0))))</f>
        <v/>
      </c>
      <c r="K935" s="1007" t="str">
        <f>IF($I889="","",IF(INDEX(F_ProductBM!K:K,MATCH($P935,F_ProductBM!$Q:$Q,0))="","",INDEX(F_ProductBM!K:K,MATCH($P935,F_ProductBM!$Q:$Q,0))))</f>
        <v/>
      </c>
      <c r="L935" s="1007" t="str">
        <f>IF($I889="","",IF(INDEX(F_ProductBM!L:L,MATCH($P935,F_ProductBM!$Q:$Q,0))="","",INDEX(F_ProductBM!L:L,MATCH($P935,F_ProductBM!$Q:$Q,0))))</f>
        <v/>
      </c>
      <c r="M935" s="1007" t="str">
        <f>IF($I889="","",IF(INDEX(F_ProductBM!M:M,MATCH($P935,F_ProductBM!$Q:$Q,0))="","",INDEX(F_ProductBM!M:M,MATCH($P935,F_ProductBM!$Q:$Q,0))))</f>
        <v/>
      </c>
      <c r="N935" s="831"/>
      <c r="O935" s="20"/>
      <c r="P935" s="185" t="str">
        <f>EUconst_CNTR_HAL&amp;EUconst_CNTR_ELEXCH &amp; I889</f>
        <v>HAL_ELEXCH_</v>
      </c>
      <c r="Q935" s="422"/>
      <c r="R935" s="422"/>
      <c r="S935" s="422"/>
      <c r="T935" s="8"/>
    </row>
    <row r="936" spans="1:20" s="701" customFormat="1" x14ac:dyDescent="0.2">
      <c r="A936" s="422"/>
      <c r="B936" s="398"/>
      <c r="C936" s="398"/>
      <c r="D936" s="398"/>
      <c r="E936" s="1739" t="str">
        <f>Translations!$B$805</f>
        <v>Energia elektryczna wytworzona</v>
      </c>
      <c r="F936" s="1740"/>
      <c r="G936" s="1740"/>
      <c r="H936" s="453" t="str">
        <f>EUconst_MWhpa</f>
        <v>MWh / rok</v>
      </c>
      <c r="I936" s="1007" t="str">
        <f>IF($I889="","",IF(INDEX(F_ProductBM!I:I,MATCH($P936,F_ProductBM!$P:$P,0))="","",INDEX(F_ProductBM!I:I,MATCH($P936,F_ProductBM!$P:$P,0))))</f>
        <v/>
      </c>
      <c r="J936" s="1007" t="str">
        <f>IF($I889="","",IF(INDEX(F_ProductBM!J:J,MATCH($P936,F_ProductBM!$P:$P,0))="","",INDEX(F_ProductBM!J:J,MATCH($P936,F_ProductBM!$P:$P,0))))</f>
        <v/>
      </c>
      <c r="K936" s="1007" t="str">
        <f>IF($I889="","",IF(INDEX(F_ProductBM!K:K,MATCH($P936,F_ProductBM!$P:$P,0))="","",INDEX(F_ProductBM!K:K,MATCH($P936,F_ProductBM!$P:$P,0))))</f>
        <v/>
      </c>
      <c r="L936" s="1007" t="str">
        <f>IF($I889="","",IF(INDEX(F_ProductBM!L:L,MATCH($P936,F_ProductBM!$P:$P,0))="","",INDEX(F_ProductBM!L:L,MATCH($P936,F_ProductBM!$P:$P,0))))</f>
        <v/>
      </c>
      <c r="M936" s="1007" t="str">
        <f>IF($I889="","",IF(INDEX(F_ProductBM!M:M,MATCH($P936,F_ProductBM!$P:$P,0))="","",INDEX(F_ProductBM!M:M,MATCH($P936,F_ProductBM!$P:$P,0))))</f>
        <v/>
      </c>
      <c r="N936" s="831"/>
      <c r="O936" s="20"/>
      <c r="P936" s="351" t="str">
        <f>EUconst_CNTR_ElectricityExported &amp; I889</f>
        <v>ElecEx_</v>
      </c>
      <c r="Q936" s="422"/>
      <c r="R936" s="422"/>
      <c r="S936" s="422"/>
      <c r="T936" s="8"/>
    </row>
    <row r="937" spans="1:20" s="701" customFormat="1" x14ac:dyDescent="0.2">
      <c r="A937" s="422"/>
      <c r="B937" s="398"/>
      <c r="C937" s="398"/>
      <c r="D937" s="398"/>
      <c r="E937" s="516"/>
      <c r="F937" s="516"/>
      <c r="G937" s="516"/>
      <c r="H937" s="516"/>
      <c r="I937" s="1006"/>
      <c r="J937" s="1006"/>
      <c r="K937" s="1006"/>
      <c r="L937" s="1006"/>
      <c r="M937" s="1006"/>
      <c r="N937" s="831"/>
      <c r="O937" s="20"/>
      <c r="P937" s="182"/>
      <c r="Q937" s="422"/>
      <c r="R937" s="422"/>
      <c r="S937" s="422"/>
      <c r="T937" s="8"/>
    </row>
    <row r="938" spans="1:20" s="701" customFormat="1" x14ac:dyDescent="0.2">
      <c r="A938" s="422"/>
      <c r="B938" s="398"/>
      <c r="C938" s="398"/>
      <c r="D938" s="398"/>
      <c r="E938" s="1739" t="str">
        <f>Translations!$B$806</f>
        <v>Całkowita ilość wyprodukowanej masy celulozowej</v>
      </c>
      <c r="F938" s="1740"/>
      <c r="G938" s="1740"/>
      <c r="H938" s="453" t="str">
        <f>EUconst_Tons</f>
        <v>tony</v>
      </c>
      <c r="I938" s="1007" t="str">
        <f>IF($I889="","",IF(INDEX(F_ProductBM!I:I,MATCH($P938,F_ProductBM!$P:$P,0))="","",INDEX(F_ProductBM!I:I,MATCH($P938,F_ProductBM!$P:$P,0))))</f>
        <v/>
      </c>
      <c r="J938" s="1007" t="str">
        <f>IF($I889="","",IF(INDEX(F_ProductBM!J:J,MATCH($P938,F_ProductBM!$P:$P,0))="","",INDEX(F_ProductBM!J:J,MATCH($P938,F_ProductBM!$P:$P,0))))</f>
        <v/>
      </c>
      <c r="K938" s="1007" t="str">
        <f>IF($I889="","",IF(INDEX(F_ProductBM!K:K,MATCH($P938,F_ProductBM!$P:$P,0))="","",INDEX(F_ProductBM!K:K,MATCH($P938,F_ProductBM!$P:$P,0))))</f>
        <v/>
      </c>
      <c r="L938" s="1007" t="str">
        <f>IF($I889="","",IF(INDEX(F_ProductBM!L:L,MATCH($P938,F_ProductBM!$P:$P,0))="","",INDEX(F_ProductBM!L:L,MATCH($P938,F_ProductBM!$P:$P,0))))</f>
        <v/>
      </c>
      <c r="M938" s="1007" t="str">
        <f>IF($I889="","",IF(INDEX(F_ProductBM!M:M,MATCH($P938,F_ProductBM!$P:$P,0))="","",INDEX(F_ProductBM!M:M,MATCH($P938,F_ProductBM!$P:$P,0))))</f>
        <v/>
      </c>
      <c r="N938" s="831"/>
      <c r="O938" s="20"/>
      <c r="P938" s="351" t="str">
        <f>EUconst_CNTR_HALPulpTotal &amp; I889</f>
        <v>HALPulpTotal_</v>
      </c>
      <c r="Q938" s="422"/>
      <c r="R938" s="422"/>
      <c r="S938" s="422"/>
      <c r="T938" s="8"/>
    </row>
    <row r="939" spans="1:20" s="701" customFormat="1" x14ac:dyDescent="0.2">
      <c r="A939" s="422"/>
      <c r="B939" s="398"/>
      <c r="C939" s="398"/>
      <c r="D939" s="398"/>
      <c r="E939" s="516"/>
      <c r="F939" s="516"/>
      <c r="G939" s="516"/>
      <c r="H939" s="516"/>
      <c r="I939" s="1006"/>
      <c r="J939" s="1006"/>
      <c r="K939" s="1006"/>
      <c r="L939" s="1006"/>
      <c r="M939" s="1006"/>
      <c r="N939" s="831"/>
      <c r="O939" s="20"/>
      <c r="P939" s="182"/>
      <c r="Q939" s="422"/>
      <c r="R939" s="422"/>
      <c r="S939" s="422"/>
      <c r="T939" s="8"/>
    </row>
    <row r="940" spans="1:20" s="701" customFormat="1" x14ac:dyDescent="0.2">
      <c r="A940" s="422"/>
      <c r="B940" s="398"/>
      <c r="C940" s="398"/>
      <c r="D940" s="398"/>
      <c r="E940" s="1268" t="str">
        <f>Translations!$B$1239</f>
        <v>Wprowadzanie pośrednie:</v>
      </c>
      <c r="F940" s="516"/>
      <c r="G940" s="516"/>
      <c r="H940" s="516"/>
      <c r="I940" s="1006"/>
      <c r="J940" s="1006"/>
      <c r="K940" s="1006"/>
      <c r="L940" s="1006"/>
      <c r="M940" s="1006"/>
      <c r="N940" s="831"/>
      <c r="O940" s="20"/>
      <c r="P940" s="182"/>
      <c r="Q940" s="422"/>
      <c r="R940" s="422"/>
      <c r="S940" s="422"/>
      <c r="T940" s="8"/>
    </row>
    <row r="941" spans="1:20" s="701" customFormat="1" x14ac:dyDescent="0.2">
      <c r="A941" s="422"/>
      <c r="B941" s="398"/>
      <c r="C941" s="398"/>
      <c r="D941" s="398"/>
      <c r="E941" s="1762" t="str">
        <f>IF($I889="","",IF(INDEX(F_ProductBM!E:E,MATCH($P941,F_ProductBM!$P:$P,0))="","",INDEX(F_ProductBM!E:E,MATCH($P941,F_ProductBM!$P:$P,0))))</f>
        <v/>
      </c>
      <c r="F941" s="1762"/>
      <c r="G941" s="1762"/>
      <c r="H941" s="453" t="str">
        <f>EUconst_Tons</f>
        <v>tony</v>
      </c>
      <c r="I941" s="1007" t="str">
        <f>IF($I889="","",IF(INDEX(F_ProductBM!I:I,MATCH($P941,F_ProductBM!$P:$P,0))="","",INDEX(F_ProductBM!I:I,MATCH($P941,F_ProductBM!$P:$P,0))))</f>
        <v/>
      </c>
      <c r="J941" s="1007" t="str">
        <f>IF($I889="","",IF(INDEX(F_ProductBM!J:J,MATCH($P941,F_ProductBM!$P:$P,0))="","",INDEX(F_ProductBM!J:J,MATCH($P941,F_ProductBM!$P:$P,0))))</f>
        <v/>
      </c>
      <c r="K941" s="1007" t="str">
        <f>IF($I889="","",IF(INDEX(F_ProductBM!K:K,MATCH($P941,F_ProductBM!$P:$P,0))="","",INDEX(F_ProductBM!K:K,MATCH($P941,F_ProductBM!$P:$P,0))))</f>
        <v/>
      </c>
      <c r="L941" s="1007" t="str">
        <f>IF($I889="","",IF(INDEX(F_ProductBM!L:L,MATCH($P941,F_ProductBM!$P:$P,0))="","",INDEX(F_ProductBM!L:L,MATCH($P941,F_ProductBM!$P:$P,0))))</f>
        <v/>
      </c>
      <c r="M941" s="1007" t="str">
        <f>IF($I889="","",IF(INDEX(F_ProductBM!M:M,MATCH($P941,F_ProductBM!$P:$P,0))="","",INDEX(F_ProductBM!M:M,MATCH($P941,F_ProductBM!$P:$P,0))))</f>
        <v/>
      </c>
      <c r="N941" s="831"/>
      <c r="O941" s="20"/>
      <c r="P941" s="351" t="str">
        <f>EUconst_CNTR_IntermediateImport &amp; R941 &amp; "_" &amp; I889</f>
        <v>IntImp_1_</v>
      </c>
      <c r="Q941" s="422"/>
      <c r="R941" s="879">
        <v>1</v>
      </c>
      <c r="S941" s="422"/>
      <c r="T941" s="8"/>
    </row>
    <row r="942" spans="1:20" s="701" customFormat="1" x14ac:dyDescent="0.2">
      <c r="A942" s="422"/>
      <c r="B942" s="398"/>
      <c r="C942" s="398"/>
      <c r="D942" s="398"/>
      <c r="E942" s="1762" t="str">
        <f>IF($I889="","",IF(INDEX(F_ProductBM!E:E,MATCH($P942,F_ProductBM!$P:$P,0))="","",INDEX(F_ProductBM!E:E,MATCH($P942,F_ProductBM!$P:$P,0))))</f>
        <v/>
      </c>
      <c r="F942" s="1762"/>
      <c r="G942" s="1762"/>
      <c r="H942" s="453" t="str">
        <f>EUconst_Tons</f>
        <v>tony</v>
      </c>
      <c r="I942" s="1007" t="str">
        <f>IF($I889="","",IF(INDEX(F_ProductBM!I:I,MATCH($P942,F_ProductBM!$P:$P,0))="","",INDEX(F_ProductBM!I:I,MATCH($P942,F_ProductBM!$P:$P,0))))</f>
        <v/>
      </c>
      <c r="J942" s="1007" t="str">
        <f>IF($I889="","",IF(INDEX(F_ProductBM!J:J,MATCH($P942,F_ProductBM!$P:$P,0))="","",INDEX(F_ProductBM!J:J,MATCH($P942,F_ProductBM!$P:$P,0))))</f>
        <v/>
      </c>
      <c r="K942" s="1007" t="str">
        <f>IF($I889="","",IF(INDEX(F_ProductBM!K:K,MATCH($P942,F_ProductBM!$P:$P,0))="","",INDEX(F_ProductBM!K:K,MATCH($P942,F_ProductBM!$P:$P,0))))</f>
        <v/>
      </c>
      <c r="L942" s="1007" t="str">
        <f>IF($I889="","",IF(INDEX(F_ProductBM!L:L,MATCH($P942,F_ProductBM!$P:$P,0))="","",INDEX(F_ProductBM!L:L,MATCH($P942,F_ProductBM!$P:$P,0))))</f>
        <v/>
      </c>
      <c r="M942" s="1007" t="str">
        <f>IF($I889="","",IF(INDEX(F_ProductBM!M:M,MATCH($P942,F_ProductBM!$P:$P,0))="","",INDEX(F_ProductBM!M:M,MATCH($P942,F_ProductBM!$P:$P,0))))</f>
        <v/>
      </c>
      <c r="N942" s="831"/>
      <c r="O942" s="20"/>
      <c r="P942" s="351" t="str">
        <f>EUconst_CNTR_IntermediateImport &amp; R942 &amp; "_" &amp; I889</f>
        <v>IntImp_2_</v>
      </c>
      <c r="Q942" s="422"/>
      <c r="R942" s="879">
        <v>2</v>
      </c>
      <c r="S942" s="422"/>
      <c r="T942" s="8"/>
    </row>
    <row r="943" spans="1:20" s="701" customFormat="1" x14ac:dyDescent="0.2">
      <c r="A943" s="422"/>
      <c r="B943" s="398"/>
      <c r="C943" s="398"/>
      <c r="D943" s="398"/>
      <c r="E943" s="1268" t="str">
        <f>Translations!$B$1240</f>
        <v>Wyprowadzanie pośrednie:</v>
      </c>
      <c r="F943" s="516"/>
      <c r="G943" s="516"/>
      <c r="H943" s="516"/>
      <c r="I943" s="1006"/>
      <c r="J943" s="1006"/>
      <c r="K943" s="1006"/>
      <c r="L943" s="1006"/>
      <c r="M943" s="1006"/>
      <c r="N943" s="831"/>
      <c r="O943" s="20"/>
      <c r="P943" s="182"/>
      <c r="Q943" s="422"/>
      <c r="R943" s="422"/>
      <c r="S943" s="422"/>
      <c r="T943" s="8"/>
    </row>
    <row r="944" spans="1:20" s="701" customFormat="1" x14ac:dyDescent="0.2">
      <c r="A944" s="422"/>
      <c r="B944" s="398"/>
      <c r="C944" s="398"/>
      <c r="D944" s="398"/>
      <c r="E944" s="1762" t="str">
        <f>IF($I889="","",IF(INDEX(F_ProductBM!E:E,MATCH($P944,F_ProductBM!$P:$P,0))="","",INDEX(F_ProductBM!E:E,MATCH($P944,F_ProductBM!$P:$P,0))))</f>
        <v/>
      </c>
      <c r="F944" s="1762"/>
      <c r="G944" s="1762"/>
      <c r="H944" s="453" t="str">
        <f>EUconst_Tons</f>
        <v>tony</v>
      </c>
      <c r="I944" s="1007" t="str">
        <f>IF($I889="","",IF(INDEX(F_ProductBM!I:I,MATCH($P944,F_ProductBM!$P:$P,0))="","",INDEX(F_ProductBM!I:I,MATCH($P944,F_ProductBM!$P:$P,0))))</f>
        <v/>
      </c>
      <c r="J944" s="1007" t="str">
        <f>IF($I889="","",IF(INDEX(F_ProductBM!J:J,MATCH($P944,F_ProductBM!$P:$P,0))="","",INDEX(F_ProductBM!J:J,MATCH($P944,F_ProductBM!$P:$P,0))))</f>
        <v/>
      </c>
      <c r="K944" s="1007" t="str">
        <f>IF($I889="","",IF(INDEX(F_ProductBM!K:K,MATCH($P944,F_ProductBM!$P:$P,0))="","",INDEX(F_ProductBM!K:K,MATCH($P944,F_ProductBM!$P:$P,0))))</f>
        <v/>
      </c>
      <c r="L944" s="1007" t="str">
        <f>IF($I889="","",IF(INDEX(F_ProductBM!L:L,MATCH($P944,F_ProductBM!$P:$P,0))="","",INDEX(F_ProductBM!L:L,MATCH($P944,F_ProductBM!$P:$P,0))))</f>
        <v/>
      </c>
      <c r="M944" s="1007" t="str">
        <f>IF($I889="","",IF(INDEX(F_ProductBM!M:M,MATCH($P944,F_ProductBM!$P:$P,0))="","",INDEX(F_ProductBM!M:M,MATCH($P944,F_ProductBM!$P:$P,0))))</f>
        <v/>
      </c>
      <c r="N944" s="831"/>
      <c r="O944" s="20"/>
      <c r="P944" s="351" t="str">
        <f>EUconst_CNTR_IntermediateExport &amp; R941 &amp; "_" &amp; I889</f>
        <v>IntExp_1_</v>
      </c>
      <c r="Q944" s="422"/>
      <c r="R944" s="879">
        <v>1</v>
      </c>
      <c r="S944" s="422"/>
      <c r="T944" s="8"/>
    </row>
    <row r="945" spans="1:20" s="701" customFormat="1" x14ac:dyDescent="0.2">
      <c r="A945" s="422"/>
      <c r="B945" s="398"/>
      <c r="C945" s="398"/>
      <c r="D945" s="398"/>
      <c r="E945" s="1762" t="str">
        <f>IF($I889="","",IF(INDEX(F_ProductBM!E:E,MATCH($P945,F_ProductBM!$P:$P,0))="","",INDEX(F_ProductBM!E:E,MATCH($P945,F_ProductBM!$P:$P,0))))</f>
        <v/>
      </c>
      <c r="F945" s="1762"/>
      <c r="G945" s="1762"/>
      <c r="H945" s="453" t="str">
        <f>EUconst_Tons</f>
        <v>tony</v>
      </c>
      <c r="I945" s="1007" t="str">
        <f>IF($I889="","",IF(INDEX(F_ProductBM!I:I,MATCH($P945,F_ProductBM!$P:$P,0))="","",INDEX(F_ProductBM!I:I,MATCH($P945,F_ProductBM!$P:$P,0))))</f>
        <v/>
      </c>
      <c r="J945" s="1007" t="str">
        <f>IF($I889="","",IF(INDEX(F_ProductBM!J:J,MATCH($P945,F_ProductBM!$P:$P,0))="","",INDEX(F_ProductBM!J:J,MATCH($P945,F_ProductBM!$P:$P,0))))</f>
        <v/>
      </c>
      <c r="K945" s="1007" t="str">
        <f>IF($I889="","",IF(INDEX(F_ProductBM!K:K,MATCH($P945,F_ProductBM!$P:$P,0))="","",INDEX(F_ProductBM!K:K,MATCH($P945,F_ProductBM!$P:$P,0))))</f>
        <v/>
      </c>
      <c r="L945" s="1007" t="str">
        <f>IF($I889="","",IF(INDEX(F_ProductBM!L:L,MATCH($P945,F_ProductBM!$P:$P,0))="","",INDEX(F_ProductBM!L:L,MATCH($P945,F_ProductBM!$P:$P,0))))</f>
        <v/>
      </c>
      <c r="M945" s="1007" t="str">
        <f>IF($I889="","",IF(INDEX(F_ProductBM!M:M,MATCH($P945,F_ProductBM!$P:$P,0))="","",INDEX(F_ProductBM!M:M,MATCH($P945,F_ProductBM!$P:$P,0))))</f>
        <v/>
      </c>
      <c r="N945" s="831"/>
      <c r="O945" s="20"/>
      <c r="P945" s="351" t="str">
        <f>EUconst_CNTR_IntermediateExport &amp; R945 &amp; "_" &amp; I889</f>
        <v>IntExp_2_</v>
      </c>
      <c r="Q945" s="422"/>
      <c r="R945" s="879">
        <v>2</v>
      </c>
      <c r="S945" s="422"/>
      <c r="T945" s="8"/>
    </row>
    <row r="946" spans="1:20" s="701" customFormat="1" x14ac:dyDescent="0.2">
      <c r="A946" s="422"/>
      <c r="B946" s="398"/>
      <c r="C946" s="398"/>
      <c r="D946" s="398"/>
      <c r="E946" s="516"/>
      <c r="F946" s="516"/>
      <c r="G946" s="516"/>
      <c r="H946" s="516"/>
      <c r="I946" s="831"/>
      <c r="J946" s="831"/>
      <c r="K946" s="831"/>
      <c r="L946" s="831"/>
      <c r="M946" s="831"/>
      <c r="N946" s="831"/>
      <c r="O946" s="20"/>
      <c r="P946" s="182"/>
      <c r="Q946" s="422"/>
      <c r="R946" s="422"/>
      <c r="S946" s="422"/>
      <c r="T946" s="8"/>
    </row>
    <row r="947" spans="1:20" s="701" customFormat="1" ht="13.5" thickBot="1" x14ac:dyDescent="0.25">
      <c r="A947" s="422"/>
      <c r="B947" s="398"/>
      <c r="C947" s="398"/>
      <c r="D947" s="398"/>
      <c r="E947" s="1017"/>
      <c r="O947" s="20"/>
      <c r="P947" s="422"/>
      <c r="Q947" s="422"/>
      <c r="R947" s="422"/>
      <c r="S947" s="422"/>
      <c r="T947" s="8"/>
    </row>
    <row r="948" spans="1:20" s="701" customFormat="1" ht="13.5" thickBot="1" x14ac:dyDescent="0.25">
      <c r="A948" s="422"/>
      <c r="B948" s="3"/>
      <c r="C948" s="281"/>
      <c r="D948" s="281"/>
      <c r="E948" s="281"/>
      <c r="F948" s="281"/>
      <c r="G948" s="281"/>
      <c r="H948" s="281"/>
      <c r="I948" s="281"/>
      <c r="J948" s="281"/>
      <c r="K948" s="281"/>
      <c r="L948" s="281"/>
      <c r="M948" s="281"/>
      <c r="N948" s="281"/>
      <c r="O948" s="20"/>
      <c r="P948" s="422"/>
      <c r="Q948" s="422"/>
      <c r="R948" s="422"/>
      <c r="S948" s="422"/>
      <c r="T948" s="8" t="s">
        <v>583</v>
      </c>
    </row>
    <row r="949" spans="1:20" s="701" customFormat="1" ht="15.75" thickBot="1" x14ac:dyDescent="0.3">
      <c r="A949" s="422"/>
      <c r="B949" s="398"/>
      <c r="C949" s="18">
        <f>C889+1</f>
        <v>9</v>
      </c>
      <c r="D949" s="1439" t="str">
        <f>CONCATENATE(EUconst_BMSubinst," ",C949, ":")</f>
        <v>Podinstalacja i wskaźnik emisyjności dla produktów 9:</v>
      </c>
      <c r="E949" s="1439"/>
      <c r="F949" s="1439"/>
      <c r="G949" s="1439"/>
      <c r="H949" s="2024"/>
      <c r="I949" s="1781" t="str">
        <f>IF(INDEX(CNTR_SubInstListIsProdBM,$C949),INDEX(CNTR_SubInstListNames,$C949),"")</f>
        <v/>
      </c>
      <c r="J949" s="2025"/>
      <c r="K949" s="2025"/>
      <c r="L949" s="2025"/>
      <c r="M949" s="2025"/>
      <c r="N949" s="2026"/>
      <c r="O949" s="20"/>
      <c r="P949" s="422"/>
      <c r="Q949" s="986">
        <f>C949</f>
        <v>9</v>
      </c>
      <c r="R949" s="983" t="str">
        <f>I949</f>
        <v/>
      </c>
      <c r="S949" s="985" t="str">
        <f>H952</f>
        <v>Nie dotyczy</v>
      </c>
      <c r="T949" s="984" t="str">
        <f>IF(M961="","",IF(S952=0,0,SUM(M961)/S952))</f>
        <v/>
      </c>
    </row>
    <row r="950" spans="1:20" s="701" customFormat="1" ht="13.5" thickBot="1" x14ac:dyDescent="0.25">
      <c r="A950" s="422"/>
      <c r="B950" s="398"/>
      <c r="C950" s="398"/>
      <c r="D950" s="398"/>
      <c r="E950" s="398"/>
      <c r="F950" s="398"/>
      <c r="G950" s="398"/>
      <c r="H950" s="398"/>
      <c r="I950" s="398"/>
      <c r="J950" s="398"/>
      <c r="K950" s="398"/>
      <c r="L950" s="398"/>
      <c r="M950" s="398"/>
      <c r="N950" s="398"/>
      <c r="O950" s="20"/>
      <c r="P950" s="422"/>
      <c r="Q950" s="422"/>
      <c r="R950" s="422"/>
      <c r="S950" s="422"/>
      <c r="T950" s="8"/>
    </row>
    <row r="951" spans="1:20" s="1299" customFormat="1" ht="51" x14ac:dyDescent="0.2">
      <c r="A951" s="970"/>
      <c r="B951" s="1300"/>
      <c r="C951" s="1300"/>
      <c r="D951" s="1300"/>
      <c r="E951" s="1300"/>
      <c r="F951" s="1300"/>
      <c r="G951" s="1300"/>
      <c r="H951" s="1304" t="str">
        <f>Translations!$B$1204</f>
        <v>narażenie na ryzyko ucieczki emisji</v>
      </c>
      <c r="I951" s="1305" t="s">
        <v>516</v>
      </c>
      <c r="J951" s="1305" t="str">
        <f>Translations!$B$1208</f>
        <v>Rozpoczęcie</v>
      </c>
      <c r="K951" s="1305" t="str">
        <f>Translations!$B$1206</f>
        <v>Nr wskaźnika</v>
      </c>
      <c r="L951" s="1306" t="str">
        <f>Translations!$B$1212</f>
        <v>Art. 15 ust. 7 akapit trzeci?</v>
      </c>
      <c r="M951" s="1307" t="str">
        <f>Translations!$B$1234</f>
        <v>Wart. wskaźnika (min./maks./faktyczna)</v>
      </c>
      <c r="N951" s="1308"/>
      <c r="O951" s="121"/>
      <c r="P951" s="970"/>
      <c r="Q951" s="970"/>
      <c r="R951" s="970"/>
      <c r="S951" s="970"/>
      <c r="T951" s="972"/>
    </row>
    <row r="952" spans="1:20" s="701" customFormat="1" x14ac:dyDescent="0.2">
      <c r="A952" s="422"/>
      <c r="B952" s="398"/>
      <c r="C952" s="398"/>
      <c r="D952" s="398"/>
      <c r="E952" s="652" t="str">
        <f>I949</f>
        <v/>
      </c>
      <c r="F952" s="653"/>
      <c r="G952" s="590"/>
      <c r="H952" s="654" t="str">
        <f>IF(K952=EUconst_NA,EUconst_NA,INDEX(EUconst_BMlistCLstatus,K952))</f>
        <v>Nie dotyczy</v>
      </c>
      <c r="I952" s="655" t="str">
        <f>IF(E952="","",INDEX(EUconst_BMlistElExchangability,K952))</f>
        <v/>
      </c>
      <c r="J952" s="857" t="str">
        <f>IF($I949="",EUconst_NA,INDEX(CNTR_SubInstStartDate,MATCH(E952,CNTR_SubInstListNames,0)))</f>
        <v>Nie dotyczy</v>
      </c>
      <c r="K952" s="536" t="str">
        <f>IF($I949="",EUconst_NA,MATCH(E952,EUconst_BMlistNames,0))</f>
        <v>Nie dotyczy</v>
      </c>
      <c r="L952" s="1071" t="str">
        <f>IF(E952="","",INDEX(CNTR_SubInstLess1Year,MATCH(E952,CNTR_SubInstListNames,0)))</f>
        <v/>
      </c>
      <c r="M952" s="1073" t="str">
        <f>IF(I949="",EUconst_NA,INDEX(EUconst_BMlistBMvaluesMatrix,K952,2))</f>
        <v>Nie dotyczy</v>
      </c>
      <c r="N952" s="1074" t="str">
        <f>EUconst_EUA &amp; "/" &amp; H957</f>
        <v>Uprawnienia do emisji ogólnych/tony</v>
      </c>
      <c r="O952" s="20"/>
      <c r="P952" s="422"/>
      <c r="Q952" s="422"/>
      <c r="R952" s="736" t="s">
        <v>577</v>
      </c>
      <c r="S952" s="822" t="str">
        <f>IF(H952=EUconst_NA,"",IF(H952,1,INDEX(EUconst_CLEFYears,1)))</f>
        <v/>
      </c>
      <c r="T952" s="8"/>
    </row>
    <row r="953" spans="1:20" s="1299" customFormat="1" ht="51" x14ac:dyDescent="0.2">
      <c r="A953" s="970"/>
      <c r="B953" s="1300"/>
      <c r="C953" s="1300"/>
      <c r="D953" s="1300"/>
      <c r="G953" s="1305" t="str">
        <f>Translations!$B$1218</f>
        <v>ciepło nieobjęte systemem EU ETS</v>
      </c>
      <c r="H953" s="1306" t="str">
        <f>Translations!$B$1220</f>
        <v>WGflare</v>
      </c>
      <c r="I953" s="1305" t="s">
        <v>572</v>
      </c>
      <c r="J953" s="1305" t="s">
        <v>573</v>
      </c>
      <c r="K953" s="1305" t="s">
        <v>574</v>
      </c>
      <c r="L953" s="1306" t="str">
        <f>Translations!$B$1214</f>
        <v>Art. 15 ust. 7 akapit trzeci – HPD</v>
      </c>
      <c r="M953" s="1309" t="str">
        <f>IF(I949="",EUconst_NA,INDEX(EUconst_BMlistBMvaluesMatrix,K952,1))</f>
        <v>Nie dotyczy</v>
      </c>
      <c r="N953" s="1303" t="str">
        <f>EUconst_EUA &amp; "/" &amp; H957</f>
        <v>Uprawnienia do emisji ogólnych/tony</v>
      </c>
      <c r="O953" s="121"/>
      <c r="P953" s="970"/>
      <c r="Q953" s="970"/>
      <c r="R953" s="1310"/>
      <c r="S953" s="1311"/>
      <c r="T953" s="972"/>
    </row>
    <row r="954" spans="1:20" s="701" customFormat="1" ht="13.5" thickBot="1" x14ac:dyDescent="0.25">
      <c r="A954" s="422"/>
      <c r="B954" s="398"/>
      <c r="C954" s="398"/>
      <c r="D954" s="398"/>
      <c r="E954" s="877" t="str">
        <f>Translations!$B$1235</f>
        <v>Czynniki szczególne:</v>
      </c>
      <c r="F954" s="878"/>
      <c r="G954" s="536" t="str">
        <f>IF($I949="","",SUMIF(F_ProductBM!$P:$P,EUconst_CNTR_HEAT&amp;$I949,F_ProductBM!$Q:$Q))</f>
        <v/>
      </c>
      <c r="H954" s="855" t="str">
        <f>IF(OR($I949="",CNTR_BaselinePeriod&lt;&gt;2),"",SUMIF(F_ProductBM!$P:$P,EUconst_CNTR_WGFlaredEF &amp; I949,F_ProductBM!$R:$R))</f>
        <v/>
      </c>
      <c r="I954" s="821">
        <f>IF(AND($I949&lt;&gt;"",$I952=TRUE),IF(ISNUMBER(INDEX(F_ProductBM!$Q:$Q,MATCH(EUconst_CNTR_ELEXCH&amp;$I949,F_ProductBM!$P:$P,0))),INDEX(F_ProductBM!$Q:$Q,MATCH(EUconst_CNTR_ELEXCH&amp;$I949,F_ProductBM!$P:$P,0)),1),1)</f>
        <v>1</v>
      </c>
      <c r="J954" s="536" t="str">
        <f>IF($I949="","",IF($K952=42,SUMIF(H_SpecialBM!$P$9:$P$384,EUconst_CNTR_HVC,H_SpecialBM!$I$9:$I$384),0))</f>
        <v/>
      </c>
      <c r="K954" s="876" t="str">
        <f>IF($I949="","",IF($K952=47,IF(ISNUMBER(INDEX(H_SpecialBM!$I$9:$I$384,MATCH(EUconst_CNTR_VCM,H_SpecialBM!$P$9:$P$384,0))),INDEX(H_SpecialBM!$I$9:$I$384,MATCH(EUconst_CNTR_VCM,H_SpecialBM!$P$9:$P$384,0)),1),1))</f>
        <v/>
      </c>
      <c r="L954" s="855" t="str">
        <f>IF($L952=TRUE,SUMIF(F_ProductBM!$P$11:$P$2192,EUconst_CNTR_HAL&amp;$I949,F_ProductBM!$N$11:$N$2192),"")</f>
        <v/>
      </c>
      <c r="M954" s="1075" t="str">
        <f>IF(I949="",EUconst_NA,IF(EUconst_StatusOfDataCollection,INDEX(EUconst_BMlistBMvaluesMatrix,K952,3),""))</f>
        <v>Nie dotyczy</v>
      </c>
      <c r="N954" s="1076" t="str">
        <f>EUconst_EUA &amp; "/" &amp; H957</f>
        <v>Uprawnienia do emisji ogólnych/tony</v>
      </c>
      <c r="O954" s="20"/>
      <c r="P954" s="422"/>
      <c r="Q954" s="422"/>
      <c r="R954" s="736"/>
      <c r="S954" s="875"/>
      <c r="T954" s="8"/>
    </row>
    <row r="955" spans="1:20" s="701" customFormat="1" x14ac:dyDescent="0.2">
      <c r="A955" s="422"/>
      <c r="B955" s="398"/>
      <c r="C955" s="398"/>
      <c r="D955" s="398"/>
      <c r="E955" s="398"/>
      <c r="F955" s="398"/>
      <c r="G955" s="398"/>
      <c r="H955" s="398"/>
      <c r="I955" s="398"/>
      <c r="J955" s="398"/>
      <c r="K955" s="398"/>
      <c r="L955" s="398"/>
      <c r="M955" s="398"/>
      <c r="N955" s="398"/>
      <c r="O955" s="20"/>
      <c r="P955" s="422"/>
      <c r="Q955" s="422"/>
      <c r="R955" s="422"/>
      <c r="S955" s="422"/>
      <c r="T955" s="8"/>
    </row>
    <row r="956" spans="1:20" s="701" customFormat="1" x14ac:dyDescent="0.2">
      <c r="A956" s="422"/>
      <c r="B956" s="398"/>
      <c r="C956" s="398"/>
      <c r="D956" s="398"/>
      <c r="E956" s="656"/>
      <c r="F956" s="656"/>
      <c r="G956" s="657"/>
      <c r="H956" s="873" t="str">
        <f>EUconst_Unit</f>
        <v>Jednostka</v>
      </c>
      <c r="I956" s="432">
        <f>I$1397</f>
        <v>2014</v>
      </c>
      <c r="J956" s="432">
        <f>J$1397</f>
        <v>2015</v>
      </c>
      <c r="K956" s="432">
        <f>K$1397</f>
        <v>2016</v>
      </c>
      <c r="L956" s="432">
        <f>L$1397</f>
        <v>2017</v>
      </c>
      <c r="M956" s="432">
        <f>M$1397</f>
        <v>2018</v>
      </c>
      <c r="N956" s="398"/>
      <c r="O956" s="20"/>
      <c r="P956" s="185" t="s">
        <v>237</v>
      </c>
      <c r="Q956" s="422"/>
      <c r="R956" s="422"/>
      <c r="S956" s="422"/>
      <c r="T956" s="8"/>
    </row>
    <row r="957" spans="1:20" s="701" customFormat="1" x14ac:dyDescent="0.2">
      <c r="A957" s="422"/>
      <c r="B957" s="398"/>
      <c r="C957" s="398"/>
      <c r="D957" s="398"/>
      <c r="E957" s="658" t="str">
        <f>Translations!$B$1236</f>
        <v>Zgłoszony HPD (historyczny poziom działalności)</v>
      </c>
      <c r="F957" s="659"/>
      <c r="G957" s="660"/>
      <c r="H957" s="654" t="str">
        <f>IF(ISNUMBER(K952),INDEX(EUconst_BMlistUnits,K952),EUconst_Tons)</f>
        <v>tony</v>
      </c>
      <c r="I957" s="536" t="str">
        <f>IF($I949="","",SUMIF(F_ProductBM!$P$11:$P$1876,$P957,F_ProductBM!I$11:I$1876))</f>
        <v/>
      </c>
      <c r="J957" s="536" t="str">
        <f>IF($I949="","",SUMIF(F_ProductBM!$P$11:$P$1876,$P957,F_ProductBM!J$11:J$1876))</f>
        <v/>
      </c>
      <c r="K957" s="536" t="str">
        <f>IF($I949="","",SUMIF(F_ProductBM!$P$11:$P$1876,$P957,F_ProductBM!K$11:K$1876))</f>
        <v/>
      </c>
      <c r="L957" s="536" t="str">
        <f>IF($I949="","",SUMIF(F_ProductBM!$P$11:$P$1876,$P957,F_ProductBM!L$11:L$1876))</f>
        <v/>
      </c>
      <c r="M957" s="536" t="str">
        <f>IF($I949="","",SUMIF(F_ProductBM!$P$11:$P$1876,$P957,F_ProductBM!M$11:M$1876))</f>
        <v/>
      </c>
      <c r="N957" s="651" t="str">
        <f>Translations!$B$1224</f>
        <v>Średnia</v>
      </c>
      <c r="O957" s="20"/>
      <c r="P957" s="185" t="str">
        <f>EUconst_CNTR_HAL&amp;I949</f>
        <v>HAL_</v>
      </c>
      <c r="Q957" s="422"/>
      <c r="R957" s="422"/>
      <c r="S957" s="422"/>
      <c r="T957" s="8"/>
    </row>
    <row r="958" spans="1:20" s="701" customFormat="1" x14ac:dyDescent="0.2">
      <c r="A958" s="422"/>
      <c r="B958" s="398"/>
      <c r="C958" s="398"/>
      <c r="D958" s="398"/>
      <c r="E958" s="658" t="str">
        <f>Translations!$B$1237</f>
        <v>Wartości wykorzystywane do obliczania zgłoszonego HPD:</v>
      </c>
      <c r="F958" s="659"/>
      <c r="G958" s="660"/>
      <c r="H958" s="654" t="str">
        <f>H957</f>
        <v>tony</v>
      </c>
      <c r="I958" s="536" t="str">
        <f>IF($I949="","",INDEX(F_ProductBM!S$11:S$1876,MATCH($P958,F_ProductBM!$P$11:$P$1876,0)))</f>
        <v/>
      </c>
      <c r="J958" s="536" t="str">
        <f>IF($I949="","",INDEX(F_ProductBM!T$11:T$1876,MATCH($P958,F_ProductBM!$P$11:$P$1876,0)))</f>
        <v/>
      </c>
      <c r="K958" s="536" t="str">
        <f>IF($I949="","",INDEX(F_ProductBM!U$11:U$1876,MATCH($P958,F_ProductBM!$P$11:$P$1876,0)))</f>
        <v/>
      </c>
      <c r="L958" s="536" t="str">
        <f>IF($I949="","",INDEX(F_ProductBM!V$11:V$1876,MATCH($P958,F_ProductBM!$P$11:$P$1876,0)))</f>
        <v/>
      </c>
      <c r="M958" s="536" t="str">
        <f>IF($I949="","",INDEX(F_ProductBM!W$11:W$1876,MATCH($P958,F_ProductBM!$P$11:$P$1876,0)))</f>
        <v/>
      </c>
      <c r="N958" s="536" t="str">
        <f>IF(OR($I949="",$L952=TRUE),"",IF(COUNT($I958:$M958)&gt;0,AVERAGE($I958:$M958),""))</f>
        <v/>
      </c>
      <c r="O958" s="20"/>
      <c r="P958" s="185" t="str">
        <f>EUconst_CNTR_HAL&amp;I949</f>
        <v>HAL_</v>
      </c>
      <c r="Q958" s="422"/>
      <c r="R958" s="1013" t="s">
        <v>630</v>
      </c>
      <c r="S958" s="1013" t="s">
        <v>631</v>
      </c>
      <c r="T958" s="1013" t="s">
        <v>632</v>
      </c>
    </row>
    <row r="959" spans="1:20" s="701" customFormat="1" ht="13.5" thickBot="1" x14ac:dyDescent="0.25">
      <c r="A959" s="422"/>
      <c r="B959" s="398"/>
      <c r="C959" s="398"/>
      <c r="D959" s="398"/>
      <c r="E959" s="874"/>
      <c r="F959" s="874"/>
      <c r="G959" s="874"/>
      <c r="H959" s="874"/>
      <c r="I959" s="874"/>
      <c r="J959" s="874"/>
      <c r="K959" s="874"/>
      <c r="L959" s="874"/>
      <c r="O959" s="20"/>
      <c r="P959" s="422"/>
      <c r="Q959" s="422"/>
      <c r="R959" s="422"/>
      <c r="S959" s="422"/>
      <c r="T959" s="8"/>
    </row>
    <row r="960" spans="1:20" s="701" customFormat="1" ht="13.5" thickBot="1" x14ac:dyDescent="0.25">
      <c r="A960" s="422"/>
      <c r="B960" s="398"/>
      <c r="D960" s="398"/>
      <c r="E960" s="874"/>
      <c r="F960" s="823" t="s">
        <v>520</v>
      </c>
      <c r="G960" s="824"/>
      <c r="I960" s="823" t="str">
        <f>Translations!$B$1226</f>
        <v>Wst. przydział rok 1 (min.)</v>
      </c>
      <c r="J960" s="824"/>
      <c r="K960" s="823" t="str">
        <f>Translations!$B$1229</f>
        <v>Wst. przydział rok 1 (maks.)</v>
      </c>
      <c r="L960" s="824"/>
      <c r="M960" s="823" t="str">
        <f>Translations!$B$1231</f>
        <v>Wst. przydział rok 1 (faktyczny)</v>
      </c>
      <c r="N960" s="824"/>
      <c r="O960" s="20"/>
      <c r="P960" s="185" t="str">
        <f>EUconst_AllocPrelim&amp;I949</f>
        <v>AllocPrelim_</v>
      </c>
      <c r="Q960" s="422"/>
      <c r="R960" s="982" t="str">
        <f>IF(I961="","",IF(S952=0,0,SUM(I961)/S952))</f>
        <v/>
      </c>
      <c r="S960" s="982" t="str">
        <f>IF(K961="","",IF(S952=0,0,SUM(K961)/S952))</f>
        <v/>
      </c>
      <c r="T960" s="982" t="str">
        <f>T949</f>
        <v/>
      </c>
    </row>
    <row r="961" spans="1:20" s="701" customFormat="1" ht="13.5" thickBot="1" x14ac:dyDescent="0.25">
      <c r="A961" s="422"/>
      <c r="B961" s="398"/>
      <c r="E961" s="874"/>
      <c r="F961" s="662" t="str">
        <f>IF(I949="","",MAX(0, IF(L952=TRUE, SUM(L954), SUM(N958))))</f>
        <v/>
      </c>
      <c r="G961" s="663" t="str">
        <f>H957&amp;" / "&amp;EUconst_Year</f>
        <v>tony / rok</v>
      </c>
      <c r="I961" s="820" t="str">
        <f>IF(I949="","",ROUND((SUM(M952)*SUM(F961)*SUM(I954)*SUM(K954)-SUM(G954)-SUM(H954)+SUM(J954))*SUM(S952),0))</f>
        <v/>
      </c>
      <c r="J961" s="966" t="str">
        <f>EUconst_EUApa</f>
        <v>Uprawnienia do emisji ogólnych / rok</v>
      </c>
      <c r="K961" s="820" t="str">
        <f>IF(I949="","",ROUND((SUM(M953)*SUM(F961)*SUM(I954)*SUM(K954)-SUM(G954)-SUM(H954)+SUM(J954))*SUM(S952),0))</f>
        <v/>
      </c>
      <c r="L961" s="966" t="str">
        <f>EUconst_EUApa</f>
        <v>Uprawnienia do emisji ogólnych / rok</v>
      </c>
      <c r="M961" s="820" t="str">
        <f>IF(OR(I949="",M954=""),"",ROUND((SUM(M954)*SUM(F961)*SUM(I954)*SUM(K954)-SUM(G954)-SUM(H954)+SUM(J954))*SUM(S952),0))</f>
        <v/>
      </c>
      <c r="N961" s="966" t="str">
        <f>EUconst_EUApa</f>
        <v>Uprawnienia do emisji ogólnych / rok</v>
      </c>
      <c r="O961" s="20"/>
      <c r="P961" s="185" t="str">
        <f>EUconst_HALsum &amp; I949</f>
        <v>HALsum_</v>
      </c>
      <c r="Q961" s="422"/>
      <c r="R961" s="422"/>
      <c r="S961" s="422"/>
      <c r="T961" s="8"/>
    </row>
    <row r="962" spans="1:20" s="701" customFormat="1" x14ac:dyDescent="0.2">
      <c r="A962" s="422"/>
      <c r="B962" s="398"/>
      <c r="C962" s="398"/>
      <c r="E962" s="425"/>
      <c r="F962" s="398"/>
      <c r="G962" s="398"/>
      <c r="H962" s="398"/>
      <c r="I962" s="398"/>
      <c r="J962" s="398"/>
      <c r="K962" s="398"/>
      <c r="L962" s="398"/>
      <c r="M962" s="398"/>
      <c r="N962" s="398"/>
      <c r="O962" s="20"/>
      <c r="P962" s="422"/>
      <c r="Q962" s="422"/>
      <c r="R962" s="422"/>
      <c r="S962" s="422"/>
      <c r="T962" s="8"/>
    </row>
    <row r="963" spans="1:20" s="701" customFormat="1" x14ac:dyDescent="0.2">
      <c r="A963" s="422"/>
      <c r="B963" s="398"/>
      <c r="C963" s="398"/>
      <c r="D963" s="398"/>
      <c r="E963" s="516"/>
      <c r="F963" s="831"/>
      <c r="G963" s="831"/>
      <c r="H963" s="831"/>
      <c r="I963" s="831"/>
      <c r="J963" s="831"/>
      <c r="K963" s="831"/>
      <c r="L963" s="831"/>
      <c r="M963" s="831"/>
      <c r="N963" s="831"/>
      <c r="O963" s="20"/>
      <c r="P963" s="422"/>
      <c r="Q963" s="422"/>
      <c r="R963" s="422"/>
      <c r="S963" s="422"/>
      <c r="T963" s="8"/>
    </row>
    <row r="964" spans="1:20" s="701" customFormat="1" ht="13.5" thickBot="1" x14ac:dyDescent="0.25">
      <c r="A964" s="422"/>
      <c r="B964" s="398"/>
      <c r="C964" s="398"/>
      <c r="D964" s="398"/>
      <c r="E964" s="516"/>
      <c r="F964" s="831"/>
      <c r="G964" s="831"/>
      <c r="H964" s="515" t="str">
        <f>EUconst_Unit</f>
        <v>Jednostka</v>
      </c>
      <c r="I964" s="1011">
        <f>I$1397</f>
        <v>2014</v>
      </c>
      <c r="J964" s="451">
        <f>J$1397</f>
        <v>2015</v>
      </c>
      <c r="K964" s="451">
        <f>K$1397</f>
        <v>2016</v>
      </c>
      <c r="L964" s="451">
        <f>L$1397</f>
        <v>2017</v>
      </c>
      <c r="M964" s="451">
        <f>M$1397</f>
        <v>2018</v>
      </c>
      <c r="N964" s="831"/>
      <c r="O964" s="20"/>
      <c r="P964" s="422"/>
      <c r="Q964" s="422"/>
      <c r="R964" s="422"/>
      <c r="S964" s="422"/>
      <c r="T964" s="8"/>
    </row>
    <row r="965" spans="1:20" s="701" customFormat="1" ht="13.5" thickBot="1" x14ac:dyDescent="0.25">
      <c r="A965" s="422"/>
      <c r="B965" s="398"/>
      <c r="C965" s="398"/>
      <c r="D965" s="398"/>
      <c r="E965" s="1876" t="str">
        <f>Translations!$B$1238</f>
        <v>Całkowite przypisane emisje</v>
      </c>
      <c r="F965" s="1876"/>
      <c r="G965" s="1876"/>
      <c r="H965" s="968" t="str">
        <f>EUconst_tCO2epa</f>
        <v>t CO2e/rok</v>
      </c>
      <c r="I965" s="1000" t="str">
        <f>INDEX(I$93:I$109,MATCH($I949,$E$93:$E$109,0))</f>
        <v/>
      </c>
      <c r="J965" s="1001" t="str">
        <f>INDEX(J$93:J$109,MATCH($I949,$E$93:$E$109,0))</f>
        <v/>
      </c>
      <c r="K965" s="1001" t="str">
        <f>INDEX(K$93:K$109,MATCH($I949,$E$93:$E$109,0))</f>
        <v/>
      </c>
      <c r="L965" s="1001" t="str">
        <f>INDEX(L$93:L$109,MATCH($I949,$E$93:$E$109,0))</f>
        <v/>
      </c>
      <c r="M965" s="1002" t="str">
        <f>INDEX(M$93:M$109,MATCH($I949,$E$93:$E$109,0))</f>
        <v/>
      </c>
      <c r="N965" s="831"/>
      <c r="O965" s="20"/>
      <c r="P965" s="422"/>
      <c r="Q965" s="422"/>
      <c r="R965" s="422"/>
      <c r="S965" s="422"/>
      <c r="T965" s="8"/>
    </row>
    <row r="966" spans="1:20" s="701" customFormat="1" x14ac:dyDescent="0.2">
      <c r="A966" s="422"/>
      <c r="B966" s="398"/>
      <c r="C966" s="398"/>
      <c r="D966" s="398"/>
      <c r="E966" s="516"/>
      <c r="F966" s="516"/>
      <c r="G966" s="516"/>
      <c r="H966" s="516"/>
      <c r="I966" s="1003"/>
      <c r="J966" s="1003"/>
      <c r="K966" s="1003"/>
      <c r="L966" s="1003"/>
      <c r="M966" s="1003"/>
      <c r="N966" s="516"/>
      <c r="O966" s="20"/>
      <c r="P966" s="422"/>
      <c r="Q966" s="422"/>
      <c r="R966" s="422"/>
      <c r="S966" s="422"/>
      <c r="T966" s="8"/>
    </row>
    <row r="967" spans="1:20" s="701" customFormat="1" x14ac:dyDescent="0.2">
      <c r="A967" s="422"/>
      <c r="B967" s="398"/>
      <c r="C967" s="398"/>
      <c r="D967" s="398"/>
      <c r="E967" s="1766" t="str">
        <f>Translations!$B$731</f>
        <v>Wsad paliwa</v>
      </c>
      <c r="F967" s="1767"/>
      <c r="G967" s="1767"/>
      <c r="H967" s="454" t="str">
        <f>EUconst_TJpa</f>
        <v>TJ / rok</v>
      </c>
      <c r="I967" s="1004" t="str">
        <f>IF($I949="","",IF(INDEX(F_ProductBM!I:I,MATCH($P967,F_ProductBM!$P:$P,0))="","",INDEX(F_ProductBM!I:I,MATCH($P967,F_ProductBM!$P:$P,0))))</f>
        <v/>
      </c>
      <c r="J967" s="1004" t="str">
        <f>IF($I949="","",IF(INDEX(F_ProductBM!J:J,MATCH($P967,F_ProductBM!$P:$P,0))="","",INDEX(F_ProductBM!J:J,MATCH($P967,F_ProductBM!$P:$P,0))))</f>
        <v/>
      </c>
      <c r="K967" s="1004" t="str">
        <f>IF($I949="","",IF(INDEX(F_ProductBM!K:K,MATCH($P967,F_ProductBM!$P:$P,0))="","",INDEX(F_ProductBM!K:K,MATCH($P967,F_ProductBM!$P:$P,0))))</f>
        <v/>
      </c>
      <c r="L967" s="1004" t="str">
        <f>IF($I949="","",IF(INDEX(F_ProductBM!L:L,MATCH($P967,F_ProductBM!$P:$P,0))="","",INDEX(F_ProductBM!L:L,MATCH($P967,F_ProductBM!$P:$P,0))))</f>
        <v/>
      </c>
      <c r="M967" s="1004" t="str">
        <f>IF($I949="","",IF(INDEX(F_ProductBM!M:M,MATCH($P967,F_ProductBM!$P:$P,0))="","",INDEX(F_ProductBM!M:M,MATCH($P967,F_ProductBM!$P:$P,0))))</f>
        <v/>
      </c>
      <c r="N967" s="831"/>
      <c r="O967" s="20"/>
      <c r="P967" s="830" t="str">
        <f>EUconst_CNTR_FuelInput &amp; I949</f>
        <v>FuelInput_</v>
      </c>
      <c r="Q967" s="422"/>
      <c r="R967" s="422"/>
      <c r="S967" s="422"/>
      <c r="T967" s="8"/>
    </row>
    <row r="968" spans="1:20" s="701" customFormat="1" x14ac:dyDescent="0.2">
      <c r="A968" s="422"/>
      <c r="B968" s="398"/>
      <c r="C968" s="398"/>
      <c r="D968" s="398"/>
      <c r="E968" s="1743" t="str">
        <f>Translations!$B$732</f>
        <v>Ważony współczynnik emisji</v>
      </c>
      <c r="F968" s="1744"/>
      <c r="G968" s="1744"/>
      <c r="H968" s="473" t="str">
        <f>EUconst_tCO2pTJ</f>
        <v>t CO2 / TJ</v>
      </c>
      <c r="I968" s="1005" t="str">
        <f>IF($I949="","",IF(INDEX(F_ProductBM!I:I,MATCH($P968,F_ProductBM!$P:$P,0))="","",INDEX(F_ProductBM!I:I,MATCH($P968,F_ProductBM!$P:$P,0))))</f>
        <v/>
      </c>
      <c r="J968" s="1005" t="str">
        <f>IF($I949="","",IF(INDEX(F_ProductBM!J:J,MATCH($P968,F_ProductBM!$P:$P,0))="","",INDEX(F_ProductBM!J:J,MATCH($P968,F_ProductBM!$P:$P,0))))</f>
        <v/>
      </c>
      <c r="K968" s="1005" t="str">
        <f>IF($I949="","",IF(INDEX(F_ProductBM!K:K,MATCH($P968,F_ProductBM!$P:$P,0))="","",INDEX(F_ProductBM!K:K,MATCH($P968,F_ProductBM!$P:$P,0))))</f>
        <v/>
      </c>
      <c r="L968" s="1005" t="str">
        <f>IF($I949="","",IF(INDEX(F_ProductBM!L:L,MATCH($P968,F_ProductBM!$P:$P,0))="","",INDEX(F_ProductBM!L:L,MATCH($P968,F_ProductBM!$P:$P,0))))</f>
        <v/>
      </c>
      <c r="M968" s="1005" t="str">
        <f>IF($I949="","",IF(INDEX(F_ProductBM!M:M,MATCH($P968,F_ProductBM!$P:$P,0))="","",INDEX(F_ProductBM!M:M,MATCH($P968,F_ProductBM!$P:$P,0))))</f>
        <v/>
      </c>
      <c r="N968" s="831"/>
      <c r="O968" s="20"/>
      <c r="P968" s="351" t="str">
        <f>EUconst_CNTR_FuelEF &amp; I949</f>
        <v>FuelEF_</v>
      </c>
      <c r="Q968" s="422"/>
      <c r="R968" s="422"/>
      <c r="S968" s="422"/>
      <c r="T968" s="8"/>
    </row>
    <row r="969" spans="1:20" s="701" customFormat="1" x14ac:dyDescent="0.2">
      <c r="A969" s="422"/>
      <c r="B969" s="398"/>
      <c r="C969" s="398"/>
      <c r="E969" s="516"/>
      <c r="F969" s="831"/>
      <c r="G969" s="831"/>
      <c r="H969" s="831"/>
      <c r="I969" s="1006"/>
      <c r="J969" s="1006"/>
      <c r="K969" s="1006"/>
      <c r="L969" s="1006"/>
      <c r="M969" s="1006"/>
      <c r="N969" s="831"/>
      <c r="O969" s="20"/>
      <c r="P969" s="422"/>
      <c r="Q969" s="422"/>
      <c r="R969" s="422"/>
      <c r="S969" s="422"/>
      <c r="T969" s="8"/>
    </row>
    <row r="970" spans="1:20" s="701" customFormat="1" x14ac:dyDescent="0.2">
      <c r="A970" s="422"/>
      <c r="B970" s="398"/>
      <c r="C970" s="398"/>
      <c r="E970" s="1739" t="str">
        <f>Translations!$B$687</f>
        <v>Emisje bezpośrednie</v>
      </c>
      <c r="F970" s="1740"/>
      <c r="G970" s="1740"/>
      <c r="H970" s="453" t="str">
        <f>EUconst_tCO2pa</f>
        <v>t CO2 / rok</v>
      </c>
      <c r="I970" s="1007" t="str">
        <f>IF($I949="","",IF(INDEX(F_ProductBM!I:I,MATCH($P970,F_ProductBM!$P:$P,0))="","",INDEX(F_ProductBM!I:I,MATCH($P970,F_ProductBM!$P:$P,0))))</f>
        <v/>
      </c>
      <c r="J970" s="1007" t="str">
        <f>IF($I949="","",IF(INDEX(F_ProductBM!J:J,MATCH($P970,F_ProductBM!$P:$P,0))="","",INDEX(F_ProductBM!J:J,MATCH($P970,F_ProductBM!$P:$P,0))))</f>
        <v/>
      </c>
      <c r="K970" s="1007" t="str">
        <f>IF($I949="","",IF(INDEX(F_ProductBM!K:K,MATCH($P970,F_ProductBM!$P:$P,0))="","",INDEX(F_ProductBM!K:K,MATCH($P970,F_ProductBM!$P:$P,0))))</f>
        <v/>
      </c>
      <c r="L970" s="1007" t="str">
        <f>IF($I949="","",IF(INDEX(F_ProductBM!L:L,MATCH($P970,F_ProductBM!$P:$P,0))="","",INDEX(F_ProductBM!L:L,MATCH($P970,F_ProductBM!$P:$P,0))))</f>
        <v/>
      </c>
      <c r="M970" s="1007" t="str">
        <f>IF($I949="","",IF(INDEX(F_ProductBM!M:M,MATCH($P970,F_ProductBM!$P:$P,0))="","",INDEX(F_ProductBM!M:M,MATCH($P970,F_ProductBM!$P:$P,0))))</f>
        <v/>
      </c>
      <c r="N970" s="831"/>
      <c r="O970" s="20"/>
      <c r="P970" s="351" t="str">
        <f>EUconst_CNTR_Emissions &amp; I949</f>
        <v>DirEmissions_</v>
      </c>
      <c r="Q970" s="422"/>
      <c r="R970" s="422"/>
      <c r="S970" s="422"/>
      <c r="T970" s="8"/>
    </row>
    <row r="971" spans="1:20" s="701" customFormat="1" x14ac:dyDescent="0.2">
      <c r="A971" s="422"/>
      <c r="B971" s="398"/>
      <c r="C971" s="398"/>
      <c r="E971" s="1974" t="str">
        <f>Translations!$B$742</f>
        <v>Dalsze strumienie materiałów wsadowych – 1:</v>
      </c>
      <c r="F971" s="1974"/>
      <c r="G971" s="1974"/>
      <c r="H971" s="453" t="str">
        <f>EUconst_tCO2pa</f>
        <v>t CO2 / rok</v>
      </c>
      <c r="I971" s="1007" t="str">
        <f>IF($I949="","",IF(INDEX(F_ProductBM!I:I,MATCH($P971,F_ProductBM!$P:$P,0))="","",INDEX(F_ProductBM!I:I,MATCH($P971,F_ProductBM!$P:$P,0))))</f>
        <v/>
      </c>
      <c r="J971" s="1007" t="str">
        <f>IF($I949="","",IF(INDEX(F_ProductBM!J:J,MATCH($P971,F_ProductBM!$P:$P,0))="","",INDEX(F_ProductBM!J:J,MATCH($P971,F_ProductBM!$P:$P,0))))</f>
        <v/>
      </c>
      <c r="K971" s="1007" t="str">
        <f>IF($I949="","",IF(INDEX(F_ProductBM!K:K,MATCH($P971,F_ProductBM!$P:$P,0))="","",INDEX(F_ProductBM!K:K,MATCH($P971,F_ProductBM!$P:$P,0))))</f>
        <v/>
      </c>
      <c r="L971" s="1007" t="str">
        <f>IF($I949="","",IF(INDEX(F_ProductBM!L:L,MATCH($P971,F_ProductBM!$P:$P,0))="","",INDEX(F_ProductBM!L:L,MATCH($P971,F_ProductBM!$P:$P,0))))</f>
        <v/>
      </c>
      <c r="M971" s="1007" t="str">
        <f>IF($I949="","",IF(INDEX(F_ProductBM!M:M,MATCH($P971,F_ProductBM!$P:$P,0))="","",INDEX(F_ProductBM!M:M,MATCH($P971,F_ProductBM!$P:$P,0))))</f>
        <v/>
      </c>
      <c r="N971" s="831"/>
      <c r="O971" s="20"/>
      <c r="P971" s="351" t="str">
        <f>EUconst_CNTR_EmissionsIntSource1 &amp; I949</f>
        <v>EmInternalSource1_</v>
      </c>
      <c r="Q971" s="422"/>
      <c r="R971" s="422"/>
      <c r="S971" s="422"/>
      <c r="T971" s="8"/>
    </row>
    <row r="972" spans="1:20" s="701" customFormat="1" x14ac:dyDescent="0.2">
      <c r="A972" s="422"/>
      <c r="B972" s="398"/>
      <c r="C972" s="398"/>
      <c r="E972" s="1974" t="str">
        <f>Translations!$B$752</f>
        <v>Dalsze strumienie materiałów wsadowych – 2:</v>
      </c>
      <c r="F972" s="1974"/>
      <c r="G972" s="1974"/>
      <c r="H972" s="453" t="str">
        <f>EUconst_tCO2pa</f>
        <v>t CO2 / rok</v>
      </c>
      <c r="I972" s="1007" t="str">
        <f>IF($I949="","",IF(INDEX(F_ProductBM!I:I,MATCH($P972,F_ProductBM!$P:$P,0))="","",INDEX(F_ProductBM!I:I,MATCH($P972,F_ProductBM!$P:$P,0))))</f>
        <v/>
      </c>
      <c r="J972" s="1007" t="str">
        <f>IF($I949="","",IF(INDEX(F_ProductBM!J:J,MATCH($P972,F_ProductBM!$P:$P,0))="","",INDEX(F_ProductBM!J:J,MATCH($P972,F_ProductBM!$P:$P,0))))</f>
        <v/>
      </c>
      <c r="K972" s="1007" t="str">
        <f>IF($I949="","",IF(INDEX(F_ProductBM!K:K,MATCH($P972,F_ProductBM!$P:$P,0))="","",INDEX(F_ProductBM!K:K,MATCH($P972,F_ProductBM!$P:$P,0))))</f>
        <v/>
      </c>
      <c r="L972" s="1007" t="str">
        <f>IF($I949="","",IF(INDEX(F_ProductBM!L:L,MATCH($P972,F_ProductBM!$P:$P,0))="","",INDEX(F_ProductBM!L:L,MATCH($P972,F_ProductBM!$P:$P,0))))</f>
        <v/>
      </c>
      <c r="M972" s="1007" t="str">
        <f>IF($I949="","",IF(INDEX(F_ProductBM!M:M,MATCH($P972,F_ProductBM!$P:$P,0))="","",INDEX(F_ProductBM!M:M,MATCH($P972,F_ProductBM!$P:$P,0))))</f>
        <v/>
      </c>
      <c r="N972" s="831"/>
      <c r="O972" s="20"/>
      <c r="P972" s="351" t="str">
        <f>EUconst_CNTR_EmissionsIntSource2 &amp; I949</f>
        <v>EmInternalSource2_</v>
      </c>
      <c r="Q972" s="422"/>
      <c r="R972" s="422"/>
      <c r="S972" s="422"/>
      <c r="T972" s="8"/>
    </row>
    <row r="973" spans="1:20" s="701" customFormat="1" x14ac:dyDescent="0.2">
      <c r="A973" s="422"/>
      <c r="B973" s="398"/>
      <c r="C973" s="398"/>
      <c r="D973" s="398"/>
      <c r="E973" s="1739" t="str">
        <f>Translations!$B$756</f>
        <v>Wprowadzone lub wyprowadzone gazy cieplarniane</v>
      </c>
      <c r="F973" s="1740"/>
      <c r="G973" s="1740"/>
      <c r="H973" s="453" t="str">
        <f>EUconst_tCO2epa</f>
        <v>t CO2e/rok</v>
      </c>
      <c r="I973" s="1007" t="str">
        <f>IF($I949="","",IF(INDEX(F_ProductBM!I:I,MATCH($P973,F_ProductBM!$P:$P,0))="","",INDEX(F_ProductBM!I:I,MATCH($P973,F_ProductBM!$P:$P,0))))</f>
        <v/>
      </c>
      <c r="J973" s="1007" t="str">
        <f>IF($I949="","",IF(INDEX(F_ProductBM!J:J,MATCH($P973,F_ProductBM!$P:$P,0))="","",INDEX(F_ProductBM!J:J,MATCH($P973,F_ProductBM!$P:$P,0))))</f>
        <v/>
      </c>
      <c r="K973" s="1007" t="str">
        <f>IF($I949="","",IF(INDEX(F_ProductBM!K:K,MATCH($P973,F_ProductBM!$P:$P,0))="","",INDEX(F_ProductBM!K:K,MATCH($P973,F_ProductBM!$P:$P,0))))</f>
        <v/>
      </c>
      <c r="L973" s="1007" t="str">
        <f>IF($I949="","",IF(INDEX(F_ProductBM!L:L,MATCH($P973,F_ProductBM!$P:$P,0))="","",INDEX(F_ProductBM!L:L,MATCH($P973,F_ProductBM!$P:$P,0))))</f>
        <v/>
      </c>
      <c r="M973" s="1007" t="str">
        <f>IF($I949="","",IF(INDEX(F_ProductBM!M:M,MATCH($P973,F_ProductBM!$P:$P,0))="","",INDEX(F_ProductBM!M:M,MATCH($P973,F_ProductBM!$P:$P,0))))</f>
        <v/>
      </c>
      <c r="N973" s="831"/>
      <c r="O973" s="20"/>
      <c r="P973" s="351" t="str">
        <f>EUconst_CNTR_CO2Feedstock &amp; I949</f>
        <v>EmCO2Feedstock_</v>
      </c>
      <c r="Q973" s="422"/>
      <c r="R973" s="422"/>
      <c r="S973" s="422"/>
      <c r="T973" s="8"/>
    </row>
    <row r="974" spans="1:20" s="701" customFormat="1" x14ac:dyDescent="0.2">
      <c r="A974" s="422"/>
      <c r="B974" s="398"/>
      <c r="C974" s="398"/>
      <c r="D974" s="398"/>
      <c r="E974" s="831"/>
      <c r="F974" s="831"/>
      <c r="G974" s="831"/>
      <c r="H974" s="831"/>
      <c r="I974" s="1006"/>
      <c r="J974" s="1006"/>
      <c r="K974" s="1006"/>
      <c r="L974" s="1006"/>
      <c r="M974" s="1006"/>
      <c r="N974" s="831"/>
      <c r="O974" s="20"/>
      <c r="P974" s="422"/>
      <c r="Q974" s="422"/>
      <c r="R974" s="422"/>
      <c r="S974" s="422"/>
      <c r="T974" s="8"/>
    </row>
    <row r="975" spans="1:20" s="701" customFormat="1" x14ac:dyDescent="0.2">
      <c r="A975" s="422"/>
      <c r="B975" s="398"/>
      <c r="C975" s="398"/>
      <c r="D975" s="398"/>
      <c r="E975" s="1766" t="str">
        <f>Translations!$B$764</f>
        <v>Ciepło wprowadzone netto</v>
      </c>
      <c r="F975" s="1767"/>
      <c r="G975" s="1767"/>
      <c r="H975" s="454" t="str">
        <f>EUconst_TJpa</f>
        <v>TJ / rok</v>
      </c>
      <c r="I975" s="1004" t="str">
        <f>IF($I949="","",IF(INDEX(F_ProductBM!I:I,MATCH($P975,F_ProductBM!$P:$P,0))="","",INDEX(F_ProductBM!I:I,MATCH($P975,F_ProductBM!$P:$P,0))))</f>
        <v/>
      </c>
      <c r="J975" s="1004" t="str">
        <f>IF($I949="","",IF(INDEX(F_ProductBM!J:J,MATCH($P975,F_ProductBM!$P:$P,0))="","",INDEX(F_ProductBM!J:J,MATCH($P975,F_ProductBM!$P:$P,0))))</f>
        <v/>
      </c>
      <c r="K975" s="1004" t="str">
        <f>IF($I949="","",IF(INDEX(F_ProductBM!K:K,MATCH($P975,F_ProductBM!$P:$P,0))="","",INDEX(F_ProductBM!K:K,MATCH($P975,F_ProductBM!$P:$P,0))))</f>
        <v/>
      </c>
      <c r="L975" s="1004" t="str">
        <f>IF($I949="","",IF(INDEX(F_ProductBM!L:L,MATCH($P975,F_ProductBM!$P:$P,0))="","",INDEX(F_ProductBM!L:L,MATCH($P975,F_ProductBM!$P:$P,0))))</f>
        <v/>
      </c>
      <c r="M975" s="1004" t="str">
        <f>IF($I949="","",IF(INDEX(F_ProductBM!M:M,MATCH($P975,F_ProductBM!$P:$P,0))="","",INDEX(F_ProductBM!M:M,MATCH($P975,F_ProductBM!$P:$P,0))))</f>
        <v/>
      </c>
      <c r="N975" s="831"/>
      <c r="O975" s="20"/>
      <c r="P975" s="351" t="str">
        <f>EUconst_CNTR_HeatImport &amp; I949</f>
        <v>HeatIm_</v>
      </c>
      <c r="Q975" s="422"/>
      <c r="R975" s="422"/>
      <c r="S975" s="422"/>
      <c r="T975" s="8"/>
    </row>
    <row r="976" spans="1:20" s="701" customFormat="1" x14ac:dyDescent="0.2">
      <c r="A976" s="422"/>
      <c r="B976" s="398"/>
      <c r="C976" s="398"/>
      <c r="D976" s="398"/>
      <c r="E976" s="1743" t="str">
        <f>Translations!$B$765</f>
        <v>Właściwy współczynnik emisji (ciepło wprowadzone)</v>
      </c>
      <c r="F976" s="1744"/>
      <c r="G976" s="1744"/>
      <c r="H976" s="473" t="str">
        <f>EUconst_tCO2pTJ</f>
        <v>t CO2 / TJ</v>
      </c>
      <c r="I976" s="1005" t="str">
        <f>IF($I949="","",IF(INDEX(F_ProductBM!I:I,MATCH($P976,F_ProductBM!$P:$P,0))="","",INDEX(F_ProductBM!I:I,MATCH($P976,F_ProductBM!$P:$P,0))))</f>
        <v/>
      </c>
      <c r="J976" s="1005" t="str">
        <f>IF($I949="","",IF(INDEX(F_ProductBM!J:J,MATCH($P976,F_ProductBM!$P:$P,0))="","",INDEX(F_ProductBM!J:J,MATCH($P976,F_ProductBM!$P:$P,0))))</f>
        <v/>
      </c>
      <c r="K976" s="1005" t="str">
        <f>IF($I949="","",IF(INDEX(F_ProductBM!K:K,MATCH($P976,F_ProductBM!$P:$P,0))="","",INDEX(F_ProductBM!K:K,MATCH($P976,F_ProductBM!$P:$P,0))))</f>
        <v/>
      </c>
      <c r="L976" s="1005" t="str">
        <f>IF($I949="","",IF(INDEX(F_ProductBM!L:L,MATCH($P976,F_ProductBM!$P:$P,0))="","",INDEX(F_ProductBM!L:L,MATCH($P976,F_ProductBM!$P:$P,0))))</f>
        <v/>
      </c>
      <c r="M976" s="1005" t="str">
        <f>IF($I949="","",IF(INDEX(F_ProductBM!M:M,MATCH($P976,F_ProductBM!$P:$P,0))="","",INDEX(F_ProductBM!M:M,MATCH($P976,F_ProductBM!$P:$P,0))))</f>
        <v/>
      </c>
      <c r="N976" s="831"/>
      <c r="O976" s="20"/>
      <c r="P976" s="351" t="str">
        <f>EUconst_CNTR_HeatImportEF &amp; I949</f>
        <v>HeatImEF_</v>
      </c>
      <c r="Q976" s="422"/>
      <c r="R976" s="422"/>
      <c r="S976" s="422"/>
      <c r="T976" s="8"/>
    </row>
    <row r="977" spans="1:20" s="701" customFormat="1" x14ac:dyDescent="0.2">
      <c r="A977" s="422"/>
      <c r="B977" s="398"/>
      <c r="C977" s="398"/>
      <c r="D977" s="398"/>
      <c r="E977" s="516"/>
      <c r="F977" s="831"/>
      <c r="G977" s="831"/>
      <c r="H977" s="831"/>
      <c r="I977" s="1006"/>
      <c r="J977" s="1006"/>
      <c r="K977" s="1006"/>
      <c r="L977" s="1006"/>
      <c r="M977" s="1006"/>
      <c r="N977" s="831"/>
      <c r="O977" s="20"/>
      <c r="P977" s="8"/>
      <c r="Q977" s="422"/>
      <c r="R977" s="422"/>
      <c r="S977" s="422"/>
      <c r="T977" s="8"/>
    </row>
    <row r="978" spans="1:20" s="701" customFormat="1" x14ac:dyDescent="0.2">
      <c r="A978" s="422"/>
      <c r="B978" s="398"/>
      <c r="C978" s="398"/>
      <c r="D978" s="398"/>
      <c r="E978" s="1739" t="str">
        <f>Translations!$B$820</f>
        <v>Ciepło wprowadzone netto z masy celulozowej</v>
      </c>
      <c r="F978" s="1740"/>
      <c r="G978" s="1740"/>
      <c r="H978" s="453" t="str">
        <f>EUconst_TJpa</f>
        <v>TJ / rok</v>
      </c>
      <c r="I978" s="1007" t="str">
        <f>IF($I949="","",IF(INDEX(F_ProductBM!I:I,MATCH($P978,F_ProductBM!$P:$P,0))="","",INDEX(F_ProductBM!I:I,MATCH($P978,F_ProductBM!$P:$P,0))))</f>
        <v/>
      </c>
      <c r="J978" s="1007" t="str">
        <f>IF($I949="","",IF(INDEX(F_ProductBM!J:J,MATCH($P978,F_ProductBM!$P:$P,0))="","",INDEX(F_ProductBM!J:J,MATCH($P978,F_ProductBM!$P:$P,0))))</f>
        <v/>
      </c>
      <c r="K978" s="1007" t="str">
        <f>IF($I949="","",IF(INDEX(F_ProductBM!K:K,MATCH($P978,F_ProductBM!$P:$P,0))="","",INDEX(F_ProductBM!K:K,MATCH($P978,F_ProductBM!$P:$P,0))))</f>
        <v/>
      </c>
      <c r="L978" s="1007" t="str">
        <f>IF($I949="","",IF(INDEX(F_ProductBM!L:L,MATCH($P978,F_ProductBM!$P:$P,0))="","",INDEX(F_ProductBM!L:L,MATCH($P978,F_ProductBM!$P:$P,0))))</f>
        <v/>
      </c>
      <c r="M978" s="1007" t="str">
        <f>IF($I949="","",IF(INDEX(F_ProductBM!M:M,MATCH($P978,F_ProductBM!$P:$P,0))="","",INDEX(F_ProductBM!M:M,MATCH($P978,F_ProductBM!$P:$P,0))))</f>
        <v/>
      </c>
      <c r="N978" s="831"/>
      <c r="O978" s="20"/>
      <c r="P978" s="351" t="str">
        <f>EUconst_CNTR_HeatImportPulp &amp; I949</f>
        <v>HeatImPulp_</v>
      </c>
      <c r="Q978" s="422"/>
      <c r="R978" s="422"/>
      <c r="S978" s="422"/>
      <c r="T978" s="8"/>
    </row>
    <row r="979" spans="1:20" s="701" customFormat="1" x14ac:dyDescent="0.2">
      <c r="A979" s="422"/>
      <c r="B979" s="398"/>
      <c r="C979" s="398"/>
      <c r="D979" s="398"/>
      <c r="E979" s="1739" t="str">
        <f>Translations!$B$768</f>
        <v>Ciepło wprowadzone netto z podinstalacji wytwarzającej kwas azotowy</v>
      </c>
      <c r="F979" s="1740"/>
      <c r="G979" s="1740"/>
      <c r="H979" s="453" t="str">
        <f>EUconst_TJpa</f>
        <v>TJ / rok</v>
      </c>
      <c r="I979" s="1007" t="str">
        <f>IF($I949="","",IF(INDEX(F_ProductBM!I:I,MATCH($P979,F_ProductBM!$P:$P,0))="","",INDEX(F_ProductBM!I:I,MATCH($P979,F_ProductBM!$P:$P,0))))</f>
        <v/>
      </c>
      <c r="J979" s="1007" t="str">
        <f>IF($I949="","",IF(INDEX(F_ProductBM!J:J,MATCH($P979,F_ProductBM!$P:$P,0))="","",INDEX(F_ProductBM!J:J,MATCH($P979,F_ProductBM!$P:$P,0))))</f>
        <v/>
      </c>
      <c r="K979" s="1007" t="str">
        <f>IF($I949="","",IF(INDEX(F_ProductBM!K:K,MATCH($P979,F_ProductBM!$P:$P,0))="","",INDEX(F_ProductBM!K:K,MATCH($P979,F_ProductBM!$P:$P,0))))</f>
        <v/>
      </c>
      <c r="L979" s="1007" t="str">
        <f>IF($I949="","",IF(INDEX(F_ProductBM!L:L,MATCH($P979,F_ProductBM!$P:$P,0))="","",INDEX(F_ProductBM!L:L,MATCH($P979,F_ProductBM!$P:$P,0))))</f>
        <v/>
      </c>
      <c r="M979" s="1007" t="str">
        <f>IF($I949="","",IF(INDEX(F_ProductBM!M:M,MATCH($P979,F_ProductBM!$P:$P,0))="","",INDEX(F_ProductBM!M:M,MATCH($P979,F_ProductBM!$P:$P,0))))</f>
        <v/>
      </c>
      <c r="N979" s="831"/>
      <c r="O979" s="20"/>
      <c r="P979" s="351" t="str">
        <f>EUconst_CNTR_HeatImportNitric &amp; I949</f>
        <v>HeatImNitric_</v>
      </c>
      <c r="Q979" s="422"/>
      <c r="R979" s="422"/>
      <c r="S979" s="422"/>
      <c r="T979" s="8"/>
    </row>
    <row r="980" spans="1:20" s="701" customFormat="1" x14ac:dyDescent="0.2">
      <c r="A980" s="422"/>
      <c r="B980" s="398"/>
      <c r="C980" s="398"/>
      <c r="D980" s="398"/>
      <c r="E980" s="516"/>
      <c r="F980" s="516"/>
      <c r="G980" s="516"/>
      <c r="H980" s="516"/>
      <c r="I980" s="1006"/>
      <c r="J980" s="1006"/>
      <c r="K980" s="1006"/>
      <c r="L980" s="1006"/>
      <c r="M980" s="1006"/>
      <c r="N980" s="831"/>
      <c r="O980" s="20"/>
      <c r="P980" s="8"/>
      <c r="Q980" s="422"/>
      <c r="R980" s="422"/>
      <c r="S980" s="422"/>
      <c r="T980" s="8"/>
    </row>
    <row r="981" spans="1:20" s="701" customFormat="1" x14ac:dyDescent="0.2">
      <c r="A981" s="422"/>
      <c r="B981" s="398"/>
      <c r="C981" s="398"/>
      <c r="D981" s="398"/>
      <c r="E981" s="1766" t="str">
        <f>Translations!$B$770</f>
        <v>Ciepło wyprowadzone netto</v>
      </c>
      <c r="F981" s="1767"/>
      <c r="G981" s="1767"/>
      <c r="H981" s="454" t="str">
        <f>EUconst_TJpa</f>
        <v>TJ / rok</v>
      </c>
      <c r="I981" s="1004" t="str">
        <f>IF($I949="","",IF(INDEX(F_ProductBM!I:I,MATCH($P981,F_ProductBM!$P:$P,0))="","",INDEX(F_ProductBM!I:I,MATCH($P981,F_ProductBM!$P:$P,0))))</f>
        <v/>
      </c>
      <c r="J981" s="1004" t="str">
        <f>IF($I949="","",IF(INDEX(F_ProductBM!J:J,MATCH($P981,F_ProductBM!$P:$P,0))="","",INDEX(F_ProductBM!J:J,MATCH($P981,F_ProductBM!$P:$P,0))))</f>
        <v/>
      </c>
      <c r="K981" s="1004" t="str">
        <f>IF($I949="","",IF(INDEX(F_ProductBM!K:K,MATCH($P981,F_ProductBM!$P:$P,0))="","",INDEX(F_ProductBM!K:K,MATCH($P981,F_ProductBM!$P:$P,0))))</f>
        <v/>
      </c>
      <c r="L981" s="1004" t="str">
        <f>IF($I949="","",IF(INDEX(F_ProductBM!L:L,MATCH($P981,F_ProductBM!$P:$P,0))="","",INDEX(F_ProductBM!L:L,MATCH($P981,F_ProductBM!$P:$P,0))))</f>
        <v/>
      </c>
      <c r="M981" s="1004" t="str">
        <f>IF($I949="","",IF(INDEX(F_ProductBM!M:M,MATCH($P981,F_ProductBM!$P:$P,0))="","",INDEX(F_ProductBM!M:M,MATCH($P981,F_ProductBM!$P:$P,0))))</f>
        <v/>
      </c>
      <c r="N981" s="831"/>
      <c r="O981" s="20"/>
      <c r="P981" s="351" t="str">
        <f>EUconst_CNTR_HeatExport &amp; I949</f>
        <v>HeatEx_</v>
      </c>
      <c r="Q981" s="422"/>
      <c r="R981" s="422"/>
      <c r="S981" s="422"/>
      <c r="T981" s="8"/>
    </row>
    <row r="982" spans="1:20" s="701" customFormat="1" x14ac:dyDescent="0.2">
      <c r="A982" s="422"/>
      <c r="B982" s="398"/>
      <c r="C982" s="398"/>
      <c r="D982" s="398"/>
      <c r="E982" s="1743" t="str">
        <f>Translations!$B$771</f>
        <v>Właściwy współczynnik emisji (ciepło wyprowadzone)</v>
      </c>
      <c r="F982" s="1744"/>
      <c r="G982" s="1744"/>
      <c r="H982" s="473" t="str">
        <f>EUconst_tCO2pTJ</f>
        <v>t CO2 / TJ</v>
      </c>
      <c r="I982" s="1005" t="str">
        <f>IF($I949="","",IF(INDEX(F_ProductBM!I:I,MATCH($P982,F_ProductBM!$P:$P,0))="","",INDEX(F_ProductBM!I:I,MATCH($P982,F_ProductBM!$P:$P,0))))</f>
        <v/>
      </c>
      <c r="J982" s="1005" t="str">
        <f>IF($I949="","",IF(INDEX(F_ProductBM!J:J,MATCH($P982,F_ProductBM!$P:$P,0))="","",INDEX(F_ProductBM!J:J,MATCH($P982,F_ProductBM!$P:$P,0))))</f>
        <v/>
      </c>
      <c r="K982" s="1005" t="str">
        <f>IF($I949="","",IF(INDEX(F_ProductBM!K:K,MATCH($P982,F_ProductBM!$P:$P,0))="","",INDEX(F_ProductBM!K:K,MATCH($P982,F_ProductBM!$P:$P,0))))</f>
        <v/>
      </c>
      <c r="L982" s="1005" t="str">
        <f>IF($I949="","",IF(INDEX(F_ProductBM!L:L,MATCH($P982,F_ProductBM!$P:$P,0))="","",INDEX(F_ProductBM!L:L,MATCH($P982,F_ProductBM!$P:$P,0))))</f>
        <v/>
      </c>
      <c r="M982" s="1005" t="str">
        <f>IF($I949="","",IF(INDEX(F_ProductBM!M:M,MATCH($P982,F_ProductBM!$P:$P,0))="","",INDEX(F_ProductBM!M:M,MATCH($P982,F_ProductBM!$P:$P,0))))</f>
        <v/>
      </c>
      <c r="N982" s="831"/>
      <c r="O982" s="20"/>
      <c r="P982" s="351" t="str">
        <f>EUconst_CNTR_HeatExportEF &amp; I949</f>
        <v>HeatExEF_</v>
      </c>
      <c r="Q982" s="422"/>
      <c r="R982" s="422"/>
      <c r="S982" s="422"/>
      <c r="T982" s="8"/>
    </row>
    <row r="983" spans="1:20" s="701" customFormat="1" x14ac:dyDescent="0.2">
      <c r="A983" s="422"/>
      <c r="B983" s="398"/>
      <c r="C983" s="398"/>
      <c r="D983" s="398"/>
      <c r="E983" s="516"/>
      <c r="F983" s="516"/>
      <c r="G983" s="516"/>
      <c r="H983" s="516"/>
      <c r="I983" s="1006"/>
      <c r="J983" s="1006"/>
      <c r="K983" s="1006"/>
      <c r="L983" s="1006"/>
      <c r="M983" s="1006"/>
      <c r="N983" s="831"/>
      <c r="O983" s="20"/>
      <c r="P983" s="182"/>
      <c r="Q983" s="422"/>
      <c r="R983" s="422"/>
      <c r="S983" s="422"/>
      <c r="T983" s="8"/>
    </row>
    <row r="984" spans="1:20" s="701" customFormat="1" x14ac:dyDescent="0.2">
      <c r="A984" s="422"/>
      <c r="B984" s="398"/>
      <c r="C984" s="398"/>
      <c r="D984" s="398"/>
      <c r="E984" s="1766" t="str">
        <f>Translations!$B$778</f>
        <v>Gazy odlotowe wytworzone</v>
      </c>
      <c r="F984" s="1767"/>
      <c r="G984" s="1767"/>
      <c r="H984" s="454" t="str">
        <f>EUconst_TJpa</f>
        <v>TJ / rok</v>
      </c>
      <c r="I984" s="1004" t="str">
        <f>IF($I949="","",IF(INDEX(F_ProductBM!I:I,MATCH($P984,F_ProductBM!$P:$P,0))="","",INDEX(F_ProductBM!I:I,MATCH($P984,F_ProductBM!$P:$P,0))))</f>
        <v/>
      </c>
      <c r="J984" s="1004" t="str">
        <f>IF($I949="","",IF(INDEX(F_ProductBM!J:J,MATCH($P984,F_ProductBM!$P:$P,0))="","",INDEX(F_ProductBM!J:J,MATCH($P984,F_ProductBM!$P:$P,0))))</f>
        <v/>
      </c>
      <c r="K984" s="1004" t="str">
        <f>IF($I949="","",IF(INDEX(F_ProductBM!K:K,MATCH($P984,F_ProductBM!$P:$P,0))="","",INDEX(F_ProductBM!K:K,MATCH($P984,F_ProductBM!$P:$P,0))))</f>
        <v/>
      </c>
      <c r="L984" s="1004" t="str">
        <f>IF($I949="","",IF(INDEX(F_ProductBM!L:L,MATCH($P984,F_ProductBM!$P:$P,0))="","",INDEX(F_ProductBM!L:L,MATCH($P984,F_ProductBM!$P:$P,0))))</f>
        <v/>
      </c>
      <c r="M984" s="1004" t="str">
        <f>IF($I949="","",IF(INDEX(F_ProductBM!M:M,MATCH($P984,F_ProductBM!$P:$P,0))="","",INDEX(F_ProductBM!M:M,MATCH($P984,F_ProductBM!$P:$P,0))))</f>
        <v/>
      </c>
      <c r="N984" s="831"/>
      <c r="O984" s="20"/>
      <c r="P984" s="830" t="str">
        <f>EUconst_CNTR_WGProduced &amp; I949</f>
        <v>WasteGasProd_</v>
      </c>
      <c r="Q984" s="422"/>
      <c r="R984" s="422"/>
      <c r="S984" s="422"/>
      <c r="T984" s="8"/>
    </row>
    <row r="985" spans="1:20" s="701" customFormat="1" x14ac:dyDescent="0.2">
      <c r="A985" s="422"/>
      <c r="B985" s="398"/>
      <c r="C985" s="398"/>
      <c r="D985" s="398"/>
      <c r="E985" s="1743" t="str">
        <f>Translations!$B$779</f>
        <v>Właściwy współczynnik emisji (gazy odlotowe wytworzone)</v>
      </c>
      <c r="F985" s="1744"/>
      <c r="G985" s="1744"/>
      <c r="H985" s="473" t="str">
        <f>EUconst_tCO2pTJ</f>
        <v>t CO2 / TJ</v>
      </c>
      <c r="I985" s="1005" t="str">
        <f>IF($I949="","",IF(INDEX(F_ProductBM!I:I,MATCH($P985,F_ProductBM!$P:$P,0))="","",INDEX(F_ProductBM!I:I,MATCH($P985,F_ProductBM!$P:$P,0))))</f>
        <v/>
      </c>
      <c r="J985" s="1005" t="str">
        <f>IF($I949="","",IF(INDEX(F_ProductBM!J:J,MATCH($P985,F_ProductBM!$P:$P,0))="","",INDEX(F_ProductBM!J:J,MATCH($P985,F_ProductBM!$P:$P,0))))</f>
        <v/>
      </c>
      <c r="K985" s="1005" t="str">
        <f>IF($I949="","",IF(INDEX(F_ProductBM!K:K,MATCH($P985,F_ProductBM!$P:$P,0))="","",INDEX(F_ProductBM!K:K,MATCH($P985,F_ProductBM!$P:$P,0))))</f>
        <v/>
      </c>
      <c r="L985" s="1005" t="str">
        <f>IF($I949="","",IF(INDEX(F_ProductBM!L:L,MATCH($P985,F_ProductBM!$P:$P,0))="","",INDEX(F_ProductBM!L:L,MATCH($P985,F_ProductBM!$P:$P,0))))</f>
        <v/>
      </c>
      <c r="M985" s="1005" t="str">
        <f>IF($I949="","",IF(INDEX(F_ProductBM!M:M,MATCH($P985,F_ProductBM!$P:$P,0))="","",INDEX(F_ProductBM!M:M,MATCH($P985,F_ProductBM!$P:$P,0))))</f>
        <v/>
      </c>
      <c r="N985" s="831"/>
      <c r="O985" s="20"/>
      <c r="P985" s="351" t="str">
        <f>EUconst_CNTR_WGProducedEF &amp; I949</f>
        <v>WasteGasProdEF_</v>
      </c>
      <c r="Q985" s="422"/>
      <c r="R985" s="422"/>
      <c r="S985" s="422"/>
      <c r="T985" s="8"/>
    </row>
    <row r="986" spans="1:20" s="701" customFormat="1" x14ac:dyDescent="0.2">
      <c r="A986" s="422"/>
      <c r="B986" s="398"/>
      <c r="C986" s="398"/>
      <c r="D986" s="398"/>
      <c r="E986" s="1766" t="str">
        <f>Translations!$B$783</f>
        <v>Gazy odlotowe zużyte</v>
      </c>
      <c r="F986" s="1767"/>
      <c r="G986" s="1767"/>
      <c r="H986" s="454" t="str">
        <f>EUconst_TJpa</f>
        <v>TJ / rok</v>
      </c>
      <c r="I986" s="1004" t="str">
        <f>IF($I949="","",IF(INDEX(F_ProductBM!I:I,MATCH($P986,F_ProductBM!$P:$P,0))="","",INDEX(F_ProductBM!I:I,MATCH($P986,F_ProductBM!$P:$P,0))))</f>
        <v/>
      </c>
      <c r="J986" s="1004" t="str">
        <f>IF($I949="","",IF(INDEX(F_ProductBM!J:J,MATCH($P986,F_ProductBM!$P:$P,0))="","",INDEX(F_ProductBM!J:J,MATCH($P986,F_ProductBM!$P:$P,0))))</f>
        <v/>
      </c>
      <c r="K986" s="1004" t="str">
        <f>IF($I949="","",IF(INDEX(F_ProductBM!K:K,MATCH($P986,F_ProductBM!$P:$P,0))="","",INDEX(F_ProductBM!K:K,MATCH($P986,F_ProductBM!$P:$P,0))))</f>
        <v/>
      </c>
      <c r="L986" s="1004" t="str">
        <f>IF($I949="","",IF(INDEX(F_ProductBM!L:L,MATCH($P986,F_ProductBM!$P:$P,0))="","",INDEX(F_ProductBM!L:L,MATCH($P986,F_ProductBM!$P:$P,0))))</f>
        <v/>
      </c>
      <c r="M986" s="1004" t="str">
        <f>IF($I949="","",IF(INDEX(F_ProductBM!M:M,MATCH($P986,F_ProductBM!$P:$P,0))="","",INDEX(F_ProductBM!M:M,MATCH($P986,F_ProductBM!$P:$P,0))))</f>
        <v/>
      </c>
      <c r="N986" s="831"/>
      <c r="O986" s="20"/>
      <c r="P986" s="351" t="str">
        <f>EUconst_CNTR_WGConsumed &amp; I949</f>
        <v>WasteGasCons_</v>
      </c>
      <c r="Q986" s="422"/>
      <c r="R986" s="422"/>
      <c r="S986" s="422"/>
      <c r="T986" s="8"/>
    </row>
    <row r="987" spans="1:20" s="701" customFormat="1" x14ac:dyDescent="0.2">
      <c r="A987" s="422"/>
      <c r="B987" s="398"/>
      <c r="C987" s="398"/>
      <c r="D987" s="398"/>
      <c r="E987" s="1743" t="str">
        <f>Translations!$B$784</f>
        <v>Właściwy współczynnik emisji (gazy odlotowe zużyte)</v>
      </c>
      <c r="F987" s="1744"/>
      <c r="G987" s="1744"/>
      <c r="H987" s="473" t="str">
        <f>EUconst_tCO2pTJ</f>
        <v>t CO2 / TJ</v>
      </c>
      <c r="I987" s="1005" t="str">
        <f>IF($I949="","",IF(INDEX(F_ProductBM!I:I,MATCH($P987,F_ProductBM!$P:$P,0))="","",INDEX(F_ProductBM!I:I,MATCH($P987,F_ProductBM!$P:$P,0))))</f>
        <v/>
      </c>
      <c r="J987" s="1005" t="str">
        <f>IF($I949="","",IF(INDEX(F_ProductBM!J:J,MATCH($P987,F_ProductBM!$P:$P,0))="","",INDEX(F_ProductBM!J:J,MATCH($P987,F_ProductBM!$P:$P,0))))</f>
        <v/>
      </c>
      <c r="K987" s="1005" t="str">
        <f>IF($I949="","",IF(INDEX(F_ProductBM!K:K,MATCH($P987,F_ProductBM!$P:$P,0))="","",INDEX(F_ProductBM!K:K,MATCH($P987,F_ProductBM!$P:$P,0))))</f>
        <v/>
      </c>
      <c r="L987" s="1005" t="str">
        <f>IF($I949="","",IF(INDEX(F_ProductBM!L:L,MATCH($P987,F_ProductBM!$P:$P,0))="","",INDEX(F_ProductBM!L:L,MATCH($P987,F_ProductBM!$P:$P,0))))</f>
        <v/>
      </c>
      <c r="M987" s="1005" t="str">
        <f>IF($I949="","",IF(INDEX(F_ProductBM!M:M,MATCH($P987,F_ProductBM!$P:$P,0))="","",INDEX(F_ProductBM!M:M,MATCH($P987,F_ProductBM!$P:$P,0))))</f>
        <v/>
      </c>
      <c r="N987" s="831"/>
      <c r="O987" s="20"/>
      <c r="P987" s="351" t="str">
        <f>EUconst_CNTR_WGConsumedEF &amp; I949</f>
        <v>WasteGasConsEF_</v>
      </c>
      <c r="Q987" s="422"/>
      <c r="R987" s="422"/>
      <c r="S987" s="422"/>
      <c r="T987" s="8"/>
    </row>
    <row r="988" spans="1:20" s="701" customFormat="1" x14ac:dyDescent="0.2">
      <c r="A988" s="422"/>
      <c r="B988" s="398"/>
      <c r="C988" s="398"/>
      <c r="D988" s="398"/>
      <c r="E988" s="1766" t="str">
        <f>Translations!$B$790</f>
        <v>Gazy odlotowe spalone na pochodniach</v>
      </c>
      <c r="F988" s="1767"/>
      <c r="G988" s="1767"/>
      <c r="H988" s="454" t="str">
        <f>EUconst_TJpa</f>
        <v>TJ / rok</v>
      </c>
      <c r="I988" s="1004" t="str">
        <f>IF($I949="","",IF(INDEX(F_ProductBM!I:I,MATCH($P988,F_ProductBM!$P:$P,0))="","",INDEX(F_ProductBM!I:I,MATCH($P988,F_ProductBM!$P:$P,0))))</f>
        <v/>
      </c>
      <c r="J988" s="1004" t="str">
        <f>IF($I949="","",IF(INDEX(F_ProductBM!J:J,MATCH($P988,F_ProductBM!$P:$P,0))="","",INDEX(F_ProductBM!J:J,MATCH($P988,F_ProductBM!$P:$P,0))))</f>
        <v/>
      </c>
      <c r="K988" s="1004" t="str">
        <f>IF($I949="","",IF(INDEX(F_ProductBM!K:K,MATCH($P988,F_ProductBM!$P:$P,0))="","",INDEX(F_ProductBM!K:K,MATCH($P988,F_ProductBM!$P:$P,0))))</f>
        <v/>
      </c>
      <c r="L988" s="1004" t="str">
        <f>IF($I949="","",IF(INDEX(F_ProductBM!L:L,MATCH($P988,F_ProductBM!$P:$P,0))="","",INDEX(F_ProductBM!L:L,MATCH($P988,F_ProductBM!$P:$P,0))))</f>
        <v/>
      </c>
      <c r="M988" s="1004" t="str">
        <f>IF($I949="","",IF(INDEX(F_ProductBM!M:M,MATCH($P988,F_ProductBM!$P:$P,0))="","",INDEX(F_ProductBM!M:M,MATCH($P988,F_ProductBM!$P:$P,0))))</f>
        <v/>
      </c>
      <c r="N988" s="831"/>
      <c r="O988" s="20"/>
      <c r="P988" s="351" t="str">
        <f>EUconst_CNTR_WGFlared &amp; I949</f>
        <v>WasteGasFlare_</v>
      </c>
      <c r="Q988" s="422"/>
      <c r="R988" s="422"/>
      <c r="S988" s="422"/>
      <c r="T988" s="8"/>
    </row>
    <row r="989" spans="1:20" s="701" customFormat="1" x14ac:dyDescent="0.2">
      <c r="A989" s="422"/>
      <c r="B989" s="398"/>
      <c r="C989" s="398"/>
      <c r="D989" s="398"/>
      <c r="E989" s="1743" t="str">
        <f>Translations!$B$791</f>
        <v>Właściwy współczynnik emisji (gazy odlotowe spalone na pochodniach)</v>
      </c>
      <c r="F989" s="1744"/>
      <c r="G989" s="1744"/>
      <c r="H989" s="473" t="str">
        <f>EUconst_tCO2pTJ</f>
        <v>t CO2 / TJ</v>
      </c>
      <c r="I989" s="1005" t="str">
        <f>IF($I949="","",IF(INDEX(F_ProductBM!I:I,MATCH($P989,F_ProductBM!$P:$P,0))="","",INDEX(F_ProductBM!I:I,MATCH($P989,F_ProductBM!$P:$P,0))))</f>
        <v/>
      </c>
      <c r="J989" s="1005" t="str">
        <f>IF($I949="","",IF(INDEX(F_ProductBM!J:J,MATCH($P989,F_ProductBM!$P:$P,0))="","",INDEX(F_ProductBM!J:J,MATCH($P989,F_ProductBM!$P:$P,0))))</f>
        <v/>
      </c>
      <c r="K989" s="1005" t="str">
        <f>IF($I949="","",IF(INDEX(F_ProductBM!K:K,MATCH($P989,F_ProductBM!$P:$P,0))="","",INDEX(F_ProductBM!K:K,MATCH($P989,F_ProductBM!$P:$P,0))))</f>
        <v/>
      </c>
      <c r="L989" s="1005" t="str">
        <f>IF($I949="","",IF(INDEX(F_ProductBM!L:L,MATCH($P989,F_ProductBM!$P:$P,0))="","",INDEX(F_ProductBM!L:L,MATCH($P989,F_ProductBM!$P:$P,0))))</f>
        <v/>
      </c>
      <c r="M989" s="1005" t="str">
        <f>IF($I949="","",IF(INDEX(F_ProductBM!M:M,MATCH($P989,F_ProductBM!$P:$P,0))="","",INDEX(F_ProductBM!M:M,MATCH($P989,F_ProductBM!$P:$P,0))))</f>
        <v/>
      </c>
      <c r="N989" s="831"/>
      <c r="O989" s="20"/>
      <c r="P989" s="351" t="str">
        <f>EUconst_CNTR_WGFlaredEF &amp; I949</f>
        <v>WasteGasFlareEF_</v>
      </c>
      <c r="Q989" s="422"/>
      <c r="R989" s="422"/>
      <c r="S989" s="422"/>
      <c r="T989" s="8"/>
    </row>
    <row r="990" spans="1:20" s="701" customFormat="1" x14ac:dyDescent="0.2">
      <c r="A990" s="422"/>
      <c r="B990" s="398"/>
      <c r="C990" s="398"/>
      <c r="D990" s="398"/>
      <c r="E990" s="1766" t="str">
        <f>Translations!$B$796</f>
        <v>Gazy odlotowe wprowadzone</v>
      </c>
      <c r="F990" s="1767"/>
      <c r="G990" s="1767"/>
      <c r="H990" s="454" t="str">
        <f>EUconst_TJpa</f>
        <v>TJ / rok</v>
      </c>
      <c r="I990" s="1004" t="str">
        <f>IF($I949="","",IF(INDEX(F_ProductBM!I:I,MATCH($P990,F_ProductBM!$P:$P,0))="","",INDEX(F_ProductBM!I:I,MATCH($P990,F_ProductBM!$P:$P,0))))</f>
        <v/>
      </c>
      <c r="J990" s="1004" t="str">
        <f>IF($I949="","",IF(INDEX(F_ProductBM!J:J,MATCH($P990,F_ProductBM!$P:$P,0))="","",INDEX(F_ProductBM!J:J,MATCH($P990,F_ProductBM!$P:$P,0))))</f>
        <v/>
      </c>
      <c r="K990" s="1004" t="str">
        <f>IF($I949="","",IF(INDEX(F_ProductBM!K:K,MATCH($P990,F_ProductBM!$P:$P,0))="","",INDEX(F_ProductBM!K:K,MATCH($P990,F_ProductBM!$P:$P,0))))</f>
        <v/>
      </c>
      <c r="L990" s="1004" t="str">
        <f>IF($I949="","",IF(INDEX(F_ProductBM!L:L,MATCH($P990,F_ProductBM!$P:$P,0))="","",INDEX(F_ProductBM!L:L,MATCH($P990,F_ProductBM!$P:$P,0))))</f>
        <v/>
      </c>
      <c r="M990" s="1004" t="str">
        <f>IF($I949="","",IF(INDEX(F_ProductBM!M:M,MATCH($P990,F_ProductBM!$P:$P,0))="","",INDEX(F_ProductBM!M:M,MATCH($P990,F_ProductBM!$P:$P,0))))</f>
        <v/>
      </c>
      <c r="N990" s="831"/>
      <c r="O990" s="20"/>
      <c r="P990" s="351" t="str">
        <f>EUconst_CNTR_WGImport &amp; I949</f>
        <v>WasteGasIm_</v>
      </c>
      <c r="Q990" s="422"/>
      <c r="R990" s="422"/>
      <c r="S990" s="422"/>
      <c r="T990" s="8"/>
    </row>
    <row r="991" spans="1:20" s="701" customFormat="1" x14ac:dyDescent="0.2">
      <c r="A991" s="422"/>
      <c r="B991" s="398"/>
      <c r="C991" s="398"/>
      <c r="D991" s="398"/>
      <c r="E991" s="1743" t="str">
        <f>Translations!$B$797</f>
        <v>Właściwy współczynnik emisji (gazy odlotowe wprowadzone)</v>
      </c>
      <c r="F991" s="1743"/>
      <c r="G991" s="1743"/>
      <c r="H991" s="832" t="str">
        <f>EUconst_tCO2pTJ</f>
        <v>t CO2 / TJ</v>
      </c>
      <c r="I991" s="1005" t="str">
        <f>IF($I949="","",IF(INDEX(F_ProductBM!I:I,MATCH($P991,F_ProductBM!$P:$P,0))="","",INDEX(F_ProductBM!I:I,MATCH($P991,F_ProductBM!$P:$P,0))))</f>
        <v/>
      </c>
      <c r="J991" s="1005" t="str">
        <f>IF($I949="","",IF(INDEX(F_ProductBM!J:J,MATCH($P991,F_ProductBM!$P:$P,0))="","",INDEX(F_ProductBM!J:J,MATCH($P991,F_ProductBM!$P:$P,0))))</f>
        <v/>
      </c>
      <c r="K991" s="1005" t="str">
        <f>IF($I949="","",IF(INDEX(F_ProductBM!K:K,MATCH($P991,F_ProductBM!$P:$P,0))="","",INDEX(F_ProductBM!K:K,MATCH($P991,F_ProductBM!$P:$P,0))))</f>
        <v/>
      </c>
      <c r="L991" s="1005" t="str">
        <f>IF($I949="","",IF(INDEX(F_ProductBM!L:L,MATCH($P991,F_ProductBM!$P:$P,0))="","",INDEX(F_ProductBM!L:L,MATCH($P991,F_ProductBM!$P:$P,0))))</f>
        <v/>
      </c>
      <c r="M991" s="1005" t="str">
        <f>IF($I949="","",IF(INDEX(F_ProductBM!M:M,MATCH($P991,F_ProductBM!$P:$P,0))="","",INDEX(F_ProductBM!M:M,MATCH($P991,F_ProductBM!$P:$P,0))))</f>
        <v/>
      </c>
      <c r="N991" s="831"/>
      <c r="O991" s="20"/>
      <c r="P991" s="351" t="str">
        <f>EUconst_CNTR_WGImportEF &amp; I949</f>
        <v>WasteGasImEF_</v>
      </c>
      <c r="Q991" s="422"/>
      <c r="R991" s="422"/>
      <c r="S991" s="422"/>
      <c r="T991" s="8"/>
    </row>
    <row r="992" spans="1:20" s="701" customFormat="1" x14ac:dyDescent="0.2">
      <c r="A992" s="422"/>
      <c r="B992" s="398"/>
      <c r="C992" s="398"/>
      <c r="D992" s="398"/>
      <c r="E992" s="1766" t="str">
        <f>Translations!$B$801</f>
        <v>Gazy odlotowe wyprowadzone</v>
      </c>
      <c r="F992" s="1767"/>
      <c r="G992" s="1767"/>
      <c r="H992" s="454" t="str">
        <f>EUconst_TJpa</f>
        <v>TJ / rok</v>
      </c>
      <c r="I992" s="1004" t="str">
        <f>IF($I949="","",IF(INDEX(F_ProductBM!I:I,MATCH($P992,F_ProductBM!$P:$P,0))="","",INDEX(F_ProductBM!I:I,MATCH($P992,F_ProductBM!$P:$P,0))))</f>
        <v/>
      </c>
      <c r="J992" s="1004" t="str">
        <f>IF($I949="","",IF(INDEX(F_ProductBM!J:J,MATCH($P992,F_ProductBM!$P:$P,0))="","",INDEX(F_ProductBM!J:J,MATCH($P992,F_ProductBM!$P:$P,0))))</f>
        <v/>
      </c>
      <c r="K992" s="1004" t="str">
        <f>IF($I949="","",IF(INDEX(F_ProductBM!K:K,MATCH($P992,F_ProductBM!$P:$P,0))="","",INDEX(F_ProductBM!K:K,MATCH($P992,F_ProductBM!$P:$P,0))))</f>
        <v/>
      </c>
      <c r="L992" s="1004" t="str">
        <f>IF($I949="","",IF(INDEX(F_ProductBM!L:L,MATCH($P992,F_ProductBM!$P:$P,0))="","",INDEX(F_ProductBM!L:L,MATCH($P992,F_ProductBM!$P:$P,0))))</f>
        <v/>
      </c>
      <c r="M992" s="1004" t="str">
        <f>IF($I949="","",IF(INDEX(F_ProductBM!M:M,MATCH($P992,F_ProductBM!$P:$P,0))="","",INDEX(F_ProductBM!M:M,MATCH($P992,F_ProductBM!$P:$P,0))))</f>
        <v/>
      </c>
      <c r="N992" s="831"/>
      <c r="O992" s="20"/>
      <c r="P992" s="351" t="str">
        <f>EUconst_CNTR_WGExport &amp; I949</f>
        <v>WasteGasEx_</v>
      </c>
      <c r="Q992" s="422"/>
      <c r="R992" s="422"/>
      <c r="S992" s="422"/>
      <c r="T992" s="8"/>
    </row>
    <row r="993" spans="1:20" s="701" customFormat="1" x14ac:dyDescent="0.2">
      <c r="A993" s="422"/>
      <c r="B993" s="398"/>
      <c r="C993" s="398"/>
      <c r="D993" s="398"/>
      <c r="E993" s="1743" t="str">
        <f>Translations!$B$802</f>
        <v>Właściwy współczynnik emisji (gazy odlotowe wyprowadzone)</v>
      </c>
      <c r="F993" s="1743"/>
      <c r="G993" s="1743"/>
      <c r="H993" s="832" t="str">
        <f>EUconst_tCO2pTJ</f>
        <v>t CO2 / TJ</v>
      </c>
      <c r="I993" s="1005" t="str">
        <f>IF($I949="","",IF(INDEX(F_ProductBM!I:I,MATCH($P993,F_ProductBM!$P:$P,0))="","",INDEX(F_ProductBM!I:I,MATCH($P993,F_ProductBM!$P:$P,0))))</f>
        <v/>
      </c>
      <c r="J993" s="1005" t="str">
        <f>IF($I949="","",IF(INDEX(F_ProductBM!J:J,MATCH($P993,F_ProductBM!$P:$P,0))="","",INDEX(F_ProductBM!J:J,MATCH($P993,F_ProductBM!$P:$P,0))))</f>
        <v/>
      </c>
      <c r="K993" s="1005" t="str">
        <f>IF($I949="","",IF(INDEX(F_ProductBM!K:K,MATCH($P993,F_ProductBM!$P:$P,0))="","",INDEX(F_ProductBM!K:K,MATCH($P993,F_ProductBM!$P:$P,0))))</f>
        <v/>
      </c>
      <c r="L993" s="1005" t="str">
        <f>IF($I949="","",IF(INDEX(F_ProductBM!L:L,MATCH($P993,F_ProductBM!$P:$P,0))="","",INDEX(F_ProductBM!L:L,MATCH($P993,F_ProductBM!$P:$P,0))))</f>
        <v/>
      </c>
      <c r="M993" s="1005" t="str">
        <f>IF($I949="","",IF(INDEX(F_ProductBM!M:M,MATCH($P993,F_ProductBM!$P:$P,0))="","",INDEX(F_ProductBM!M:M,MATCH($P993,F_ProductBM!$P:$P,0))))</f>
        <v/>
      </c>
      <c r="N993" s="831"/>
      <c r="O993" s="20"/>
      <c r="P993" s="351" t="str">
        <f>EUconst_CNTR_WGExportEF &amp; I949</f>
        <v>WasteGasExEF_</v>
      </c>
      <c r="Q993" s="422"/>
      <c r="R993" s="422"/>
      <c r="S993" s="422"/>
      <c r="T993" s="8"/>
    </row>
    <row r="994" spans="1:20" s="701" customFormat="1" x14ac:dyDescent="0.2">
      <c r="A994" s="422"/>
      <c r="B994" s="398"/>
      <c r="C994" s="398"/>
      <c r="D994" s="398"/>
      <c r="E994" s="516"/>
      <c r="F994" s="516"/>
      <c r="G994" s="516"/>
      <c r="H994" s="516"/>
      <c r="I994" s="1006"/>
      <c r="J994" s="1006"/>
      <c r="K994" s="1006"/>
      <c r="L994" s="1006"/>
      <c r="M994" s="1006"/>
      <c r="N994" s="831"/>
      <c r="O994" s="20"/>
      <c r="P994" s="182"/>
      <c r="Q994" s="422"/>
      <c r="R994" s="422"/>
      <c r="S994" s="422"/>
      <c r="T994" s="8"/>
    </row>
    <row r="995" spans="1:20" s="701" customFormat="1" x14ac:dyDescent="0.2">
      <c r="A995" s="422"/>
      <c r="B995" s="398"/>
      <c r="C995" s="398"/>
      <c r="D995" s="398"/>
      <c r="E995" s="1739" t="str">
        <f>Translations!$B$689</f>
        <v>Odpowiednie zużycie energii elektrycznej</v>
      </c>
      <c r="F995" s="1740"/>
      <c r="G995" s="1740"/>
      <c r="H995" s="453" t="str">
        <f>EUconst_MWhpa</f>
        <v>MWh / rok</v>
      </c>
      <c r="I995" s="1007" t="str">
        <f>IF($I949="","",IF(INDEX(F_ProductBM!I:I,MATCH($P995,F_ProductBM!$Q:$Q,0))="","",INDEX(F_ProductBM!I:I,MATCH($P995,F_ProductBM!$Q:$Q,0))))</f>
        <v/>
      </c>
      <c r="J995" s="1007" t="str">
        <f>IF($I949="","",IF(INDEX(F_ProductBM!J:J,MATCH($P995,F_ProductBM!$Q:$Q,0))="","",INDEX(F_ProductBM!J:J,MATCH($P995,F_ProductBM!$Q:$Q,0))))</f>
        <v/>
      </c>
      <c r="K995" s="1007" t="str">
        <f>IF($I949="","",IF(INDEX(F_ProductBM!K:K,MATCH($P995,F_ProductBM!$Q:$Q,0))="","",INDEX(F_ProductBM!K:K,MATCH($P995,F_ProductBM!$Q:$Q,0))))</f>
        <v/>
      </c>
      <c r="L995" s="1007" t="str">
        <f>IF($I949="","",IF(INDEX(F_ProductBM!L:L,MATCH($P995,F_ProductBM!$Q:$Q,0))="","",INDEX(F_ProductBM!L:L,MATCH($P995,F_ProductBM!$Q:$Q,0))))</f>
        <v/>
      </c>
      <c r="M995" s="1007" t="str">
        <f>IF($I949="","",IF(INDEX(F_ProductBM!M:M,MATCH($P995,F_ProductBM!$Q:$Q,0))="","",INDEX(F_ProductBM!M:M,MATCH($P995,F_ProductBM!$Q:$Q,0))))</f>
        <v/>
      </c>
      <c r="N995" s="831"/>
      <c r="O995" s="20"/>
      <c r="P995" s="185" t="str">
        <f>EUconst_CNTR_HAL&amp;EUconst_CNTR_ELEXCH &amp; I949</f>
        <v>HAL_ELEXCH_</v>
      </c>
      <c r="Q995" s="422"/>
      <c r="R995" s="422"/>
      <c r="S995" s="422"/>
      <c r="T995" s="8"/>
    </row>
    <row r="996" spans="1:20" s="701" customFormat="1" x14ac:dyDescent="0.2">
      <c r="A996" s="422"/>
      <c r="B996" s="398"/>
      <c r="C996" s="398"/>
      <c r="D996" s="398"/>
      <c r="E996" s="1739" t="str">
        <f>Translations!$B$805</f>
        <v>Energia elektryczna wytworzona</v>
      </c>
      <c r="F996" s="1740"/>
      <c r="G996" s="1740"/>
      <c r="H996" s="453" t="str">
        <f>EUconst_MWhpa</f>
        <v>MWh / rok</v>
      </c>
      <c r="I996" s="1007" t="str">
        <f>IF($I949="","",IF(INDEX(F_ProductBM!I:I,MATCH($P996,F_ProductBM!$P:$P,0))="","",INDEX(F_ProductBM!I:I,MATCH($P996,F_ProductBM!$P:$P,0))))</f>
        <v/>
      </c>
      <c r="J996" s="1007" t="str">
        <f>IF($I949="","",IF(INDEX(F_ProductBM!J:J,MATCH($P996,F_ProductBM!$P:$P,0))="","",INDEX(F_ProductBM!J:J,MATCH($P996,F_ProductBM!$P:$P,0))))</f>
        <v/>
      </c>
      <c r="K996" s="1007" t="str">
        <f>IF($I949="","",IF(INDEX(F_ProductBM!K:K,MATCH($P996,F_ProductBM!$P:$P,0))="","",INDEX(F_ProductBM!K:K,MATCH($P996,F_ProductBM!$P:$P,0))))</f>
        <v/>
      </c>
      <c r="L996" s="1007" t="str">
        <f>IF($I949="","",IF(INDEX(F_ProductBM!L:L,MATCH($P996,F_ProductBM!$P:$P,0))="","",INDEX(F_ProductBM!L:L,MATCH($P996,F_ProductBM!$P:$P,0))))</f>
        <v/>
      </c>
      <c r="M996" s="1007" t="str">
        <f>IF($I949="","",IF(INDEX(F_ProductBM!M:M,MATCH($P996,F_ProductBM!$P:$P,0))="","",INDEX(F_ProductBM!M:M,MATCH($P996,F_ProductBM!$P:$P,0))))</f>
        <v/>
      </c>
      <c r="N996" s="831"/>
      <c r="O996" s="20"/>
      <c r="P996" s="351" t="str">
        <f>EUconst_CNTR_ElectricityExported &amp; I949</f>
        <v>ElecEx_</v>
      </c>
      <c r="Q996" s="422"/>
      <c r="R996" s="422"/>
      <c r="S996" s="422"/>
      <c r="T996" s="8"/>
    </row>
    <row r="997" spans="1:20" s="701" customFormat="1" x14ac:dyDescent="0.2">
      <c r="A997" s="422"/>
      <c r="B997" s="398"/>
      <c r="C997" s="398"/>
      <c r="D997" s="398"/>
      <c r="E997" s="516"/>
      <c r="F997" s="516"/>
      <c r="G997" s="516"/>
      <c r="H997" s="516"/>
      <c r="I997" s="1006"/>
      <c r="J997" s="1006"/>
      <c r="K997" s="1006"/>
      <c r="L997" s="1006"/>
      <c r="M997" s="1006"/>
      <c r="N997" s="831"/>
      <c r="O997" s="20"/>
      <c r="P997" s="182"/>
      <c r="Q997" s="422"/>
      <c r="R997" s="422"/>
      <c r="S997" s="422"/>
      <c r="T997" s="8"/>
    </row>
    <row r="998" spans="1:20" s="701" customFormat="1" x14ac:dyDescent="0.2">
      <c r="A998" s="422"/>
      <c r="B998" s="398"/>
      <c r="C998" s="398"/>
      <c r="D998" s="398"/>
      <c r="E998" s="1739" t="str">
        <f>Translations!$B$806</f>
        <v>Całkowita ilość wyprodukowanej masy celulozowej</v>
      </c>
      <c r="F998" s="1740"/>
      <c r="G998" s="1740"/>
      <c r="H998" s="453" t="str">
        <f>EUconst_Tons</f>
        <v>tony</v>
      </c>
      <c r="I998" s="1007" t="str">
        <f>IF($I949="","",IF(INDEX(F_ProductBM!I:I,MATCH($P998,F_ProductBM!$P:$P,0))="","",INDEX(F_ProductBM!I:I,MATCH($P998,F_ProductBM!$P:$P,0))))</f>
        <v/>
      </c>
      <c r="J998" s="1007" t="str">
        <f>IF($I949="","",IF(INDEX(F_ProductBM!J:J,MATCH($P998,F_ProductBM!$P:$P,0))="","",INDEX(F_ProductBM!J:J,MATCH($P998,F_ProductBM!$P:$P,0))))</f>
        <v/>
      </c>
      <c r="K998" s="1007" t="str">
        <f>IF($I949="","",IF(INDEX(F_ProductBM!K:K,MATCH($P998,F_ProductBM!$P:$P,0))="","",INDEX(F_ProductBM!K:K,MATCH($P998,F_ProductBM!$P:$P,0))))</f>
        <v/>
      </c>
      <c r="L998" s="1007" t="str">
        <f>IF($I949="","",IF(INDEX(F_ProductBM!L:L,MATCH($P998,F_ProductBM!$P:$P,0))="","",INDEX(F_ProductBM!L:L,MATCH($P998,F_ProductBM!$P:$P,0))))</f>
        <v/>
      </c>
      <c r="M998" s="1007" t="str">
        <f>IF($I949="","",IF(INDEX(F_ProductBM!M:M,MATCH($P998,F_ProductBM!$P:$P,0))="","",INDEX(F_ProductBM!M:M,MATCH($P998,F_ProductBM!$P:$P,0))))</f>
        <v/>
      </c>
      <c r="N998" s="831"/>
      <c r="O998" s="20"/>
      <c r="P998" s="351" t="str">
        <f>EUconst_CNTR_HALPulpTotal &amp; I949</f>
        <v>HALPulpTotal_</v>
      </c>
      <c r="Q998" s="422"/>
      <c r="R998" s="422"/>
      <c r="S998" s="422"/>
      <c r="T998" s="8"/>
    </row>
    <row r="999" spans="1:20" s="701" customFormat="1" x14ac:dyDescent="0.2">
      <c r="A999" s="422"/>
      <c r="B999" s="398"/>
      <c r="C999" s="398"/>
      <c r="D999" s="398"/>
      <c r="E999" s="516"/>
      <c r="F999" s="516"/>
      <c r="G999" s="516"/>
      <c r="H999" s="516"/>
      <c r="I999" s="1006"/>
      <c r="J999" s="1006"/>
      <c r="K999" s="1006"/>
      <c r="L999" s="1006"/>
      <c r="M999" s="1006"/>
      <c r="N999" s="831"/>
      <c r="O999" s="20"/>
      <c r="P999" s="182"/>
      <c r="Q999" s="422"/>
      <c r="R999" s="422"/>
      <c r="S999" s="422"/>
      <c r="T999" s="8"/>
    </row>
    <row r="1000" spans="1:20" s="701" customFormat="1" x14ac:dyDescent="0.2">
      <c r="A1000" s="422"/>
      <c r="B1000" s="398"/>
      <c r="C1000" s="398"/>
      <c r="D1000" s="398"/>
      <c r="E1000" s="1268" t="str">
        <f>Translations!$B$1239</f>
        <v>Wprowadzanie pośrednie:</v>
      </c>
      <c r="F1000" s="516"/>
      <c r="G1000" s="516"/>
      <c r="H1000" s="516"/>
      <c r="I1000" s="1006"/>
      <c r="J1000" s="1006"/>
      <c r="K1000" s="1006"/>
      <c r="L1000" s="1006"/>
      <c r="M1000" s="1006"/>
      <c r="N1000" s="831"/>
      <c r="O1000" s="20"/>
      <c r="P1000" s="182"/>
      <c r="Q1000" s="422"/>
      <c r="R1000" s="422"/>
      <c r="S1000" s="422"/>
      <c r="T1000" s="8"/>
    </row>
    <row r="1001" spans="1:20" s="701" customFormat="1" x14ac:dyDescent="0.2">
      <c r="A1001" s="422"/>
      <c r="B1001" s="398"/>
      <c r="C1001" s="398"/>
      <c r="D1001" s="398"/>
      <c r="E1001" s="1762" t="str">
        <f>IF($I949="","",IF(INDEX(F_ProductBM!E:E,MATCH($P1001,F_ProductBM!$P:$P,0))="","",INDEX(F_ProductBM!E:E,MATCH($P1001,F_ProductBM!$P:$P,0))))</f>
        <v/>
      </c>
      <c r="F1001" s="1762"/>
      <c r="G1001" s="1762"/>
      <c r="H1001" s="453" t="str">
        <f>EUconst_Tons</f>
        <v>tony</v>
      </c>
      <c r="I1001" s="1007" t="str">
        <f>IF($I949="","",IF(INDEX(F_ProductBM!I:I,MATCH($P1001,F_ProductBM!$P:$P,0))="","",INDEX(F_ProductBM!I:I,MATCH($P1001,F_ProductBM!$P:$P,0))))</f>
        <v/>
      </c>
      <c r="J1001" s="1007" t="str">
        <f>IF($I949="","",IF(INDEX(F_ProductBM!J:J,MATCH($P1001,F_ProductBM!$P:$P,0))="","",INDEX(F_ProductBM!J:J,MATCH($P1001,F_ProductBM!$P:$P,0))))</f>
        <v/>
      </c>
      <c r="K1001" s="1007" t="str">
        <f>IF($I949="","",IF(INDEX(F_ProductBM!K:K,MATCH($P1001,F_ProductBM!$P:$P,0))="","",INDEX(F_ProductBM!K:K,MATCH($P1001,F_ProductBM!$P:$P,0))))</f>
        <v/>
      </c>
      <c r="L1001" s="1007" t="str">
        <f>IF($I949="","",IF(INDEX(F_ProductBM!L:L,MATCH($P1001,F_ProductBM!$P:$P,0))="","",INDEX(F_ProductBM!L:L,MATCH($P1001,F_ProductBM!$P:$P,0))))</f>
        <v/>
      </c>
      <c r="M1001" s="1007" t="str">
        <f>IF($I949="","",IF(INDEX(F_ProductBM!M:M,MATCH($P1001,F_ProductBM!$P:$P,0))="","",INDEX(F_ProductBM!M:M,MATCH($P1001,F_ProductBM!$P:$P,0))))</f>
        <v/>
      </c>
      <c r="N1001" s="831"/>
      <c r="O1001" s="20"/>
      <c r="P1001" s="351" t="str">
        <f>EUconst_CNTR_IntermediateImport &amp; R1001 &amp; "_" &amp; I949</f>
        <v>IntImp_1_</v>
      </c>
      <c r="Q1001" s="422"/>
      <c r="R1001" s="879">
        <v>1</v>
      </c>
      <c r="S1001" s="422"/>
      <c r="T1001" s="8"/>
    </row>
    <row r="1002" spans="1:20" s="701" customFormat="1" x14ac:dyDescent="0.2">
      <c r="A1002" s="422"/>
      <c r="B1002" s="398"/>
      <c r="C1002" s="398"/>
      <c r="D1002" s="398"/>
      <c r="E1002" s="1762" t="str">
        <f>IF($I949="","",IF(INDEX(F_ProductBM!E:E,MATCH($P1002,F_ProductBM!$P:$P,0))="","",INDEX(F_ProductBM!E:E,MATCH($P1002,F_ProductBM!$P:$P,0))))</f>
        <v/>
      </c>
      <c r="F1002" s="1762"/>
      <c r="G1002" s="1762"/>
      <c r="H1002" s="453" t="str">
        <f>EUconst_Tons</f>
        <v>tony</v>
      </c>
      <c r="I1002" s="1007" t="str">
        <f>IF($I949="","",IF(INDEX(F_ProductBM!I:I,MATCH($P1002,F_ProductBM!$P:$P,0))="","",INDEX(F_ProductBM!I:I,MATCH($P1002,F_ProductBM!$P:$P,0))))</f>
        <v/>
      </c>
      <c r="J1002" s="1007" t="str">
        <f>IF($I949="","",IF(INDEX(F_ProductBM!J:J,MATCH($P1002,F_ProductBM!$P:$P,0))="","",INDEX(F_ProductBM!J:J,MATCH($P1002,F_ProductBM!$P:$P,0))))</f>
        <v/>
      </c>
      <c r="K1002" s="1007" t="str">
        <f>IF($I949="","",IF(INDEX(F_ProductBM!K:K,MATCH($P1002,F_ProductBM!$P:$P,0))="","",INDEX(F_ProductBM!K:K,MATCH($P1002,F_ProductBM!$P:$P,0))))</f>
        <v/>
      </c>
      <c r="L1002" s="1007" t="str">
        <f>IF($I949="","",IF(INDEX(F_ProductBM!L:L,MATCH($P1002,F_ProductBM!$P:$P,0))="","",INDEX(F_ProductBM!L:L,MATCH($P1002,F_ProductBM!$P:$P,0))))</f>
        <v/>
      </c>
      <c r="M1002" s="1007" t="str">
        <f>IF($I949="","",IF(INDEX(F_ProductBM!M:M,MATCH($P1002,F_ProductBM!$P:$P,0))="","",INDEX(F_ProductBM!M:M,MATCH($P1002,F_ProductBM!$P:$P,0))))</f>
        <v/>
      </c>
      <c r="N1002" s="831"/>
      <c r="O1002" s="20"/>
      <c r="P1002" s="351" t="str">
        <f>EUconst_CNTR_IntermediateImport &amp; R1002 &amp; "_" &amp; I949</f>
        <v>IntImp_2_</v>
      </c>
      <c r="Q1002" s="422"/>
      <c r="R1002" s="879">
        <v>2</v>
      </c>
      <c r="S1002" s="422"/>
      <c r="T1002" s="8"/>
    </row>
    <row r="1003" spans="1:20" s="701" customFormat="1" x14ac:dyDescent="0.2">
      <c r="A1003" s="422"/>
      <c r="B1003" s="398"/>
      <c r="C1003" s="398"/>
      <c r="D1003" s="398"/>
      <c r="E1003" s="1268" t="str">
        <f>Translations!$B$1240</f>
        <v>Wyprowadzanie pośrednie:</v>
      </c>
      <c r="F1003" s="516"/>
      <c r="G1003" s="516"/>
      <c r="H1003" s="516"/>
      <c r="I1003" s="1006"/>
      <c r="J1003" s="1006"/>
      <c r="K1003" s="1006"/>
      <c r="L1003" s="1006"/>
      <c r="M1003" s="1006"/>
      <c r="N1003" s="831"/>
      <c r="O1003" s="20"/>
      <c r="P1003" s="182"/>
      <c r="Q1003" s="422"/>
      <c r="R1003" s="422"/>
      <c r="S1003" s="422"/>
      <c r="T1003" s="8"/>
    </row>
    <row r="1004" spans="1:20" s="701" customFormat="1" x14ac:dyDescent="0.2">
      <c r="A1004" s="422"/>
      <c r="B1004" s="398"/>
      <c r="C1004" s="398"/>
      <c r="D1004" s="398"/>
      <c r="E1004" s="1762" t="str">
        <f>IF($I949="","",IF(INDEX(F_ProductBM!E:E,MATCH($P1004,F_ProductBM!$P:$P,0))="","",INDEX(F_ProductBM!E:E,MATCH($P1004,F_ProductBM!$P:$P,0))))</f>
        <v/>
      </c>
      <c r="F1004" s="1762"/>
      <c r="G1004" s="1762"/>
      <c r="H1004" s="453" t="str">
        <f>EUconst_Tons</f>
        <v>tony</v>
      </c>
      <c r="I1004" s="1007" t="str">
        <f>IF($I949="","",IF(INDEX(F_ProductBM!I:I,MATCH($P1004,F_ProductBM!$P:$P,0))="","",INDEX(F_ProductBM!I:I,MATCH($P1004,F_ProductBM!$P:$P,0))))</f>
        <v/>
      </c>
      <c r="J1004" s="1007" t="str">
        <f>IF($I949="","",IF(INDEX(F_ProductBM!J:J,MATCH($P1004,F_ProductBM!$P:$P,0))="","",INDEX(F_ProductBM!J:J,MATCH($P1004,F_ProductBM!$P:$P,0))))</f>
        <v/>
      </c>
      <c r="K1004" s="1007" t="str">
        <f>IF($I949="","",IF(INDEX(F_ProductBM!K:K,MATCH($P1004,F_ProductBM!$P:$P,0))="","",INDEX(F_ProductBM!K:K,MATCH($P1004,F_ProductBM!$P:$P,0))))</f>
        <v/>
      </c>
      <c r="L1004" s="1007" t="str">
        <f>IF($I949="","",IF(INDEX(F_ProductBM!L:L,MATCH($P1004,F_ProductBM!$P:$P,0))="","",INDEX(F_ProductBM!L:L,MATCH($P1004,F_ProductBM!$P:$P,0))))</f>
        <v/>
      </c>
      <c r="M1004" s="1007" t="str">
        <f>IF($I949="","",IF(INDEX(F_ProductBM!M:M,MATCH($P1004,F_ProductBM!$P:$P,0))="","",INDEX(F_ProductBM!M:M,MATCH($P1004,F_ProductBM!$P:$P,0))))</f>
        <v/>
      </c>
      <c r="N1004" s="831"/>
      <c r="O1004" s="20"/>
      <c r="P1004" s="351" t="str">
        <f>EUconst_CNTR_IntermediateExport &amp; R1001 &amp; "_" &amp; I949</f>
        <v>IntExp_1_</v>
      </c>
      <c r="Q1004" s="422"/>
      <c r="R1004" s="879">
        <v>1</v>
      </c>
      <c r="S1004" s="422"/>
      <c r="T1004" s="8"/>
    </row>
    <row r="1005" spans="1:20" s="701" customFormat="1" x14ac:dyDescent="0.2">
      <c r="A1005" s="422"/>
      <c r="B1005" s="398"/>
      <c r="C1005" s="398"/>
      <c r="D1005" s="398"/>
      <c r="E1005" s="1762" t="str">
        <f>IF($I949="","",IF(INDEX(F_ProductBM!E:E,MATCH($P1005,F_ProductBM!$P:$P,0))="","",INDEX(F_ProductBM!E:E,MATCH($P1005,F_ProductBM!$P:$P,0))))</f>
        <v/>
      </c>
      <c r="F1005" s="1762"/>
      <c r="G1005" s="1762"/>
      <c r="H1005" s="453" t="str">
        <f>EUconst_Tons</f>
        <v>tony</v>
      </c>
      <c r="I1005" s="1007" t="str">
        <f>IF($I949="","",IF(INDEX(F_ProductBM!I:I,MATCH($P1005,F_ProductBM!$P:$P,0))="","",INDEX(F_ProductBM!I:I,MATCH($P1005,F_ProductBM!$P:$P,0))))</f>
        <v/>
      </c>
      <c r="J1005" s="1007" t="str">
        <f>IF($I949="","",IF(INDEX(F_ProductBM!J:J,MATCH($P1005,F_ProductBM!$P:$P,0))="","",INDEX(F_ProductBM!J:J,MATCH($P1005,F_ProductBM!$P:$P,0))))</f>
        <v/>
      </c>
      <c r="K1005" s="1007" t="str">
        <f>IF($I949="","",IF(INDEX(F_ProductBM!K:K,MATCH($P1005,F_ProductBM!$P:$P,0))="","",INDEX(F_ProductBM!K:K,MATCH($P1005,F_ProductBM!$P:$P,0))))</f>
        <v/>
      </c>
      <c r="L1005" s="1007" t="str">
        <f>IF($I949="","",IF(INDEX(F_ProductBM!L:L,MATCH($P1005,F_ProductBM!$P:$P,0))="","",INDEX(F_ProductBM!L:L,MATCH($P1005,F_ProductBM!$P:$P,0))))</f>
        <v/>
      </c>
      <c r="M1005" s="1007" t="str">
        <f>IF($I949="","",IF(INDEX(F_ProductBM!M:M,MATCH($P1005,F_ProductBM!$P:$P,0))="","",INDEX(F_ProductBM!M:M,MATCH($P1005,F_ProductBM!$P:$P,0))))</f>
        <v/>
      </c>
      <c r="N1005" s="831"/>
      <c r="O1005" s="20"/>
      <c r="P1005" s="351" t="str">
        <f>EUconst_CNTR_IntermediateExport &amp; R1005 &amp; "_" &amp; I949</f>
        <v>IntExp_2_</v>
      </c>
      <c r="Q1005" s="422"/>
      <c r="R1005" s="879">
        <v>2</v>
      </c>
      <c r="S1005" s="422"/>
      <c r="T1005" s="8"/>
    </row>
    <row r="1006" spans="1:20" s="701" customFormat="1" x14ac:dyDescent="0.2">
      <c r="A1006" s="422"/>
      <c r="B1006" s="398"/>
      <c r="C1006" s="398"/>
      <c r="D1006" s="398"/>
      <c r="E1006" s="516"/>
      <c r="F1006" s="516"/>
      <c r="G1006" s="516"/>
      <c r="H1006" s="516"/>
      <c r="I1006" s="831"/>
      <c r="J1006" s="831"/>
      <c r="K1006" s="831"/>
      <c r="L1006" s="831"/>
      <c r="M1006" s="831"/>
      <c r="N1006" s="831"/>
      <c r="O1006" s="20"/>
      <c r="P1006" s="182"/>
      <c r="Q1006" s="422"/>
      <c r="R1006" s="422"/>
      <c r="S1006" s="422"/>
      <c r="T1006" s="8"/>
    </row>
    <row r="1007" spans="1:20" s="701" customFormat="1" ht="13.5" thickBot="1" x14ac:dyDescent="0.25">
      <c r="A1007" s="422"/>
      <c r="B1007" s="398"/>
      <c r="C1007" s="398"/>
      <c r="D1007" s="398"/>
      <c r="E1007" s="1017"/>
      <c r="O1007" s="20"/>
      <c r="P1007" s="422"/>
      <c r="Q1007" s="422"/>
      <c r="R1007" s="422"/>
      <c r="S1007" s="422"/>
      <c r="T1007" s="8"/>
    </row>
    <row r="1008" spans="1:20" s="701" customFormat="1" ht="13.5" thickBot="1" x14ac:dyDescent="0.25">
      <c r="A1008" s="422"/>
      <c r="B1008" s="3"/>
      <c r="C1008" s="281"/>
      <c r="D1008" s="281"/>
      <c r="E1008" s="281"/>
      <c r="F1008" s="281"/>
      <c r="G1008" s="281"/>
      <c r="H1008" s="281"/>
      <c r="I1008" s="281"/>
      <c r="J1008" s="281"/>
      <c r="K1008" s="281"/>
      <c r="L1008" s="281"/>
      <c r="M1008" s="281"/>
      <c r="N1008" s="281"/>
      <c r="O1008" s="20"/>
      <c r="P1008" s="422"/>
      <c r="Q1008" s="422"/>
      <c r="R1008" s="422"/>
      <c r="S1008" s="422"/>
      <c r="T1008" s="8" t="s">
        <v>583</v>
      </c>
    </row>
    <row r="1009" spans="1:20" s="701" customFormat="1" ht="15.75" thickBot="1" x14ac:dyDescent="0.3">
      <c r="A1009" s="422"/>
      <c r="B1009" s="398"/>
      <c r="C1009" s="18">
        <f>C949+1</f>
        <v>10</v>
      </c>
      <c r="D1009" s="1439" t="str">
        <f>CONCATENATE(EUconst_BMSubinst," ",C1009, ":")</f>
        <v>Podinstalacja i wskaźnik emisyjności dla produktów 10:</v>
      </c>
      <c r="E1009" s="1439"/>
      <c r="F1009" s="1439"/>
      <c r="G1009" s="1439"/>
      <c r="H1009" s="2024"/>
      <c r="I1009" s="1781" t="str">
        <f>IF(INDEX(CNTR_SubInstListIsProdBM,$C1009),INDEX(CNTR_SubInstListNames,$C1009),"")</f>
        <v/>
      </c>
      <c r="J1009" s="2025"/>
      <c r="K1009" s="2025"/>
      <c r="L1009" s="2025"/>
      <c r="M1009" s="2025"/>
      <c r="N1009" s="2026"/>
      <c r="O1009" s="20"/>
      <c r="P1009" s="422"/>
      <c r="Q1009" s="986">
        <f>C1009</f>
        <v>10</v>
      </c>
      <c r="R1009" s="983" t="str">
        <f>I1009</f>
        <v/>
      </c>
      <c r="S1009" s="985" t="str">
        <f>H1012</f>
        <v>Nie dotyczy</v>
      </c>
      <c r="T1009" s="984" t="str">
        <f>IF(M1021="","",IF(S1012=0,0,SUM(M1021)/S1012))</f>
        <v/>
      </c>
    </row>
    <row r="1010" spans="1:20" s="701" customFormat="1" ht="13.5" thickBot="1" x14ac:dyDescent="0.25">
      <c r="A1010" s="422"/>
      <c r="B1010" s="398"/>
      <c r="C1010" s="398"/>
      <c r="D1010" s="398"/>
      <c r="E1010" s="398"/>
      <c r="F1010" s="398"/>
      <c r="G1010" s="398"/>
      <c r="H1010" s="398"/>
      <c r="I1010" s="398"/>
      <c r="J1010" s="398"/>
      <c r="K1010" s="398"/>
      <c r="L1010" s="398"/>
      <c r="M1010" s="398"/>
      <c r="N1010" s="398"/>
      <c r="O1010" s="20"/>
      <c r="P1010" s="422"/>
      <c r="Q1010" s="422"/>
      <c r="R1010" s="422"/>
      <c r="S1010" s="422"/>
      <c r="T1010" s="8"/>
    </row>
    <row r="1011" spans="1:20" s="1299" customFormat="1" ht="51" x14ac:dyDescent="0.2">
      <c r="A1011" s="970"/>
      <c r="B1011" s="1300"/>
      <c r="C1011" s="1300"/>
      <c r="D1011" s="1300"/>
      <c r="E1011" s="1300"/>
      <c r="F1011" s="1300"/>
      <c r="G1011" s="1300"/>
      <c r="H1011" s="1304" t="str">
        <f>Translations!$B$1204</f>
        <v>narażenie na ryzyko ucieczki emisji</v>
      </c>
      <c r="I1011" s="1305" t="s">
        <v>516</v>
      </c>
      <c r="J1011" s="1305" t="str">
        <f>Translations!$B$1208</f>
        <v>Rozpoczęcie</v>
      </c>
      <c r="K1011" s="1305" t="str">
        <f>Translations!$B$1206</f>
        <v>Nr wskaźnika</v>
      </c>
      <c r="L1011" s="1306" t="str">
        <f>Translations!$B$1212</f>
        <v>Art. 15 ust. 7 akapit trzeci?</v>
      </c>
      <c r="M1011" s="1307" t="str">
        <f>Translations!$B$1234</f>
        <v>Wart. wskaźnika (min./maks./faktyczna)</v>
      </c>
      <c r="N1011" s="1308"/>
      <c r="O1011" s="121"/>
      <c r="P1011" s="970"/>
      <c r="Q1011" s="970"/>
      <c r="R1011" s="970"/>
      <c r="S1011" s="970"/>
      <c r="T1011" s="972"/>
    </row>
    <row r="1012" spans="1:20" s="701" customFormat="1" x14ac:dyDescent="0.2">
      <c r="A1012" s="422"/>
      <c r="B1012" s="398"/>
      <c r="C1012" s="398"/>
      <c r="D1012" s="398"/>
      <c r="E1012" s="652" t="str">
        <f>I1009</f>
        <v/>
      </c>
      <c r="F1012" s="653"/>
      <c r="G1012" s="590"/>
      <c r="H1012" s="654" t="str">
        <f>IF(K1012=EUconst_NA,EUconst_NA,INDEX(EUconst_BMlistCLstatus,K1012))</f>
        <v>Nie dotyczy</v>
      </c>
      <c r="I1012" s="655" t="str">
        <f>IF(E1012="","",INDEX(EUconst_BMlistElExchangability,K1012))</f>
        <v/>
      </c>
      <c r="J1012" s="857" t="str">
        <f>IF($I1009="",EUconst_NA,INDEX(CNTR_SubInstStartDate,MATCH(E1012,CNTR_SubInstListNames,0)))</f>
        <v>Nie dotyczy</v>
      </c>
      <c r="K1012" s="536" t="str">
        <f>IF($I1009="",EUconst_NA,MATCH(E1012,EUconst_BMlistNames,0))</f>
        <v>Nie dotyczy</v>
      </c>
      <c r="L1012" s="1071" t="str">
        <f>IF(E1012="","",INDEX(CNTR_SubInstLess1Year,MATCH(E1012,CNTR_SubInstListNames,0)))</f>
        <v/>
      </c>
      <c r="M1012" s="1073" t="str">
        <f>IF(I1009="",EUconst_NA,INDEX(EUconst_BMlistBMvaluesMatrix,K1012,2))</f>
        <v>Nie dotyczy</v>
      </c>
      <c r="N1012" s="1074" t="str">
        <f>EUconst_EUA &amp; "/" &amp; H1017</f>
        <v>Uprawnienia do emisji ogólnych/tony</v>
      </c>
      <c r="O1012" s="20"/>
      <c r="P1012" s="422"/>
      <c r="Q1012" s="422"/>
      <c r="R1012" s="736" t="s">
        <v>577</v>
      </c>
      <c r="S1012" s="822" t="str">
        <f>IF(H1012=EUconst_NA,"",IF(H1012,1,INDEX(EUconst_CLEFYears,1)))</f>
        <v/>
      </c>
      <c r="T1012" s="8"/>
    </row>
    <row r="1013" spans="1:20" s="1299" customFormat="1" ht="51" x14ac:dyDescent="0.2">
      <c r="A1013" s="970"/>
      <c r="B1013" s="1300"/>
      <c r="C1013" s="1300"/>
      <c r="D1013" s="1300"/>
      <c r="G1013" s="1305" t="str">
        <f>Translations!$B$1218</f>
        <v>ciepło nieobjęte systemem EU ETS</v>
      </c>
      <c r="H1013" s="1306" t="str">
        <f>Translations!$B$1220</f>
        <v>WGflare</v>
      </c>
      <c r="I1013" s="1305" t="s">
        <v>572</v>
      </c>
      <c r="J1013" s="1305" t="s">
        <v>573</v>
      </c>
      <c r="K1013" s="1305" t="s">
        <v>574</v>
      </c>
      <c r="L1013" s="1306" t="str">
        <f>Translations!$B$1214</f>
        <v>Art. 15 ust. 7 akapit trzeci – HPD</v>
      </c>
      <c r="M1013" s="1309" t="str">
        <f>IF(I1009="",EUconst_NA,INDEX(EUconst_BMlistBMvaluesMatrix,K1012,1))</f>
        <v>Nie dotyczy</v>
      </c>
      <c r="N1013" s="1303" t="str">
        <f>EUconst_EUA &amp; "/" &amp; H1017</f>
        <v>Uprawnienia do emisji ogólnych/tony</v>
      </c>
      <c r="O1013" s="121"/>
      <c r="P1013" s="970"/>
      <c r="Q1013" s="970"/>
      <c r="R1013" s="1310"/>
      <c r="S1013" s="1311"/>
      <c r="T1013" s="972"/>
    </row>
    <row r="1014" spans="1:20" s="701" customFormat="1" ht="13.5" thickBot="1" x14ac:dyDescent="0.25">
      <c r="A1014" s="422"/>
      <c r="B1014" s="398"/>
      <c r="C1014" s="398"/>
      <c r="D1014" s="398"/>
      <c r="E1014" s="877" t="str">
        <f>Translations!$B$1235</f>
        <v>Czynniki szczególne:</v>
      </c>
      <c r="F1014" s="878"/>
      <c r="G1014" s="536" t="str">
        <f>IF($I1009="","",SUMIF(F_ProductBM!$P:$P,EUconst_CNTR_HEAT&amp;$I1009,F_ProductBM!$Q:$Q))</f>
        <v/>
      </c>
      <c r="H1014" s="855" t="str">
        <f>IF(OR($I1009="",CNTR_BaselinePeriod&lt;&gt;2),"",SUMIF(F_ProductBM!$P:$P,EUconst_CNTR_WGFlaredEF &amp; I1009,F_ProductBM!$R:$R))</f>
        <v/>
      </c>
      <c r="I1014" s="821">
        <f>IF(AND($I1009&lt;&gt;"",$I1012=TRUE),IF(ISNUMBER(INDEX(F_ProductBM!$Q:$Q,MATCH(EUconst_CNTR_ELEXCH&amp;$I1009,F_ProductBM!$P:$P,0))),INDEX(F_ProductBM!$Q:$Q,MATCH(EUconst_CNTR_ELEXCH&amp;$I1009,F_ProductBM!$P:$P,0)),1),1)</f>
        <v>1</v>
      </c>
      <c r="J1014" s="536" t="str">
        <f>IF($I1009="","",IF($K1012=42,SUMIF(H_SpecialBM!$P$9:$P$384,EUconst_CNTR_HVC,H_SpecialBM!$I$9:$I$384),0))</f>
        <v/>
      </c>
      <c r="K1014" s="876" t="str">
        <f>IF($I1009="","",IF($K1012=47,IF(ISNUMBER(INDEX(H_SpecialBM!$I$9:$I$384,MATCH(EUconst_CNTR_VCM,H_SpecialBM!$P$9:$P$384,0))),INDEX(H_SpecialBM!$I$9:$I$384,MATCH(EUconst_CNTR_VCM,H_SpecialBM!$P$9:$P$384,0)),1),1))</f>
        <v/>
      </c>
      <c r="L1014" s="855" t="str">
        <f>IF($L1012=TRUE,SUMIF(F_ProductBM!$P$11:$P$2192,EUconst_CNTR_HAL&amp;$I1009,F_ProductBM!$N$11:$N$2192),"")</f>
        <v/>
      </c>
      <c r="M1014" s="1075" t="str">
        <f>IF(I1009="",EUconst_NA,IF(EUconst_StatusOfDataCollection,INDEX(EUconst_BMlistBMvaluesMatrix,K1012,3),""))</f>
        <v>Nie dotyczy</v>
      </c>
      <c r="N1014" s="1076" t="str">
        <f>EUconst_EUA &amp; "/" &amp; H1017</f>
        <v>Uprawnienia do emisji ogólnych/tony</v>
      </c>
      <c r="O1014" s="20"/>
      <c r="P1014" s="422"/>
      <c r="Q1014" s="422"/>
      <c r="R1014" s="736"/>
      <c r="S1014" s="875"/>
      <c r="T1014" s="8"/>
    </row>
    <row r="1015" spans="1:20" s="701" customFormat="1" x14ac:dyDescent="0.2">
      <c r="A1015" s="422"/>
      <c r="B1015" s="398"/>
      <c r="C1015" s="398"/>
      <c r="D1015" s="398"/>
      <c r="E1015" s="398"/>
      <c r="F1015" s="398"/>
      <c r="G1015" s="398"/>
      <c r="H1015" s="398"/>
      <c r="I1015" s="398"/>
      <c r="J1015" s="398"/>
      <c r="K1015" s="398"/>
      <c r="L1015" s="398"/>
      <c r="M1015" s="398"/>
      <c r="N1015" s="398"/>
      <c r="O1015" s="20"/>
      <c r="P1015" s="422"/>
      <c r="Q1015" s="422"/>
      <c r="R1015" s="422"/>
      <c r="S1015" s="422"/>
      <c r="T1015" s="8"/>
    </row>
    <row r="1016" spans="1:20" s="701" customFormat="1" x14ac:dyDescent="0.2">
      <c r="A1016" s="422"/>
      <c r="B1016" s="398"/>
      <c r="C1016" s="398"/>
      <c r="D1016" s="398"/>
      <c r="E1016" s="656"/>
      <c r="F1016" s="656"/>
      <c r="G1016" s="657"/>
      <c r="H1016" s="873" t="str">
        <f>EUconst_Unit</f>
        <v>Jednostka</v>
      </c>
      <c r="I1016" s="432">
        <f>I$1397</f>
        <v>2014</v>
      </c>
      <c r="J1016" s="432">
        <f>J$1397</f>
        <v>2015</v>
      </c>
      <c r="K1016" s="432">
        <f>K$1397</f>
        <v>2016</v>
      </c>
      <c r="L1016" s="432">
        <f>L$1397</f>
        <v>2017</v>
      </c>
      <c r="M1016" s="432">
        <f>M$1397</f>
        <v>2018</v>
      </c>
      <c r="N1016" s="398"/>
      <c r="O1016" s="20"/>
      <c r="P1016" s="185" t="s">
        <v>237</v>
      </c>
      <c r="Q1016" s="422"/>
      <c r="R1016" s="422"/>
      <c r="S1016" s="422"/>
      <c r="T1016" s="8"/>
    </row>
    <row r="1017" spans="1:20" s="701" customFormat="1" x14ac:dyDescent="0.2">
      <c r="A1017" s="422"/>
      <c r="B1017" s="398"/>
      <c r="C1017" s="398"/>
      <c r="D1017" s="398"/>
      <c r="E1017" s="658" t="str">
        <f>Translations!$B$1236</f>
        <v>Zgłoszony HPD (historyczny poziom działalności)</v>
      </c>
      <c r="F1017" s="659"/>
      <c r="G1017" s="660"/>
      <c r="H1017" s="654" t="str">
        <f>IF(ISNUMBER(K1012),INDEX(EUconst_BMlistUnits,K1012),EUconst_Tons)</f>
        <v>tony</v>
      </c>
      <c r="I1017" s="536" t="str">
        <f>IF($I1009="","",SUMIF(F_ProductBM!$P$11:$P$1876,$P1017,F_ProductBM!I$11:I$1876))</f>
        <v/>
      </c>
      <c r="J1017" s="536" t="str">
        <f>IF($I1009="","",SUMIF(F_ProductBM!$P$11:$P$1876,$P1017,F_ProductBM!J$11:J$1876))</f>
        <v/>
      </c>
      <c r="K1017" s="536" t="str">
        <f>IF($I1009="","",SUMIF(F_ProductBM!$P$11:$P$1876,$P1017,F_ProductBM!K$11:K$1876))</f>
        <v/>
      </c>
      <c r="L1017" s="536" t="str">
        <f>IF($I1009="","",SUMIF(F_ProductBM!$P$11:$P$1876,$P1017,F_ProductBM!L$11:L$1876))</f>
        <v/>
      </c>
      <c r="M1017" s="536" t="str">
        <f>IF($I1009="","",SUMIF(F_ProductBM!$P$11:$P$1876,$P1017,F_ProductBM!M$11:M$1876))</f>
        <v/>
      </c>
      <c r="N1017" s="651" t="str">
        <f>Translations!$B$1224</f>
        <v>Średnia</v>
      </c>
      <c r="O1017" s="20"/>
      <c r="P1017" s="185" t="str">
        <f>EUconst_CNTR_HAL&amp;I1009</f>
        <v>HAL_</v>
      </c>
      <c r="Q1017" s="422"/>
      <c r="R1017" s="422"/>
      <c r="S1017" s="422"/>
      <c r="T1017" s="8"/>
    </row>
    <row r="1018" spans="1:20" s="701" customFormat="1" x14ac:dyDescent="0.2">
      <c r="A1018" s="422"/>
      <c r="B1018" s="398"/>
      <c r="C1018" s="398"/>
      <c r="D1018" s="398"/>
      <c r="E1018" s="658" t="str">
        <f>Translations!$B$1237</f>
        <v>Wartości wykorzystywane do obliczania zgłoszonego HPD:</v>
      </c>
      <c r="F1018" s="659"/>
      <c r="G1018" s="660"/>
      <c r="H1018" s="654" t="str">
        <f>H1017</f>
        <v>tony</v>
      </c>
      <c r="I1018" s="536" t="str">
        <f>IF($I1009="","",INDEX(F_ProductBM!S$11:S$1876,MATCH($P1018,F_ProductBM!$P$11:$P$1876,0)))</f>
        <v/>
      </c>
      <c r="J1018" s="536" t="str">
        <f>IF($I1009="","",INDEX(F_ProductBM!T$11:T$1876,MATCH($P1018,F_ProductBM!$P$11:$P$1876,0)))</f>
        <v/>
      </c>
      <c r="K1018" s="536" t="str">
        <f>IF($I1009="","",INDEX(F_ProductBM!U$11:U$1876,MATCH($P1018,F_ProductBM!$P$11:$P$1876,0)))</f>
        <v/>
      </c>
      <c r="L1018" s="536" t="str">
        <f>IF($I1009="","",INDEX(F_ProductBM!V$11:V$1876,MATCH($P1018,F_ProductBM!$P$11:$P$1876,0)))</f>
        <v/>
      </c>
      <c r="M1018" s="536" t="str">
        <f>IF($I1009="","",INDEX(F_ProductBM!W$11:W$1876,MATCH($P1018,F_ProductBM!$P$11:$P$1876,0)))</f>
        <v/>
      </c>
      <c r="N1018" s="536" t="str">
        <f>IF(OR($I1009="",$L1012=TRUE),"",IF(COUNT($I1018:$M1018)&gt;0,AVERAGE($I1018:$M1018),""))</f>
        <v/>
      </c>
      <c r="O1018" s="20"/>
      <c r="P1018" s="185" t="str">
        <f>EUconst_CNTR_HAL&amp;I1009</f>
        <v>HAL_</v>
      </c>
      <c r="Q1018" s="422"/>
      <c r="R1018" s="1013" t="s">
        <v>630</v>
      </c>
      <c r="S1018" s="1013" t="s">
        <v>631</v>
      </c>
      <c r="T1018" s="1013" t="s">
        <v>632</v>
      </c>
    </row>
    <row r="1019" spans="1:20" s="701" customFormat="1" ht="13.5" thickBot="1" x14ac:dyDescent="0.25">
      <c r="A1019" s="422"/>
      <c r="B1019" s="398"/>
      <c r="C1019" s="398"/>
      <c r="D1019" s="398"/>
      <c r="E1019" s="874"/>
      <c r="F1019" s="874"/>
      <c r="G1019" s="874"/>
      <c r="H1019" s="874"/>
      <c r="I1019" s="874"/>
      <c r="J1019" s="874"/>
      <c r="K1019" s="874"/>
      <c r="L1019" s="874"/>
      <c r="O1019" s="20"/>
      <c r="P1019" s="422"/>
      <c r="Q1019" s="422"/>
      <c r="R1019" s="422"/>
      <c r="S1019" s="422"/>
      <c r="T1019" s="8"/>
    </row>
    <row r="1020" spans="1:20" s="701" customFormat="1" ht="13.5" thickBot="1" x14ac:dyDescent="0.25">
      <c r="A1020" s="422"/>
      <c r="B1020" s="398"/>
      <c r="D1020" s="398"/>
      <c r="E1020" s="874"/>
      <c r="F1020" s="823" t="s">
        <v>520</v>
      </c>
      <c r="G1020" s="824"/>
      <c r="I1020" s="823" t="str">
        <f>Translations!$B$1226</f>
        <v>Wst. przydział rok 1 (min.)</v>
      </c>
      <c r="J1020" s="824"/>
      <c r="K1020" s="823" t="str">
        <f>Translations!$B$1229</f>
        <v>Wst. przydział rok 1 (maks.)</v>
      </c>
      <c r="L1020" s="824"/>
      <c r="M1020" s="823" t="str">
        <f>Translations!$B$1231</f>
        <v>Wst. przydział rok 1 (faktyczny)</v>
      </c>
      <c r="N1020" s="824"/>
      <c r="O1020" s="20"/>
      <c r="P1020" s="185" t="str">
        <f>EUconst_AllocPrelim&amp;I1009</f>
        <v>AllocPrelim_</v>
      </c>
      <c r="Q1020" s="422"/>
      <c r="R1020" s="982" t="str">
        <f>IF(I1021="","",IF(S1012=0,0,SUM(I1021)/S1012))</f>
        <v/>
      </c>
      <c r="S1020" s="982" t="str">
        <f>IF(K1021="","",IF(S1012=0,0,SUM(K1021)/S1012))</f>
        <v/>
      </c>
      <c r="T1020" s="982" t="str">
        <f>T1009</f>
        <v/>
      </c>
    </row>
    <row r="1021" spans="1:20" s="701" customFormat="1" ht="13.5" thickBot="1" x14ac:dyDescent="0.25">
      <c r="A1021" s="422"/>
      <c r="B1021" s="398"/>
      <c r="E1021" s="874"/>
      <c r="F1021" s="662" t="str">
        <f>IF(I1009="","",MAX(0, IF(L1012=TRUE, SUM(L1014), SUM(N1018))))</f>
        <v/>
      </c>
      <c r="G1021" s="663" t="str">
        <f>H1017&amp;" / "&amp;EUconst_Year</f>
        <v>tony / rok</v>
      </c>
      <c r="I1021" s="820" t="str">
        <f>IF(I1009="","",ROUND((SUM(M1012)*SUM(F1021)*SUM(I1014)*SUM(K1014)-SUM(G1014)-SUM(H1014)+SUM(J1014))*SUM(S1012),0))</f>
        <v/>
      </c>
      <c r="J1021" s="966" t="str">
        <f>EUconst_EUApa</f>
        <v>Uprawnienia do emisji ogólnych / rok</v>
      </c>
      <c r="K1021" s="820" t="str">
        <f>IF(I1009="","",ROUND((SUM(M1013)*SUM(F1021)*SUM(I1014)*SUM(K1014)-SUM(G1014)-SUM(H1014)+SUM(J1014))*SUM(S1012),0))</f>
        <v/>
      </c>
      <c r="L1021" s="966" t="str">
        <f>EUconst_EUApa</f>
        <v>Uprawnienia do emisji ogólnych / rok</v>
      </c>
      <c r="M1021" s="820" t="str">
        <f>IF(OR(I1009="",M1014=""),"",ROUND((SUM(M1014)*SUM(F1021)*SUM(I1014)*SUM(K1014)-SUM(G1014)-SUM(H1014)+SUM(J1014))*SUM(S1012),0))</f>
        <v/>
      </c>
      <c r="N1021" s="966" t="str">
        <f>EUconst_EUApa</f>
        <v>Uprawnienia do emisji ogólnych / rok</v>
      </c>
      <c r="O1021" s="20"/>
      <c r="P1021" s="185" t="str">
        <f>EUconst_HALsum &amp; I1009</f>
        <v>HALsum_</v>
      </c>
      <c r="Q1021" s="422"/>
      <c r="R1021" s="422"/>
      <c r="S1021" s="422"/>
      <c r="T1021" s="8"/>
    </row>
    <row r="1022" spans="1:20" s="701" customFormat="1" x14ac:dyDescent="0.2">
      <c r="A1022" s="422"/>
      <c r="B1022" s="398"/>
      <c r="C1022" s="398"/>
      <c r="E1022" s="425"/>
      <c r="F1022" s="398"/>
      <c r="G1022" s="398"/>
      <c r="H1022" s="398"/>
      <c r="I1022" s="398"/>
      <c r="J1022" s="398"/>
      <c r="K1022" s="398"/>
      <c r="L1022" s="398"/>
      <c r="M1022" s="398"/>
      <c r="N1022" s="398"/>
      <c r="O1022" s="20"/>
      <c r="P1022" s="422"/>
      <c r="Q1022" s="422"/>
      <c r="R1022" s="422"/>
      <c r="S1022" s="422"/>
      <c r="T1022" s="8"/>
    </row>
    <row r="1023" spans="1:20" s="701" customFormat="1" x14ac:dyDescent="0.2">
      <c r="A1023" s="422"/>
      <c r="B1023" s="398"/>
      <c r="C1023" s="398"/>
      <c r="D1023" s="398"/>
      <c r="E1023" s="516"/>
      <c r="F1023" s="831"/>
      <c r="G1023" s="831"/>
      <c r="H1023" s="831"/>
      <c r="I1023" s="831"/>
      <c r="J1023" s="831"/>
      <c r="K1023" s="831"/>
      <c r="L1023" s="831"/>
      <c r="M1023" s="831"/>
      <c r="N1023" s="831"/>
      <c r="O1023" s="20"/>
      <c r="P1023" s="422"/>
      <c r="Q1023" s="422"/>
      <c r="R1023" s="422"/>
      <c r="S1023" s="422"/>
      <c r="T1023" s="8"/>
    </row>
    <row r="1024" spans="1:20" s="701" customFormat="1" ht="13.5" thickBot="1" x14ac:dyDescent="0.25">
      <c r="A1024" s="422"/>
      <c r="B1024" s="398"/>
      <c r="C1024" s="398"/>
      <c r="D1024" s="398"/>
      <c r="E1024" s="516"/>
      <c r="F1024" s="831"/>
      <c r="G1024" s="831"/>
      <c r="H1024" s="515" t="str">
        <f>EUconst_Unit</f>
        <v>Jednostka</v>
      </c>
      <c r="I1024" s="1011">
        <f>I$1397</f>
        <v>2014</v>
      </c>
      <c r="J1024" s="451">
        <f>J$1397</f>
        <v>2015</v>
      </c>
      <c r="K1024" s="451">
        <f>K$1397</f>
        <v>2016</v>
      </c>
      <c r="L1024" s="451">
        <f>L$1397</f>
        <v>2017</v>
      </c>
      <c r="M1024" s="451">
        <f>M$1397</f>
        <v>2018</v>
      </c>
      <c r="N1024" s="831"/>
      <c r="O1024" s="20"/>
      <c r="P1024" s="422"/>
      <c r="Q1024" s="422"/>
      <c r="R1024" s="422"/>
      <c r="S1024" s="422"/>
      <c r="T1024" s="8"/>
    </row>
    <row r="1025" spans="1:20" s="701" customFormat="1" ht="13.5" thickBot="1" x14ac:dyDescent="0.25">
      <c r="A1025" s="422"/>
      <c r="B1025" s="398"/>
      <c r="C1025" s="398"/>
      <c r="D1025" s="398"/>
      <c r="E1025" s="1876" t="str">
        <f>Translations!$B$1238</f>
        <v>Całkowite przypisane emisje</v>
      </c>
      <c r="F1025" s="1876"/>
      <c r="G1025" s="1876"/>
      <c r="H1025" s="968" t="str">
        <f>EUconst_tCO2epa</f>
        <v>t CO2e/rok</v>
      </c>
      <c r="I1025" s="1000" t="str">
        <f>INDEX(I$93:I$109,MATCH($I1009,$E$93:$E$109,0))</f>
        <v/>
      </c>
      <c r="J1025" s="1001" t="str">
        <f>INDEX(J$93:J$109,MATCH($I1009,$E$93:$E$109,0))</f>
        <v/>
      </c>
      <c r="K1025" s="1001" t="str">
        <f>INDEX(K$93:K$109,MATCH($I1009,$E$93:$E$109,0))</f>
        <v/>
      </c>
      <c r="L1025" s="1001" t="str">
        <f>INDEX(L$93:L$109,MATCH($I1009,$E$93:$E$109,0))</f>
        <v/>
      </c>
      <c r="M1025" s="1002" t="str">
        <f>INDEX(M$93:M$109,MATCH($I1009,$E$93:$E$109,0))</f>
        <v/>
      </c>
      <c r="N1025" s="831"/>
      <c r="O1025" s="20"/>
      <c r="P1025" s="422"/>
      <c r="Q1025" s="422"/>
      <c r="R1025" s="422"/>
      <c r="S1025" s="422"/>
      <c r="T1025" s="8"/>
    </row>
    <row r="1026" spans="1:20" s="701" customFormat="1" x14ac:dyDescent="0.2">
      <c r="A1026" s="422"/>
      <c r="B1026" s="398"/>
      <c r="C1026" s="398"/>
      <c r="D1026" s="398"/>
      <c r="E1026" s="516"/>
      <c r="F1026" s="516"/>
      <c r="G1026" s="516"/>
      <c r="H1026" s="516"/>
      <c r="I1026" s="1003"/>
      <c r="J1026" s="1003"/>
      <c r="K1026" s="1003"/>
      <c r="L1026" s="1003"/>
      <c r="M1026" s="1003"/>
      <c r="N1026" s="516"/>
      <c r="O1026" s="20"/>
      <c r="P1026" s="422"/>
      <c r="Q1026" s="422"/>
      <c r="R1026" s="422"/>
      <c r="S1026" s="422"/>
      <c r="T1026" s="8"/>
    </row>
    <row r="1027" spans="1:20" s="701" customFormat="1" x14ac:dyDescent="0.2">
      <c r="A1027" s="422"/>
      <c r="B1027" s="398"/>
      <c r="C1027" s="398"/>
      <c r="D1027" s="398"/>
      <c r="E1027" s="1766" t="str">
        <f>Translations!$B$731</f>
        <v>Wsad paliwa</v>
      </c>
      <c r="F1027" s="1767"/>
      <c r="G1027" s="1767"/>
      <c r="H1027" s="454" t="str">
        <f>EUconst_TJpa</f>
        <v>TJ / rok</v>
      </c>
      <c r="I1027" s="1004" t="str">
        <f>IF($I1009="","",IF(INDEX(F_ProductBM!I:I,MATCH($P1027,F_ProductBM!$P:$P,0))="","",INDEX(F_ProductBM!I:I,MATCH($P1027,F_ProductBM!$P:$P,0))))</f>
        <v/>
      </c>
      <c r="J1027" s="1004" t="str">
        <f>IF($I1009="","",IF(INDEX(F_ProductBM!J:J,MATCH($P1027,F_ProductBM!$P:$P,0))="","",INDEX(F_ProductBM!J:J,MATCH($P1027,F_ProductBM!$P:$P,0))))</f>
        <v/>
      </c>
      <c r="K1027" s="1004" t="str">
        <f>IF($I1009="","",IF(INDEX(F_ProductBM!K:K,MATCH($P1027,F_ProductBM!$P:$P,0))="","",INDEX(F_ProductBM!K:K,MATCH($P1027,F_ProductBM!$P:$P,0))))</f>
        <v/>
      </c>
      <c r="L1027" s="1004" t="str">
        <f>IF($I1009="","",IF(INDEX(F_ProductBM!L:L,MATCH($P1027,F_ProductBM!$P:$P,0))="","",INDEX(F_ProductBM!L:L,MATCH($P1027,F_ProductBM!$P:$P,0))))</f>
        <v/>
      </c>
      <c r="M1027" s="1004" t="str">
        <f>IF($I1009="","",IF(INDEX(F_ProductBM!M:M,MATCH($P1027,F_ProductBM!$P:$P,0))="","",INDEX(F_ProductBM!M:M,MATCH($P1027,F_ProductBM!$P:$P,0))))</f>
        <v/>
      </c>
      <c r="N1027" s="831"/>
      <c r="O1027" s="20"/>
      <c r="P1027" s="830" t="str">
        <f>EUconst_CNTR_FuelInput &amp; I1009</f>
        <v>FuelInput_</v>
      </c>
      <c r="Q1027" s="422"/>
      <c r="R1027" s="422"/>
      <c r="S1027" s="422"/>
      <c r="T1027" s="8"/>
    </row>
    <row r="1028" spans="1:20" s="701" customFormat="1" x14ac:dyDescent="0.2">
      <c r="A1028" s="422"/>
      <c r="B1028" s="398"/>
      <c r="C1028" s="398"/>
      <c r="D1028" s="398"/>
      <c r="E1028" s="1743" t="str">
        <f>Translations!$B$732</f>
        <v>Ważony współczynnik emisji</v>
      </c>
      <c r="F1028" s="1744"/>
      <c r="G1028" s="1744"/>
      <c r="H1028" s="473" t="str">
        <f>EUconst_tCO2pTJ</f>
        <v>t CO2 / TJ</v>
      </c>
      <c r="I1028" s="1005" t="str">
        <f>IF($I1009="","",IF(INDEX(F_ProductBM!I:I,MATCH($P1028,F_ProductBM!$P:$P,0))="","",INDEX(F_ProductBM!I:I,MATCH($P1028,F_ProductBM!$P:$P,0))))</f>
        <v/>
      </c>
      <c r="J1028" s="1005" t="str">
        <f>IF($I1009="","",IF(INDEX(F_ProductBM!J:J,MATCH($P1028,F_ProductBM!$P:$P,0))="","",INDEX(F_ProductBM!J:J,MATCH($P1028,F_ProductBM!$P:$P,0))))</f>
        <v/>
      </c>
      <c r="K1028" s="1005" t="str">
        <f>IF($I1009="","",IF(INDEX(F_ProductBM!K:K,MATCH($P1028,F_ProductBM!$P:$P,0))="","",INDEX(F_ProductBM!K:K,MATCH($P1028,F_ProductBM!$P:$P,0))))</f>
        <v/>
      </c>
      <c r="L1028" s="1005" t="str">
        <f>IF($I1009="","",IF(INDEX(F_ProductBM!L:L,MATCH($P1028,F_ProductBM!$P:$P,0))="","",INDEX(F_ProductBM!L:L,MATCH($P1028,F_ProductBM!$P:$P,0))))</f>
        <v/>
      </c>
      <c r="M1028" s="1005" t="str">
        <f>IF($I1009="","",IF(INDEX(F_ProductBM!M:M,MATCH($P1028,F_ProductBM!$P:$P,0))="","",INDEX(F_ProductBM!M:M,MATCH($P1028,F_ProductBM!$P:$P,0))))</f>
        <v/>
      </c>
      <c r="N1028" s="831"/>
      <c r="O1028" s="20"/>
      <c r="P1028" s="351" t="str">
        <f>EUconst_CNTR_FuelEF &amp; I1009</f>
        <v>FuelEF_</v>
      </c>
      <c r="Q1028" s="422"/>
      <c r="R1028" s="422"/>
      <c r="S1028" s="422"/>
      <c r="T1028" s="8"/>
    </row>
    <row r="1029" spans="1:20" s="701" customFormat="1" x14ac:dyDescent="0.2">
      <c r="A1029" s="422"/>
      <c r="B1029" s="398"/>
      <c r="C1029" s="398"/>
      <c r="E1029" s="516"/>
      <c r="F1029" s="831"/>
      <c r="G1029" s="831"/>
      <c r="H1029" s="831"/>
      <c r="I1029" s="1006"/>
      <c r="J1029" s="1006"/>
      <c r="K1029" s="1006"/>
      <c r="L1029" s="1006"/>
      <c r="M1029" s="1006"/>
      <c r="N1029" s="831"/>
      <c r="O1029" s="20"/>
      <c r="P1029" s="422"/>
      <c r="Q1029" s="422"/>
      <c r="R1029" s="422"/>
      <c r="S1029" s="422"/>
      <c r="T1029" s="8"/>
    </row>
    <row r="1030" spans="1:20" s="701" customFormat="1" x14ac:dyDescent="0.2">
      <c r="A1030" s="422"/>
      <c r="B1030" s="398"/>
      <c r="C1030" s="398"/>
      <c r="E1030" s="1739" t="str">
        <f>Translations!$B$687</f>
        <v>Emisje bezpośrednie</v>
      </c>
      <c r="F1030" s="1740"/>
      <c r="G1030" s="1740"/>
      <c r="H1030" s="453" t="str">
        <f>EUconst_tCO2pa</f>
        <v>t CO2 / rok</v>
      </c>
      <c r="I1030" s="1007" t="str">
        <f>IF($I1009="","",IF(INDEX(F_ProductBM!I:I,MATCH($P1030,F_ProductBM!$P:$P,0))="","",INDEX(F_ProductBM!I:I,MATCH($P1030,F_ProductBM!$P:$P,0))))</f>
        <v/>
      </c>
      <c r="J1030" s="1007" t="str">
        <f>IF($I1009="","",IF(INDEX(F_ProductBM!J:J,MATCH($P1030,F_ProductBM!$P:$P,0))="","",INDEX(F_ProductBM!J:J,MATCH($P1030,F_ProductBM!$P:$P,0))))</f>
        <v/>
      </c>
      <c r="K1030" s="1007" t="str">
        <f>IF($I1009="","",IF(INDEX(F_ProductBM!K:K,MATCH($P1030,F_ProductBM!$P:$P,0))="","",INDEX(F_ProductBM!K:K,MATCH($P1030,F_ProductBM!$P:$P,0))))</f>
        <v/>
      </c>
      <c r="L1030" s="1007" t="str">
        <f>IF($I1009="","",IF(INDEX(F_ProductBM!L:L,MATCH($P1030,F_ProductBM!$P:$P,0))="","",INDEX(F_ProductBM!L:L,MATCH($P1030,F_ProductBM!$P:$P,0))))</f>
        <v/>
      </c>
      <c r="M1030" s="1007" t="str">
        <f>IF($I1009="","",IF(INDEX(F_ProductBM!M:M,MATCH($P1030,F_ProductBM!$P:$P,0))="","",INDEX(F_ProductBM!M:M,MATCH($P1030,F_ProductBM!$P:$P,0))))</f>
        <v/>
      </c>
      <c r="N1030" s="831"/>
      <c r="O1030" s="20"/>
      <c r="P1030" s="351" t="str">
        <f>EUconst_CNTR_Emissions &amp; I1009</f>
        <v>DirEmissions_</v>
      </c>
      <c r="Q1030" s="422"/>
      <c r="R1030" s="422"/>
      <c r="S1030" s="422"/>
      <c r="T1030" s="8"/>
    </row>
    <row r="1031" spans="1:20" s="701" customFormat="1" x14ac:dyDescent="0.2">
      <c r="A1031" s="422"/>
      <c r="B1031" s="398"/>
      <c r="C1031" s="398"/>
      <c r="E1031" s="1974" t="str">
        <f>Translations!$B$742</f>
        <v>Dalsze strumienie materiałów wsadowych – 1:</v>
      </c>
      <c r="F1031" s="1974"/>
      <c r="G1031" s="1974"/>
      <c r="H1031" s="453" t="str">
        <f>EUconst_tCO2pa</f>
        <v>t CO2 / rok</v>
      </c>
      <c r="I1031" s="1007" t="str">
        <f>IF($I1009="","",IF(INDEX(F_ProductBM!I:I,MATCH($P1031,F_ProductBM!$P:$P,0))="","",INDEX(F_ProductBM!I:I,MATCH($P1031,F_ProductBM!$P:$P,0))))</f>
        <v/>
      </c>
      <c r="J1031" s="1007" t="str">
        <f>IF($I1009="","",IF(INDEX(F_ProductBM!J:J,MATCH($P1031,F_ProductBM!$P:$P,0))="","",INDEX(F_ProductBM!J:J,MATCH($P1031,F_ProductBM!$P:$P,0))))</f>
        <v/>
      </c>
      <c r="K1031" s="1007" t="str">
        <f>IF($I1009="","",IF(INDEX(F_ProductBM!K:K,MATCH($P1031,F_ProductBM!$P:$P,0))="","",INDEX(F_ProductBM!K:K,MATCH($P1031,F_ProductBM!$P:$P,0))))</f>
        <v/>
      </c>
      <c r="L1031" s="1007" t="str">
        <f>IF($I1009="","",IF(INDEX(F_ProductBM!L:L,MATCH($P1031,F_ProductBM!$P:$P,0))="","",INDEX(F_ProductBM!L:L,MATCH($P1031,F_ProductBM!$P:$P,0))))</f>
        <v/>
      </c>
      <c r="M1031" s="1007" t="str">
        <f>IF($I1009="","",IF(INDEX(F_ProductBM!M:M,MATCH($P1031,F_ProductBM!$P:$P,0))="","",INDEX(F_ProductBM!M:M,MATCH($P1031,F_ProductBM!$P:$P,0))))</f>
        <v/>
      </c>
      <c r="N1031" s="831"/>
      <c r="O1031" s="20"/>
      <c r="P1031" s="351" t="str">
        <f>EUconst_CNTR_EmissionsIntSource1 &amp; I1009</f>
        <v>EmInternalSource1_</v>
      </c>
      <c r="Q1031" s="422"/>
      <c r="R1031" s="422"/>
      <c r="S1031" s="422"/>
      <c r="T1031" s="8"/>
    </row>
    <row r="1032" spans="1:20" s="701" customFormat="1" x14ac:dyDescent="0.2">
      <c r="A1032" s="422"/>
      <c r="B1032" s="398"/>
      <c r="C1032" s="398"/>
      <c r="E1032" s="1974" t="str">
        <f>Translations!$B$752</f>
        <v>Dalsze strumienie materiałów wsadowych – 2:</v>
      </c>
      <c r="F1032" s="1974"/>
      <c r="G1032" s="1974"/>
      <c r="H1032" s="453" t="str">
        <f>EUconst_tCO2pa</f>
        <v>t CO2 / rok</v>
      </c>
      <c r="I1032" s="1007" t="str">
        <f>IF($I1009="","",IF(INDEX(F_ProductBM!I:I,MATCH($P1032,F_ProductBM!$P:$P,0))="","",INDEX(F_ProductBM!I:I,MATCH($P1032,F_ProductBM!$P:$P,0))))</f>
        <v/>
      </c>
      <c r="J1032" s="1007" t="str">
        <f>IF($I1009="","",IF(INDEX(F_ProductBM!J:J,MATCH($P1032,F_ProductBM!$P:$P,0))="","",INDEX(F_ProductBM!J:J,MATCH($P1032,F_ProductBM!$P:$P,0))))</f>
        <v/>
      </c>
      <c r="K1032" s="1007" t="str">
        <f>IF($I1009="","",IF(INDEX(F_ProductBM!K:K,MATCH($P1032,F_ProductBM!$P:$P,0))="","",INDEX(F_ProductBM!K:K,MATCH($P1032,F_ProductBM!$P:$P,0))))</f>
        <v/>
      </c>
      <c r="L1032" s="1007" t="str">
        <f>IF($I1009="","",IF(INDEX(F_ProductBM!L:L,MATCH($P1032,F_ProductBM!$P:$P,0))="","",INDEX(F_ProductBM!L:L,MATCH($P1032,F_ProductBM!$P:$P,0))))</f>
        <v/>
      </c>
      <c r="M1032" s="1007" t="str">
        <f>IF($I1009="","",IF(INDEX(F_ProductBM!M:M,MATCH($P1032,F_ProductBM!$P:$P,0))="","",INDEX(F_ProductBM!M:M,MATCH($P1032,F_ProductBM!$P:$P,0))))</f>
        <v/>
      </c>
      <c r="N1032" s="831"/>
      <c r="O1032" s="20"/>
      <c r="P1032" s="351" t="str">
        <f>EUconst_CNTR_EmissionsIntSource2 &amp; I1009</f>
        <v>EmInternalSource2_</v>
      </c>
      <c r="Q1032" s="422"/>
      <c r="R1032" s="422"/>
      <c r="S1032" s="422"/>
      <c r="T1032" s="8"/>
    </row>
    <row r="1033" spans="1:20" s="701" customFormat="1" x14ac:dyDescent="0.2">
      <c r="A1033" s="422"/>
      <c r="B1033" s="398"/>
      <c r="C1033" s="398"/>
      <c r="D1033" s="398"/>
      <c r="E1033" s="1739" t="str">
        <f>Translations!$B$756</f>
        <v>Wprowadzone lub wyprowadzone gazy cieplarniane</v>
      </c>
      <c r="F1033" s="1740"/>
      <c r="G1033" s="1740"/>
      <c r="H1033" s="453" t="str">
        <f>EUconst_tCO2epa</f>
        <v>t CO2e/rok</v>
      </c>
      <c r="I1033" s="1007" t="str">
        <f>IF($I1009="","",IF(INDEX(F_ProductBM!I:I,MATCH($P1033,F_ProductBM!$P:$P,0))="","",INDEX(F_ProductBM!I:I,MATCH($P1033,F_ProductBM!$P:$P,0))))</f>
        <v/>
      </c>
      <c r="J1033" s="1007" t="str">
        <f>IF($I1009="","",IF(INDEX(F_ProductBM!J:J,MATCH($P1033,F_ProductBM!$P:$P,0))="","",INDEX(F_ProductBM!J:J,MATCH($P1033,F_ProductBM!$P:$P,0))))</f>
        <v/>
      </c>
      <c r="K1033" s="1007" t="str">
        <f>IF($I1009="","",IF(INDEX(F_ProductBM!K:K,MATCH($P1033,F_ProductBM!$P:$P,0))="","",INDEX(F_ProductBM!K:K,MATCH($P1033,F_ProductBM!$P:$P,0))))</f>
        <v/>
      </c>
      <c r="L1033" s="1007" t="str">
        <f>IF($I1009="","",IF(INDEX(F_ProductBM!L:L,MATCH($P1033,F_ProductBM!$P:$P,0))="","",INDEX(F_ProductBM!L:L,MATCH($P1033,F_ProductBM!$P:$P,0))))</f>
        <v/>
      </c>
      <c r="M1033" s="1007" t="str">
        <f>IF($I1009="","",IF(INDEX(F_ProductBM!M:M,MATCH($P1033,F_ProductBM!$P:$P,0))="","",INDEX(F_ProductBM!M:M,MATCH($P1033,F_ProductBM!$P:$P,0))))</f>
        <v/>
      </c>
      <c r="N1033" s="831"/>
      <c r="O1033" s="20"/>
      <c r="P1033" s="351" t="str">
        <f>EUconst_CNTR_CO2Feedstock &amp; I1009</f>
        <v>EmCO2Feedstock_</v>
      </c>
      <c r="Q1033" s="422"/>
      <c r="R1033" s="422"/>
      <c r="S1033" s="422"/>
      <c r="T1033" s="8"/>
    </row>
    <row r="1034" spans="1:20" s="701" customFormat="1" x14ac:dyDescent="0.2">
      <c r="A1034" s="422"/>
      <c r="B1034" s="398"/>
      <c r="C1034" s="398"/>
      <c r="D1034" s="398"/>
      <c r="E1034" s="831"/>
      <c r="F1034" s="831"/>
      <c r="G1034" s="831"/>
      <c r="H1034" s="831"/>
      <c r="I1034" s="1006"/>
      <c r="J1034" s="1006"/>
      <c r="K1034" s="1006"/>
      <c r="L1034" s="1006"/>
      <c r="M1034" s="1006"/>
      <c r="N1034" s="831"/>
      <c r="O1034" s="20"/>
      <c r="P1034" s="422"/>
      <c r="Q1034" s="422"/>
      <c r="R1034" s="422"/>
      <c r="S1034" s="422"/>
      <c r="T1034" s="8"/>
    </row>
    <row r="1035" spans="1:20" s="701" customFormat="1" x14ac:dyDescent="0.2">
      <c r="A1035" s="422"/>
      <c r="B1035" s="398"/>
      <c r="C1035" s="398"/>
      <c r="D1035" s="398"/>
      <c r="E1035" s="1766" t="str">
        <f>Translations!$B$764</f>
        <v>Ciepło wprowadzone netto</v>
      </c>
      <c r="F1035" s="1767"/>
      <c r="G1035" s="1767"/>
      <c r="H1035" s="454" t="str">
        <f>EUconst_TJpa</f>
        <v>TJ / rok</v>
      </c>
      <c r="I1035" s="1004" t="str">
        <f>IF($I1009="","",IF(INDEX(F_ProductBM!I:I,MATCH($P1035,F_ProductBM!$P:$P,0))="","",INDEX(F_ProductBM!I:I,MATCH($P1035,F_ProductBM!$P:$P,0))))</f>
        <v/>
      </c>
      <c r="J1035" s="1004" t="str">
        <f>IF($I1009="","",IF(INDEX(F_ProductBM!J:J,MATCH($P1035,F_ProductBM!$P:$P,0))="","",INDEX(F_ProductBM!J:J,MATCH($P1035,F_ProductBM!$P:$P,0))))</f>
        <v/>
      </c>
      <c r="K1035" s="1004" t="str">
        <f>IF($I1009="","",IF(INDEX(F_ProductBM!K:K,MATCH($P1035,F_ProductBM!$P:$P,0))="","",INDEX(F_ProductBM!K:K,MATCH($P1035,F_ProductBM!$P:$P,0))))</f>
        <v/>
      </c>
      <c r="L1035" s="1004" t="str">
        <f>IF($I1009="","",IF(INDEX(F_ProductBM!L:L,MATCH($P1035,F_ProductBM!$P:$P,0))="","",INDEX(F_ProductBM!L:L,MATCH($P1035,F_ProductBM!$P:$P,0))))</f>
        <v/>
      </c>
      <c r="M1035" s="1004" t="str">
        <f>IF($I1009="","",IF(INDEX(F_ProductBM!M:M,MATCH($P1035,F_ProductBM!$P:$P,0))="","",INDEX(F_ProductBM!M:M,MATCH($P1035,F_ProductBM!$P:$P,0))))</f>
        <v/>
      </c>
      <c r="N1035" s="831"/>
      <c r="O1035" s="20"/>
      <c r="P1035" s="351" t="str">
        <f>EUconst_CNTR_HeatImport &amp; I1009</f>
        <v>HeatIm_</v>
      </c>
      <c r="Q1035" s="422"/>
      <c r="R1035" s="422"/>
      <c r="S1035" s="422"/>
      <c r="T1035" s="8"/>
    </row>
    <row r="1036" spans="1:20" s="701" customFormat="1" x14ac:dyDescent="0.2">
      <c r="A1036" s="422"/>
      <c r="B1036" s="398"/>
      <c r="C1036" s="398"/>
      <c r="D1036" s="398"/>
      <c r="E1036" s="1743" t="str">
        <f>Translations!$B$765</f>
        <v>Właściwy współczynnik emisji (ciepło wprowadzone)</v>
      </c>
      <c r="F1036" s="1744"/>
      <c r="G1036" s="1744"/>
      <c r="H1036" s="473" t="str">
        <f>EUconst_tCO2pTJ</f>
        <v>t CO2 / TJ</v>
      </c>
      <c r="I1036" s="1005" t="str">
        <f>IF($I1009="","",IF(INDEX(F_ProductBM!I:I,MATCH($P1036,F_ProductBM!$P:$P,0))="","",INDEX(F_ProductBM!I:I,MATCH($P1036,F_ProductBM!$P:$P,0))))</f>
        <v/>
      </c>
      <c r="J1036" s="1005" t="str">
        <f>IF($I1009="","",IF(INDEX(F_ProductBM!J:J,MATCH($P1036,F_ProductBM!$P:$P,0))="","",INDEX(F_ProductBM!J:J,MATCH($P1036,F_ProductBM!$P:$P,0))))</f>
        <v/>
      </c>
      <c r="K1036" s="1005" t="str">
        <f>IF($I1009="","",IF(INDEX(F_ProductBM!K:K,MATCH($P1036,F_ProductBM!$P:$P,0))="","",INDEX(F_ProductBM!K:K,MATCH($P1036,F_ProductBM!$P:$P,0))))</f>
        <v/>
      </c>
      <c r="L1036" s="1005" t="str">
        <f>IF($I1009="","",IF(INDEX(F_ProductBM!L:L,MATCH($P1036,F_ProductBM!$P:$P,0))="","",INDEX(F_ProductBM!L:L,MATCH($P1036,F_ProductBM!$P:$P,0))))</f>
        <v/>
      </c>
      <c r="M1036" s="1005" t="str">
        <f>IF($I1009="","",IF(INDEX(F_ProductBM!M:M,MATCH($P1036,F_ProductBM!$P:$P,0))="","",INDEX(F_ProductBM!M:M,MATCH($P1036,F_ProductBM!$P:$P,0))))</f>
        <v/>
      </c>
      <c r="N1036" s="831"/>
      <c r="O1036" s="20"/>
      <c r="P1036" s="351" t="str">
        <f>EUconst_CNTR_HeatImportEF &amp; I1009</f>
        <v>HeatImEF_</v>
      </c>
      <c r="Q1036" s="422"/>
      <c r="R1036" s="422"/>
      <c r="S1036" s="422"/>
      <c r="T1036" s="8"/>
    </row>
    <row r="1037" spans="1:20" s="701" customFormat="1" x14ac:dyDescent="0.2">
      <c r="A1037" s="422"/>
      <c r="B1037" s="398"/>
      <c r="C1037" s="398"/>
      <c r="D1037" s="398"/>
      <c r="E1037" s="516"/>
      <c r="F1037" s="831"/>
      <c r="G1037" s="831"/>
      <c r="H1037" s="831"/>
      <c r="I1037" s="1006"/>
      <c r="J1037" s="1006"/>
      <c r="K1037" s="1006"/>
      <c r="L1037" s="1006"/>
      <c r="M1037" s="1006"/>
      <c r="N1037" s="831"/>
      <c r="O1037" s="20"/>
      <c r="P1037" s="8"/>
      <c r="Q1037" s="422"/>
      <c r="R1037" s="422"/>
      <c r="S1037" s="422"/>
      <c r="T1037" s="8"/>
    </row>
    <row r="1038" spans="1:20" s="701" customFormat="1" x14ac:dyDescent="0.2">
      <c r="A1038" s="422"/>
      <c r="B1038" s="398"/>
      <c r="C1038" s="398"/>
      <c r="D1038" s="398"/>
      <c r="E1038" s="1739" t="str">
        <f>Translations!$B$820</f>
        <v>Ciepło wprowadzone netto z masy celulozowej</v>
      </c>
      <c r="F1038" s="1740"/>
      <c r="G1038" s="1740"/>
      <c r="H1038" s="453" t="str">
        <f>EUconst_TJpa</f>
        <v>TJ / rok</v>
      </c>
      <c r="I1038" s="1007" t="str">
        <f>IF($I1009="","",IF(INDEX(F_ProductBM!I:I,MATCH($P1038,F_ProductBM!$P:$P,0))="","",INDEX(F_ProductBM!I:I,MATCH($P1038,F_ProductBM!$P:$P,0))))</f>
        <v/>
      </c>
      <c r="J1038" s="1007" t="str">
        <f>IF($I1009="","",IF(INDEX(F_ProductBM!J:J,MATCH($P1038,F_ProductBM!$P:$P,0))="","",INDEX(F_ProductBM!J:J,MATCH($P1038,F_ProductBM!$P:$P,0))))</f>
        <v/>
      </c>
      <c r="K1038" s="1007" t="str">
        <f>IF($I1009="","",IF(INDEX(F_ProductBM!K:K,MATCH($P1038,F_ProductBM!$P:$P,0))="","",INDEX(F_ProductBM!K:K,MATCH($P1038,F_ProductBM!$P:$P,0))))</f>
        <v/>
      </c>
      <c r="L1038" s="1007" t="str">
        <f>IF($I1009="","",IF(INDEX(F_ProductBM!L:L,MATCH($P1038,F_ProductBM!$P:$P,0))="","",INDEX(F_ProductBM!L:L,MATCH($P1038,F_ProductBM!$P:$P,0))))</f>
        <v/>
      </c>
      <c r="M1038" s="1007" t="str">
        <f>IF($I1009="","",IF(INDEX(F_ProductBM!M:M,MATCH($P1038,F_ProductBM!$P:$P,0))="","",INDEX(F_ProductBM!M:M,MATCH($P1038,F_ProductBM!$P:$P,0))))</f>
        <v/>
      </c>
      <c r="N1038" s="831"/>
      <c r="O1038" s="20"/>
      <c r="P1038" s="351" t="str">
        <f>EUconst_CNTR_HeatImportPulp &amp; I1009</f>
        <v>HeatImPulp_</v>
      </c>
      <c r="Q1038" s="422"/>
      <c r="R1038" s="422"/>
      <c r="S1038" s="422"/>
      <c r="T1038" s="8"/>
    </row>
    <row r="1039" spans="1:20" s="701" customFormat="1" x14ac:dyDescent="0.2">
      <c r="A1039" s="422"/>
      <c r="B1039" s="398"/>
      <c r="C1039" s="398"/>
      <c r="D1039" s="398"/>
      <c r="E1039" s="1739" t="str">
        <f>Translations!$B$768</f>
        <v>Ciepło wprowadzone netto z podinstalacji wytwarzającej kwas azotowy</v>
      </c>
      <c r="F1039" s="1740"/>
      <c r="G1039" s="1740"/>
      <c r="H1039" s="453" t="str">
        <f>EUconst_TJpa</f>
        <v>TJ / rok</v>
      </c>
      <c r="I1039" s="1007" t="str">
        <f>IF($I1009="","",IF(INDEX(F_ProductBM!I:I,MATCH($P1039,F_ProductBM!$P:$P,0))="","",INDEX(F_ProductBM!I:I,MATCH($P1039,F_ProductBM!$P:$P,0))))</f>
        <v/>
      </c>
      <c r="J1039" s="1007" t="str">
        <f>IF($I1009="","",IF(INDEX(F_ProductBM!J:J,MATCH($P1039,F_ProductBM!$P:$P,0))="","",INDEX(F_ProductBM!J:J,MATCH($P1039,F_ProductBM!$P:$P,0))))</f>
        <v/>
      </c>
      <c r="K1039" s="1007" t="str">
        <f>IF($I1009="","",IF(INDEX(F_ProductBM!K:K,MATCH($P1039,F_ProductBM!$P:$P,0))="","",INDEX(F_ProductBM!K:K,MATCH($P1039,F_ProductBM!$P:$P,0))))</f>
        <v/>
      </c>
      <c r="L1039" s="1007" t="str">
        <f>IF($I1009="","",IF(INDEX(F_ProductBM!L:L,MATCH($P1039,F_ProductBM!$P:$P,0))="","",INDEX(F_ProductBM!L:L,MATCH($P1039,F_ProductBM!$P:$P,0))))</f>
        <v/>
      </c>
      <c r="M1039" s="1007" t="str">
        <f>IF($I1009="","",IF(INDEX(F_ProductBM!M:M,MATCH($P1039,F_ProductBM!$P:$P,0))="","",INDEX(F_ProductBM!M:M,MATCH($P1039,F_ProductBM!$P:$P,0))))</f>
        <v/>
      </c>
      <c r="N1039" s="831"/>
      <c r="O1039" s="20"/>
      <c r="P1039" s="351" t="str">
        <f>EUconst_CNTR_HeatImportNitric &amp; I1009</f>
        <v>HeatImNitric_</v>
      </c>
      <c r="Q1039" s="422"/>
      <c r="R1039" s="422"/>
      <c r="S1039" s="422"/>
      <c r="T1039" s="8"/>
    </row>
    <row r="1040" spans="1:20" s="701" customFormat="1" x14ac:dyDescent="0.2">
      <c r="A1040" s="422"/>
      <c r="B1040" s="398"/>
      <c r="C1040" s="398"/>
      <c r="D1040" s="398"/>
      <c r="E1040" s="516"/>
      <c r="F1040" s="516"/>
      <c r="G1040" s="516"/>
      <c r="H1040" s="516"/>
      <c r="I1040" s="1006"/>
      <c r="J1040" s="1006"/>
      <c r="K1040" s="1006"/>
      <c r="L1040" s="1006"/>
      <c r="M1040" s="1006"/>
      <c r="N1040" s="831"/>
      <c r="O1040" s="20"/>
      <c r="P1040" s="8"/>
      <c r="Q1040" s="422"/>
      <c r="R1040" s="422"/>
      <c r="S1040" s="422"/>
      <c r="T1040" s="8"/>
    </row>
    <row r="1041" spans="1:20" s="701" customFormat="1" x14ac:dyDescent="0.2">
      <c r="A1041" s="422"/>
      <c r="B1041" s="398"/>
      <c r="C1041" s="398"/>
      <c r="D1041" s="398"/>
      <c r="E1041" s="1766" t="str">
        <f>Translations!$B$770</f>
        <v>Ciepło wyprowadzone netto</v>
      </c>
      <c r="F1041" s="1767"/>
      <c r="G1041" s="1767"/>
      <c r="H1041" s="454" t="str">
        <f>EUconst_TJpa</f>
        <v>TJ / rok</v>
      </c>
      <c r="I1041" s="1004" t="str">
        <f>IF($I1009="","",IF(INDEX(F_ProductBM!I:I,MATCH($P1041,F_ProductBM!$P:$P,0))="","",INDEX(F_ProductBM!I:I,MATCH($P1041,F_ProductBM!$P:$P,0))))</f>
        <v/>
      </c>
      <c r="J1041" s="1004" t="str">
        <f>IF($I1009="","",IF(INDEX(F_ProductBM!J:J,MATCH($P1041,F_ProductBM!$P:$P,0))="","",INDEX(F_ProductBM!J:J,MATCH($P1041,F_ProductBM!$P:$P,0))))</f>
        <v/>
      </c>
      <c r="K1041" s="1004" t="str">
        <f>IF($I1009="","",IF(INDEX(F_ProductBM!K:K,MATCH($P1041,F_ProductBM!$P:$P,0))="","",INDEX(F_ProductBM!K:K,MATCH($P1041,F_ProductBM!$P:$P,0))))</f>
        <v/>
      </c>
      <c r="L1041" s="1004" t="str">
        <f>IF($I1009="","",IF(INDEX(F_ProductBM!L:L,MATCH($P1041,F_ProductBM!$P:$P,0))="","",INDEX(F_ProductBM!L:L,MATCH($P1041,F_ProductBM!$P:$P,0))))</f>
        <v/>
      </c>
      <c r="M1041" s="1004" t="str">
        <f>IF($I1009="","",IF(INDEX(F_ProductBM!M:M,MATCH($P1041,F_ProductBM!$P:$P,0))="","",INDEX(F_ProductBM!M:M,MATCH($P1041,F_ProductBM!$P:$P,0))))</f>
        <v/>
      </c>
      <c r="N1041" s="831"/>
      <c r="O1041" s="20"/>
      <c r="P1041" s="351" t="str">
        <f>EUconst_CNTR_HeatExport &amp; I1009</f>
        <v>HeatEx_</v>
      </c>
      <c r="Q1041" s="422"/>
      <c r="R1041" s="422"/>
      <c r="S1041" s="422"/>
      <c r="T1041" s="8"/>
    </row>
    <row r="1042" spans="1:20" s="701" customFormat="1" x14ac:dyDescent="0.2">
      <c r="A1042" s="422"/>
      <c r="B1042" s="398"/>
      <c r="C1042" s="398"/>
      <c r="D1042" s="398"/>
      <c r="E1042" s="1743" t="str">
        <f>Translations!$B$771</f>
        <v>Właściwy współczynnik emisji (ciepło wyprowadzone)</v>
      </c>
      <c r="F1042" s="1744"/>
      <c r="G1042" s="1744"/>
      <c r="H1042" s="473" t="str">
        <f>EUconst_tCO2pTJ</f>
        <v>t CO2 / TJ</v>
      </c>
      <c r="I1042" s="1005" t="str">
        <f>IF($I1009="","",IF(INDEX(F_ProductBM!I:I,MATCH($P1042,F_ProductBM!$P:$P,0))="","",INDEX(F_ProductBM!I:I,MATCH($P1042,F_ProductBM!$P:$P,0))))</f>
        <v/>
      </c>
      <c r="J1042" s="1005" t="str">
        <f>IF($I1009="","",IF(INDEX(F_ProductBM!J:J,MATCH($P1042,F_ProductBM!$P:$P,0))="","",INDEX(F_ProductBM!J:J,MATCH($P1042,F_ProductBM!$P:$P,0))))</f>
        <v/>
      </c>
      <c r="K1042" s="1005" t="str">
        <f>IF($I1009="","",IF(INDEX(F_ProductBM!K:K,MATCH($P1042,F_ProductBM!$P:$P,0))="","",INDEX(F_ProductBM!K:K,MATCH($P1042,F_ProductBM!$P:$P,0))))</f>
        <v/>
      </c>
      <c r="L1042" s="1005" t="str">
        <f>IF($I1009="","",IF(INDEX(F_ProductBM!L:L,MATCH($P1042,F_ProductBM!$P:$P,0))="","",INDEX(F_ProductBM!L:L,MATCH($P1042,F_ProductBM!$P:$P,0))))</f>
        <v/>
      </c>
      <c r="M1042" s="1005" t="str">
        <f>IF($I1009="","",IF(INDEX(F_ProductBM!M:M,MATCH($P1042,F_ProductBM!$P:$P,0))="","",INDEX(F_ProductBM!M:M,MATCH($P1042,F_ProductBM!$P:$P,0))))</f>
        <v/>
      </c>
      <c r="N1042" s="831"/>
      <c r="O1042" s="20"/>
      <c r="P1042" s="351" t="str">
        <f>EUconst_CNTR_HeatExportEF &amp; I1009</f>
        <v>HeatExEF_</v>
      </c>
      <c r="Q1042" s="422"/>
      <c r="R1042" s="422"/>
      <c r="S1042" s="422"/>
      <c r="T1042" s="8"/>
    </row>
    <row r="1043" spans="1:20" s="701" customFormat="1" x14ac:dyDescent="0.2">
      <c r="A1043" s="422"/>
      <c r="B1043" s="398"/>
      <c r="C1043" s="398"/>
      <c r="D1043" s="398"/>
      <c r="E1043" s="516"/>
      <c r="F1043" s="516"/>
      <c r="G1043" s="516"/>
      <c r="H1043" s="516"/>
      <c r="I1043" s="1006"/>
      <c r="J1043" s="1006"/>
      <c r="K1043" s="1006"/>
      <c r="L1043" s="1006"/>
      <c r="M1043" s="1006"/>
      <c r="N1043" s="831"/>
      <c r="O1043" s="20"/>
      <c r="P1043" s="182"/>
      <c r="Q1043" s="422"/>
      <c r="R1043" s="422"/>
      <c r="S1043" s="422"/>
      <c r="T1043" s="8"/>
    </row>
    <row r="1044" spans="1:20" s="701" customFormat="1" x14ac:dyDescent="0.2">
      <c r="A1044" s="422"/>
      <c r="B1044" s="398"/>
      <c r="C1044" s="398"/>
      <c r="D1044" s="398"/>
      <c r="E1044" s="1766" t="str">
        <f>Translations!$B$778</f>
        <v>Gazy odlotowe wytworzone</v>
      </c>
      <c r="F1044" s="1767"/>
      <c r="G1044" s="1767"/>
      <c r="H1044" s="454" t="str">
        <f>EUconst_TJpa</f>
        <v>TJ / rok</v>
      </c>
      <c r="I1044" s="1004" t="str">
        <f>IF($I1009="","",IF(INDEX(F_ProductBM!I:I,MATCH($P1044,F_ProductBM!$P:$P,0))="","",INDEX(F_ProductBM!I:I,MATCH($P1044,F_ProductBM!$P:$P,0))))</f>
        <v/>
      </c>
      <c r="J1044" s="1004" t="str">
        <f>IF($I1009="","",IF(INDEX(F_ProductBM!J:J,MATCH($P1044,F_ProductBM!$P:$P,0))="","",INDEX(F_ProductBM!J:J,MATCH($P1044,F_ProductBM!$P:$P,0))))</f>
        <v/>
      </c>
      <c r="K1044" s="1004" t="str">
        <f>IF($I1009="","",IF(INDEX(F_ProductBM!K:K,MATCH($P1044,F_ProductBM!$P:$P,0))="","",INDEX(F_ProductBM!K:K,MATCH($P1044,F_ProductBM!$P:$P,0))))</f>
        <v/>
      </c>
      <c r="L1044" s="1004" t="str">
        <f>IF($I1009="","",IF(INDEX(F_ProductBM!L:L,MATCH($P1044,F_ProductBM!$P:$P,0))="","",INDEX(F_ProductBM!L:L,MATCH($P1044,F_ProductBM!$P:$P,0))))</f>
        <v/>
      </c>
      <c r="M1044" s="1004" t="str">
        <f>IF($I1009="","",IF(INDEX(F_ProductBM!M:M,MATCH($P1044,F_ProductBM!$P:$P,0))="","",INDEX(F_ProductBM!M:M,MATCH($P1044,F_ProductBM!$P:$P,0))))</f>
        <v/>
      </c>
      <c r="N1044" s="831"/>
      <c r="O1044" s="20"/>
      <c r="P1044" s="830" t="str">
        <f>EUconst_CNTR_WGProduced &amp; I1009</f>
        <v>WasteGasProd_</v>
      </c>
      <c r="Q1044" s="422"/>
      <c r="R1044" s="422"/>
      <c r="S1044" s="422"/>
      <c r="T1044" s="8"/>
    </row>
    <row r="1045" spans="1:20" s="701" customFormat="1" x14ac:dyDescent="0.2">
      <c r="A1045" s="422"/>
      <c r="B1045" s="398"/>
      <c r="C1045" s="398"/>
      <c r="D1045" s="398"/>
      <c r="E1045" s="1743" t="str">
        <f>Translations!$B$779</f>
        <v>Właściwy współczynnik emisji (gazy odlotowe wytworzone)</v>
      </c>
      <c r="F1045" s="1744"/>
      <c r="G1045" s="1744"/>
      <c r="H1045" s="473" t="str">
        <f>EUconst_tCO2pTJ</f>
        <v>t CO2 / TJ</v>
      </c>
      <c r="I1045" s="1005" t="str">
        <f>IF($I1009="","",IF(INDEX(F_ProductBM!I:I,MATCH($P1045,F_ProductBM!$P:$P,0))="","",INDEX(F_ProductBM!I:I,MATCH($P1045,F_ProductBM!$P:$P,0))))</f>
        <v/>
      </c>
      <c r="J1045" s="1005" t="str">
        <f>IF($I1009="","",IF(INDEX(F_ProductBM!J:J,MATCH($P1045,F_ProductBM!$P:$P,0))="","",INDEX(F_ProductBM!J:J,MATCH($P1045,F_ProductBM!$P:$P,0))))</f>
        <v/>
      </c>
      <c r="K1045" s="1005" t="str">
        <f>IF($I1009="","",IF(INDEX(F_ProductBM!K:K,MATCH($P1045,F_ProductBM!$P:$P,0))="","",INDEX(F_ProductBM!K:K,MATCH($P1045,F_ProductBM!$P:$P,0))))</f>
        <v/>
      </c>
      <c r="L1045" s="1005" t="str">
        <f>IF($I1009="","",IF(INDEX(F_ProductBM!L:L,MATCH($P1045,F_ProductBM!$P:$P,0))="","",INDEX(F_ProductBM!L:L,MATCH($P1045,F_ProductBM!$P:$P,0))))</f>
        <v/>
      </c>
      <c r="M1045" s="1005" t="str">
        <f>IF($I1009="","",IF(INDEX(F_ProductBM!M:M,MATCH($P1045,F_ProductBM!$P:$P,0))="","",INDEX(F_ProductBM!M:M,MATCH($P1045,F_ProductBM!$P:$P,0))))</f>
        <v/>
      </c>
      <c r="N1045" s="831"/>
      <c r="O1045" s="20"/>
      <c r="P1045" s="351" t="str">
        <f>EUconst_CNTR_WGProducedEF &amp; I1009</f>
        <v>WasteGasProdEF_</v>
      </c>
      <c r="Q1045" s="422"/>
      <c r="R1045" s="422"/>
      <c r="S1045" s="422"/>
      <c r="T1045" s="8"/>
    </row>
    <row r="1046" spans="1:20" s="701" customFormat="1" x14ac:dyDescent="0.2">
      <c r="A1046" s="422"/>
      <c r="B1046" s="398"/>
      <c r="C1046" s="398"/>
      <c r="D1046" s="398"/>
      <c r="E1046" s="1766" t="str">
        <f>Translations!$B$783</f>
        <v>Gazy odlotowe zużyte</v>
      </c>
      <c r="F1046" s="1767"/>
      <c r="G1046" s="1767"/>
      <c r="H1046" s="454" t="str">
        <f>EUconst_TJpa</f>
        <v>TJ / rok</v>
      </c>
      <c r="I1046" s="1004" t="str">
        <f>IF($I1009="","",IF(INDEX(F_ProductBM!I:I,MATCH($P1046,F_ProductBM!$P:$P,0))="","",INDEX(F_ProductBM!I:I,MATCH($P1046,F_ProductBM!$P:$P,0))))</f>
        <v/>
      </c>
      <c r="J1046" s="1004" t="str">
        <f>IF($I1009="","",IF(INDEX(F_ProductBM!J:J,MATCH($P1046,F_ProductBM!$P:$P,0))="","",INDEX(F_ProductBM!J:J,MATCH($P1046,F_ProductBM!$P:$P,0))))</f>
        <v/>
      </c>
      <c r="K1046" s="1004" t="str">
        <f>IF($I1009="","",IF(INDEX(F_ProductBM!K:K,MATCH($P1046,F_ProductBM!$P:$P,0))="","",INDEX(F_ProductBM!K:K,MATCH($P1046,F_ProductBM!$P:$P,0))))</f>
        <v/>
      </c>
      <c r="L1046" s="1004" t="str">
        <f>IF($I1009="","",IF(INDEX(F_ProductBM!L:L,MATCH($P1046,F_ProductBM!$P:$P,0))="","",INDEX(F_ProductBM!L:L,MATCH($P1046,F_ProductBM!$P:$P,0))))</f>
        <v/>
      </c>
      <c r="M1046" s="1004" t="str">
        <f>IF($I1009="","",IF(INDEX(F_ProductBM!M:M,MATCH($P1046,F_ProductBM!$P:$P,0))="","",INDEX(F_ProductBM!M:M,MATCH($P1046,F_ProductBM!$P:$P,0))))</f>
        <v/>
      </c>
      <c r="N1046" s="831"/>
      <c r="O1046" s="20"/>
      <c r="P1046" s="351" t="str">
        <f>EUconst_CNTR_WGConsumed &amp; I1009</f>
        <v>WasteGasCons_</v>
      </c>
      <c r="Q1046" s="422"/>
      <c r="R1046" s="422"/>
      <c r="S1046" s="422"/>
      <c r="T1046" s="8"/>
    </row>
    <row r="1047" spans="1:20" s="701" customFormat="1" x14ac:dyDescent="0.2">
      <c r="A1047" s="422"/>
      <c r="B1047" s="398"/>
      <c r="C1047" s="398"/>
      <c r="D1047" s="398"/>
      <c r="E1047" s="1743" t="str">
        <f>Translations!$B$784</f>
        <v>Właściwy współczynnik emisji (gazy odlotowe zużyte)</v>
      </c>
      <c r="F1047" s="1744"/>
      <c r="G1047" s="1744"/>
      <c r="H1047" s="473" t="str">
        <f>EUconst_tCO2pTJ</f>
        <v>t CO2 / TJ</v>
      </c>
      <c r="I1047" s="1005" t="str">
        <f>IF($I1009="","",IF(INDEX(F_ProductBM!I:I,MATCH($P1047,F_ProductBM!$P:$P,0))="","",INDEX(F_ProductBM!I:I,MATCH($P1047,F_ProductBM!$P:$P,0))))</f>
        <v/>
      </c>
      <c r="J1047" s="1005" t="str">
        <f>IF($I1009="","",IF(INDEX(F_ProductBM!J:J,MATCH($P1047,F_ProductBM!$P:$P,0))="","",INDEX(F_ProductBM!J:J,MATCH($P1047,F_ProductBM!$P:$P,0))))</f>
        <v/>
      </c>
      <c r="K1047" s="1005" t="str">
        <f>IF($I1009="","",IF(INDEX(F_ProductBM!K:K,MATCH($P1047,F_ProductBM!$P:$P,0))="","",INDEX(F_ProductBM!K:K,MATCH($P1047,F_ProductBM!$P:$P,0))))</f>
        <v/>
      </c>
      <c r="L1047" s="1005" t="str">
        <f>IF($I1009="","",IF(INDEX(F_ProductBM!L:L,MATCH($P1047,F_ProductBM!$P:$P,0))="","",INDEX(F_ProductBM!L:L,MATCH($P1047,F_ProductBM!$P:$P,0))))</f>
        <v/>
      </c>
      <c r="M1047" s="1005" t="str">
        <f>IF($I1009="","",IF(INDEX(F_ProductBM!M:M,MATCH($P1047,F_ProductBM!$P:$P,0))="","",INDEX(F_ProductBM!M:M,MATCH($P1047,F_ProductBM!$P:$P,0))))</f>
        <v/>
      </c>
      <c r="N1047" s="831"/>
      <c r="O1047" s="20"/>
      <c r="P1047" s="351" t="str">
        <f>EUconst_CNTR_WGConsumedEF &amp; I1009</f>
        <v>WasteGasConsEF_</v>
      </c>
      <c r="Q1047" s="422"/>
      <c r="R1047" s="422"/>
      <c r="S1047" s="422"/>
      <c r="T1047" s="8"/>
    </row>
    <row r="1048" spans="1:20" s="701" customFormat="1" x14ac:dyDescent="0.2">
      <c r="A1048" s="422"/>
      <c r="B1048" s="398"/>
      <c r="C1048" s="398"/>
      <c r="D1048" s="398"/>
      <c r="E1048" s="1766" t="str">
        <f>Translations!$B$790</f>
        <v>Gazy odlotowe spalone na pochodniach</v>
      </c>
      <c r="F1048" s="1767"/>
      <c r="G1048" s="1767"/>
      <c r="H1048" s="454" t="str">
        <f>EUconst_TJpa</f>
        <v>TJ / rok</v>
      </c>
      <c r="I1048" s="1004" t="str">
        <f>IF($I1009="","",IF(INDEX(F_ProductBM!I:I,MATCH($P1048,F_ProductBM!$P:$P,0))="","",INDEX(F_ProductBM!I:I,MATCH($P1048,F_ProductBM!$P:$P,0))))</f>
        <v/>
      </c>
      <c r="J1048" s="1004" t="str">
        <f>IF($I1009="","",IF(INDEX(F_ProductBM!J:J,MATCH($P1048,F_ProductBM!$P:$P,0))="","",INDEX(F_ProductBM!J:J,MATCH($P1048,F_ProductBM!$P:$P,0))))</f>
        <v/>
      </c>
      <c r="K1048" s="1004" t="str">
        <f>IF($I1009="","",IF(INDEX(F_ProductBM!K:K,MATCH($P1048,F_ProductBM!$P:$P,0))="","",INDEX(F_ProductBM!K:K,MATCH($P1048,F_ProductBM!$P:$P,0))))</f>
        <v/>
      </c>
      <c r="L1048" s="1004" t="str">
        <f>IF($I1009="","",IF(INDEX(F_ProductBM!L:L,MATCH($P1048,F_ProductBM!$P:$P,0))="","",INDEX(F_ProductBM!L:L,MATCH($P1048,F_ProductBM!$P:$P,0))))</f>
        <v/>
      </c>
      <c r="M1048" s="1004" t="str">
        <f>IF($I1009="","",IF(INDEX(F_ProductBM!M:M,MATCH($P1048,F_ProductBM!$P:$P,0))="","",INDEX(F_ProductBM!M:M,MATCH($P1048,F_ProductBM!$P:$P,0))))</f>
        <v/>
      </c>
      <c r="N1048" s="831"/>
      <c r="O1048" s="20"/>
      <c r="P1048" s="351" t="str">
        <f>EUconst_CNTR_WGFlared &amp; I1009</f>
        <v>WasteGasFlare_</v>
      </c>
      <c r="Q1048" s="422"/>
      <c r="R1048" s="422"/>
      <c r="S1048" s="422"/>
      <c r="T1048" s="8"/>
    </row>
    <row r="1049" spans="1:20" s="701" customFormat="1" x14ac:dyDescent="0.2">
      <c r="A1049" s="422"/>
      <c r="B1049" s="398"/>
      <c r="C1049" s="398"/>
      <c r="D1049" s="398"/>
      <c r="E1049" s="1743" t="str">
        <f>Translations!$B$791</f>
        <v>Właściwy współczynnik emisji (gazy odlotowe spalone na pochodniach)</v>
      </c>
      <c r="F1049" s="1744"/>
      <c r="G1049" s="1744"/>
      <c r="H1049" s="473" t="str">
        <f>EUconst_tCO2pTJ</f>
        <v>t CO2 / TJ</v>
      </c>
      <c r="I1049" s="1005" t="str">
        <f>IF($I1009="","",IF(INDEX(F_ProductBM!I:I,MATCH($P1049,F_ProductBM!$P:$P,0))="","",INDEX(F_ProductBM!I:I,MATCH($P1049,F_ProductBM!$P:$P,0))))</f>
        <v/>
      </c>
      <c r="J1049" s="1005" t="str">
        <f>IF($I1009="","",IF(INDEX(F_ProductBM!J:J,MATCH($P1049,F_ProductBM!$P:$P,0))="","",INDEX(F_ProductBM!J:J,MATCH($P1049,F_ProductBM!$P:$P,0))))</f>
        <v/>
      </c>
      <c r="K1049" s="1005" t="str">
        <f>IF($I1009="","",IF(INDEX(F_ProductBM!K:K,MATCH($P1049,F_ProductBM!$P:$P,0))="","",INDEX(F_ProductBM!K:K,MATCH($P1049,F_ProductBM!$P:$P,0))))</f>
        <v/>
      </c>
      <c r="L1049" s="1005" t="str">
        <f>IF($I1009="","",IF(INDEX(F_ProductBM!L:L,MATCH($P1049,F_ProductBM!$P:$P,0))="","",INDEX(F_ProductBM!L:L,MATCH($P1049,F_ProductBM!$P:$P,0))))</f>
        <v/>
      </c>
      <c r="M1049" s="1005" t="str">
        <f>IF($I1009="","",IF(INDEX(F_ProductBM!M:M,MATCH($P1049,F_ProductBM!$P:$P,0))="","",INDEX(F_ProductBM!M:M,MATCH($P1049,F_ProductBM!$P:$P,0))))</f>
        <v/>
      </c>
      <c r="N1049" s="831"/>
      <c r="O1049" s="20"/>
      <c r="P1049" s="351" t="str">
        <f>EUconst_CNTR_WGFlaredEF &amp; I1009</f>
        <v>WasteGasFlareEF_</v>
      </c>
      <c r="Q1049" s="422"/>
      <c r="R1049" s="422"/>
      <c r="S1049" s="422"/>
      <c r="T1049" s="8"/>
    </row>
    <row r="1050" spans="1:20" s="701" customFormat="1" x14ac:dyDescent="0.2">
      <c r="A1050" s="422"/>
      <c r="B1050" s="398"/>
      <c r="C1050" s="398"/>
      <c r="D1050" s="398"/>
      <c r="E1050" s="1766" t="str">
        <f>Translations!$B$796</f>
        <v>Gazy odlotowe wprowadzone</v>
      </c>
      <c r="F1050" s="1767"/>
      <c r="G1050" s="1767"/>
      <c r="H1050" s="454" t="str">
        <f>EUconst_TJpa</f>
        <v>TJ / rok</v>
      </c>
      <c r="I1050" s="1004" t="str">
        <f>IF($I1009="","",IF(INDEX(F_ProductBM!I:I,MATCH($P1050,F_ProductBM!$P:$P,0))="","",INDEX(F_ProductBM!I:I,MATCH($P1050,F_ProductBM!$P:$P,0))))</f>
        <v/>
      </c>
      <c r="J1050" s="1004" t="str">
        <f>IF($I1009="","",IF(INDEX(F_ProductBM!J:J,MATCH($P1050,F_ProductBM!$P:$P,0))="","",INDEX(F_ProductBM!J:J,MATCH($P1050,F_ProductBM!$P:$P,0))))</f>
        <v/>
      </c>
      <c r="K1050" s="1004" t="str">
        <f>IF($I1009="","",IF(INDEX(F_ProductBM!K:K,MATCH($P1050,F_ProductBM!$P:$P,0))="","",INDEX(F_ProductBM!K:K,MATCH($P1050,F_ProductBM!$P:$P,0))))</f>
        <v/>
      </c>
      <c r="L1050" s="1004" t="str">
        <f>IF($I1009="","",IF(INDEX(F_ProductBM!L:L,MATCH($P1050,F_ProductBM!$P:$P,0))="","",INDEX(F_ProductBM!L:L,MATCH($P1050,F_ProductBM!$P:$P,0))))</f>
        <v/>
      </c>
      <c r="M1050" s="1004" t="str">
        <f>IF($I1009="","",IF(INDEX(F_ProductBM!M:M,MATCH($P1050,F_ProductBM!$P:$P,0))="","",INDEX(F_ProductBM!M:M,MATCH($P1050,F_ProductBM!$P:$P,0))))</f>
        <v/>
      </c>
      <c r="N1050" s="831"/>
      <c r="O1050" s="20"/>
      <c r="P1050" s="351" t="str">
        <f>EUconst_CNTR_WGImport &amp; I1009</f>
        <v>WasteGasIm_</v>
      </c>
      <c r="Q1050" s="422"/>
      <c r="R1050" s="422"/>
      <c r="S1050" s="422"/>
      <c r="T1050" s="8"/>
    </row>
    <row r="1051" spans="1:20" s="701" customFormat="1" x14ac:dyDescent="0.2">
      <c r="A1051" s="422"/>
      <c r="B1051" s="398"/>
      <c r="C1051" s="398"/>
      <c r="D1051" s="398"/>
      <c r="E1051" s="1743" t="str">
        <f>Translations!$B$797</f>
        <v>Właściwy współczynnik emisji (gazy odlotowe wprowadzone)</v>
      </c>
      <c r="F1051" s="1743"/>
      <c r="G1051" s="1743"/>
      <c r="H1051" s="832" t="str">
        <f>EUconst_tCO2pTJ</f>
        <v>t CO2 / TJ</v>
      </c>
      <c r="I1051" s="1005" t="str">
        <f>IF($I1009="","",IF(INDEX(F_ProductBM!I:I,MATCH($P1051,F_ProductBM!$P:$P,0))="","",INDEX(F_ProductBM!I:I,MATCH($P1051,F_ProductBM!$P:$P,0))))</f>
        <v/>
      </c>
      <c r="J1051" s="1005" t="str">
        <f>IF($I1009="","",IF(INDEX(F_ProductBM!J:J,MATCH($P1051,F_ProductBM!$P:$P,0))="","",INDEX(F_ProductBM!J:J,MATCH($P1051,F_ProductBM!$P:$P,0))))</f>
        <v/>
      </c>
      <c r="K1051" s="1005" t="str">
        <f>IF($I1009="","",IF(INDEX(F_ProductBM!K:K,MATCH($P1051,F_ProductBM!$P:$P,0))="","",INDEX(F_ProductBM!K:K,MATCH($P1051,F_ProductBM!$P:$P,0))))</f>
        <v/>
      </c>
      <c r="L1051" s="1005" t="str">
        <f>IF($I1009="","",IF(INDEX(F_ProductBM!L:L,MATCH($P1051,F_ProductBM!$P:$P,0))="","",INDEX(F_ProductBM!L:L,MATCH($P1051,F_ProductBM!$P:$P,0))))</f>
        <v/>
      </c>
      <c r="M1051" s="1005" t="str">
        <f>IF($I1009="","",IF(INDEX(F_ProductBM!M:M,MATCH($P1051,F_ProductBM!$P:$P,0))="","",INDEX(F_ProductBM!M:M,MATCH($P1051,F_ProductBM!$P:$P,0))))</f>
        <v/>
      </c>
      <c r="N1051" s="831"/>
      <c r="O1051" s="20"/>
      <c r="P1051" s="351" t="str">
        <f>EUconst_CNTR_WGImportEF &amp; I1009</f>
        <v>WasteGasImEF_</v>
      </c>
      <c r="Q1051" s="422"/>
      <c r="R1051" s="422"/>
      <c r="S1051" s="422"/>
      <c r="T1051" s="8"/>
    </row>
    <row r="1052" spans="1:20" s="701" customFormat="1" x14ac:dyDescent="0.2">
      <c r="A1052" s="422"/>
      <c r="B1052" s="398"/>
      <c r="C1052" s="398"/>
      <c r="D1052" s="398"/>
      <c r="E1052" s="1766" t="str">
        <f>Translations!$B$801</f>
        <v>Gazy odlotowe wyprowadzone</v>
      </c>
      <c r="F1052" s="1767"/>
      <c r="G1052" s="1767"/>
      <c r="H1052" s="454" t="str">
        <f>EUconst_TJpa</f>
        <v>TJ / rok</v>
      </c>
      <c r="I1052" s="1004" t="str">
        <f>IF($I1009="","",IF(INDEX(F_ProductBM!I:I,MATCH($P1052,F_ProductBM!$P:$P,0))="","",INDEX(F_ProductBM!I:I,MATCH($P1052,F_ProductBM!$P:$P,0))))</f>
        <v/>
      </c>
      <c r="J1052" s="1004" t="str">
        <f>IF($I1009="","",IF(INDEX(F_ProductBM!J:J,MATCH($P1052,F_ProductBM!$P:$P,0))="","",INDEX(F_ProductBM!J:J,MATCH($P1052,F_ProductBM!$P:$P,0))))</f>
        <v/>
      </c>
      <c r="K1052" s="1004" t="str">
        <f>IF($I1009="","",IF(INDEX(F_ProductBM!K:K,MATCH($P1052,F_ProductBM!$P:$P,0))="","",INDEX(F_ProductBM!K:K,MATCH($P1052,F_ProductBM!$P:$P,0))))</f>
        <v/>
      </c>
      <c r="L1052" s="1004" t="str">
        <f>IF($I1009="","",IF(INDEX(F_ProductBM!L:L,MATCH($P1052,F_ProductBM!$P:$P,0))="","",INDEX(F_ProductBM!L:L,MATCH($P1052,F_ProductBM!$P:$P,0))))</f>
        <v/>
      </c>
      <c r="M1052" s="1004" t="str">
        <f>IF($I1009="","",IF(INDEX(F_ProductBM!M:M,MATCH($P1052,F_ProductBM!$P:$P,0))="","",INDEX(F_ProductBM!M:M,MATCH($P1052,F_ProductBM!$P:$P,0))))</f>
        <v/>
      </c>
      <c r="N1052" s="831"/>
      <c r="O1052" s="20"/>
      <c r="P1052" s="351" t="str">
        <f>EUconst_CNTR_WGExport &amp; I1009</f>
        <v>WasteGasEx_</v>
      </c>
      <c r="Q1052" s="422"/>
      <c r="R1052" s="422"/>
      <c r="S1052" s="422"/>
      <c r="T1052" s="8"/>
    </row>
    <row r="1053" spans="1:20" s="701" customFormat="1" x14ac:dyDescent="0.2">
      <c r="A1053" s="422"/>
      <c r="B1053" s="398"/>
      <c r="C1053" s="398"/>
      <c r="D1053" s="398"/>
      <c r="E1053" s="1743" t="str">
        <f>Translations!$B$802</f>
        <v>Właściwy współczynnik emisji (gazy odlotowe wyprowadzone)</v>
      </c>
      <c r="F1053" s="1743"/>
      <c r="G1053" s="1743"/>
      <c r="H1053" s="832" t="str">
        <f>EUconst_tCO2pTJ</f>
        <v>t CO2 / TJ</v>
      </c>
      <c r="I1053" s="1005" t="str">
        <f>IF($I1009="","",IF(INDEX(F_ProductBM!I:I,MATCH($P1053,F_ProductBM!$P:$P,0))="","",INDEX(F_ProductBM!I:I,MATCH($P1053,F_ProductBM!$P:$P,0))))</f>
        <v/>
      </c>
      <c r="J1053" s="1005" t="str">
        <f>IF($I1009="","",IF(INDEX(F_ProductBM!J:J,MATCH($P1053,F_ProductBM!$P:$P,0))="","",INDEX(F_ProductBM!J:J,MATCH($P1053,F_ProductBM!$P:$P,0))))</f>
        <v/>
      </c>
      <c r="K1053" s="1005" t="str">
        <f>IF($I1009="","",IF(INDEX(F_ProductBM!K:K,MATCH($P1053,F_ProductBM!$P:$P,0))="","",INDEX(F_ProductBM!K:K,MATCH($P1053,F_ProductBM!$P:$P,0))))</f>
        <v/>
      </c>
      <c r="L1053" s="1005" t="str">
        <f>IF($I1009="","",IF(INDEX(F_ProductBM!L:L,MATCH($P1053,F_ProductBM!$P:$P,0))="","",INDEX(F_ProductBM!L:L,MATCH($P1053,F_ProductBM!$P:$P,0))))</f>
        <v/>
      </c>
      <c r="M1053" s="1005" t="str">
        <f>IF($I1009="","",IF(INDEX(F_ProductBM!M:M,MATCH($P1053,F_ProductBM!$P:$P,0))="","",INDEX(F_ProductBM!M:M,MATCH($P1053,F_ProductBM!$P:$P,0))))</f>
        <v/>
      </c>
      <c r="N1053" s="831"/>
      <c r="O1053" s="20"/>
      <c r="P1053" s="351" t="str">
        <f>EUconst_CNTR_WGExportEF &amp; I1009</f>
        <v>WasteGasExEF_</v>
      </c>
      <c r="Q1053" s="422"/>
      <c r="R1053" s="422"/>
      <c r="S1053" s="422"/>
      <c r="T1053" s="8"/>
    </row>
    <row r="1054" spans="1:20" s="701" customFormat="1" x14ac:dyDescent="0.2">
      <c r="A1054" s="422"/>
      <c r="B1054" s="398"/>
      <c r="C1054" s="398"/>
      <c r="D1054" s="398"/>
      <c r="E1054" s="516"/>
      <c r="F1054" s="516"/>
      <c r="G1054" s="516"/>
      <c r="H1054" s="516"/>
      <c r="I1054" s="1006"/>
      <c r="J1054" s="1006"/>
      <c r="K1054" s="1006"/>
      <c r="L1054" s="1006"/>
      <c r="M1054" s="1006"/>
      <c r="N1054" s="831"/>
      <c r="O1054" s="20"/>
      <c r="P1054" s="182"/>
      <c r="Q1054" s="422"/>
      <c r="R1054" s="422"/>
      <c r="S1054" s="422"/>
      <c r="T1054" s="8"/>
    </row>
    <row r="1055" spans="1:20" s="701" customFormat="1" x14ac:dyDescent="0.2">
      <c r="A1055" s="422"/>
      <c r="B1055" s="398"/>
      <c r="C1055" s="398"/>
      <c r="D1055" s="398"/>
      <c r="E1055" s="1739" t="str">
        <f>Translations!$B$689</f>
        <v>Odpowiednie zużycie energii elektrycznej</v>
      </c>
      <c r="F1055" s="1740"/>
      <c r="G1055" s="1740"/>
      <c r="H1055" s="453" t="str">
        <f>EUconst_MWhpa</f>
        <v>MWh / rok</v>
      </c>
      <c r="I1055" s="1007" t="str">
        <f>IF($I1009="","",IF(INDEX(F_ProductBM!I:I,MATCH($P1055,F_ProductBM!$Q:$Q,0))="","",INDEX(F_ProductBM!I:I,MATCH($P1055,F_ProductBM!$Q:$Q,0))))</f>
        <v/>
      </c>
      <c r="J1055" s="1007" t="str">
        <f>IF($I1009="","",IF(INDEX(F_ProductBM!J:J,MATCH($P1055,F_ProductBM!$Q:$Q,0))="","",INDEX(F_ProductBM!J:J,MATCH($P1055,F_ProductBM!$Q:$Q,0))))</f>
        <v/>
      </c>
      <c r="K1055" s="1007" t="str">
        <f>IF($I1009="","",IF(INDEX(F_ProductBM!K:K,MATCH($P1055,F_ProductBM!$Q:$Q,0))="","",INDEX(F_ProductBM!K:K,MATCH($P1055,F_ProductBM!$Q:$Q,0))))</f>
        <v/>
      </c>
      <c r="L1055" s="1007" t="str">
        <f>IF($I1009="","",IF(INDEX(F_ProductBM!L:L,MATCH($P1055,F_ProductBM!$Q:$Q,0))="","",INDEX(F_ProductBM!L:L,MATCH($P1055,F_ProductBM!$Q:$Q,0))))</f>
        <v/>
      </c>
      <c r="M1055" s="1007" t="str">
        <f>IF($I1009="","",IF(INDEX(F_ProductBM!M:M,MATCH($P1055,F_ProductBM!$Q:$Q,0))="","",INDEX(F_ProductBM!M:M,MATCH($P1055,F_ProductBM!$Q:$Q,0))))</f>
        <v/>
      </c>
      <c r="N1055" s="831"/>
      <c r="O1055" s="20"/>
      <c r="P1055" s="185" t="str">
        <f>EUconst_CNTR_HAL&amp;EUconst_CNTR_ELEXCH &amp; I1009</f>
        <v>HAL_ELEXCH_</v>
      </c>
      <c r="Q1055" s="422"/>
      <c r="R1055" s="422"/>
      <c r="S1055" s="422"/>
      <c r="T1055" s="8"/>
    </row>
    <row r="1056" spans="1:20" s="701" customFormat="1" x14ac:dyDescent="0.2">
      <c r="A1056" s="422"/>
      <c r="B1056" s="398"/>
      <c r="C1056" s="398"/>
      <c r="D1056" s="398"/>
      <c r="E1056" s="1739" t="str">
        <f>Translations!$B$805</f>
        <v>Energia elektryczna wytworzona</v>
      </c>
      <c r="F1056" s="1740"/>
      <c r="G1056" s="1740"/>
      <c r="H1056" s="453" t="str">
        <f>EUconst_MWhpa</f>
        <v>MWh / rok</v>
      </c>
      <c r="I1056" s="1007" t="str">
        <f>IF($I1009="","",IF(INDEX(F_ProductBM!I:I,MATCH($P1056,F_ProductBM!$P:$P,0))="","",INDEX(F_ProductBM!I:I,MATCH($P1056,F_ProductBM!$P:$P,0))))</f>
        <v/>
      </c>
      <c r="J1056" s="1007" t="str">
        <f>IF($I1009="","",IF(INDEX(F_ProductBM!J:J,MATCH($P1056,F_ProductBM!$P:$P,0))="","",INDEX(F_ProductBM!J:J,MATCH($P1056,F_ProductBM!$P:$P,0))))</f>
        <v/>
      </c>
      <c r="K1056" s="1007" t="str">
        <f>IF($I1009="","",IF(INDEX(F_ProductBM!K:K,MATCH($P1056,F_ProductBM!$P:$P,0))="","",INDEX(F_ProductBM!K:K,MATCH($P1056,F_ProductBM!$P:$P,0))))</f>
        <v/>
      </c>
      <c r="L1056" s="1007" t="str">
        <f>IF($I1009="","",IF(INDEX(F_ProductBM!L:L,MATCH($P1056,F_ProductBM!$P:$P,0))="","",INDEX(F_ProductBM!L:L,MATCH($P1056,F_ProductBM!$P:$P,0))))</f>
        <v/>
      </c>
      <c r="M1056" s="1007" t="str">
        <f>IF($I1009="","",IF(INDEX(F_ProductBM!M:M,MATCH($P1056,F_ProductBM!$P:$P,0))="","",INDEX(F_ProductBM!M:M,MATCH($P1056,F_ProductBM!$P:$P,0))))</f>
        <v/>
      </c>
      <c r="N1056" s="831"/>
      <c r="O1056" s="20"/>
      <c r="P1056" s="351" t="str">
        <f>EUconst_CNTR_ElectricityExported &amp; I1009</f>
        <v>ElecEx_</v>
      </c>
      <c r="Q1056" s="422"/>
      <c r="R1056" s="422"/>
      <c r="S1056" s="422"/>
      <c r="T1056" s="8"/>
    </row>
    <row r="1057" spans="1:20" s="701" customFormat="1" x14ac:dyDescent="0.2">
      <c r="A1057" s="422"/>
      <c r="B1057" s="398"/>
      <c r="C1057" s="398"/>
      <c r="D1057" s="398"/>
      <c r="E1057" s="516"/>
      <c r="F1057" s="516"/>
      <c r="G1057" s="516"/>
      <c r="H1057" s="516"/>
      <c r="I1057" s="1006"/>
      <c r="J1057" s="1006"/>
      <c r="K1057" s="1006"/>
      <c r="L1057" s="1006"/>
      <c r="M1057" s="1006"/>
      <c r="N1057" s="831"/>
      <c r="O1057" s="20"/>
      <c r="P1057" s="182"/>
      <c r="Q1057" s="422"/>
      <c r="R1057" s="422"/>
      <c r="S1057" s="422"/>
      <c r="T1057" s="8"/>
    </row>
    <row r="1058" spans="1:20" s="701" customFormat="1" x14ac:dyDescent="0.2">
      <c r="A1058" s="422"/>
      <c r="B1058" s="398"/>
      <c r="C1058" s="398"/>
      <c r="D1058" s="398"/>
      <c r="E1058" s="1739" t="str">
        <f>Translations!$B$806</f>
        <v>Całkowita ilość wyprodukowanej masy celulozowej</v>
      </c>
      <c r="F1058" s="1740"/>
      <c r="G1058" s="1740"/>
      <c r="H1058" s="453" t="str">
        <f>EUconst_Tons</f>
        <v>tony</v>
      </c>
      <c r="I1058" s="1007" t="str">
        <f>IF($I1009="","",IF(INDEX(F_ProductBM!I:I,MATCH($P1058,F_ProductBM!$P:$P,0))="","",INDEX(F_ProductBM!I:I,MATCH($P1058,F_ProductBM!$P:$P,0))))</f>
        <v/>
      </c>
      <c r="J1058" s="1007" t="str">
        <f>IF($I1009="","",IF(INDEX(F_ProductBM!J:J,MATCH($P1058,F_ProductBM!$P:$P,0))="","",INDEX(F_ProductBM!J:J,MATCH($P1058,F_ProductBM!$P:$P,0))))</f>
        <v/>
      </c>
      <c r="K1058" s="1007" t="str">
        <f>IF($I1009="","",IF(INDEX(F_ProductBM!K:K,MATCH($P1058,F_ProductBM!$P:$P,0))="","",INDEX(F_ProductBM!K:K,MATCH($P1058,F_ProductBM!$P:$P,0))))</f>
        <v/>
      </c>
      <c r="L1058" s="1007" t="str">
        <f>IF($I1009="","",IF(INDEX(F_ProductBM!L:L,MATCH($P1058,F_ProductBM!$P:$P,0))="","",INDEX(F_ProductBM!L:L,MATCH($P1058,F_ProductBM!$P:$P,0))))</f>
        <v/>
      </c>
      <c r="M1058" s="1007" t="str">
        <f>IF($I1009="","",IF(INDEX(F_ProductBM!M:M,MATCH($P1058,F_ProductBM!$P:$P,0))="","",INDEX(F_ProductBM!M:M,MATCH($P1058,F_ProductBM!$P:$P,0))))</f>
        <v/>
      </c>
      <c r="N1058" s="831"/>
      <c r="O1058" s="20"/>
      <c r="P1058" s="351" t="str">
        <f>EUconst_CNTR_HALPulpTotal &amp; I1009</f>
        <v>HALPulpTotal_</v>
      </c>
      <c r="Q1058" s="422"/>
      <c r="R1058" s="422"/>
      <c r="S1058" s="422"/>
      <c r="T1058" s="8"/>
    </row>
    <row r="1059" spans="1:20" s="701" customFormat="1" x14ac:dyDescent="0.2">
      <c r="A1059" s="422"/>
      <c r="B1059" s="398"/>
      <c r="C1059" s="398"/>
      <c r="D1059" s="398"/>
      <c r="E1059" s="516"/>
      <c r="F1059" s="516"/>
      <c r="G1059" s="516"/>
      <c r="H1059" s="516"/>
      <c r="I1059" s="1006"/>
      <c r="J1059" s="1006"/>
      <c r="K1059" s="1006"/>
      <c r="L1059" s="1006"/>
      <c r="M1059" s="1006"/>
      <c r="N1059" s="831"/>
      <c r="O1059" s="20"/>
      <c r="P1059" s="182"/>
      <c r="Q1059" s="422"/>
      <c r="R1059" s="422"/>
      <c r="S1059" s="422"/>
      <c r="T1059" s="8"/>
    </row>
    <row r="1060" spans="1:20" s="701" customFormat="1" x14ac:dyDescent="0.2">
      <c r="A1060" s="422"/>
      <c r="B1060" s="398"/>
      <c r="C1060" s="398"/>
      <c r="D1060" s="398"/>
      <c r="E1060" s="1268" t="str">
        <f>Translations!$B$1239</f>
        <v>Wprowadzanie pośrednie:</v>
      </c>
      <c r="F1060" s="516"/>
      <c r="G1060" s="516"/>
      <c r="H1060" s="516"/>
      <c r="I1060" s="1006"/>
      <c r="J1060" s="1006"/>
      <c r="K1060" s="1006"/>
      <c r="L1060" s="1006"/>
      <c r="M1060" s="1006"/>
      <c r="N1060" s="831"/>
      <c r="O1060" s="20"/>
      <c r="P1060" s="182"/>
      <c r="Q1060" s="422"/>
      <c r="R1060" s="422"/>
      <c r="S1060" s="422"/>
      <c r="T1060" s="8"/>
    </row>
    <row r="1061" spans="1:20" s="701" customFormat="1" x14ac:dyDescent="0.2">
      <c r="A1061" s="422"/>
      <c r="B1061" s="398"/>
      <c r="C1061" s="398"/>
      <c r="D1061" s="398"/>
      <c r="E1061" s="1762" t="str">
        <f>IF($I1009="","",IF(INDEX(F_ProductBM!E:E,MATCH($P1061,F_ProductBM!$P:$P,0))="","",INDEX(F_ProductBM!E:E,MATCH($P1061,F_ProductBM!$P:$P,0))))</f>
        <v/>
      </c>
      <c r="F1061" s="1762"/>
      <c r="G1061" s="1762"/>
      <c r="H1061" s="453" t="str">
        <f>EUconst_Tons</f>
        <v>tony</v>
      </c>
      <c r="I1061" s="1007" t="str">
        <f>IF($I1009="","",IF(INDEX(F_ProductBM!I:I,MATCH($P1061,F_ProductBM!$P:$P,0))="","",INDEX(F_ProductBM!I:I,MATCH($P1061,F_ProductBM!$P:$P,0))))</f>
        <v/>
      </c>
      <c r="J1061" s="1007" t="str">
        <f>IF($I1009="","",IF(INDEX(F_ProductBM!J:J,MATCH($P1061,F_ProductBM!$P:$P,0))="","",INDEX(F_ProductBM!J:J,MATCH($P1061,F_ProductBM!$P:$P,0))))</f>
        <v/>
      </c>
      <c r="K1061" s="1007" t="str">
        <f>IF($I1009="","",IF(INDEX(F_ProductBM!K:K,MATCH($P1061,F_ProductBM!$P:$P,0))="","",INDEX(F_ProductBM!K:K,MATCH($P1061,F_ProductBM!$P:$P,0))))</f>
        <v/>
      </c>
      <c r="L1061" s="1007" t="str">
        <f>IF($I1009="","",IF(INDEX(F_ProductBM!L:L,MATCH($P1061,F_ProductBM!$P:$P,0))="","",INDEX(F_ProductBM!L:L,MATCH($P1061,F_ProductBM!$P:$P,0))))</f>
        <v/>
      </c>
      <c r="M1061" s="1007" t="str">
        <f>IF($I1009="","",IF(INDEX(F_ProductBM!M:M,MATCH($P1061,F_ProductBM!$P:$P,0))="","",INDEX(F_ProductBM!M:M,MATCH($P1061,F_ProductBM!$P:$P,0))))</f>
        <v/>
      </c>
      <c r="N1061" s="831"/>
      <c r="O1061" s="20"/>
      <c r="P1061" s="351" t="str">
        <f>EUconst_CNTR_IntermediateImport &amp; R1061 &amp; "_" &amp; I1009</f>
        <v>IntImp_1_</v>
      </c>
      <c r="Q1061" s="422"/>
      <c r="R1061" s="879">
        <v>1</v>
      </c>
      <c r="S1061" s="422"/>
      <c r="T1061" s="8"/>
    </row>
    <row r="1062" spans="1:20" s="701" customFormat="1" x14ac:dyDescent="0.2">
      <c r="A1062" s="422"/>
      <c r="B1062" s="398"/>
      <c r="C1062" s="398"/>
      <c r="D1062" s="398"/>
      <c r="E1062" s="1762" t="str">
        <f>IF($I1009="","",IF(INDEX(F_ProductBM!E:E,MATCH($P1062,F_ProductBM!$P:$P,0))="","",INDEX(F_ProductBM!E:E,MATCH($P1062,F_ProductBM!$P:$P,0))))</f>
        <v/>
      </c>
      <c r="F1062" s="1762"/>
      <c r="G1062" s="1762"/>
      <c r="H1062" s="453" t="str">
        <f>EUconst_Tons</f>
        <v>tony</v>
      </c>
      <c r="I1062" s="1007" t="str">
        <f>IF($I1009="","",IF(INDEX(F_ProductBM!I:I,MATCH($P1062,F_ProductBM!$P:$P,0))="","",INDEX(F_ProductBM!I:I,MATCH($P1062,F_ProductBM!$P:$P,0))))</f>
        <v/>
      </c>
      <c r="J1062" s="1007" t="str">
        <f>IF($I1009="","",IF(INDEX(F_ProductBM!J:J,MATCH($P1062,F_ProductBM!$P:$P,0))="","",INDEX(F_ProductBM!J:J,MATCH($P1062,F_ProductBM!$P:$P,0))))</f>
        <v/>
      </c>
      <c r="K1062" s="1007" t="str">
        <f>IF($I1009="","",IF(INDEX(F_ProductBM!K:K,MATCH($P1062,F_ProductBM!$P:$P,0))="","",INDEX(F_ProductBM!K:K,MATCH($P1062,F_ProductBM!$P:$P,0))))</f>
        <v/>
      </c>
      <c r="L1062" s="1007" t="str">
        <f>IF($I1009="","",IF(INDEX(F_ProductBM!L:L,MATCH($P1062,F_ProductBM!$P:$P,0))="","",INDEX(F_ProductBM!L:L,MATCH($P1062,F_ProductBM!$P:$P,0))))</f>
        <v/>
      </c>
      <c r="M1062" s="1007" t="str">
        <f>IF($I1009="","",IF(INDEX(F_ProductBM!M:M,MATCH($P1062,F_ProductBM!$P:$P,0))="","",INDEX(F_ProductBM!M:M,MATCH($P1062,F_ProductBM!$P:$P,0))))</f>
        <v/>
      </c>
      <c r="N1062" s="831"/>
      <c r="O1062" s="20"/>
      <c r="P1062" s="351" t="str">
        <f>EUconst_CNTR_IntermediateImport &amp; R1062 &amp; "_" &amp; I1009</f>
        <v>IntImp_2_</v>
      </c>
      <c r="Q1062" s="422"/>
      <c r="R1062" s="879">
        <v>2</v>
      </c>
      <c r="S1062" s="422"/>
      <c r="T1062" s="8"/>
    </row>
    <row r="1063" spans="1:20" s="701" customFormat="1" x14ac:dyDescent="0.2">
      <c r="A1063" s="422"/>
      <c r="B1063" s="398"/>
      <c r="C1063" s="398"/>
      <c r="D1063" s="398"/>
      <c r="E1063" s="1268" t="str">
        <f>Translations!$B$1240</f>
        <v>Wyprowadzanie pośrednie:</v>
      </c>
      <c r="F1063" s="516"/>
      <c r="G1063" s="516"/>
      <c r="H1063" s="516"/>
      <c r="I1063" s="1006"/>
      <c r="J1063" s="1006"/>
      <c r="K1063" s="1006"/>
      <c r="L1063" s="1006"/>
      <c r="M1063" s="1006"/>
      <c r="N1063" s="831"/>
      <c r="O1063" s="20"/>
      <c r="P1063" s="182"/>
      <c r="Q1063" s="422"/>
      <c r="R1063" s="422"/>
      <c r="S1063" s="422"/>
      <c r="T1063" s="8"/>
    </row>
    <row r="1064" spans="1:20" s="701" customFormat="1" x14ac:dyDescent="0.2">
      <c r="A1064" s="422"/>
      <c r="B1064" s="398"/>
      <c r="C1064" s="398"/>
      <c r="D1064" s="398"/>
      <c r="E1064" s="1762" t="str">
        <f>IF($I1009="","",IF(INDEX(F_ProductBM!E:E,MATCH($P1064,F_ProductBM!$P:$P,0))="","",INDEX(F_ProductBM!E:E,MATCH($P1064,F_ProductBM!$P:$P,0))))</f>
        <v/>
      </c>
      <c r="F1064" s="1762"/>
      <c r="G1064" s="1762"/>
      <c r="H1064" s="453" t="str">
        <f>EUconst_Tons</f>
        <v>tony</v>
      </c>
      <c r="I1064" s="1007" t="str">
        <f>IF($I1009="","",IF(INDEX(F_ProductBM!I:I,MATCH($P1064,F_ProductBM!$P:$P,0))="","",INDEX(F_ProductBM!I:I,MATCH($P1064,F_ProductBM!$P:$P,0))))</f>
        <v/>
      </c>
      <c r="J1064" s="1007" t="str">
        <f>IF($I1009="","",IF(INDEX(F_ProductBM!J:J,MATCH($P1064,F_ProductBM!$P:$P,0))="","",INDEX(F_ProductBM!J:J,MATCH($P1064,F_ProductBM!$P:$P,0))))</f>
        <v/>
      </c>
      <c r="K1064" s="1007" t="str">
        <f>IF($I1009="","",IF(INDEX(F_ProductBM!K:K,MATCH($P1064,F_ProductBM!$P:$P,0))="","",INDEX(F_ProductBM!K:K,MATCH($P1064,F_ProductBM!$P:$P,0))))</f>
        <v/>
      </c>
      <c r="L1064" s="1007" t="str">
        <f>IF($I1009="","",IF(INDEX(F_ProductBM!L:L,MATCH($P1064,F_ProductBM!$P:$P,0))="","",INDEX(F_ProductBM!L:L,MATCH($P1064,F_ProductBM!$P:$P,0))))</f>
        <v/>
      </c>
      <c r="M1064" s="1007" t="str">
        <f>IF($I1009="","",IF(INDEX(F_ProductBM!M:M,MATCH($P1064,F_ProductBM!$P:$P,0))="","",INDEX(F_ProductBM!M:M,MATCH($P1064,F_ProductBM!$P:$P,0))))</f>
        <v/>
      </c>
      <c r="N1064" s="831"/>
      <c r="O1064" s="20"/>
      <c r="P1064" s="351" t="str">
        <f>EUconst_CNTR_IntermediateExport &amp; R1061 &amp; "_" &amp; I1009</f>
        <v>IntExp_1_</v>
      </c>
      <c r="Q1064" s="422"/>
      <c r="R1064" s="879">
        <v>1</v>
      </c>
      <c r="S1064" s="422"/>
      <c r="T1064" s="8"/>
    </row>
    <row r="1065" spans="1:20" s="701" customFormat="1" x14ac:dyDescent="0.2">
      <c r="A1065" s="422"/>
      <c r="B1065" s="398"/>
      <c r="C1065" s="398"/>
      <c r="D1065" s="398"/>
      <c r="E1065" s="1762" t="str">
        <f>IF($I1009="","",IF(INDEX(F_ProductBM!E:E,MATCH($P1065,F_ProductBM!$P:$P,0))="","",INDEX(F_ProductBM!E:E,MATCH($P1065,F_ProductBM!$P:$P,0))))</f>
        <v/>
      </c>
      <c r="F1065" s="1762"/>
      <c r="G1065" s="1762"/>
      <c r="H1065" s="453" t="str">
        <f>EUconst_Tons</f>
        <v>tony</v>
      </c>
      <c r="I1065" s="1007" t="str">
        <f>IF($I1009="","",IF(INDEX(F_ProductBM!I:I,MATCH($P1065,F_ProductBM!$P:$P,0))="","",INDEX(F_ProductBM!I:I,MATCH($P1065,F_ProductBM!$P:$P,0))))</f>
        <v/>
      </c>
      <c r="J1065" s="1007" t="str">
        <f>IF($I1009="","",IF(INDEX(F_ProductBM!J:J,MATCH($P1065,F_ProductBM!$P:$P,0))="","",INDEX(F_ProductBM!J:J,MATCH($P1065,F_ProductBM!$P:$P,0))))</f>
        <v/>
      </c>
      <c r="K1065" s="1007" t="str">
        <f>IF($I1009="","",IF(INDEX(F_ProductBM!K:K,MATCH($P1065,F_ProductBM!$P:$P,0))="","",INDEX(F_ProductBM!K:K,MATCH($P1065,F_ProductBM!$P:$P,0))))</f>
        <v/>
      </c>
      <c r="L1065" s="1007" t="str">
        <f>IF($I1009="","",IF(INDEX(F_ProductBM!L:L,MATCH($P1065,F_ProductBM!$P:$P,0))="","",INDEX(F_ProductBM!L:L,MATCH($P1065,F_ProductBM!$P:$P,0))))</f>
        <v/>
      </c>
      <c r="M1065" s="1007" t="str">
        <f>IF($I1009="","",IF(INDEX(F_ProductBM!M:M,MATCH($P1065,F_ProductBM!$P:$P,0))="","",INDEX(F_ProductBM!M:M,MATCH($P1065,F_ProductBM!$P:$P,0))))</f>
        <v/>
      </c>
      <c r="N1065" s="831"/>
      <c r="O1065" s="20"/>
      <c r="P1065" s="351" t="str">
        <f>EUconst_CNTR_IntermediateExport &amp; R1065 &amp; "_" &amp; I1009</f>
        <v>IntExp_2_</v>
      </c>
      <c r="Q1065" s="422"/>
      <c r="R1065" s="879">
        <v>2</v>
      </c>
      <c r="S1065" s="422"/>
      <c r="T1065" s="8"/>
    </row>
    <row r="1066" spans="1:20" s="701" customFormat="1" x14ac:dyDescent="0.2">
      <c r="A1066" s="422"/>
      <c r="B1066" s="398"/>
      <c r="C1066" s="398"/>
      <c r="D1066" s="398"/>
      <c r="E1066" s="516"/>
      <c r="F1066" s="516"/>
      <c r="G1066" s="516"/>
      <c r="H1066" s="516"/>
      <c r="I1066" s="831"/>
      <c r="J1066" s="831"/>
      <c r="K1066" s="831"/>
      <c r="L1066" s="831"/>
      <c r="M1066" s="831"/>
      <c r="N1066" s="831"/>
      <c r="O1066" s="20"/>
      <c r="P1066" s="182"/>
      <c r="Q1066" s="422"/>
      <c r="R1066" s="422"/>
      <c r="S1066" s="422"/>
      <c r="T1066" s="8"/>
    </row>
    <row r="1067" spans="1:20" s="701" customFormat="1" x14ac:dyDescent="0.2">
      <c r="A1067" s="422"/>
      <c r="B1067" s="398"/>
      <c r="C1067" s="398"/>
      <c r="D1067" s="398"/>
      <c r="E1067" s="425"/>
      <c r="F1067" s="425"/>
      <c r="G1067" s="425"/>
      <c r="H1067" s="425"/>
      <c r="I1067" s="398"/>
      <c r="J1067" s="398"/>
      <c r="K1067" s="398"/>
      <c r="L1067" s="398"/>
      <c r="M1067" s="398"/>
      <c r="N1067" s="398"/>
      <c r="O1067" s="20"/>
      <c r="P1067" s="182"/>
      <c r="Q1067" s="422"/>
      <c r="R1067" s="422"/>
      <c r="S1067" s="422"/>
      <c r="T1067" s="8"/>
    </row>
    <row r="1068" spans="1:20" s="701" customFormat="1" ht="5.0999999999999996" customHeight="1" thickBot="1" x14ac:dyDescent="0.25">
      <c r="A1068" s="422"/>
      <c r="B1068" s="398"/>
      <c r="C1068" s="398"/>
      <c r="D1068" s="398"/>
      <c r="E1068" s="425"/>
      <c r="F1068" s="398"/>
      <c r="G1068" s="575"/>
      <c r="H1068" s="398"/>
      <c r="I1068" s="398"/>
      <c r="J1068" s="398"/>
      <c r="K1068" s="398"/>
      <c r="L1068" s="398"/>
      <c r="M1068" s="398"/>
      <c r="N1068" s="398"/>
      <c r="O1068" s="20"/>
      <c r="P1068" s="422"/>
      <c r="Q1068" s="422"/>
      <c r="R1068" s="422"/>
      <c r="S1068" s="422"/>
      <c r="T1068" s="8"/>
    </row>
    <row r="1069" spans="1:20" s="701" customFormat="1" ht="5.0999999999999996" customHeight="1" thickBot="1" x14ac:dyDescent="0.25">
      <c r="A1069" s="422"/>
      <c r="B1069" s="3"/>
      <c r="C1069" s="281"/>
      <c r="D1069" s="281"/>
      <c r="E1069" s="281"/>
      <c r="F1069" s="281"/>
      <c r="G1069" s="281"/>
      <c r="H1069" s="281"/>
      <c r="I1069" s="281"/>
      <c r="J1069" s="281"/>
      <c r="K1069" s="281"/>
      <c r="L1069" s="281"/>
      <c r="M1069" s="281"/>
      <c r="N1069" s="281"/>
      <c r="O1069" s="20"/>
      <c r="P1069" s="422"/>
      <c r="Q1069" s="422"/>
      <c r="R1069" s="422"/>
      <c r="S1069" s="422"/>
      <c r="T1069" s="8" t="s">
        <v>583</v>
      </c>
    </row>
    <row r="1070" spans="1:20" s="701" customFormat="1" ht="12.75" customHeight="1" thickBot="1" x14ac:dyDescent="0.25">
      <c r="A1070" s="422"/>
      <c r="B1070" s="3"/>
      <c r="C1070" s="281"/>
      <c r="D1070" s="281"/>
      <c r="E1070" s="281"/>
      <c r="F1070" s="281"/>
      <c r="G1070" s="281"/>
      <c r="H1070" s="281"/>
      <c r="I1070" s="281"/>
      <c r="J1070" s="281"/>
      <c r="K1070" s="281"/>
      <c r="L1070" s="281"/>
      <c r="M1070" s="281"/>
      <c r="N1070" s="281"/>
      <c r="O1070" s="20"/>
      <c r="P1070" s="422"/>
      <c r="Q1070" s="422"/>
      <c r="R1070" s="422"/>
      <c r="S1070" s="422"/>
      <c r="T1070" s="8" t="s">
        <v>583</v>
      </c>
    </row>
    <row r="1071" spans="1:20" s="701" customFormat="1" ht="38.25" customHeight="1" thickBot="1" x14ac:dyDescent="0.3">
      <c r="A1071" s="422"/>
      <c r="B1071" s="398"/>
      <c r="C1071" s="18">
        <v>11</v>
      </c>
      <c r="D1071" s="1439" t="str">
        <f>CONCATENATE(EUconst_FBSubinst," ",C1071-10, ":")</f>
        <v>Podinstalacja, dla której wprowadzono rozwiązania rezerwowe (fall-back) 1:</v>
      </c>
      <c r="E1071" s="1370"/>
      <c r="F1071" s="1370"/>
      <c r="G1071" s="1370"/>
      <c r="H1071" s="1432"/>
      <c r="I1071" s="1958" t="str">
        <f>INDEX(EUconst_FallBackListNames,$C1071-10)</f>
        <v>Podinstalacja objęta wskaźnikiem emisyjności opartym na cieple, „CL”</v>
      </c>
      <c r="J1071" s="1959"/>
      <c r="K1071" s="1959"/>
      <c r="L1071" s="1960"/>
      <c r="M1071" s="1860" t="str">
        <f>IF(ISBLANK(INDEX(CNTR_FallBackSubInstRelevant,C1071-10)),"",IF(INDEX(CNTR_FallBackSubInstRelevant,C1071-10),EUconst_Relevant,EUconst_NotRelevant))</f>
        <v>dotyczy</v>
      </c>
      <c r="N1071" s="1861"/>
      <c r="O1071" s="20"/>
      <c r="P1071" s="422"/>
      <c r="Q1071" s="986">
        <f>C1071</f>
        <v>11</v>
      </c>
      <c r="R1071" s="983" t="str">
        <f>I1071</f>
        <v>Podinstalacja objęta wskaźnikiem emisyjności opartym na cieple, „CL”</v>
      </c>
      <c r="S1071" s="985" t="b">
        <f>H1074</f>
        <v>1</v>
      </c>
      <c r="T1071" s="984" t="str">
        <f>IF(M1083="","",IF(S1074=0,0,SUM(M1083)/S1074))</f>
        <v/>
      </c>
    </row>
    <row r="1072" spans="1:20" s="701" customFormat="1" ht="5.0999999999999996" customHeight="1" thickBot="1" x14ac:dyDescent="0.25">
      <c r="A1072" s="422"/>
      <c r="B1072" s="398"/>
      <c r="C1072" s="398"/>
      <c r="D1072" s="398"/>
      <c r="E1072" s="398"/>
      <c r="F1072" s="398"/>
      <c r="G1072" s="1300"/>
      <c r="H1072" s="1300"/>
      <c r="I1072" s="1300"/>
      <c r="J1072" s="1300"/>
      <c r="K1072" s="1300"/>
      <c r="L1072" s="1300"/>
      <c r="M1072" s="1300"/>
      <c r="N1072" s="1300"/>
      <c r="O1072" s="121"/>
      <c r="P1072" s="422"/>
      <c r="Q1072" s="422"/>
      <c r="R1072" s="422"/>
      <c r="S1072" s="422"/>
      <c r="T1072" s="8"/>
    </row>
    <row r="1073" spans="1:20" s="701" customFormat="1" ht="25.5" customHeight="1" x14ac:dyDescent="0.2">
      <c r="A1073" s="422"/>
      <c r="B1073" s="398"/>
      <c r="C1073" s="398"/>
      <c r="D1073" s="398"/>
      <c r="E1073" s="398"/>
      <c r="F1073" s="398"/>
      <c r="G1073" s="1300"/>
      <c r="H1073" s="1304" t="str">
        <f>Translations!$B$1204</f>
        <v>narażenie na ryzyko ucieczki emisji</v>
      </c>
      <c r="I1073" s="1305" t="str">
        <f>Translations!$B$1208</f>
        <v>Rozpoczęcie</v>
      </c>
      <c r="J1073" s="1305" t="str">
        <f>Translations!$B$1212</f>
        <v>Art. 15 ust. 7 akapit trzeci?</v>
      </c>
      <c r="K1073" s="1305" t="str">
        <f>Translations!$B$1214</f>
        <v>Art. 15 ust. 7 akapit trzeci – HPD</v>
      </c>
      <c r="L1073" s="1306" t="str">
        <f>Translations!$B$1206</f>
        <v>Nr wskaźnika</v>
      </c>
      <c r="M1073" s="1307" t="str">
        <f>Translations!$B$1234</f>
        <v>Wart. wskaźnika (min./maks./faktyczna)</v>
      </c>
      <c r="N1073" s="1308"/>
      <c r="O1073" s="121"/>
      <c r="P1073" s="422"/>
      <c r="Q1073" s="422"/>
      <c r="R1073" s="422"/>
      <c r="S1073" s="422"/>
      <c r="T1073" s="8"/>
    </row>
    <row r="1074" spans="1:20" s="701" customFormat="1" ht="12.75" customHeight="1" x14ac:dyDescent="0.2">
      <c r="A1074" s="422"/>
      <c r="B1074" s="398"/>
      <c r="C1074" s="398"/>
      <c r="D1074" s="398"/>
      <c r="E1074" s="652" t="str">
        <f>I1071</f>
        <v>Podinstalacja objęta wskaźnikiem emisyjności opartym na cieple, „CL”</v>
      </c>
      <c r="F1074" s="653"/>
      <c r="G1074" s="1298"/>
      <c r="H1074" s="654" t="b">
        <f>INDEX(EUconst_FallBackListCLstatus,MATCH(I1071,EUconst_FallBackListNames,0))</f>
        <v>1</v>
      </c>
      <c r="I1074" s="857">
        <f>IF(M1071&lt;&gt;EUconst_Relevant,"",INDEX(CNTR_SubInstStartDate,MATCH(E1074,CNTR_SubInstListNames,0)))</f>
        <v>0</v>
      </c>
      <c r="J1074" s="655" t="b">
        <f>IF(M1071&lt;&gt;EUconst_Relevant,"",INDEX(CNTR_SubInstLess1Year,MATCH(E1074,CNTR_SubInstListNames,0)))</f>
        <v>0</v>
      </c>
      <c r="K1074" s="536" t="str">
        <f>IF($J1074=TRUE,SUMIF('G_Fall-back'!$P:$P,EUconst_CNTR_HAL&amp;$E1074,'G_Fall-back'!$N:$N),"")</f>
        <v/>
      </c>
      <c r="L1074" s="855">
        <f>C1071-10</f>
        <v>1</v>
      </c>
      <c r="M1074" s="1077">
        <f>IF(M1071&lt;&gt;EUconst_Relevant,"",INDEX(EUconst_FallBackListBMvaluesMatrix,L1074,2))</f>
        <v>47.347999999999999</v>
      </c>
      <c r="N1074" s="1074" t="str">
        <f>EUconst_EUA &amp; "/" &amp; H1079</f>
        <v>Uprawnienia do emisji ogólnych/TJ</v>
      </c>
      <c r="O1074" s="20"/>
      <c r="P1074" s="422"/>
      <c r="Q1074" s="422"/>
      <c r="R1074" s="736" t="s">
        <v>577</v>
      </c>
      <c r="S1074" s="822">
        <f>IF(H1074,1,INDEX(EUconst_CLEFYears,1))</f>
        <v>1</v>
      </c>
      <c r="T1074" s="422"/>
    </row>
    <row r="1075" spans="1:20" s="701" customFormat="1" x14ac:dyDescent="0.2">
      <c r="A1075" s="422"/>
      <c r="B1075" s="398"/>
      <c r="C1075" s="398"/>
      <c r="M1075" s="1077">
        <f>IF(M1071&lt;&gt;EUconst_Relevant,"",INDEX(EUconst_FallBackListBMvaluesMatrix,L1074,1))</f>
        <v>60.430999999999997</v>
      </c>
      <c r="N1075" s="1074" t="str">
        <f>EUconst_EUA &amp; "/" &amp; H1079</f>
        <v>Uprawnienia do emisji ogólnych/TJ</v>
      </c>
      <c r="O1075" s="20"/>
      <c r="P1075" s="422"/>
      <c r="Q1075" s="422"/>
      <c r="R1075" s="736"/>
      <c r="S1075" s="875"/>
      <c r="T1075" s="422"/>
    </row>
    <row r="1076" spans="1:20" s="701" customFormat="1" ht="13.5" thickBot="1" x14ac:dyDescent="0.25">
      <c r="A1076" s="422"/>
      <c r="B1076" s="398"/>
      <c r="C1076" s="398"/>
      <c r="M1076" s="1078" t="str">
        <f>IF(M1071&lt;&gt;EUconst_Relevant,"",IF(EUconst_StatusOfDataCollection,INDEX(EUconst_FallBackListBMvaluesMatrix,L1074,3),""))</f>
        <v/>
      </c>
      <c r="N1076" s="1076" t="str">
        <f>EUconst_EUA &amp; "/" &amp; H1079</f>
        <v>Uprawnienia do emisji ogólnych/TJ</v>
      </c>
      <c r="O1076" s="20"/>
      <c r="P1076" s="422"/>
      <c r="Q1076" s="422"/>
      <c r="R1076" s="736"/>
      <c r="S1076" s="875"/>
      <c r="T1076" s="422"/>
    </row>
    <row r="1077" spans="1:20" s="701" customFormat="1" ht="5.0999999999999996" customHeight="1" x14ac:dyDescent="0.2">
      <c r="A1077" s="422"/>
      <c r="B1077" s="398"/>
      <c r="C1077" s="398"/>
      <c r="D1077" s="398"/>
      <c r="E1077" s="398"/>
      <c r="F1077" s="398"/>
      <c r="G1077" s="398"/>
      <c r="H1077" s="398"/>
      <c r="I1077" s="398"/>
      <c r="J1077" s="398"/>
      <c r="K1077" s="398"/>
      <c r="L1077" s="398"/>
      <c r="M1077" s="398"/>
      <c r="N1077" s="398"/>
      <c r="O1077" s="20"/>
      <c r="P1077" s="422"/>
      <c r="Q1077" s="422"/>
      <c r="R1077" s="422"/>
      <c r="S1077" s="422"/>
      <c r="T1077" s="422"/>
    </row>
    <row r="1078" spans="1:20" s="701" customFormat="1" x14ac:dyDescent="0.2">
      <c r="A1078" s="422"/>
      <c r="B1078" s="398"/>
      <c r="C1078" s="398"/>
      <c r="D1078" s="398"/>
      <c r="E1078" s="656"/>
      <c r="F1078" s="656"/>
      <c r="G1078" s="657"/>
      <c r="H1078" s="650" t="str">
        <f>EUconst_Unit</f>
        <v>Jednostka</v>
      </c>
      <c r="I1078" s="432">
        <f>I$1397</f>
        <v>2014</v>
      </c>
      <c r="J1078" s="432">
        <f>J$1397</f>
        <v>2015</v>
      </c>
      <c r="K1078" s="432">
        <f>K$1397</f>
        <v>2016</v>
      </c>
      <c r="L1078" s="432">
        <f>L$1397</f>
        <v>2017</v>
      </c>
      <c r="M1078" s="432">
        <f>M$1397</f>
        <v>2018</v>
      </c>
      <c r="N1078" s="398"/>
      <c r="O1078" s="20"/>
      <c r="P1078" s="185" t="s">
        <v>237</v>
      </c>
      <c r="Q1078" s="422"/>
      <c r="R1078" s="422"/>
      <c r="S1078" s="422"/>
      <c r="T1078" s="422"/>
    </row>
    <row r="1079" spans="1:20" s="701" customFormat="1" x14ac:dyDescent="0.2">
      <c r="A1079" s="422"/>
      <c r="B1079" s="398"/>
      <c r="C1079" s="398"/>
      <c r="D1079" s="398"/>
      <c r="E1079" s="658" t="str">
        <f>Translations!$B$1236</f>
        <v>Zgłoszony HPD (historyczny poziom działalności)</v>
      </c>
      <c r="F1079" s="659"/>
      <c r="G1079" s="660"/>
      <c r="H1079" s="654" t="str">
        <f>INDEX(EUconst_FallBackListUnits,L1074)</f>
        <v>TJ</v>
      </c>
      <c r="I1079" s="536">
        <f>IF($M1071&lt;&gt;EUconst_Relevant,"",SUMIF('G_Fall-back'!$P:$P,$P1080,'G_Fall-back'!I:I))</f>
        <v>663.67106823104518</v>
      </c>
      <c r="J1079" s="536">
        <f>IF($M1071&lt;&gt;EUconst_Relevant,"",SUMIF('G_Fall-back'!$P:$P,$P1080,'G_Fall-back'!J:J))</f>
        <v>628.23125271862386</v>
      </c>
      <c r="K1079" s="536">
        <f>IF($M1071&lt;&gt;EUconst_Relevant,"",SUMIF('G_Fall-back'!$P:$P,$P1080,'G_Fall-back'!K:K))</f>
        <v>725.31445740656966</v>
      </c>
      <c r="L1079" s="536">
        <f>IF($M1071&lt;&gt;EUconst_Relevant,"",SUMIF('G_Fall-back'!$P:$P,$P1080,'G_Fall-back'!L:L))</f>
        <v>610.92741807413177</v>
      </c>
      <c r="M1079" s="536">
        <f>IF($M1071&lt;&gt;EUconst_Relevant,"",SUMIF('G_Fall-back'!$P:$P,$P1080,'G_Fall-back'!M:M))</f>
        <v>702.52094494868709</v>
      </c>
      <c r="N1079" s="651" t="str">
        <f>Translations!$B$1224</f>
        <v>Średnia</v>
      </c>
      <c r="O1079" s="20"/>
      <c r="P1079" s="185" t="str">
        <f>EUconst_CNTR_HAL&amp;I1071</f>
        <v>HAL_Podinstalacja objęta wskaźnikiem emisyjności opartym na cieple, „CL”</v>
      </c>
      <c r="Q1079" s="422"/>
      <c r="R1079" s="422"/>
      <c r="S1079" s="422"/>
      <c r="T1079" s="8"/>
    </row>
    <row r="1080" spans="1:20" s="701" customFormat="1" x14ac:dyDescent="0.2">
      <c r="A1080" s="422"/>
      <c r="B1080" s="398"/>
      <c r="C1080" s="398"/>
      <c r="D1080" s="398"/>
      <c r="E1080" s="658" t="str">
        <f>Translations!$B$1237</f>
        <v>Wartości wykorzystywane do obliczania zgłoszonego HPD:</v>
      </c>
      <c r="F1080" s="659"/>
      <c r="G1080" s="660"/>
      <c r="H1080" s="654" t="str">
        <f>H1079</f>
        <v>TJ</v>
      </c>
      <c r="I1080" s="427">
        <f>IF($M1071&lt;&gt;EUconst_Relevant,"",INDEX('G_Fall-back'!S:S,MATCH($P1080,'G_Fall-back'!$P:$P,0)))</f>
        <v>663.67106823104518</v>
      </c>
      <c r="J1080" s="427">
        <f>IF($M1071&lt;&gt;EUconst_Relevant,"",INDEX('G_Fall-back'!T:T,MATCH($P1080,'G_Fall-back'!$P:$P,0)))</f>
        <v>628.23125271862386</v>
      </c>
      <c r="K1080" s="427">
        <f>IF($M1071&lt;&gt;EUconst_Relevant,"",INDEX('G_Fall-back'!U:U,MATCH($P1080,'G_Fall-back'!$P:$P,0)))</f>
        <v>725.31445740656966</v>
      </c>
      <c r="L1080" s="427">
        <f>IF($M1071&lt;&gt;EUconst_Relevant,"",INDEX('G_Fall-back'!V:V,MATCH($P1080,'G_Fall-back'!$P:$P,0)))</f>
        <v>610.92741807413177</v>
      </c>
      <c r="M1080" s="427">
        <f>IF($M1071&lt;&gt;EUconst_Relevant,"",INDEX('G_Fall-back'!W:W,MATCH($P1080,'G_Fall-back'!$P:$P,0)))</f>
        <v>702.52094494868709</v>
      </c>
      <c r="N1080" s="536">
        <f>IF(OR($M1071&lt;&gt;EUconst_Relevant,$J1074=TRUE),"",IF(COUNT($I1080:$M1080)&gt;0,AVERAGE($I1080:$M1080),""))</f>
        <v>666.13302827581151</v>
      </c>
      <c r="O1080" s="20"/>
      <c r="P1080" s="185" t="str">
        <f>EUconst_CNTR_HAL&amp;I1071</f>
        <v>HAL_Podinstalacja objęta wskaźnikiem emisyjności opartym na cieple, „CL”</v>
      </c>
      <c r="Q1080" s="422"/>
      <c r="R1080" s="1013" t="s">
        <v>630</v>
      </c>
      <c r="S1080" s="1013" t="s">
        <v>631</v>
      </c>
      <c r="T1080" s="1013" t="s">
        <v>632</v>
      </c>
    </row>
    <row r="1081" spans="1:20" s="701" customFormat="1" ht="5.0999999999999996" customHeight="1" thickBot="1" x14ac:dyDescent="0.25">
      <c r="A1081" s="422"/>
      <c r="B1081" s="398"/>
      <c r="C1081" s="398"/>
      <c r="D1081" s="398"/>
      <c r="E1081" s="398"/>
      <c r="F1081" s="398"/>
      <c r="G1081" s="398"/>
      <c r="H1081" s="398"/>
      <c r="I1081" s="398"/>
      <c r="J1081" s="398"/>
      <c r="K1081" s="398"/>
      <c r="L1081" s="398"/>
      <c r="M1081" s="398"/>
      <c r="N1081" s="398"/>
      <c r="O1081" s="20"/>
      <c r="P1081" s="422"/>
      <c r="Q1081" s="422"/>
      <c r="R1081" s="422"/>
      <c r="S1081" s="422"/>
      <c r="T1081" s="8"/>
    </row>
    <row r="1082" spans="1:20" s="701" customFormat="1" ht="13.5" thickBot="1" x14ac:dyDescent="0.25">
      <c r="A1082" s="422"/>
      <c r="B1082" s="398"/>
      <c r="C1082" s="398"/>
      <c r="D1082" s="398"/>
      <c r="E1082" s="398"/>
      <c r="F1082" s="661" t="s">
        <v>520</v>
      </c>
      <c r="G1082" s="824"/>
      <c r="H1082" s="398"/>
      <c r="I1082" s="823" t="str">
        <f>Translations!$B$1226</f>
        <v>Wst. przydział rok 1 (min.)</v>
      </c>
      <c r="J1082" s="824"/>
      <c r="K1082" s="823" t="str">
        <f>Translations!$B$1229</f>
        <v>Wst. przydział rok 1 (maks.)</v>
      </c>
      <c r="L1082" s="824"/>
      <c r="M1082" s="823" t="str">
        <f>Translations!$B$1231</f>
        <v>Wst. przydział rok 1 (faktyczny)</v>
      </c>
      <c r="N1082" s="824"/>
      <c r="O1082" s="20"/>
      <c r="P1082" s="185" t="str">
        <f>EUconst_AllocPrelim&amp;I1071</f>
        <v>AllocPrelim_Podinstalacja objęta wskaźnikiem emisyjności opartym na cieple, „CL”</v>
      </c>
      <c r="Q1082" s="422"/>
      <c r="R1082" s="982">
        <f>IF(I1083="","",IF(S1074=0,0,SUM(I1083)/S1074))</f>
        <v>31540</v>
      </c>
      <c r="S1082" s="982">
        <f>IF(K1083="","",IF(S1074=0,0,SUM(K1083)/S1074))</f>
        <v>40255</v>
      </c>
      <c r="T1082" s="982" t="str">
        <f>T1071</f>
        <v/>
      </c>
    </row>
    <row r="1083" spans="1:20" s="701" customFormat="1" ht="13.5" thickBot="1" x14ac:dyDescent="0.25">
      <c r="A1083" s="422"/>
      <c r="B1083" s="398"/>
      <c r="C1083" s="398"/>
      <c r="D1083" s="398"/>
      <c r="E1083" s="398"/>
      <c r="F1083" s="662">
        <f>IF(M1071&lt;&gt;EUconst_Relevant,"",MAX(0, IF(J1074=TRUE, SUM(K1074), SUM(N1080))))</f>
        <v>666.13302827581151</v>
      </c>
      <c r="G1083" s="966" t="str">
        <f>H1080&amp;" / "&amp;EUconst_Year</f>
        <v>TJ / rok</v>
      </c>
      <c r="H1083" s="398"/>
      <c r="I1083" s="820">
        <f>IF(M1071&lt;&gt;EUconst_Relevant,"",ROUND(SUM(M1074)*SUM(F1083)*SUM(S1074),0))</f>
        <v>31540</v>
      </c>
      <c r="J1083" s="966" t="str">
        <f>EUconst_EUApa</f>
        <v>Uprawnienia do emisji ogólnych / rok</v>
      </c>
      <c r="K1083" s="820">
        <f>IF(M1071&lt;&gt;EUconst_Relevant,"",ROUND(SUM(M1075)*SUM(F1083)*SUM(S1074),0))</f>
        <v>40255</v>
      </c>
      <c r="L1083" s="966" t="str">
        <f>EUconst_EUApa</f>
        <v>Uprawnienia do emisji ogólnych / rok</v>
      </c>
      <c r="M1083" s="820" t="str">
        <f>IF(OR(M1071&lt;&gt;EUconst_Relevant,M1076=""),"",ROUND(SUM(M1076)*SUM(F1083)*SUM(S1074),0))</f>
        <v/>
      </c>
      <c r="N1083" s="966" t="str">
        <f>EUconst_EUApa</f>
        <v>Uprawnienia do emisji ogólnych / rok</v>
      </c>
      <c r="O1083" s="20"/>
      <c r="P1083" s="185" t="str">
        <f>EUconst_HALsum &amp; I1071</f>
        <v>HALsum_Podinstalacja objęta wskaźnikiem emisyjności opartym na cieple, „CL”</v>
      </c>
      <c r="Q1083" s="422"/>
      <c r="R1083" s="422"/>
      <c r="S1083" s="422"/>
      <c r="T1083" s="422"/>
    </row>
    <row r="1084" spans="1:20" s="701" customFormat="1" x14ac:dyDescent="0.2">
      <c r="A1084" s="422"/>
      <c r="B1084" s="398"/>
      <c r="C1084" s="398"/>
      <c r="D1084" s="398"/>
      <c r="E1084" s="398"/>
      <c r="F1084" s="398"/>
      <c r="G1084" s="398"/>
      <c r="H1084" s="398"/>
      <c r="I1084" s="398"/>
      <c r="J1084" s="398"/>
      <c r="K1084" s="398"/>
      <c r="L1084" s="398"/>
      <c r="M1084" s="398"/>
      <c r="N1084" s="398"/>
      <c r="O1084" s="20"/>
      <c r="P1084" s="422"/>
      <c r="Q1084" s="422"/>
      <c r="R1084" s="422"/>
      <c r="S1084" s="422"/>
      <c r="T1084" s="422"/>
    </row>
    <row r="1085" spans="1:20" s="701" customFormat="1" ht="12.75" customHeight="1" x14ac:dyDescent="0.2">
      <c r="A1085" s="422"/>
      <c r="B1085" s="398"/>
      <c r="C1085" s="398"/>
      <c r="D1085" s="398"/>
      <c r="E1085" s="516"/>
      <c r="F1085" s="831"/>
      <c r="G1085" s="831"/>
      <c r="H1085" s="831"/>
      <c r="I1085" s="831"/>
      <c r="J1085" s="831"/>
      <c r="K1085" s="831"/>
      <c r="L1085" s="831"/>
      <c r="M1085" s="831"/>
      <c r="N1085" s="831"/>
      <c r="O1085" s="20"/>
      <c r="P1085" s="422"/>
      <c r="Q1085" s="422"/>
      <c r="R1085" s="422"/>
      <c r="S1085" s="422"/>
      <c r="T1085" s="422"/>
    </row>
    <row r="1086" spans="1:20" s="701" customFormat="1" ht="13.5" thickBot="1" x14ac:dyDescent="0.25">
      <c r="A1086" s="422"/>
      <c r="B1086" s="398"/>
      <c r="C1086" s="398"/>
      <c r="D1086" s="398"/>
      <c r="E1086" s="516"/>
      <c r="F1086" s="831"/>
      <c r="G1086" s="831"/>
      <c r="H1086" s="515" t="str">
        <f>EUconst_Unit</f>
        <v>Jednostka</v>
      </c>
      <c r="I1086" s="1011">
        <f>I$1397</f>
        <v>2014</v>
      </c>
      <c r="J1086" s="451">
        <f>J$1397</f>
        <v>2015</v>
      </c>
      <c r="K1086" s="451">
        <f>K$1397</f>
        <v>2016</v>
      </c>
      <c r="L1086" s="451">
        <f>L$1397</f>
        <v>2017</v>
      </c>
      <c r="M1086" s="451">
        <f>M$1397</f>
        <v>2018</v>
      </c>
      <c r="N1086" s="831"/>
      <c r="O1086" s="20"/>
      <c r="P1086" s="422"/>
      <c r="Q1086" s="422"/>
      <c r="R1086" s="422"/>
      <c r="S1086" s="422"/>
      <c r="T1086" s="422"/>
    </row>
    <row r="1087" spans="1:20" s="701" customFormat="1" ht="13.5" thickBot="1" x14ac:dyDescent="0.25">
      <c r="A1087" s="422"/>
      <c r="B1087" s="398"/>
      <c r="C1087" s="398"/>
      <c r="D1087" s="398"/>
      <c r="E1087" s="1876" t="str">
        <f>Translations!$B$532</f>
        <v>Wytworzone mierzalne ciepło</v>
      </c>
      <c r="F1087" s="1876"/>
      <c r="G1087" s="1876"/>
      <c r="H1087" s="968" t="str">
        <f>EUconst_TJpa</f>
        <v>TJ / rok</v>
      </c>
      <c r="I1087" s="1000">
        <f>IF($M1071&lt;&gt;EUconst_Relevant,"",IF(INDEX('G_Fall-back'!I:I,MATCH($P1087,'G_Fall-back'!$P:$P,0))="","",INDEX('G_Fall-back'!I:I,MATCH($P1087,'G_Fall-back'!$P:$P,0))))</f>
        <v>665.25584761898585</v>
      </c>
      <c r="J1087" s="1001">
        <f>IF($M1071&lt;&gt;EUconst_Relevant,"",IF(INDEX('G_Fall-back'!J:J,MATCH($P1087,'G_Fall-back'!$P:$P,0))="","",INDEX('G_Fall-back'!J:J,MATCH($P1087,'G_Fall-back'!$P:$P,0))))</f>
        <v>629.80137438531574</v>
      </c>
      <c r="K1087" s="1001">
        <f>IF($M1071&lt;&gt;EUconst_Relevant,"",IF(INDEX('G_Fall-back'!K:K,MATCH($P1087,'G_Fall-back'!$P:$P,0))="","",INDEX('G_Fall-back'!K:K,MATCH($P1087,'G_Fall-back'!$P:$P,0))))</f>
        <v>726.93030500753707</v>
      </c>
      <c r="L1087" s="1001">
        <f>IF($M1071&lt;&gt;EUconst_Relevant,"",IF(INDEX('G_Fall-back'!L:L,MATCH($P1087,'G_Fall-back'!$P:$P,0))="","",INDEX('G_Fall-back'!L:L,MATCH($P1087,'G_Fall-back'!$P:$P,0))))</f>
        <v>612.48366598819814</v>
      </c>
      <c r="M1087" s="1002">
        <f>IF($M1071&lt;&gt;EUconst_Relevant,"",IF(INDEX('G_Fall-back'!M:M,MATCH($P1087,'G_Fall-back'!$P:$P,0))="","",INDEX('G_Fall-back'!M:M,MATCH($P1087,'G_Fall-back'!$P:$P,0))))</f>
        <v>704.11900803145159</v>
      </c>
      <c r="N1087" s="831"/>
      <c r="O1087" s="20"/>
      <c r="P1087" s="351" t="str">
        <f>EUconst_CNTR_HeatProduced &amp; I1071</f>
        <v>HeatProd_Podinstalacja objęta wskaźnikiem emisyjności opartym na cieple, „CL”</v>
      </c>
      <c r="Q1087" s="422"/>
      <c r="R1087" s="422"/>
      <c r="S1087" s="422"/>
      <c r="T1087" s="422"/>
    </row>
    <row r="1088" spans="1:20" s="701" customFormat="1" ht="5.0999999999999996" customHeight="1" thickBot="1" x14ac:dyDescent="0.25">
      <c r="A1088" s="422"/>
      <c r="B1088" s="398"/>
      <c r="C1088" s="398"/>
      <c r="D1088" s="398"/>
      <c r="E1088" s="516"/>
      <c r="F1088" s="516"/>
      <c r="G1088" s="516"/>
      <c r="H1088" s="516"/>
      <c r="I1088" s="1006"/>
      <c r="J1088" s="1006"/>
      <c r="K1088" s="1006"/>
      <c r="L1088" s="1006"/>
      <c r="M1088" s="1006"/>
      <c r="N1088" s="831"/>
      <c r="O1088" s="20"/>
      <c r="P1088" s="422"/>
      <c r="Q1088" s="422"/>
      <c r="R1088" s="422"/>
      <c r="S1088" s="422"/>
      <c r="T1088" s="422"/>
    </row>
    <row r="1089" spans="1:20" s="701" customFormat="1" ht="13.5" thickBot="1" x14ac:dyDescent="0.25">
      <c r="A1089" s="422"/>
      <c r="B1089" s="398"/>
      <c r="C1089" s="398"/>
      <c r="D1089" s="398"/>
      <c r="E1089" s="1876" t="str">
        <f>Translations!$B$1238</f>
        <v>Całkowite przypisane emisje</v>
      </c>
      <c r="F1089" s="1876"/>
      <c r="G1089" s="1876"/>
      <c r="H1089" s="968" t="str">
        <f>EUconst_tCO2epa</f>
        <v>t CO2e/rok</v>
      </c>
      <c r="I1089" s="1000">
        <f>INDEX(I$93:I$109,MATCH($I1071,$E$93:$E$109,0))</f>
        <v>42422.31666767782</v>
      </c>
      <c r="J1089" s="1001">
        <f>INDEX(J$93:J$109,MATCH($I1071,$E$93:$E$109,0))</f>
        <v>39473.539200561419</v>
      </c>
      <c r="K1089" s="1001">
        <f>INDEX(K$93:K$109,MATCH($I1071,$E$93:$E$109,0))</f>
        <v>44404.404855215398</v>
      </c>
      <c r="L1089" s="1001">
        <f>INDEX(L$93:L$109,MATCH($I1071,$E$93:$E$109,0))</f>
        <v>37512.913342867912</v>
      </c>
      <c r="M1089" s="1002">
        <f>INDEX(M$93:M$109,MATCH($I1071,$E$93:$E$109,0))</f>
        <v>43141.804552049754</v>
      </c>
      <c r="N1089" s="831"/>
      <c r="O1089" s="20"/>
      <c r="P1089" s="422"/>
      <c r="Q1089" s="422"/>
      <c r="R1089" s="422"/>
      <c r="S1089" s="422"/>
      <c r="T1089" s="8"/>
    </row>
    <row r="1090" spans="1:20" s="701" customFormat="1" ht="5.0999999999999996" customHeight="1" x14ac:dyDescent="0.2">
      <c r="A1090" s="422"/>
      <c r="B1090" s="398"/>
      <c r="C1090" s="398"/>
      <c r="D1090" s="398"/>
      <c r="E1090" s="516"/>
      <c r="F1090" s="516"/>
      <c r="G1090" s="516"/>
      <c r="H1090" s="516"/>
      <c r="I1090" s="1003"/>
      <c r="J1090" s="1003"/>
      <c r="K1090" s="1003"/>
      <c r="L1090" s="1003"/>
      <c r="M1090" s="1003"/>
      <c r="N1090" s="516"/>
      <c r="O1090" s="20"/>
      <c r="P1090" s="422"/>
      <c r="Q1090" s="422"/>
      <c r="R1090" s="422"/>
      <c r="S1090" s="422"/>
      <c r="T1090" s="8"/>
    </row>
    <row r="1091" spans="1:20" s="701" customFormat="1" x14ac:dyDescent="0.2">
      <c r="A1091" s="422"/>
      <c r="B1091" s="398"/>
      <c r="C1091" s="398"/>
      <c r="D1091" s="398"/>
      <c r="E1091" s="1766" t="str">
        <f>Translations!$B$731</f>
        <v>Wsad paliwa</v>
      </c>
      <c r="F1091" s="1767"/>
      <c r="G1091" s="1767"/>
      <c r="H1091" s="454" t="str">
        <f>EUconst_TJpa</f>
        <v>TJ / rok</v>
      </c>
      <c r="I1091" s="1004">
        <f>IF($M1071&lt;&gt;EUconst_Relevant,"",IF(INDEX('G_Fall-back'!I:I,MATCH($P1091,'G_Fall-back'!$P:$P,0))="","",INDEX('G_Fall-back'!I:I,MATCH($P1091,'G_Fall-back'!$P:$P,0))))</f>
        <v>922.56295696173515</v>
      </c>
      <c r="J1091" s="1004">
        <f>IF($M1071&lt;&gt;EUconst_Relevant,"",IF(INDEX('G_Fall-back'!J:J,MATCH($P1091,'G_Fall-back'!$P:$P,0))="","",INDEX('G_Fall-back'!J:J,MATCH($P1091,'G_Fall-back'!$P:$P,0))))</f>
        <v>866.98209654222171</v>
      </c>
      <c r="K1091" s="1004">
        <f>IF($M1071&lt;&gt;EUconst_Relevant,"",IF(INDEX('G_Fall-back'!K:K,MATCH($P1091,'G_Fall-back'!$P:$P,0))="","",INDEX('G_Fall-back'!K:K,MATCH($P1091,'G_Fall-back'!$P:$P,0))))</f>
        <v>960.42198401934661</v>
      </c>
      <c r="L1091" s="1004">
        <f>IF($M1071&lt;&gt;EUconst_Relevant,"",IF(INDEX('G_Fall-back'!L:L,MATCH($P1091,'G_Fall-back'!$P:$P,0))="","",INDEX('G_Fall-back'!L:L,MATCH($P1091,'G_Fall-back'!$P:$P,0))))</f>
        <v>829.30008547193631</v>
      </c>
      <c r="M1091" s="1004">
        <f>IF($M1071&lt;&gt;EUconst_Relevant,"",IF(INDEX('G_Fall-back'!M:M,MATCH($P1091,'G_Fall-back'!$P:$P,0))="","",INDEX('G_Fall-back'!M:M,MATCH($P1091,'G_Fall-back'!$P:$P,0))))</f>
        <v>931.0294694610003</v>
      </c>
      <c r="N1091" s="831"/>
      <c r="O1091" s="20"/>
      <c r="P1091" s="830" t="str">
        <f>EUconst_CNTR_FuelInput &amp; I1071</f>
        <v>FuelInput_Podinstalacja objęta wskaźnikiem emisyjności opartym na cieple, „CL”</v>
      </c>
      <c r="Q1091" s="422"/>
      <c r="R1091" s="422"/>
      <c r="S1091" s="422"/>
      <c r="T1091" s="422"/>
    </row>
    <row r="1092" spans="1:20" s="701" customFormat="1" x14ac:dyDescent="0.2">
      <c r="A1092" s="422"/>
      <c r="B1092" s="398"/>
      <c r="C1092" s="398"/>
      <c r="D1092" s="398"/>
      <c r="E1092" s="1743" t="str">
        <f>Translations!$B$732</f>
        <v>Ważony współczynnik emisji</v>
      </c>
      <c r="F1092" s="1744"/>
      <c r="G1092" s="1744"/>
      <c r="H1092" s="473" t="str">
        <f>EUconst_tCO2pTJ</f>
        <v>t CO2 / TJ</v>
      </c>
      <c r="I1092" s="1005">
        <f>IF($M1071&lt;&gt;EUconst_Relevant,"",IF(INDEX('G_Fall-back'!I:I,MATCH($P1092,'G_Fall-back'!$P:$P,0))="","",INDEX('G_Fall-back'!I:I,MATCH($P1092,'G_Fall-back'!$P:$P,0))))</f>
        <v>52.941562000000005</v>
      </c>
      <c r="J1092" s="1005">
        <f>IF($M1071&lt;&gt;EUconst_Relevant,"",IF(INDEX('G_Fall-back'!J:J,MATCH($P1092,'G_Fall-back'!$P:$P,0))="","",INDEX('G_Fall-back'!J:J,MATCH($P1092,'G_Fall-back'!$P:$P,0))))</f>
        <v>52.824505280000004</v>
      </c>
      <c r="K1092" s="1005">
        <f>IF($M1071&lt;&gt;EUconst_Relevant,"",IF(INDEX('G_Fall-back'!K:K,MATCH($P1092,'G_Fall-back'!$P:$P,0))="","",INDEX('G_Fall-back'!K:K,MATCH($P1092,'G_Fall-back'!$P:$P,0))))</f>
        <v>52.659561719999992</v>
      </c>
      <c r="L1092" s="1005">
        <f>IF($M1071&lt;&gt;EUconst_Relevant,"",IF(INDEX('G_Fall-back'!L:L,MATCH($P1092,'G_Fall-back'!$P:$P,0))="","",INDEX('G_Fall-back'!L:L,MATCH($P1092,'G_Fall-back'!$P:$P,0))))</f>
        <v>52.659561719999999</v>
      </c>
      <c r="M1092" s="1005">
        <f>IF($M1071&lt;&gt;EUconst_Relevant,"",IF(INDEX('G_Fall-back'!M:M,MATCH($P1092,'G_Fall-back'!$P:$P,0))="","",INDEX('G_Fall-back'!M:M,MATCH($P1092,'G_Fall-back'!$P:$P,0))))</f>
        <v>52.941562000000005</v>
      </c>
      <c r="N1092" s="831"/>
      <c r="O1092" s="20"/>
      <c r="P1092" s="351" t="str">
        <f>EUconst_CNTR_FuelEF &amp; I1071</f>
        <v>FuelEF_Podinstalacja objęta wskaźnikiem emisyjności opartym na cieple, „CL”</v>
      </c>
      <c r="Q1092" s="422"/>
      <c r="R1092" s="422"/>
      <c r="S1092" s="422"/>
      <c r="T1092" s="422"/>
    </row>
    <row r="1093" spans="1:20" s="701" customFormat="1" x14ac:dyDescent="0.2">
      <c r="A1093" s="422"/>
      <c r="B1093" s="398"/>
      <c r="C1093" s="398"/>
      <c r="D1093" s="398"/>
      <c r="E1093" s="1766" t="str">
        <f>Translations!$B$853</f>
        <v>Wsad paliwa z gazów odlotowych</v>
      </c>
      <c r="F1093" s="1767"/>
      <c r="G1093" s="1767"/>
      <c r="H1093" s="454" t="str">
        <f>EUconst_TJpa</f>
        <v>TJ / rok</v>
      </c>
      <c r="I1093" s="1004" t="str">
        <f>IF($M1071&lt;&gt;EUconst_Relevant,"",IF(INDEX('G_Fall-back'!I:I,MATCH($P1093,'G_Fall-back'!$P:$P,0))="","",INDEX('G_Fall-back'!I:I,MATCH($P1093,'G_Fall-back'!$P:$P,0))))</f>
        <v/>
      </c>
      <c r="J1093" s="1004" t="str">
        <f>IF($M1071&lt;&gt;EUconst_Relevant,"",IF(INDEX('G_Fall-back'!J:J,MATCH($P1093,'G_Fall-back'!$P:$P,0))="","",INDEX('G_Fall-back'!J:J,MATCH($P1093,'G_Fall-back'!$P:$P,0))))</f>
        <v/>
      </c>
      <c r="K1093" s="1004" t="str">
        <f>IF($M1071&lt;&gt;EUconst_Relevant,"",IF(INDEX('G_Fall-back'!K:K,MATCH($P1093,'G_Fall-back'!$P:$P,0))="","",INDEX('G_Fall-back'!K:K,MATCH($P1093,'G_Fall-back'!$P:$P,0))))</f>
        <v/>
      </c>
      <c r="L1093" s="1004" t="str">
        <f>IF($M1071&lt;&gt;EUconst_Relevant,"",IF(INDEX('G_Fall-back'!L:L,MATCH($P1093,'G_Fall-back'!$P:$P,0))="","",INDEX('G_Fall-back'!L:L,MATCH($P1093,'G_Fall-back'!$P:$P,0))))</f>
        <v/>
      </c>
      <c r="M1093" s="1004" t="str">
        <f>IF($M1071&lt;&gt;EUconst_Relevant,"",IF(INDEX('G_Fall-back'!M:M,MATCH($P1093,'G_Fall-back'!$P:$P,0))="","",INDEX('G_Fall-back'!M:M,MATCH($P1093,'G_Fall-back'!$P:$P,0))))</f>
        <v/>
      </c>
      <c r="N1093" s="831"/>
      <c r="O1093" s="20"/>
      <c r="P1093" s="438" t="str">
        <f>EUconst_CNTR_WGConsumed &amp; I1071</f>
        <v>WasteGasCons_Podinstalacja objęta wskaźnikiem emisyjności opartym na cieple, „CL”</v>
      </c>
      <c r="Q1093" s="422"/>
      <c r="R1093" s="422"/>
      <c r="S1093" s="422"/>
      <c r="T1093" s="422"/>
    </row>
    <row r="1094" spans="1:20" s="701" customFormat="1" x14ac:dyDescent="0.2">
      <c r="A1094" s="422"/>
      <c r="B1094" s="398"/>
      <c r="C1094" s="398"/>
      <c r="D1094" s="398"/>
      <c r="E1094" s="1743" t="str">
        <f>Translations!$B$732</f>
        <v>Ważony współczynnik emisji</v>
      </c>
      <c r="F1094" s="1744"/>
      <c r="G1094" s="1744"/>
      <c r="H1094" s="473" t="str">
        <f>EUconst_tCO2pTJ</f>
        <v>t CO2 / TJ</v>
      </c>
      <c r="I1094" s="1005" t="str">
        <f>IF($M1071&lt;&gt;EUconst_Relevant,"",IF(INDEX('G_Fall-back'!I:I,MATCH($P1094,'G_Fall-back'!$P:$P,0))="","",INDEX('G_Fall-back'!I:I,MATCH($P1094,'G_Fall-back'!$P:$P,0))))</f>
        <v/>
      </c>
      <c r="J1094" s="1005" t="str">
        <f>IF($M1071&lt;&gt;EUconst_Relevant,"",IF(INDEX('G_Fall-back'!J:J,MATCH($P1094,'G_Fall-back'!$P:$P,0))="","",INDEX('G_Fall-back'!J:J,MATCH($P1094,'G_Fall-back'!$P:$P,0))))</f>
        <v/>
      </c>
      <c r="K1094" s="1005" t="str">
        <f>IF($M1071&lt;&gt;EUconst_Relevant,"",IF(INDEX('G_Fall-back'!K:K,MATCH($P1094,'G_Fall-back'!$P:$P,0))="","",INDEX('G_Fall-back'!K:K,MATCH($P1094,'G_Fall-back'!$P:$P,0))))</f>
        <v/>
      </c>
      <c r="L1094" s="1005" t="str">
        <f>IF($M1071&lt;&gt;EUconst_Relevant,"",IF(INDEX('G_Fall-back'!L:L,MATCH($P1094,'G_Fall-back'!$P:$P,0))="","",INDEX('G_Fall-back'!L:L,MATCH($P1094,'G_Fall-back'!$P:$P,0))))</f>
        <v/>
      </c>
      <c r="M1094" s="1005" t="str">
        <f>IF($M1071&lt;&gt;EUconst_Relevant,"",IF(INDEX('G_Fall-back'!M:M,MATCH($P1094,'G_Fall-back'!$P:$P,0))="","",INDEX('G_Fall-back'!M:M,MATCH($P1094,'G_Fall-back'!$P:$P,0))))</f>
        <v/>
      </c>
      <c r="N1094" s="831"/>
      <c r="O1094" s="20"/>
      <c r="P1094" s="351" t="str">
        <f>EUconst_CNTR_WGConsumedEF &amp; I1071</f>
        <v>WasteGasConsEF_Podinstalacja objęta wskaźnikiem emisyjności opartym na cieple, „CL”</v>
      </c>
      <c r="Q1094" s="422"/>
      <c r="R1094" s="422"/>
      <c r="S1094" s="422"/>
      <c r="T1094" s="422"/>
    </row>
    <row r="1095" spans="1:20" s="701" customFormat="1" ht="5.0999999999999996" customHeight="1" x14ac:dyDescent="0.2">
      <c r="A1095" s="422"/>
      <c r="B1095" s="398"/>
      <c r="C1095" s="398"/>
      <c r="D1095" s="398"/>
      <c r="E1095" s="516"/>
      <c r="F1095" s="831"/>
      <c r="G1095" s="831"/>
      <c r="H1095" s="831"/>
      <c r="I1095" s="1006"/>
      <c r="J1095" s="1006"/>
      <c r="K1095" s="1006"/>
      <c r="L1095" s="1006"/>
      <c r="M1095" s="1006"/>
      <c r="N1095" s="831"/>
      <c r="O1095" s="20"/>
      <c r="P1095" s="422"/>
      <c r="Q1095" s="422"/>
      <c r="R1095" s="422"/>
      <c r="S1095" s="422"/>
      <c r="T1095" s="422"/>
    </row>
    <row r="1096" spans="1:20" s="701" customFormat="1" x14ac:dyDescent="0.2">
      <c r="A1096" s="422"/>
      <c r="B1096" s="398"/>
      <c r="C1096" s="398"/>
      <c r="D1096" s="398"/>
      <c r="E1096" s="1739" t="str">
        <f>Translations!$B$687</f>
        <v>Emisje bezpośrednie</v>
      </c>
      <c r="F1096" s="1740"/>
      <c r="G1096" s="1740"/>
      <c r="H1096" s="453" t="str">
        <f>EUconst_tCO2pa</f>
        <v>t CO2 / rok</v>
      </c>
      <c r="I1096" s="1007" t="str">
        <f>IF($M1071&lt;&gt;EUconst_Relevant,"",IF(INDEX('G_Fall-back'!I:I,MATCH($P1096,'G_Fall-back'!$P:$P,0))="","",INDEX('G_Fall-back'!I:I,MATCH($P1096,'G_Fall-back'!$P:$P,0))))</f>
        <v/>
      </c>
      <c r="J1096" s="1007" t="str">
        <f>IF($M1071&lt;&gt;EUconst_Relevant,"",IF(INDEX('G_Fall-back'!J:J,MATCH($P1096,'G_Fall-back'!$P:$P,0))="","",INDEX('G_Fall-back'!J:J,MATCH($P1096,'G_Fall-back'!$P:$P,0))))</f>
        <v/>
      </c>
      <c r="K1096" s="1007" t="str">
        <f>IF($M1071&lt;&gt;EUconst_Relevant,"",IF(INDEX('G_Fall-back'!K:K,MATCH($P1096,'G_Fall-back'!$P:$P,0))="","",INDEX('G_Fall-back'!K:K,MATCH($P1096,'G_Fall-back'!$P:$P,0))))</f>
        <v/>
      </c>
      <c r="L1096" s="1007" t="str">
        <f>IF($M1071&lt;&gt;EUconst_Relevant,"",IF(INDEX('G_Fall-back'!L:L,MATCH($P1096,'G_Fall-back'!$P:$P,0))="","",INDEX('G_Fall-back'!L:L,MATCH($P1096,'G_Fall-back'!$P:$P,0))))</f>
        <v/>
      </c>
      <c r="M1096" s="1007" t="str">
        <f>IF($M1071&lt;&gt;EUconst_Relevant,"",IF(INDEX('G_Fall-back'!M:M,MATCH($P1096,'G_Fall-back'!$P:$P,0))="","",INDEX('G_Fall-back'!M:M,MATCH($P1096,'G_Fall-back'!$P:$P,0))))</f>
        <v/>
      </c>
      <c r="N1096" s="831"/>
      <c r="O1096" s="20"/>
      <c r="P1096" s="351" t="str">
        <f>EUconst_CNTR_Emissions &amp; I1071</f>
        <v>DirEmissions_Podinstalacja objęta wskaźnikiem emisyjności opartym na cieple, „CL”</v>
      </c>
      <c r="Q1096" s="422"/>
      <c r="R1096" s="422"/>
      <c r="S1096" s="422"/>
      <c r="T1096" s="422"/>
    </row>
    <row r="1097" spans="1:20" s="701" customFormat="1" ht="5.0999999999999996" customHeight="1" x14ac:dyDescent="0.2">
      <c r="A1097" s="422"/>
      <c r="B1097" s="398"/>
      <c r="C1097" s="398"/>
      <c r="D1097" s="398"/>
      <c r="E1097" s="516"/>
      <c r="F1097" s="516"/>
      <c r="G1097" s="516"/>
      <c r="H1097" s="516"/>
      <c r="I1097" s="1006"/>
      <c r="J1097" s="1006"/>
      <c r="K1097" s="1006"/>
      <c r="L1097" s="1006"/>
      <c r="M1097" s="1006"/>
      <c r="N1097" s="831"/>
      <c r="O1097" s="20"/>
      <c r="P1097" s="422"/>
      <c r="Q1097" s="422"/>
      <c r="R1097" s="422"/>
      <c r="S1097" s="422"/>
      <c r="T1097" s="422"/>
    </row>
    <row r="1098" spans="1:20" s="701" customFormat="1" x14ac:dyDescent="0.2">
      <c r="A1098" s="422"/>
      <c r="B1098" s="398"/>
      <c r="C1098" s="398"/>
      <c r="D1098" s="398"/>
      <c r="E1098" s="1766" t="str">
        <f>Translations!$B$1241</f>
        <v>Ciepło wprowadzone netto (inne)</v>
      </c>
      <c r="F1098" s="1767"/>
      <c r="G1098" s="1767"/>
      <c r="H1098" s="454" t="str">
        <f>EUconst_TJpa</f>
        <v>TJ / rok</v>
      </c>
      <c r="I1098" s="1004">
        <f>IF($M1071&lt;&gt;EUconst_Relevant,"",IF(INDEX('G_Fall-back'!I:I,MATCH($P1098,'G_Fall-back'!$P:$P,0))="","",INDEX('G_Fall-back'!I:I,MATCH($P1098,'G_Fall-back'!$P:$P,0))))</f>
        <v>663.67106823104518</v>
      </c>
      <c r="J1098" s="1004">
        <f>IF($M1071&lt;&gt;EUconst_Relevant,"",IF(INDEX('G_Fall-back'!J:J,MATCH($P1098,'G_Fall-back'!$P:$P,0))="","",INDEX('G_Fall-back'!J:J,MATCH($P1098,'G_Fall-back'!$P:$P,0))))</f>
        <v>628.23125271862386</v>
      </c>
      <c r="K1098" s="1004">
        <f>IF($M1071&lt;&gt;EUconst_Relevant,"",IF(INDEX('G_Fall-back'!K:K,MATCH($P1098,'G_Fall-back'!$P:$P,0))="","",INDEX('G_Fall-back'!K:K,MATCH($P1098,'G_Fall-back'!$P:$P,0))))</f>
        <v>725.31445740656966</v>
      </c>
      <c r="L1098" s="1004">
        <f>IF($M1071&lt;&gt;EUconst_Relevant,"",IF(INDEX('G_Fall-back'!L:L,MATCH($P1098,'G_Fall-back'!$P:$P,0))="","",INDEX('G_Fall-back'!L:L,MATCH($P1098,'G_Fall-back'!$P:$P,0))))</f>
        <v>610.92741807413177</v>
      </c>
      <c r="M1098" s="1004">
        <f>IF($M1071&lt;&gt;EUconst_Relevant,"",IF(INDEX('G_Fall-back'!M:M,MATCH($P1098,'G_Fall-back'!$P:$P,0))="","",INDEX('G_Fall-back'!M:M,MATCH($P1098,'G_Fall-back'!$P:$P,0))))</f>
        <v>702.52094494868709</v>
      </c>
      <c r="N1098" s="831"/>
      <c r="O1098" s="20"/>
      <c r="P1098" s="351" t="str">
        <f>EUconst_CNTR_HeatImport &amp; I1071</f>
        <v>HeatIm_Podinstalacja objęta wskaźnikiem emisyjności opartym na cieple, „CL”</v>
      </c>
      <c r="Q1098" s="422"/>
      <c r="R1098" s="422"/>
      <c r="S1098" s="422"/>
      <c r="T1098" s="422"/>
    </row>
    <row r="1099" spans="1:20" s="701" customFormat="1" x14ac:dyDescent="0.2">
      <c r="A1099" s="422"/>
      <c r="B1099" s="398"/>
      <c r="C1099" s="398"/>
      <c r="D1099" s="398"/>
      <c r="E1099" s="1743" t="str">
        <f>Translations!$B$765</f>
        <v>Właściwy współczynnik emisji (ciepło wprowadzone)</v>
      </c>
      <c r="F1099" s="1744"/>
      <c r="G1099" s="1744"/>
      <c r="H1099" s="473" t="str">
        <f>EUconst_tCO2pTJ</f>
        <v>t CO2 / TJ</v>
      </c>
      <c r="I1099" s="1005">
        <f>IF($M1071&lt;&gt;EUconst_Relevant,"",IF(INDEX('G_Fall-back'!I:I,MATCH($P1099,'G_Fall-back'!$P:$P,0))="","",INDEX('G_Fall-back'!I:I,MATCH($P1099,'G_Fall-back'!$P:$P,0))))</f>
        <v>63.92069610741153</v>
      </c>
      <c r="J1099" s="1005">
        <f>IF($M1071&lt;&gt;EUconst_Relevant,"",IF(INDEX('G_Fall-back'!J:J,MATCH($P1099,'G_Fall-back'!$P:$P,0))="","",INDEX('G_Fall-back'!J:J,MATCH($P1099,'G_Fall-back'!$P:$P,0))))</f>
        <v>62.832816784810731</v>
      </c>
      <c r="K1099" s="1005">
        <f>IF($M1071&lt;&gt;EUconst_Relevant,"",IF(INDEX('G_Fall-back'!K:K,MATCH($P1099,'G_Fall-back'!$P:$P,0))="","",INDEX('G_Fall-back'!K:K,MATCH($P1099,'G_Fall-back'!$P:$P,0))))</f>
        <v>61.220901364612999</v>
      </c>
      <c r="L1099" s="1005">
        <f>IF($M1071&lt;&gt;EUconst_Relevant,"",IF(INDEX('G_Fall-back'!L:L,MATCH($P1099,'G_Fall-back'!$P:$P,0))="","",INDEX('G_Fall-back'!L:L,MATCH($P1099,'G_Fall-back'!$P:$P,0))))</f>
        <v>61.403224397952918</v>
      </c>
      <c r="M1099" s="1005">
        <f>IF($M1071&lt;&gt;EUconst_Relevant,"",IF(INDEX('G_Fall-back'!M:M,MATCH($P1099,'G_Fall-back'!$P:$P,0))="","",INDEX('G_Fall-back'!M:M,MATCH($P1099,'G_Fall-back'!$P:$P,0))))</f>
        <v>61.409990495302431</v>
      </c>
      <c r="N1099" s="831"/>
      <c r="O1099" s="20"/>
      <c r="P1099" s="351" t="str">
        <f>EUconst_CNTR_HeatImportEF &amp; I1071</f>
        <v>HeatImEF_Podinstalacja objęta wskaźnikiem emisyjności opartym na cieple, „CL”</v>
      </c>
      <c r="Q1099" s="422"/>
      <c r="R1099" s="422"/>
      <c r="S1099" s="422"/>
      <c r="T1099" s="422"/>
    </row>
    <row r="1100" spans="1:20" s="701" customFormat="1" x14ac:dyDescent="0.2">
      <c r="A1100" s="422"/>
      <c r="B1100" s="398"/>
      <c r="C1100" s="398"/>
      <c r="D1100" s="398"/>
      <c r="E1100" s="1766" t="str">
        <f>Translations!$B$1242</f>
        <v>Ciepło wprowadzone netto (wsk. emisyjności dla produktów)</v>
      </c>
      <c r="F1100" s="1767"/>
      <c r="G1100" s="1767"/>
      <c r="H1100" s="454" t="str">
        <f>EUconst_TJpa</f>
        <v>TJ / rok</v>
      </c>
      <c r="I1100" s="1004" t="str">
        <f>IF($M1071&lt;&gt;EUconst_Relevant,"",IF(INDEX('G_Fall-back'!I:I,MATCH($P1100,'G_Fall-back'!$P:$P,0))="","",INDEX('G_Fall-back'!I:I,MATCH($P1100,'G_Fall-back'!$P:$P,0))))</f>
        <v/>
      </c>
      <c r="J1100" s="1004" t="str">
        <f>IF($M1071&lt;&gt;EUconst_Relevant,"",IF(INDEX('G_Fall-back'!J:J,MATCH($P1100,'G_Fall-back'!$P:$P,0))="","",INDEX('G_Fall-back'!J:J,MATCH($P1100,'G_Fall-back'!$P:$P,0))))</f>
        <v/>
      </c>
      <c r="K1100" s="1004" t="str">
        <f>IF($M1071&lt;&gt;EUconst_Relevant,"",IF(INDEX('G_Fall-back'!K:K,MATCH($P1100,'G_Fall-back'!$P:$P,0))="","",INDEX('G_Fall-back'!K:K,MATCH($P1100,'G_Fall-back'!$P:$P,0))))</f>
        <v/>
      </c>
      <c r="L1100" s="1004" t="str">
        <f>IF($M1071&lt;&gt;EUconst_Relevant,"",IF(INDEX('G_Fall-back'!L:L,MATCH($P1100,'G_Fall-back'!$P:$P,0))="","",INDEX('G_Fall-back'!L:L,MATCH($P1100,'G_Fall-back'!$P:$P,0))))</f>
        <v/>
      </c>
      <c r="M1100" s="1004" t="str">
        <f>IF($M1071&lt;&gt;EUconst_Relevant,"",IF(INDEX('G_Fall-back'!M:M,MATCH($P1100,'G_Fall-back'!$P:$P,0))="","",INDEX('G_Fall-back'!M:M,MATCH($P1100,'G_Fall-back'!$P:$P,0))))</f>
        <v/>
      </c>
      <c r="N1100" s="831"/>
      <c r="O1100" s="20"/>
      <c r="P1100" s="351" t="str">
        <f>EUconst_CNTR_HeatImportProduct &amp; I1071</f>
        <v>HeatImProd_Podinstalacja objęta wskaźnikiem emisyjności opartym na cieple, „CL”</v>
      </c>
      <c r="Q1100" s="422"/>
      <c r="R1100" s="422"/>
      <c r="S1100" s="422"/>
      <c r="T1100" s="422"/>
    </row>
    <row r="1101" spans="1:20" s="701" customFormat="1" x14ac:dyDescent="0.2">
      <c r="A1101" s="422"/>
      <c r="B1101" s="398"/>
      <c r="C1101" s="398"/>
      <c r="D1101" s="398"/>
      <c r="E1101" s="1743" t="str">
        <f>Translations!$B$868</f>
        <v>Właściwy współczynnik emisji (z podinstalacji objętych wskaźnikiem emisyjności dla produktów)</v>
      </c>
      <c r="F1101" s="1744"/>
      <c r="G1101" s="1744"/>
      <c r="H1101" s="473" t="str">
        <f>EUconst_tCO2pTJ</f>
        <v>t CO2 / TJ</v>
      </c>
      <c r="I1101" s="1005" t="str">
        <f>IF($M1071&lt;&gt;EUconst_Relevant,"",IF(INDEX('G_Fall-back'!I:I,MATCH($P1101,'G_Fall-back'!$P:$P,0))="","",INDEX('G_Fall-back'!I:I,MATCH($P1101,'G_Fall-back'!$P:$P,0))))</f>
        <v/>
      </c>
      <c r="J1101" s="1005" t="str">
        <f>IF($M1071&lt;&gt;EUconst_Relevant,"",IF(INDEX('G_Fall-back'!J:J,MATCH($P1101,'G_Fall-back'!$P:$P,0))="","",INDEX('G_Fall-back'!J:J,MATCH($P1101,'G_Fall-back'!$P:$P,0))))</f>
        <v/>
      </c>
      <c r="K1101" s="1005" t="str">
        <f>IF($M1071&lt;&gt;EUconst_Relevant,"",IF(INDEX('G_Fall-back'!K:K,MATCH($P1101,'G_Fall-back'!$P:$P,0))="","",INDEX('G_Fall-back'!K:K,MATCH($P1101,'G_Fall-back'!$P:$P,0))))</f>
        <v/>
      </c>
      <c r="L1101" s="1005" t="str">
        <f>IF($M1071&lt;&gt;EUconst_Relevant,"",IF(INDEX('G_Fall-back'!L:L,MATCH($P1101,'G_Fall-back'!$P:$P,0))="","",INDEX('G_Fall-back'!L:L,MATCH($P1101,'G_Fall-back'!$P:$P,0))))</f>
        <v/>
      </c>
      <c r="M1101" s="1005" t="str">
        <f>IF($M1071&lt;&gt;EUconst_Relevant,"",IF(INDEX('G_Fall-back'!M:M,MATCH($P1101,'G_Fall-back'!$P:$P,0))="","",INDEX('G_Fall-back'!M:M,MATCH($P1101,'G_Fall-back'!$P:$P,0))))</f>
        <v/>
      </c>
      <c r="N1101" s="831"/>
      <c r="O1101" s="20"/>
      <c r="P1101" s="351" t="str">
        <f>EUconst_CNTR_HeatImportProductEF &amp; I1071</f>
        <v>HeatImProdEF_Podinstalacja objęta wskaźnikiem emisyjności opartym na cieple, „CL”</v>
      </c>
      <c r="Q1101" s="422"/>
      <c r="R1101" s="422"/>
      <c r="S1101" s="422"/>
      <c r="T1101" s="422"/>
    </row>
    <row r="1102" spans="1:20" s="701" customFormat="1" x14ac:dyDescent="0.2">
      <c r="A1102" s="422"/>
      <c r="B1102" s="398"/>
      <c r="C1102" s="398"/>
      <c r="D1102" s="398"/>
      <c r="E1102" s="1766" t="str">
        <f>Translations!$B$1243</f>
        <v>Ciepło wprowadzone netto (masa celulozowa)</v>
      </c>
      <c r="F1102" s="1767"/>
      <c r="G1102" s="1767"/>
      <c r="H1102" s="454" t="str">
        <f>EUconst_TJpa</f>
        <v>TJ / rok</v>
      </c>
      <c r="I1102" s="1004" t="str">
        <f>IF($M1071&lt;&gt;EUconst_Relevant,"",IF(INDEX('G_Fall-back'!I:I,MATCH($P1102,'G_Fall-back'!$P:$P,0))="","",INDEX('G_Fall-back'!I:I,MATCH($P1102,'G_Fall-back'!$P:$P,0))))</f>
        <v/>
      </c>
      <c r="J1102" s="1004" t="str">
        <f>IF($M1071&lt;&gt;EUconst_Relevant,"",IF(INDEX('G_Fall-back'!J:J,MATCH($P1102,'G_Fall-back'!$P:$P,0))="","",INDEX('G_Fall-back'!J:J,MATCH($P1102,'G_Fall-back'!$P:$P,0))))</f>
        <v/>
      </c>
      <c r="K1102" s="1004" t="str">
        <f>IF($M1071&lt;&gt;EUconst_Relevant,"",IF(INDEX('G_Fall-back'!K:K,MATCH($P1102,'G_Fall-back'!$P:$P,0))="","",INDEX('G_Fall-back'!K:K,MATCH($P1102,'G_Fall-back'!$P:$P,0))))</f>
        <v/>
      </c>
      <c r="L1102" s="1004" t="str">
        <f>IF($M1071&lt;&gt;EUconst_Relevant,"",IF(INDEX('G_Fall-back'!L:L,MATCH($P1102,'G_Fall-back'!$P:$P,0))="","",INDEX('G_Fall-back'!L:L,MATCH($P1102,'G_Fall-back'!$P:$P,0))))</f>
        <v/>
      </c>
      <c r="M1102" s="1004" t="str">
        <f>IF($M1071&lt;&gt;EUconst_Relevant,"",IF(INDEX('G_Fall-back'!M:M,MATCH($P1102,'G_Fall-back'!$P:$P,0))="","",INDEX('G_Fall-back'!M:M,MATCH($P1102,'G_Fall-back'!$P:$P,0))))</f>
        <v/>
      </c>
      <c r="N1102" s="831"/>
      <c r="O1102" s="20"/>
      <c r="P1102" s="351" t="str">
        <f>EUconst_CNTR_HeatImportPulp &amp; I1071</f>
        <v>HeatImPulp_Podinstalacja objęta wskaźnikiem emisyjności opartym na cieple, „CL”</v>
      </c>
      <c r="Q1102" s="422"/>
      <c r="R1102" s="422"/>
      <c r="S1102" s="422"/>
      <c r="T1102" s="422"/>
    </row>
    <row r="1103" spans="1:20" s="701" customFormat="1" x14ac:dyDescent="0.2">
      <c r="A1103" s="422"/>
      <c r="B1103" s="398"/>
      <c r="C1103" s="398"/>
      <c r="D1103" s="398"/>
      <c r="E1103" s="1743" t="str">
        <f>Translations!$B$870</f>
        <v>Właściwy współczynnik emisji (z masy celulozowej)</v>
      </c>
      <c r="F1103" s="1744"/>
      <c r="G1103" s="1744"/>
      <c r="H1103" s="473" t="str">
        <f>EUconst_tCO2pTJ</f>
        <v>t CO2 / TJ</v>
      </c>
      <c r="I1103" s="1005" t="str">
        <f>IF($M1071&lt;&gt;EUconst_Relevant,"",IF(INDEX('G_Fall-back'!I:I,MATCH($P1103,'G_Fall-back'!$P:$P,0))="","",INDEX('G_Fall-back'!I:I,MATCH($P1103,'G_Fall-back'!$P:$P,0))))</f>
        <v/>
      </c>
      <c r="J1103" s="1005" t="str">
        <f>IF($M1071&lt;&gt;EUconst_Relevant,"",IF(INDEX('G_Fall-back'!J:J,MATCH($P1103,'G_Fall-back'!$P:$P,0))="","",INDEX('G_Fall-back'!J:J,MATCH($P1103,'G_Fall-back'!$P:$P,0))))</f>
        <v/>
      </c>
      <c r="K1103" s="1005" t="str">
        <f>IF($M1071&lt;&gt;EUconst_Relevant,"",IF(INDEX('G_Fall-back'!K:K,MATCH($P1103,'G_Fall-back'!$P:$P,0))="","",INDEX('G_Fall-back'!K:K,MATCH($P1103,'G_Fall-back'!$P:$P,0))))</f>
        <v/>
      </c>
      <c r="L1103" s="1005" t="str">
        <f>IF($M1071&lt;&gt;EUconst_Relevant,"",IF(INDEX('G_Fall-back'!L:L,MATCH($P1103,'G_Fall-back'!$P:$P,0))="","",INDEX('G_Fall-back'!L:L,MATCH($P1103,'G_Fall-back'!$P:$P,0))))</f>
        <v/>
      </c>
      <c r="M1103" s="1005" t="str">
        <f>IF($M1071&lt;&gt;EUconst_Relevant,"",IF(INDEX('G_Fall-back'!M:M,MATCH($P1103,'G_Fall-back'!$P:$P,0))="","",INDEX('G_Fall-back'!M:M,MATCH($P1103,'G_Fall-back'!$P:$P,0))))</f>
        <v/>
      </c>
      <c r="N1103" s="831"/>
      <c r="O1103" s="20"/>
      <c r="P1103" s="351" t="str">
        <f>EUconst_CNTR_HeatImportPulpEF &amp; I1071</f>
        <v>HeatImPulpEF_Podinstalacja objęta wskaźnikiem emisyjności opartym na cieple, „CL”</v>
      </c>
      <c r="Q1103" s="422"/>
      <c r="R1103" s="422"/>
      <c r="S1103" s="422"/>
      <c r="T1103" s="422"/>
    </row>
    <row r="1104" spans="1:20" s="701" customFormat="1" x14ac:dyDescent="0.2">
      <c r="A1104" s="422"/>
      <c r="B1104" s="398"/>
      <c r="C1104" s="398"/>
      <c r="D1104" s="398"/>
      <c r="E1104" s="1766" t="str">
        <f>Translations!$B$1244</f>
        <v>Ciepło wprowadzone netto (wsk. emisyjności oparty na paliwie)</v>
      </c>
      <c r="F1104" s="1767"/>
      <c r="G1104" s="1767"/>
      <c r="H1104" s="454" t="str">
        <f>EUconst_TJpa</f>
        <v>TJ / rok</v>
      </c>
      <c r="I1104" s="1004" t="str">
        <f>IF($M1071&lt;&gt;EUconst_Relevant,"",IF(INDEX('G_Fall-back'!I:I,MATCH($P1104,'G_Fall-back'!$P:$P,0))="","",INDEX('G_Fall-back'!I:I,MATCH($P1104,'G_Fall-back'!$P:$P,0))))</f>
        <v/>
      </c>
      <c r="J1104" s="1004" t="str">
        <f>IF($M1071&lt;&gt;EUconst_Relevant,"",IF(INDEX('G_Fall-back'!J:J,MATCH($P1104,'G_Fall-back'!$P:$P,0))="","",INDEX('G_Fall-back'!J:J,MATCH($P1104,'G_Fall-back'!$P:$P,0))))</f>
        <v/>
      </c>
      <c r="K1104" s="1004" t="str">
        <f>IF($M1071&lt;&gt;EUconst_Relevant,"",IF(INDEX('G_Fall-back'!K:K,MATCH($P1104,'G_Fall-back'!$P:$P,0))="","",INDEX('G_Fall-back'!K:K,MATCH($P1104,'G_Fall-back'!$P:$P,0))))</f>
        <v/>
      </c>
      <c r="L1104" s="1004" t="str">
        <f>IF($M1071&lt;&gt;EUconst_Relevant,"",IF(INDEX('G_Fall-back'!L:L,MATCH($P1104,'G_Fall-back'!$P:$P,0))="","",INDEX('G_Fall-back'!L:L,MATCH($P1104,'G_Fall-back'!$P:$P,0))))</f>
        <v/>
      </c>
      <c r="M1104" s="1004" t="str">
        <f>IF($M1071&lt;&gt;EUconst_Relevant,"",IF(INDEX('G_Fall-back'!M:M,MATCH($P1104,'G_Fall-back'!$P:$P,0))="","",INDEX('G_Fall-back'!M:M,MATCH($P1104,'G_Fall-back'!$P:$P,0))))</f>
        <v/>
      </c>
      <c r="N1104" s="831"/>
      <c r="O1104" s="20"/>
      <c r="P1104" s="351" t="str">
        <f>EUconst_CNTR_HeatImportFuel &amp; I1071</f>
        <v>HeatImFuel_Podinstalacja objęta wskaźnikiem emisyjności opartym na cieple, „CL”</v>
      </c>
      <c r="Q1104" s="422"/>
      <c r="R1104" s="422"/>
      <c r="S1104" s="422"/>
      <c r="T1104" s="422"/>
    </row>
    <row r="1105" spans="1:20" s="701" customFormat="1" x14ac:dyDescent="0.2">
      <c r="A1105" s="422"/>
      <c r="B1105" s="398"/>
      <c r="C1105" s="398"/>
      <c r="D1105" s="398"/>
      <c r="E1105" s="1743" t="str">
        <f>Translations!$B$872</f>
        <v>Właściwy współczynnik emisji (z podinstalacji objętych wskaźnikiem emisyjności opartym na paliwie)</v>
      </c>
      <c r="F1105" s="1743"/>
      <c r="G1105" s="1743"/>
      <c r="H1105" s="832" t="str">
        <f>EUconst_tCO2pTJ</f>
        <v>t CO2 / TJ</v>
      </c>
      <c r="I1105" s="1005" t="str">
        <f>IF($M1071&lt;&gt;EUconst_Relevant,"",IF(INDEX('G_Fall-back'!I:I,MATCH($P1105,'G_Fall-back'!$P:$P,0))="","",INDEX('G_Fall-back'!I:I,MATCH($P1105,'G_Fall-back'!$P:$P,0))))</f>
        <v/>
      </c>
      <c r="J1105" s="1005" t="str">
        <f>IF($M1071&lt;&gt;EUconst_Relevant,"",IF(INDEX('G_Fall-back'!J:J,MATCH($P1105,'G_Fall-back'!$P:$P,0))="","",INDEX('G_Fall-back'!J:J,MATCH($P1105,'G_Fall-back'!$P:$P,0))))</f>
        <v/>
      </c>
      <c r="K1105" s="1005" t="str">
        <f>IF($M1071&lt;&gt;EUconst_Relevant,"",IF(INDEX('G_Fall-back'!K:K,MATCH($P1105,'G_Fall-back'!$P:$P,0))="","",INDEX('G_Fall-back'!K:K,MATCH($P1105,'G_Fall-back'!$P:$P,0))))</f>
        <v/>
      </c>
      <c r="L1105" s="1005" t="str">
        <f>IF($M1071&lt;&gt;EUconst_Relevant,"",IF(INDEX('G_Fall-back'!L:L,MATCH($P1105,'G_Fall-back'!$P:$P,0))="","",INDEX('G_Fall-back'!L:L,MATCH($P1105,'G_Fall-back'!$P:$P,0))))</f>
        <v/>
      </c>
      <c r="M1105" s="1005" t="str">
        <f>IF($M1071&lt;&gt;EUconst_Relevant,"",IF(INDEX('G_Fall-back'!M:M,MATCH($P1105,'G_Fall-back'!$P:$P,0))="","",INDEX('G_Fall-back'!M:M,MATCH($P1105,'G_Fall-back'!$P:$P,0))))</f>
        <v/>
      </c>
      <c r="N1105" s="831"/>
      <c r="O1105" s="20"/>
      <c r="P1105" s="351" t="str">
        <f>EUconst_CNTR_HeatImportPulpEF &amp; I1071</f>
        <v>HeatImPulpEF_Podinstalacja objęta wskaźnikiem emisyjności opartym na cieple, „CL”</v>
      </c>
      <c r="Q1105" s="422"/>
      <c r="R1105" s="422"/>
      <c r="S1105" s="422"/>
      <c r="T1105" s="422"/>
    </row>
    <row r="1106" spans="1:20" s="701" customFormat="1" x14ac:dyDescent="0.2">
      <c r="A1106" s="422"/>
      <c r="B1106" s="398"/>
      <c r="C1106" s="398"/>
      <c r="D1106" s="398"/>
      <c r="E1106" s="1766" t="str">
        <f>Translations!$B$1245</f>
        <v>Ciepło wprowadzone netto (gazy odlotowe)</v>
      </c>
      <c r="F1106" s="1767"/>
      <c r="G1106" s="1767"/>
      <c r="H1106" s="454" t="str">
        <f>EUconst_TJpa</f>
        <v>TJ / rok</v>
      </c>
      <c r="I1106" s="1004" t="str">
        <f>IF($M1071&lt;&gt;EUconst_Relevant,"",IF(INDEX('G_Fall-back'!I:I,MATCH($P1106,'G_Fall-back'!$P:$P,0))="","",INDEX('G_Fall-back'!I:I,MATCH($P1106,'G_Fall-back'!$P:$P,0))))</f>
        <v/>
      </c>
      <c r="J1106" s="1004" t="str">
        <f>IF($M1071&lt;&gt;EUconst_Relevant,"",IF(INDEX('G_Fall-back'!J:J,MATCH($P1106,'G_Fall-back'!$P:$P,0))="","",INDEX('G_Fall-back'!J:J,MATCH($P1106,'G_Fall-back'!$P:$P,0))))</f>
        <v/>
      </c>
      <c r="K1106" s="1004" t="str">
        <f>IF($M1071&lt;&gt;EUconst_Relevant,"",IF(INDEX('G_Fall-back'!K:K,MATCH($P1106,'G_Fall-back'!$P:$P,0))="","",INDEX('G_Fall-back'!K:K,MATCH($P1106,'G_Fall-back'!$P:$P,0))))</f>
        <v/>
      </c>
      <c r="L1106" s="1004" t="str">
        <f>IF($M1071&lt;&gt;EUconst_Relevant,"",IF(INDEX('G_Fall-back'!L:L,MATCH($P1106,'G_Fall-back'!$P:$P,0))="","",INDEX('G_Fall-back'!L:L,MATCH($P1106,'G_Fall-back'!$P:$P,0))))</f>
        <v/>
      </c>
      <c r="M1106" s="1004" t="str">
        <f>IF($M1071&lt;&gt;EUconst_Relevant,"",IF(INDEX('G_Fall-back'!M:M,MATCH($P1106,'G_Fall-back'!$P:$P,0))="","",INDEX('G_Fall-back'!M:M,MATCH($P1106,'G_Fall-back'!$P:$P,0))))</f>
        <v/>
      </c>
      <c r="N1106" s="831"/>
      <c r="O1106" s="20"/>
      <c r="P1106" s="351" t="str">
        <f>EUconst_CNTR_WGImport &amp; I1071</f>
        <v>WasteGasIm_Podinstalacja objęta wskaźnikiem emisyjności opartym na cieple, „CL”</v>
      </c>
      <c r="Q1106" s="422"/>
      <c r="R1106" s="422"/>
      <c r="S1106" s="422"/>
      <c r="T1106" s="422"/>
    </row>
    <row r="1107" spans="1:20" s="701" customFormat="1" x14ac:dyDescent="0.2">
      <c r="A1107" s="422"/>
      <c r="B1107" s="398"/>
      <c r="C1107" s="398"/>
      <c r="D1107" s="398"/>
      <c r="E1107" s="1743" t="str">
        <f>Translations!$B$874</f>
        <v>Właściwy współczynnik emisji (z gazów odlotowych)</v>
      </c>
      <c r="F1107" s="1743"/>
      <c r="G1107" s="1743"/>
      <c r="H1107" s="832" t="str">
        <f>EUconst_tCO2pTJ</f>
        <v>t CO2 / TJ</v>
      </c>
      <c r="I1107" s="1005" t="str">
        <f>IF($M1071&lt;&gt;EUconst_Relevant,"",IF(INDEX('G_Fall-back'!I:I,MATCH($P1107,'G_Fall-back'!$P:$P,0))="","",INDEX('G_Fall-back'!I:I,MATCH($P1107,'G_Fall-back'!$P:$P,0))))</f>
        <v/>
      </c>
      <c r="J1107" s="1005" t="str">
        <f>IF($M1071&lt;&gt;EUconst_Relevant,"",IF(INDEX('G_Fall-back'!J:J,MATCH($P1107,'G_Fall-back'!$P:$P,0))="","",INDEX('G_Fall-back'!J:J,MATCH($P1107,'G_Fall-back'!$P:$P,0))))</f>
        <v/>
      </c>
      <c r="K1107" s="1005" t="str">
        <f>IF($M1071&lt;&gt;EUconst_Relevant,"",IF(INDEX('G_Fall-back'!K:K,MATCH($P1107,'G_Fall-back'!$P:$P,0))="","",INDEX('G_Fall-back'!K:K,MATCH($P1107,'G_Fall-back'!$P:$P,0))))</f>
        <v/>
      </c>
      <c r="L1107" s="1005" t="str">
        <f>IF($M1071&lt;&gt;EUconst_Relevant,"",IF(INDEX('G_Fall-back'!L:L,MATCH($P1107,'G_Fall-back'!$P:$P,0))="","",INDEX('G_Fall-back'!L:L,MATCH($P1107,'G_Fall-back'!$P:$P,0))))</f>
        <v/>
      </c>
      <c r="M1107" s="1005" t="str">
        <f>IF($M1071&lt;&gt;EUconst_Relevant,"",IF(INDEX('G_Fall-back'!M:M,MATCH($P1107,'G_Fall-back'!$P:$P,0))="","",INDEX('G_Fall-back'!M:M,MATCH($P1107,'G_Fall-back'!$P:$P,0))))</f>
        <v/>
      </c>
      <c r="N1107" s="831"/>
      <c r="O1107" s="20"/>
      <c r="P1107" s="351" t="str">
        <f>EUconst_CNTR_WGImportEF &amp; I1071</f>
        <v>WasteGasImEF_Podinstalacja objęta wskaźnikiem emisyjności opartym na cieple, „CL”</v>
      </c>
      <c r="Q1107" s="422"/>
      <c r="R1107" s="422"/>
      <c r="S1107" s="422"/>
      <c r="T1107" s="422"/>
    </row>
    <row r="1108" spans="1:20" s="701" customFormat="1" ht="12.75" customHeight="1" x14ac:dyDescent="0.2">
      <c r="A1108" s="422"/>
      <c r="B1108" s="398"/>
      <c r="C1108" s="398"/>
      <c r="D1108" s="398"/>
      <c r="E1108" s="831"/>
      <c r="F1108" s="831"/>
      <c r="G1108" s="831"/>
      <c r="H1108" s="831"/>
      <c r="I1108" s="831"/>
      <c r="J1108" s="831"/>
      <c r="K1108" s="831"/>
      <c r="L1108" s="831"/>
      <c r="M1108" s="831"/>
      <c r="N1108" s="831"/>
      <c r="O1108" s="20"/>
      <c r="P1108" s="422"/>
      <c r="Q1108" s="422"/>
      <c r="R1108" s="422"/>
      <c r="S1108" s="422"/>
      <c r="T1108" s="422"/>
    </row>
    <row r="1109" spans="1:20" s="701" customFormat="1" ht="13.5" thickBot="1" x14ac:dyDescent="0.25">
      <c r="A1109" s="422"/>
      <c r="B1109" s="398"/>
      <c r="C1109" s="398"/>
      <c r="D1109" s="398"/>
      <c r="E1109" s="398"/>
      <c r="F1109" s="398"/>
      <c r="G1109" s="398"/>
      <c r="M1109" s="398"/>
      <c r="N1109" s="398"/>
      <c r="O1109" s="20"/>
      <c r="P1109" s="422"/>
      <c r="Q1109" s="422"/>
      <c r="R1109" s="422"/>
      <c r="S1109" s="422"/>
      <c r="T1109" s="422"/>
    </row>
    <row r="1110" spans="1:20" s="701" customFormat="1" ht="12.75" customHeight="1" thickBot="1" x14ac:dyDescent="0.25">
      <c r="A1110" s="422"/>
      <c r="B1110" s="3"/>
      <c r="C1110" s="281"/>
      <c r="D1110" s="281"/>
      <c r="E1110" s="281"/>
      <c r="F1110" s="281"/>
      <c r="G1110" s="281"/>
      <c r="H1110" s="281"/>
      <c r="I1110" s="281"/>
      <c r="J1110" s="281"/>
      <c r="K1110" s="281"/>
      <c r="L1110" s="281"/>
      <c r="M1110" s="281"/>
      <c r="N1110" s="281"/>
      <c r="O1110" s="20"/>
      <c r="P1110" s="422"/>
      <c r="Q1110" s="422"/>
      <c r="R1110" s="422"/>
      <c r="S1110" s="422"/>
      <c r="T1110" s="8" t="s">
        <v>583</v>
      </c>
    </row>
    <row r="1111" spans="1:20" s="701" customFormat="1" ht="38.25" customHeight="1" thickBot="1" x14ac:dyDescent="0.3">
      <c r="A1111" s="422"/>
      <c r="B1111" s="398"/>
      <c r="C1111" s="18">
        <f>C1071+1</f>
        <v>12</v>
      </c>
      <c r="D1111" s="1439" t="str">
        <f>CONCATENATE(EUconst_FBSubinst," ",C1111-10, ":")</f>
        <v>Podinstalacja, dla której wprowadzono rozwiązania rezerwowe (fall-back) 2:</v>
      </c>
      <c r="E1111" s="1370"/>
      <c r="F1111" s="1370"/>
      <c r="G1111" s="1370"/>
      <c r="H1111" s="1432"/>
      <c r="I1111" s="1958" t="str">
        <f>INDEX(EUconst_FallBackListNames,$C1111-10)</f>
        <v>Podinstalacja objęta wskaźnikiem emisyjności opartym na cieple, „nie-CL”</v>
      </c>
      <c r="J1111" s="1959"/>
      <c r="K1111" s="1959"/>
      <c r="L1111" s="1960"/>
      <c r="M1111" s="1860" t="str">
        <f>IF(ISBLANK(INDEX(CNTR_FallBackSubInstRelevant,C1111-10)),"",IF(INDEX(CNTR_FallBackSubInstRelevant,C1111-10),EUconst_Relevant,EUconst_NotRelevant))</f>
        <v>dotyczy</v>
      </c>
      <c r="N1111" s="1861"/>
      <c r="O1111" s="20"/>
      <c r="P1111" s="422"/>
      <c r="Q1111" s="986">
        <f>C1111</f>
        <v>12</v>
      </c>
      <c r="R1111" s="983" t="str">
        <f>I1111</f>
        <v>Podinstalacja objęta wskaźnikiem emisyjności opartym na cieple, „nie-CL”</v>
      </c>
      <c r="S1111" s="985" t="b">
        <f>H1114</f>
        <v>0</v>
      </c>
      <c r="T1111" s="984" t="str">
        <f>IF(M1123="","",IF(S1114=0,0,SUM(M1123)/S1114))</f>
        <v/>
      </c>
    </row>
    <row r="1112" spans="1:20" s="701" customFormat="1" ht="5.0999999999999996" customHeight="1" thickBot="1" x14ac:dyDescent="0.25">
      <c r="A1112" s="422"/>
      <c r="B1112" s="398"/>
      <c r="C1112" s="398"/>
      <c r="D1112" s="398"/>
      <c r="E1112" s="398"/>
      <c r="F1112" s="398"/>
      <c r="G1112" s="398"/>
      <c r="H1112" s="398"/>
      <c r="I1112" s="398"/>
      <c r="J1112" s="398"/>
      <c r="K1112" s="398"/>
      <c r="L1112" s="398"/>
      <c r="M1112" s="398"/>
      <c r="N1112" s="398"/>
      <c r="O1112" s="20"/>
      <c r="P1112" s="422"/>
      <c r="Q1112" s="422"/>
      <c r="R1112" s="422"/>
      <c r="S1112" s="422"/>
      <c r="T1112" s="8"/>
    </row>
    <row r="1113" spans="1:20" s="1299" customFormat="1" ht="51" x14ac:dyDescent="0.2">
      <c r="A1113" s="970"/>
      <c r="B1113" s="1300"/>
      <c r="C1113" s="1300"/>
      <c r="D1113" s="1300"/>
      <c r="E1113" s="1300"/>
      <c r="F1113" s="1300"/>
      <c r="G1113" s="1300"/>
      <c r="H1113" s="1304" t="str">
        <f>Translations!$B$1204</f>
        <v>narażenie na ryzyko ucieczki emisji</v>
      </c>
      <c r="I1113" s="1305" t="str">
        <f>Translations!$B$1208</f>
        <v>Rozpoczęcie</v>
      </c>
      <c r="J1113" s="1305" t="str">
        <f>Translations!$B$1212</f>
        <v>Art. 15 ust. 7 akapit trzeci?</v>
      </c>
      <c r="K1113" s="1305" t="str">
        <f>Translations!$B$1214</f>
        <v>Art. 15 ust. 7 akapit trzeci – HPD</v>
      </c>
      <c r="L1113" s="1306" t="str">
        <f>Translations!$B$1206</f>
        <v>Nr wskaźnika</v>
      </c>
      <c r="M1113" s="1307" t="str">
        <f>Translations!$B$1234</f>
        <v>Wart. wskaźnika (min./maks./faktyczna)</v>
      </c>
      <c r="N1113" s="1308"/>
      <c r="O1113" s="121"/>
      <c r="P1113" s="970"/>
      <c r="Q1113" s="970"/>
      <c r="R1113" s="970"/>
      <c r="S1113" s="970"/>
      <c r="T1113" s="972"/>
    </row>
    <row r="1114" spans="1:20" s="701" customFormat="1" x14ac:dyDescent="0.2">
      <c r="A1114" s="422"/>
      <c r="B1114" s="398"/>
      <c r="C1114" s="398"/>
      <c r="D1114" s="398"/>
      <c r="E1114" s="652" t="str">
        <f>I1111</f>
        <v>Podinstalacja objęta wskaźnikiem emisyjności opartym na cieple, „nie-CL”</v>
      </c>
      <c r="F1114" s="653"/>
      <c r="G1114" s="590"/>
      <c r="H1114" s="654" t="b">
        <f>INDEX(EUconst_FallBackListCLstatus,MATCH(I1111,EUconst_FallBackListNames,0))</f>
        <v>0</v>
      </c>
      <c r="I1114" s="857">
        <f>IF(M1111&lt;&gt;EUconst_Relevant,"",INDEX(CNTR_SubInstStartDate,MATCH(E1114,CNTR_SubInstListNames,0)))</f>
        <v>0</v>
      </c>
      <c r="J1114" s="655" t="b">
        <f>IF(M1111&lt;&gt;EUconst_Relevant,"",INDEX(CNTR_SubInstLess1Year,MATCH(E1114,CNTR_SubInstListNames,0)))</f>
        <v>0</v>
      </c>
      <c r="K1114" s="536" t="str">
        <f>IF($J1114=TRUE,SUMIF('G_Fall-back'!$P:$P,EUconst_CNTR_HAL&amp;$E1114,'G_Fall-back'!$N:$N),"")</f>
        <v/>
      </c>
      <c r="L1114" s="855">
        <f>C1111-10</f>
        <v>2</v>
      </c>
      <c r="M1114" s="1077">
        <f>IF(M1111&lt;&gt;EUconst_Relevant,"",INDEX(EUconst_FallBackListBMvaluesMatrix,L1114,2))</f>
        <v>47.347999999999999</v>
      </c>
      <c r="N1114" s="1074" t="str">
        <f>EUconst_EUA &amp; "/" &amp; H1119</f>
        <v>Uprawnienia do emisji ogólnych/TJ</v>
      </c>
      <c r="O1114" s="20"/>
      <c r="P1114" s="422"/>
      <c r="Q1114" s="422"/>
      <c r="R1114" s="736" t="s">
        <v>577</v>
      </c>
      <c r="S1114" s="822">
        <f>IF(H1114,1,INDEX(EUconst_CLEFYears,1))</f>
        <v>0.3</v>
      </c>
      <c r="T1114" s="422"/>
    </row>
    <row r="1115" spans="1:20" s="701" customFormat="1" x14ac:dyDescent="0.2">
      <c r="A1115" s="422"/>
      <c r="B1115" s="398"/>
      <c r="C1115" s="398"/>
      <c r="M1115" s="1077">
        <f>IF(M1111&lt;&gt;EUconst_Relevant,"",INDEX(EUconst_FallBackListBMvaluesMatrix,L1114,1))</f>
        <v>60.430999999999997</v>
      </c>
      <c r="N1115" s="1074" t="str">
        <f>EUconst_EUA &amp; "/" &amp; H1119</f>
        <v>Uprawnienia do emisji ogólnych/TJ</v>
      </c>
      <c r="O1115" s="20"/>
      <c r="P1115" s="422"/>
      <c r="Q1115" s="422"/>
      <c r="R1115" s="736"/>
      <c r="S1115" s="875"/>
      <c r="T1115" s="422"/>
    </row>
    <row r="1116" spans="1:20" s="701" customFormat="1" ht="13.5" thickBot="1" x14ac:dyDescent="0.25">
      <c r="A1116" s="422"/>
      <c r="B1116" s="398"/>
      <c r="C1116" s="398"/>
      <c r="M1116" s="1078" t="str">
        <f>IF(M1111&lt;&gt;EUconst_Relevant,"",IF(EUconst_StatusOfDataCollection,INDEX(EUconst_FallBackListBMvaluesMatrix,L1114,3),""))</f>
        <v/>
      </c>
      <c r="N1116" s="1076" t="str">
        <f>EUconst_EUA &amp; "/" &amp; H1119</f>
        <v>Uprawnienia do emisji ogólnych/TJ</v>
      </c>
      <c r="O1116" s="20"/>
      <c r="P1116" s="422"/>
      <c r="Q1116" s="422"/>
      <c r="R1116" s="736"/>
      <c r="S1116" s="875"/>
      <c r="T1116" s="422"/>
    </row>
    <row r="1117" spans="1:20" s="701" customFormat="1" ht="5.0999999999999996" customHeight="1" x14ac:dyDescent="0.2">
      <c r="A1117" s="422"/>
      <c r="B1117" s="398"/>
      <c r="C1117" s="398"/>
      <c r="D1117" s="398"/>
      <c r="E1117" s="398"/>
      <c r="F1117" s="398"/>
      <c r="G1117" s="398"/>
      <c r="H1117" s="398"/>
      <c r="I1117" s="398"/>
      <c r="J1117" s="398"/>
      <c r="K1117" s="398"/>
      <c r="L1117" s="398"/>
      <c r="M1117" s="398"/>
      <c r="N1117" s="398"/>
      <c r="O1117" s="20"/>
      <c r="P1117" s="422"/>
      <c r="Q1117" s="422"/>
      <c r="R1117" s="422"/>
      <c r="S1117" s="422"/>
      <c r="T1117" s="422"/>
    </row>
    <row r="1118" spans="1:20" s="701" customFormat="1" x14ac:dyDescent="0.2">
      <c r="A1118" s="422"/>
      <c r="B1118" s="398"/>
      <c r="C1118" s="398"/>
      <c r="D1118" s="398"/>
      <c r="E1118" s="656"/>
      <c r="F1118" s="656"/>
      <c r="G1118" s="657"/>
      <c r="H1118" s="650" t="str">
        <f>EUconst_Unit</f>
        <v>Jednostka</v>
      </c>
      <c r="I1118" s="432">
        <f>I$1397</f>
        <v>2014</v>
      </c>
      <c r="J1118" s="432">
        <f>J$1397</f>
        <v>2015</v>
      </c>
      <c r="K1118" s="432">
        <f>K$1397</f>
        <v>2016</v>
      </c>
      <c r="L1118" s="432">
        <f>L$1397</f>
        <v>2017</v>
      </c>
      <c r="M1118" s="432">
        <f>M$1397</f>
        <v>2018</v>
      </c>
      <c r="N1118" s="398"/>
      <c r="O1118" s="20"/>
      <c r="P1118" s="185" t="s">
        <v>237</v>
      </c>
      <c r="Q1118" s="422"/>
      <c r="R1118" s="422"/>
      <c r="S1118" s="422"/>
      <c r="T1118" s="422"/>
    </row>
    <row r="1119" spans="1:20" s="701" customFormat="1" x14ac:dyDescent="0.2">
      <c r="A1119" s="422"/>
      <c r="B1119" s="398"/>
      <c r="C1119" s="398"/>
      <c r="D1119" s="398"/>
      <c r="E1119" s="658" t="str">
        <f>Translations!$B$1236</f>
        <v>Zgłoszony HPD (historyczny poziom działalności)</v>
      </c>
      <c r="F1119" s="659"/>
      <c r="G1119" s="660"/>
      <c r="H1119" s="654" t="str">
        <f>INDEX(EUconst_FallBackListUnits,L1114)</f>
        <v>TJ</v>
      </c>
      <c r="I1119" s="536">
        <f>IF($M1111&lt;&gt;EUconst_Relevant,"",SUMIF('G_Fall-back'!$P:$P,$P1120,'G_Fall-back'!I:I))</f>
        <v>688.51799635030102</v>
      </c>
      <c r="J1119" s="536">
        <f>IF($M1111&lt;&gt;EUconst_Relevant,"",SUMIF('G_Fall-back'!$P:$P,$P1120,'G_Fall-back'!J:J))</f>
        <v>647.24553979430743</v>
      </c>
      <c r="K1119" s="536">
        <f>IF($M1111&lt;&gt;EUconst_Relevant,"",SUMIF('G_Fall-back'!$P:$P,$P1120,'G_Fall-back'!K:K))</f>
        <v>744.86796245655296</v>
      </c>
      <c r="L1119" s="536">
        <f>IF($M1111&lt;&gt;EUconst_Relevant,"",SUMIF('G_Fall-back'!$P:$P,$P1120,'G_Fall-back'!L:L))</f>
        <v>636.15108326654081</v>
      </c>
      <c r="M1119" s="536">
        <f>IF($M1111&lt;&gt;EUconst_Relevant,"",SUMIF('G_Fall-back'!$P:$P,$P1120,'G_Fall-back'!M:M))</f>
        <v>735.76769914288332</v>
      </c>
      <c r="N1119" s="651" t="str">
        <f>Translations!$B$1224</f>
        <v>Średnia</v>
      </c>
      <c r="O1119" s="20"/>
      <c r="P1119" s="185" t="str">
        <f>EUconst_CNTR_HAL&amp;I1111</f>
        <v>HAL_Podinstalacja objęta wskaźnikiem emisyjności opartym na cieple, „nie-CL”</v>
      </c>
      <c r="Q1119" s="422"/>
      <c r="R1119" s="422"/>
      <c r="S1119" s="422"/>
      <c r="T1119" s="8"/>
    </row>
    <row r="1120" spans="1:20" s="701" customFormat="1" x14ac:dyDescent="0.2">
      <c r="A1120" s="422"/>
      <c r="B1120" s="398"/>
      <c r="C1120" s="398"/>
      <c r="D1120" s="398"/>
      <c r="E1120" s="658" t="str">
        <f>Translations!$B$1237</f>
        <v>Wartości wykorzystywane do obliczania zgłoszonego HPD:</v>
      </c>
      <c r="F1120" s="659"/>
      <c r="G1120" s="660"/>
      <c r="H1120" s="654" t="str">
        <f>H1119</f>
        <v>TJ</v>
      </c>
      <c r="I1120" s="427">
        <f>IF($M1111&lt;&gt;EUconst_Relevant,"",INDEX('G_Fall-back'!S:S,MATCH($P1120,'G_Fall-back'!$P:$P,0)))</f>
        <v>688.51799635030102</v>
      </c>
      <c r="J1120" s="427">
        <f>IF($M1111&lt;&gt;EUconst_Relevant,"",INDEX('G_Fall-back'!T:T,MATCH($P1120,'G_Fall-back'!$P:$P,0)))</f>
        <v>647.24553979430743</v>
      </c>
      <c r="K1120" s="427">
        <f>IF($M1111&lt;&gt;EUconst_Relevant,"",INDEX('G_Fall-back'!U:U,MATCH($P1120,'G_Fall-back'!$P:$P,0)))</f>
        <v>744.86796245655296</v>
      </c>
      <c r="L1120" s="427">
        <f>IF($M1111&lt;&gt;EUconst_Relevant,"",INDEX('G_Fall-back'!V:V,MATCH($P1120,'G_Fall-back'!$P:$P,0)))</f>
        <v>636.15108326654081</v>
      </c>
      <c r="M1120" s="427">
        <f>IF($M1111&lt;&gt;EUconst_Relevant,"",INDEX('G_Fall-back'!W:W,MATCH($P1120,'G_Fall-back'!$P:$P,0)))</f>
        <v>735.76769914288332</v>
      </c>
      <c r="N1120" s="536">
        <f>IF(OR($M1111&lt;&gt;EUconst_Relevant,$J1114=TRUE),"",IF(COUNT($I1120:$M1120)&gt;0,AVERAGE($I1120:$M1120),""))</f>
        <v>690.51005620211708</v>
      </c>
      <c r="O1120" s="20"/>
      <c r="P1120" s="185" t="str">
        <f>EUconst_CNTR_HAL&amp;I1111</f>
        <v>HAL_Podinstalacja objęta wskaźnikiem emisyjności opartym na cieple, „nie-CL”</v>
      </c>
      <c r="Q1120" s="422"/>
      <c r="R1120" s="1013" t="s">
        <v>630</v>
      </c>
      <c r="S1120" s="1013" t="s">
        <v>631</v>
      </c>
      <c r="T1120" s="1013" t="s">
        <v>632</v>
      </c>
    </row>
    <row r="1121" spans="1:20" s="701" customFormat="1" ht="5.0999999999999996" customHeight="1" thickBot="1" x14ac:dyDescent="0.25">
      <c r="A1121" s="422"/>
      <c r="B1121" s="398"/>
      <c r="C1121" s="398"/>
      <c r="D1121" s="398"/>
      <c r="E1121" s="398"/>
      <c r="F1121" s="398"/>
      <c r="G1121" s="398"/>
      <c r="H1121" s="398"/>
      <c r="I1121" s="398"/>
      <c r="J1121" s="398"/>
      <c r="K1121" s="398"/>
      <c r="L1121" s="398"/>
      <c r="M1121" s="398"/>
      <c r="N1121" s="398"/>
      <c r="O1121" s="20"/>
      <c r="P1121" s="422"/>
      <c r="Q1121" s="422"/>
      <c r="R1121" s="422"/>
      <c r="S1121" s="422"/>
      <c r="T1121" s="8"/>
    </row>
    <row r="1122" spans="1:20" s="701" customFormat="1" ht="13.5" thickBot="1" x14ac:dyDescent="0.25">
      <c r="A1122" s="422"/>
      <c r="B1122" s="398"/>
      <c r="C1122" s="398"/>
      <c r="D1122" s="398"/>
      <c r="E1122" s="398"/>
      <c r="F1122" s="661" t="s">
        <v>520</v>
      </c>
      <c r="G1122" s="824"/>
      <c r="H1122" s="398"/>
      <c r="I1122" s="823" t="str">
        <f>Translations!$B$1226</f>
        <v>Wst. przydział rok 1 (min.)</v>
      </c>
      <c r="J1122" s="824"/>
      <c r="K1122" s="823" t="str">
        <f>Translations!$B$1229</f>
        <v>Wst. przydział rok 1 (maks.)</v>
      </c>
      <c r="L1122" s="824"/>
      <c r="M1122" s="823" t="str">
        <f>Translations!$B$1231</f>
        <v>Wst. przydział rok 1 (faktyczny)</v>
      </c>
      <c r="N1122" s="824"/>
      <c r="O1122" s="20"/>
      <c r="P1122" s="185" t="str">
        <f>EUconst_AllocPrelim&amp;I1111</f>
        <v>AllocPrelim_Podinstalacja objęta wskaźnikiem emisyjności opartym na cieple, „nie-CL”</v>
      </c>
      <c r="Q1122" s="422"/>
      <c r="R1122" s="982">
        <f>IF(I1123="","",IF(S1114=0,0,SUM(I1123)/S1114))</f>
        <v>32693.333333333336</v>
      </c>
      <c r="S1122" s="982">
        <f>IF(K1123="","",IF(S1114=0,0,SUM(K1123)/S1114))</f>
        <v>41726.666666666672</v>
      </c>
      <c r="T1122" s="982" t="str">
        <f>T1111</f>
        <v/>
      </c>
    </row>
    <row r="1123" spans="1:20" s="701" customFormat="1" ht="13.5" thickBot="1" x14ac:dyDescent="0.25">
      <c r="A1123" s="422"/>
      <c r="B1123" s="398"/>
      <c r="C1123" s="398"/>
      <c r="D1123" s="398"/>
      <c r="E1123" s="398"/>
      <c r="F1123" s="662">
        <f>IF(M1111&lt;&gt;EUconst_Relevant,"",MAX(0, IF(J1114=TRUE, SUM(K1114), SUM(N1120))))</f>
        <v>690.51005620211708</v>
      </c>
      <c r="G1123" s="966" t="str">
        <f>H1120&amp;" / "&amp;EUconst_Year</f>
        <v>TJ / rok</v>
      </c>
      <c r="H1123" s="398"/>
      <c r="I1123" s="820">
        <f>IF(M1111&lt;&gt;EUconst_Relevant,"",ROUND(SUM(M1114)*SUM(F1123)*SUM(S1114),0))</f>
        <v>9808</v>
      </c>
      <c r="J1123" s="966" t="str">
        <f>EUconst_EUApa</f>
        <v>Uprawnienia do emisji ogólnych / rok</v>
      </c>
      <c r="K1123" s="820">
        <f>IF(M1111&lt;&gt;EUconst_Relevant,"",ROUND(SUM(M1115)*SUM(F1123)*SUM(S1114),0))</f>
        <v>12518</v>
      </c>
      <c r="L1123" s="966" t="str">
        <f>EUconst_EUApa</f>
        <v>Uprawnienia do emisji ogólnych / rok</v>
      </c>
      <c r="M1123" s="820" t="str">
        <f>IF(OR(M1111&lt;&gt;EUconst_Relevant,M1116=""),"",ROUND(SUM(M1116)*SUM(F1123)*SUM(S1114),0))</f>
        <v/>
      </c>
      <c r="N1123" s="966" t="str">
        <f>EUconst_EUApa</f>
        <v>Uprawnienia do emisji ogólnych / rok</v>
      </c>
      <c r="O1123" s="20"/>
      <c r="P1123" s="185" t="str">
        <f>EUconst_HALsum &amp; I1111</f>
        <v>HALsum_Podinstalacja objęta wskaźnikiem emisyjności opartym na cieple, „nie-CL”</v>
      </c>
      <c r="Q1123" s="422"/>
      <c r="R1123" s="422"/>
      <c r="S1123" s="422"/>
      <c r="T1123" s="422"/>
    </row>
    <row r="1124" spans="1:20" s="701" customFormat="1" x14ac:dyDescent="0.2">
      <c r="A1124" s="422"/>
      <c r="B1124" s="398"/>
      <c r="C1124" s="398"/>
      <c r="D1124" s="398"/>
      <c r="E1124" s="398"/>
      <c r="F1124" s="398"/>
      <c r="G1124" s="398"/>
      <c r="H1124" s="398"/>
      <c r="I1124" s="398"/>
      <c r="J1124" s="398"/>
      <c r="K1124" s="398"/>
      <c r="L1124" s="398"/>
      <c r="M1124" s="398"/>
      <c r="N1124" s="398"/>
      <c r="O1124" s="20"/>
      <c r="P1124" s="422"/>
      <c r="Q1124" s="422"/>
      <c r="R1124" s="422"/>
      <c r="S1124" s="422"/>
      <c r="T1124" s="422"/>
    </row>
    <row r="1125" spans="1:20" s="701" customFormat="1" ht="12.75" customHeight="1" x14ac:dyDescent="0.2">
      <c r="A1125" s="422"/>
      <c r="B1125" s="398"/>
      <c r="C1125" s="398"/>
      <c r="D1125" s="398"/>
      <c r="E1125" s="516"/>
      <c r="F1125" s="831"/>
      <c r="G1125" s="831"/>
      <c r="H1125" s="831"/>
      <c r="I1125" s="831"/>
      <c r="J1125" s="831"/>
      <c r="K1125" s="831"/>
      <c r="L1125" s="831"/>
      <c r="M1125" s="831"/>
      <c r="N1125" s="831"/>
      <c r="O1125" s="20"/>
      <c r="P1125" s="422"/>
      <c r="Q1125" s="422"/>
      <c r="R1125" s="422"/>
      <c r="S1125" s="422"/>
      <c r="T1125" s="422"/>
    </row>
    <row r="1126" spans="1:20" s="701" customFormat="1" ht="13.5" thickBot="1" x14ac:dyDescent="0.25">
      <c r="A1126" s="422"/>
      <c r="B1126" s="398"/>
      <c r="C1126" s="398"/>
      <c r="D1126" s="398"/>
      <c r="E1126" s="516"/>
      <c r="F1126" s="831"/>
      <c r="G1126" s="831"/>
      <c r="H1126" s="515" t="str">
        <f>EUconst_Unit</f>
        <v>Jednostka</v>
      </c>
      <c r="I1126" s="1010">
        <f>I$1397</f>
        <v>2014</v>
      </c>
      <c r="J1126" s="833">
        <f>J$1397</f>
        <v>2015</v>
      </c>
      <c r="K1126" s="833">
        <f>K$1397</f>
        <v>2016</v>
      </c>
      <c r="L1126" s="833">
        <f>L$1397</f>
        <v>2017</v>
      </c>
      <c r="M1126" s="833">
        <f>M$1397</f>
        <v>2018</v>
      </c>
      <c r="N1126" s="831"/>
      <c r="O1126" s="20"/>
      <c r="P1126" s="422"/>
      <c r="Q1126" s="422"/>
      <c r="R1126" s="422"/>
      <c r="S1126" s="422"/>
      <c r="T1126" s="422"/>
    </row>
    <row r="1127" spans="1:20" s="701" customFormat="1" ht="13.5" thickBot="1" x14ac:dyDescent="0.25">
      <c r="A1127" s="422"/>
      <c r="B1127" s="398"/>
      <c r="C1127" s="398"/>
      <c r="D1127" s="398"/>
      <c r="E1127" s="1876" t="str">
        <f>Translations!$B$532</f>
        <v>Wytworzone mierzalne ciepło</v>
      </c>
      <c r="F1127" s="1876"/>
      <c r="G1127" s="1876"/>
      <c r="H1127" s="968" t="str">
        <f>EUconst_TJpa</f>
        <v>TJ / rok</v>
      </c>
      <c r="I1127" s="1000">
        <f>IF($M1111&lt;&gt;EUconst_Relevant,"",IF(INDEX('G_Fall-back'!I:I,MATCH($P1127,'G_Fall-back'!$P:$P,0))="","",INDEX('G_Fall-back'!I:I,MATCH($P1127,'G_Fall-back'!$P:$P,0))))</f>
        <v>690.16210768959809</v>
      </c>
      <c r="J1127" s="1001">
        <f>IF($M1111&lt;&gt;EUconst_Relevant,"",IF(INDEX('G_Fall-back'!J:J,MATCH($P1127,'G_Fall-back'!$P:$P,0))="","",INDEX('G_Fall-back'!J:J,MATCH($P1127,'G_Fall-back'!$P:$P,0))))</f>
        <v>648.86318336314116</v>
      </c>
      <c r="K1127" s="1001">
        <f>IF($M1111&lt;&gt;EUconst_Relevant,"",IF(INDEX('G_Fall-back'!K:K,MATCH($P1127,'G_Fall-back'!$P:$P,0))="","",INDEX('G_Fall-back'!K:K,MATCH($P1127,'G_Fall-back'!$P:$P,0))))</f>
        <v>746.52737114182355</v>
      </c>
      <c r="L1127" s="1001">
        <f>IF($M1111&lt;&gt;EUconst_Relevant,"",IF(INDEX('G_Fall-back'!L:L,MATCH($P1127,'G_Fall-back'!$P:$P,0))="","",INDEX('G_Fall-back'!L:L,MATCH($P1127,'G_Fall-back'!$P:$P,0))))</f>
        <v>637.77158476487841</v>
      </c>
      <c r="M1127" s="1002">
        <f>IF($M1111&lt;&gt;EUconst_Relevant,"",IF(INDEX('G_Fall-back'!M:M,MATCH($P1127,'G_Fall-back'!$P:$P,0))="","",INDEX('G_Fall-back'!M:M,MATCH($P1127,'G_Fall-back'!$P:$P,0))))</f>
        <v>737.44139044838118</v>
      </c>
      <c r="N1127" s="831"/>
      <c r="O1127" s="20"/>
      <c r="P1127" s="351" t="str">
        <f>EUconst_CNTR_HeatProduced &amp; I1111</f>
        <v>HeatProd_Podinstalacja objęta wskaźnikiem emisyjności opartym na cieple, „nie-CL”</v>
      </c>
      <c r="Q1127" s="422"/>
      <c r="R1127" s="422"/>
      <c r="S1127" s="422"/>
      <c r="T1127" s="422"/>
    </row>
    <row r="1128" spans="1:20" s="701" customFormat="1" ht="5.0999999999999996" customHeight="1" thickBot="1" x14ac:dyDescent="0.25">
      <c r="A1128" s="422"/>
      <c r="B1128" s="398"/>
      <c r="C1128" s="398"/>
      <c r="D1128" s="398"/>
      <c r="E1128" s="516"/>
      <c r="F1128" s="516"/>
      <c r="G1128" s="516"/>
      <c r="H1128" s="516"/>
      <c r="I1128" s="1006"/>
      <c r="J1128" s="1006"/>
      <c r="K1128" s="1006"/>
      <c r="L1128" s="1006"/>
      <c r="M1128" s="1006"/>
      <c r="N1128" s="831"/>
      <c r="O1128" s="20"/>
      <c r="P1128" s="422"/>
      <c r="Q1128" s="422"/>
      <c r="R1128" s="422"/>
      <c r="S1128" s="422"/>
      <c r="T1128" s="422"/>
    </row>
    <row r="1129" spans="1:20" s="701" customFormat="1" ht="13.5" thickBot="1" x14ac:dyDescent="0.25">
      <c r="A1129" s="422"/>
      <c r="B1129" s="398"/>
      <c r="C1129" s="398"/>
      <c r="D1129" s="398"/>
      <c r="E1129" s="1876" t="str">
        <f>Translations!$B$1238</f>
        <v>Całkowite przypisane emisje</v>
      </c>
      <c r="F1129" s="1876"/>
      <c r="G1129" s="1876"/>
      <c r="H1129" s="968" t="str">
        <f>EUconst_tCO2epa</f>
        <v>t CO2e/rok</v>
      </c>
      <c r="I1129" s="1000">
        <f>INDEX(I$93:I$109,MATCH($I1111,$E$93:$E$109,0))</f>
        <v>44010.549609191476</v>
      </c>
      <c r="J1129" s="1001">
        <f>INDEX(J$93:J$109,MATCH($I1111,$E$93:$E$109,0))</f>
        <v>40668.260416681645</v>
      </c>
      <c r="K1129" s="1001">
        <f>INDEX(K$93:K$109,MATCH($I1111,$E$93:$E$109,0))</f>
        <v>45601.48805921289</v>
      </c>
      <c r="L1129" s="1001">
        <f>INDEX(L$93:L$109,MATCH($I1111,$E$93:$E$109,0))</f>
        <v>39061.72771681624</v>
      </c>
      <c r="M1129" s="1002">
        <f>INDEX(M$93:M$109,MATCH($I1111,$E$93:$E$109,0))</f>
        <v>45183.487411115006</v>
      </c>
      <c r="N1129" s="831"/>
      <c r="O1129" s="20"/>
      <c r="P1129" s="422"/>
      <c r="Q1129" s="422"/>
      <c r="R1129" s="422"/>
      <c r="S1129" s="422"/>
      <c r="T1129" s="8"/>
    </row>
    <row r="1130" spans="1:20" s="701" customFormat="1" ht="5.0999999999999996" customHeight="1" x14ac:dyDescent="0.2">
      <c r="A1130" s="422"/>
      <c r="B1130" s="398"/>
      <c r="C1130" s="398"/>
      <c r="D1130" s="398"/>
      <c r="E1130" s="516"/>
      <c r="F1130" s="516"/>
      <c r="G1130" s="516"/>
      <c r="H1130" s="516"/>
      <c r="I1130" s="1003"/>
      <c r="J1130" s="1003"/>
      <c r="K1130" s="1003"/>
      <c r="L1130" s="1003"/>
      <c r="M1130" s="1003"/>
      <c r="N1130" s="516"/>
      <c r="O1130" s="20"/>
      <c r="P1130" s="422"/>
      <c r="Q1130" s="422"/>
      <c r="R1130" s="422"/>
      <c r="S1130" s="422"/>
      <c r="T1130" s="8"/>
    </row>
    <row r="1131" spans="1:20" s="701" customFormat="1" x14ac:dyDescent="0.2">
      <c r="A1131" s="422"/>
      <c r="B1131" s="398"/>
      <c r="C1131" s="398"/>
      <c r="D1131" s="398"/>
      <c r="E1131" s="1766" t="str">
        <f>Translations!$B$731</f>
        <v>Wsad paliwa</v>
      </c>
      <c r="F1131" s="1767"/>
      <c r="G1131" s="1767"/>
      <c r="H1131" s="454" t="str">
        <f>EUconst_TJpa</f>
        <v>TJ / rok</v>
      </c>
      <c r="I1131" s="1004">
        <f>IF($M1111&lt;&gt;EUconst_Relevant,"",IF(INDEX('G_Fall-back'!I:I,MATCH($P1131,'G_Fall-back'!$P:$P,0))="","",INDEX('G_Fall-back'!I:I,MATCH($P1131,'G_Fall-back'!$P:$P,0))))</f>
        <v>957.10243980858422</v>
      </c>
      <c r="J1131" s="1004">
        <f>IF($M1111&lt;&gt;EUconst_Relevant,"",IF(INDEX('G_Fall-back'!J:J,MATCH($P1131,'G_Fall-back'!$P:$P,0))="","",INDEX('G_Fall-back'!J:J,MATCH($P1131,'G_Fall-back'!$P:$P,0))))</f>
        <v>893.2225078585866</v>
      </c>
      <c r="K1131" s="1004">
        <f>IF($M1111&lt;&gt;EUconst_Relevant,"",IF(INDEX('G_Fall-back'!K:K,MATCH($P1131,'G_Fall-back'!$P:$P,0))="","",INDEX('G_Fall-back'!K:K,MATCH($P1131,'G_Fall-back'!$P:$P,0))))</f>
        <v>986.3136726833028</v>
      </c>
      <c r="L1131" s="1004">
        <f>IF($M1111&lt;&gt;EUconst_Relevant,"",IF(INDEX('G_Fall-back'!L:L,MATCH($P1131,'G_Fall-back'!$P:$P,0))="","",INDEX('G_Fall-back'!L:L,MATCH($P1131,'G_Fall-back'!$P:$P,0))))</f>
        <v>863.53981196174027</v>
      </c>
      <c r="M1131" s="1004">
        <f>IF($M1111&lt;&gt;EUconst_Relevant,"",IF(INDEX('G_Fall-back'!M:M,MATCH($P1131,'G_Fall-back'!$P:$P,0))="","",INDEX('G_Fall-back'!M:M,MATCH($P1131,'G_Fall-back'!$P:$P,0))))</f>
        <v>975.0903734686151</v>
      </c>
      <c r="N1131" s="831"/>
      <c r="O1131" s="20"/>
      <c r="P1131" s="830" t="str">
        <f>EUconst_CNTR_FuelInput &amp; I1111</f>
        <v>FuelInput_Podinstalacja objęta wskaźnikiem emisyjności opartym na cieple, „nie-CL”</v>
      </c>
      <c r="Q1131" s="422"/>
      <c r="R1131" s="422"/>
      <c r="S1131" s="422"/>
      <c r="T1131" s="422"/>
    </row>
    <row r="1132" spans="1:20" s="701" customFormat="1" x14ac:dyDescent="0.2">
      <c r="A1132" s="422"/>
      <c r="B1132" s="398"/>
      <c r="C1132" s="398"/>
      <c r="D1132" s="398"/>
      <c r="E1132" s="1743" t="str">
        <f>Translations!$B$732</f>
        <v>Ważony współczynnik emisji</v>
      </c>
      <c r="F1132" s="1744"/>
      <c r="G1132" s="1744"/>
      <c r="H1132" s="473" t="str">
        <f>EUconst_tCO2pTJ</f>
        <v>t CO2 / TJ</v>
      </c>
      <c r="I1132" s="1005">
        <f>IF($M1111&lt;&gt;EUconst_Relevant,"",IF(INDEX('G_Fall-back'!I:I,MATCH($P1132,'G_Fall-back'!$P:$P,0))="","",INDEX('G_Fall-back'!I:I,MATCH($P1132,'G_Fall-back'!$P:$P,0))))</f>
        <v>52.94156199999999</v>
      </c>
      <c r="J1132" s="1005">
        <f>IF($M1111&lt;&gt;EUconst_Relevant,"",IF(INDEX('G_Fall-back'!J:J,MATCH($P1132,'G_Fall-back'!$P:$P,0))="","",INDEX('G_Fall-back'!J:J,MATCH($P1132,'G_Fall-back'!$P:$P,0))))</f>
        <v>52.824505280000011</v>
      </c>
      <c r="K1132" s="1005">
        <f>IF($M1111&lt;&gt;EUconst_Relevant,"",IF(INDEX('G_Fall-back'!K:K,MATCH($P1132,'G_Fall-back'!$P:$P,0))="","",INDEX('G_Fall-back'!K:K,MATCH($P1132,'G_Fall-back'!$P:$P,0))))</f>
        <v>52.659561719999992</v>
      </c>
      <c r="L1132" s="1005">
        <f>IF($M1111&lt;&gt;EUconst_Relevant,"",IF(INDEX('G_Fall-back'!L:L,MATCH($P1132,'G_Fall-back'!$P:$P,0))="","",INDEX('G_Fall-back'!L:L,MATCH($P1132,'G_Fall-back'!$P:$P,0))))</f>
        <v>52.659561719999999</v>
      </c>
      <c r="M1132" s="1005">
        <f>IF($M1111&lt;&gt;EUconst_Relevant,"",IF(INDEX('G_Fall-back'!M:M,MATCH($P1132,'G_Fall-back'!$P:$P,0))="","",INDEX('G_Fall-back'!M:M,MATCH($P1132,'G_Fall-back'!$P:$P,0))))</f>
        <v>52.941562000000005</v>
      </c>
      <c r="N1132" s="831"/>
      <c r="O1132" s="20"/>
      <c r="P1132" s="351" t="str">
        <f>EUconst_CNTR_FuelEF &amp; I1111</f>
        <v>FuelEF_Podinstalacja objęta wskaźnikiem emisyjności opartym na cieple, „nie-CL”</v>
      </c>
      <c r="Q1132" s="422"/>
      <c r="R1132" s="422"/>
      <c r="S1132" s="422"/>
      <c r="T1132" s="422"/>
    </row>
    <row r="1133" spans="1:20" s="701" customFormat="1" ht="12.75" customHeight="1" x14ac:dyDescent="0.2">
      <c r="A1133" s="422"/>
      <c r="B1133" s="398"/>
      <c r="C1133" s="398"/>
      <c r="D1133" s="398"/>
      <c r="E1133" s="1766" t="str">
        <f>Translations!$B$853</f>
        <v>Wsad paliwa z gazów odlotowych</v>
      </c>
      <c r="F1133" s="1767"/>
      <c r="G1133" s="1767"/>
      <c r="H1133" s="454" t="str">
        <f>EUconst_TJpa</f>
        <v>TJ / rok</v>
      </c>
      <c r="I1133" s="1004" t="str">
        <f>IF($M1111&lt;&gt;EUconst_Relevant,"",IF(INDEX('G_Fall-back'!I:I,MATCH($P1133,'G_Fall-back'!$P:$P,0))="","",INDEX('G_Fall-back'!I:I,MATCH($P1133,'G_Fall-back'!$P:$P,0))))</f>
        <v/>
      </c>
      <c r="J1133" s="1004" t="str">
        <f>IF($M1111&lt;&gt;EUconst_Relevant,"",IF(INDEX('G_Fall-back'!J:J,MATCH($P1133,'G_Fall-back'!$P:$P,0))="","",INDEX('G_Fall-back'!J:J,MATCH($P1133,'G_Fall-back'!$P:$P,0))))</f>
        <v/>
      </c>
      <c r="K1133" s="1004" t="str">
        <f>IF($M1111&lt;&gt;EUconst_Relevant,"",IF(INDEX('G_Fall-back'!K:K,MATCH($P1133,'G_Fall-back'!$P:$P,0))="","",INDEX('G_Fall-back'!K:K,MATCH($P1133,'G_Fall-back'!$P:$P,0))))</f>
        <v/>
      </c>
      <c r="L1133" s="1004" t="str">
        <f>IF($M1111&lt;&gt;EUconst_Relevant,"",IF(INDEX('G_Fall-back'!L:L,MATCH($P1133,'G_Fall-back'!$P:$P,0))="","",INDEX('G_Fall-back'!L:L,MATCH($P1133,'G_Fall-back'!$P:$P,0))))</f>
        <v/>
      </c>
      <c r="M1133" s="1004" t="str">
        <f>IF($M1111&lt;&gt;EUconst_Relevant,"",IF(INDEX('G_Fall-back'!M:M,MATCH($P1133,'G_Fall-back'!$P:$P,0))="","",INDEX('G_Fall-back'!M:M,MATCH($P1133,'G_Fall-back'!$P:$P,0))))</f>
        <v/>
      </c>
      <c r="N1133" s="831"/>
      <c r="O1133" s="20"/>
      <c r="P1133" s="438" t="str">
        <f>EUconst_CNTR_WGConsumed &amp; I1111</f>
        <v>WasteGasCons_Podinstalacja objęta wskaźnikiem emisyjności opartym na cieple, „nie-CL”</v>
      </c>
      <c r="Q1133" s="422"/>
      <c r="R1133" s="422"/>
      <c r="S1133" s="422"/>
      <c r="T1133" s="422"/>
    </row>
    <row r="1134" spans="1:20" s="701" customFormat="1" ht="12.75" customHeight="1" x14ac:dyDescent="0.2">
      <c r="A1134" s="422"/>
      <c r="B1134" s="398"/>
      <c r="C1134" s="398"/>
      <c r="D1134" s="398"/>
      <c r="E1134" s="1743" t="str">
        <f>Translations!$B$732</f>
        <v>Ważony współczynnik emisji</v>
      </c>
      <c r="F1134" s="1744"/>
      <c r="G1134" s="1744"/>
      <c r="H1134" s="473" t="str">
        <f>EUconst_tCO2pTJ</f>
        <v>t CO2 / TJ</v>
      </c>
      <c r="I1134" s="1005" t="str">
        <f>IF($M1111&lt;&gt;EUconst_Relevant,"",IF(INDEX('G_Fall-back'!I:I,MATCH($P1134,'G_Fall-back'!$P:$P,0))="","",INDEX('G_Fall-back'!I:I,MATCH($P1134,'G_Fall-back'!$P:$P,0))))</f>
        <v/>
      </c>
      <c r="J1134" s="1005" t="str">
        <f>IF($M1111&lt;&gt;EUconst_Relevant,"",IF(INDEX('G_Fall-back'!J:J,MATCH($P1134,'G_Fall-back'!$P:$P,0))="","",INDEX('G_Fall-back'!J:J,MATCH($P1134,'G_Fall-back'!$P:$P,0))))</f>
        <v/>
      </c>
      <c r="K1134" s="1005" t="str">
        <f>IF($M1111&lt;&gt;EUconst_Relevant,"",IF(INDEX('G_Fall-back'!K:K,MATCH($P1134,'G_Fall-back'!$P:$P,0))="","",INDEX('G_Fall-back'!K:K,MATCH($P1134,'G_Fall-back'!$P:$P,0))))</f>
        <v/>
      </c>
      <c r="L1134" s="1005" t="str">
        <f>IF($M1111&lt;&gt;EUconst_Relevant,"",IF(INDEX('G_Fall-back'!L:L,MATCH($P1134,'G_Fall-back'!$P:$P,0))="","",INDEX('G_Fall-back'!L:L,MATCH($P1134,'G_Fall-back'!$P:$P,0))))</f>
        <v/>
      </c>
      <c r="M1134" s="1005" t="str">
        <f>IF($M1111&lt;&gt;EUconst_Relevant,"",IF(INDEX('G_Fall-back'!M:M,MATCH($P1134,'G_Fall-back'!$P:$P,0))="","",INDEX('G_Fall-back'!M:M,MATCH($P1134,'G_Fall-back'!$P:$P,0))))</f>
        <v/>
      </c>
      <c r="N1134" s="831"/>
      <c r="O1134" s="20"/>
      <c r="P1134" s="351" t="str">
        <f>EUconst_CNTR_WGConsumedEF &amp; I1111</f>
        <v>WasteGasConsEF_Podinstalacja objęta wskaźnikiem emisyjności opartym na cieple, „nie-CL”</v>
      </c>
      <c r="Q1134" s="422"/>
      <c r="R1134" s="422"/>
      <c r="S1134" s="422"/>
      <c r="T1134" s="422"/>
    </row>
    <row r="1135" spans="1:20" s="701" customFormat="1" ht="5.0999999999999996" customHeight="1" x14ac:dyDescent="0.2">
      <c r="A1135" s="422"/>
      <c r="B1135" s="398"/>
      <c r="C1135" s="398"/>
      <c r="D1135" s="398"/>
      <c r="E1135" s="516"/>
      <c r="F1135" s="831"/>
      <c r="G1135" s="831"/>
      <c r="H1135" s="831"/>
      <c r="I1135" s="1006"/>
      <c r="J1135" s="1006"/>
      <c r="K1135" s="1006"/>
      <c r="L1135" s="1006"/>
      <c r="M1135" s="1006"/>
      <c r="N1135" s="831"/>
      <c r="O1135" s="20"/>
      <c r="P1135" s="422"/>
      <c r="Q1135" s="422"/>
      <c r="R1135" s="422"/>
      <c r="S1135" s="422"/>
      <c r="T1135" s="422"/>
    </row>
    <row r="1136" spans="1:20" s="701" customFormat="1" x14ac:dyDescent="0.2">
      <c r="A1136" s="422"/>
      <c r="B1136" s="398"/>
      <c r="C1136" s="398"/>
      <c r="D1136" s="398"/>
      <c r="E1136" s="1739" t="str">
        <f>Translations!$B$687</f>
        <v>Emisje bezpośrednie</v>
      </c>
      <c r="F1136" s="1740"/>
      <c r="G1136" s="1740"/>
      <c r="H1136" s="453" t="str">
        <f>EUconst_tCO2pa</f>
        <v>t CO2 / rok</v>
      </c>
      <c r="I1136" s="1007" t="str">
        <f>IF($M1111&lt;&gt;EUconst_Relevant,"",IF(INDEX('G_Fall-back'!I:I,MATCH($P1136,'G_Fall-back'!$P:$P,0))="","",INDEX('G_Fall-back'!I:I,MATCH($P1136,'G_Fall-back'!$P:$P,0))))</f>
        <v/>
      </c>
      <c r="J1136" s="1007" t="str">
        <f>IF($M1111&lt;&gt;EUconst_Relevant,"",IF(INDEX('G_Fall-back'!J:J,MATCH($P1136,'G_Fall-back'!$P:$P,0))="","",INDEX('G_Fall-back'!J:J,MATCH($P1136,'G_Fall-back'!$P:$P,0))))</f>
        <v/>
      </c>
      <c r="K1136" s="1007" t="str">
        <f>IF($M1111&lt;&gt;EUconst_Relevant,"",IF(INDEX('G_Fall-back'!K:K,MATCH($P1136,'G_Fall-back'!$P:$P,0))="","",INDEX('G_Fall-back'!K:K,MATCH($P1136,'G_Fall-back'!$P:$P,0))))</f>
        <v/>
      </c>
      <c r="L1136" s="1007" t="str">
        <f>IF($M1111&lt;&gt;EUconst_Relevant,"",IF(INDEX('G_Fall-back'!L:L,MATCH($P1136,'G_Fall-back'!$P:$P,0))="","",INDEX('G_Fall-back'!L:L,MATCH($P1136,'G_Fall-back'!$P:$P,0))))</f>
        <v/>
      </c>
      <c r="M1136" s="1007" t="str">
        <f>IF($M1111&lt;&gt;EUconst_Relevant,"",IF(INDEX('G_Fall-back'!M:M,MATCH($P1136,'G_Fall-back'!$P:$P,0))="","",INDEX('G_Fall-back'!M:M,MATCH($P1136,'G_Fall-back'!$P:$P,0))))</f>
        <v/>
      </c>
      <c r="N1136" s="831"/>
      <c r="O1136" s="20"/>
      <c r="P1136" s="351" t="str">
        <f>EUconst_CNTR_Emissions &amp; I1111</f>
        <v>DirEmissions_Podinstalacja objęta wskaźnikiem emisyjności opartym na cieple, „nie-CL”</v>
      </c>
      <c r="Q1136" s="422"/>
      <c r="R1136" s="422"/>
      <c r="S1136" s="422"/>
      <c r="T1136" s="422"/>
    </row>
    <row r="1137" spans="1:20" s="701" customFormat="1" ht="5.0999999999999996" customHeight="1" x14ac:dyDescent="0.2">
      <c r="A1137" s="422"/>
      <c r="B1137" s="398"/>
      <c r="C1137" s="398"/>
      <c r="D1137" s="398"/>
      <c r="E1137" s="516"/>
      <c r="F1137" s="516"/>
      <c r="G1137" s="516"/>
      <c r="H1137" s="516"/>
      <c r="I1137" s="1006"/>
      <c r="J1137" s="1006"/>
      <c r="K1137" s="1006"/>
      <c r="L1137" s="1006"/>
      <c r="M1137" s="1006"/>
      <c r="N1137" s="831"/>
      <c r="O1137" s="20"/>
      <c r="P1137" s="422"/>
      <c r="Q1137" s="422"/>
      <c r="R1137" s="422"/>
      <c r="S1137" s="422"/>
      <c r="T1137" s="422"/>
    </row>
    <row r="1138" spans="1:20" s="701" customFormat="1" x14ac:dyDescent="0.2">
      <c r="A1138" s="422"/>
      <c r="B1138" s="398"/>
      <c r="C1138" s="398"/>
      <c r="D1138" s="398"/>
      <c r="E1138" s="1766" t="str">
        <f>Translations!$B$1241</f>
        <v>Ciepło wprowadzone netto (inne)</v>
      </c>
      <c r="F1138" s="1767"/>
      <c r="G1138" s="1767"/>
      <c r="H1138" s="454" t="str">
        <f>EUconst_TJpa</f>
        <v>TJ / rok</v>
      </c>
      <c r="I1138" s="1004">
        <f>IF($M1111&lt;&gt;EUconst_Relevant,"",IF(INDEX('G_Fall-back'!I:I,MATCH($P1138,'G_Fall-back'!$P:$P,0))="","",INDEX('G_Fall-back'!I:I,MATCH($P1138,'G_Fall-back'!$P:$P,0))))</f>
        <v>688.51799635030102</v>
      </c>
      <c r="J1138" s="1004">
        <f>IF($M1111&lt;&gt;EUconst_Relevant,"",IF(INDEX('G_Fall-back'!J:J,MATCH($P1138,'G_Fall-back'!$P:$P,0))="","",INDEX('G_Fall-back'!J:J,MATCH($P1138,'G_Fall-back'!$P:$P,0))))</f>
        <v>647.24553979430743</v>
      </c>
      <c r="K1138" s="1004">
        <f>IF($M1111&lt;&gt;EUconst_Relevant,"",IF(INDEX('G_Fall-back'!K:K,MATCH($P1138,'G_Fall-back'!$P:$P,0))="","",INDEX('G_Fall-back'!K:K,MATCH($P1138,'G_Fall-back'!$P:$P,0))))</f>
        <v>744.86796245655296</v>
      </c>
      <c r="L1138" s="1004">
        <f>IF($M1111&lt;&gt;EUconst_Relevant,"",IF(INDEX('G_Fall-back'!L:L,MATCH($P1138,'G_Fall-back'!$P:$P,0))="","",INDEX('G_Fall-back'!L:L,MATCH($P1138,'G_Fall-back'!$P:$P,0))))</f>
        <v>636.15108326654081</v>
      </c>
      <c r="M1138" s="1004">
        <f>IF($M1111&lt;&gt;EUconst_Relevant,"",IF(INDEX('G_Fall-back'!M:M,MATCH($P1138,'G_Fall-back'!$P:$P,0))="","",INDEX('G_Fall-back'!M:M,MATCH($P1138,'G_Fall-back'!$P:$P,0))))</f>
        <v>735.76769914288332</v>
      </c>
      <c r="N1138" s="831"/>
      <c r="O1138" s="20"/>
      <c r="P1138" s="351" t="str">
        <f>EUconst_CNTR_HeatImport &amp; I1111</f>
        <v>HeatIm_Podinstalacja objęta wskaźnikiem emisyjności opartym na cieple, „nie-CL”</v>
      </c>
      <c r="Q1138" s="422"/>
      <c r="R1138" s="422"/>
      <c r="S1138" s="422"/>
      <c r="T1138" s="422"/>
    </row>
    <row r="1139" spans="1:20" s="701" customFormat="1" ht="25.5" customHeight="1" x14ac:dyDescent="0.2">
      <c r="A1139" s="422"/>
      <c r="B1139" s="398"/>
      <c r="C1139" s="398"/>
      <c r="D1139" s="398"/>
      <c r="E1139" s="1743" t="str">
        <f>Translations!$B$765</f>
        <v>Właściwy współczynnik emisji (ciepło wprowadzone)</v>
      </c>
      <c r="F1139" s="1744"/>
      <c r="G1139" s="1744"/>
      <c r="H1139" s="473" t="str">
        <f>EUconst_tCO2pTJ</f>
        <v>t CO2 / TJ</v>
      </c>
      <c r="I1139" s="1005">
        <f>IF($M1111&lt;&gt;EUconst_Relevant,"",IF(INDEX('G_Fall-back'!I:I,MATCH($P1139,'G_Fall-back'!$P:$P,0))="","",INDEX('G_Fall-back'!I:I,MATCH($P1139,'G_Fall-back'!$P:$P,0))))</f>
        <v>63.92069610741153</v>
      </c>
      <c r="J1139" s="1005">
        <f>IF($M1111&lt;&gt;EUconst_Relevant,"",IF(INDEX('G_Fall-back'!J:J,MATCH($P1139,'G_Fall-back'!$P:$P,0))="","",INDEX('G_Fall-back'!J:J,MATCH($P1139,'G_Fall-back'!$P:$P,0))))</f>
        <v>62.832816784810731</v>
      </c>
      <c r="K1139" s="1005">
        <f>IF($M1111&lt;&gt;EUconst_Relevant,"",IF(INDEX('G_Fall-back'!K:K,MATCH($P1139,'G_Fall-back'!$P:$P,0))="","",INDEX('G_Fall-back'!K:K,MATCH($P1139,'G_Fall-back'!$P:$P,0))))</f>
        <v>61.220901364612999</v>
      </c>
      <c r="L1139" s="1005">
        <f>IF($M1111&lt;&gt;EUconst_Relevant,"",IF(INDEX('G_Fall-back'!L:L,MATCH($P1139,'G_Fall-back'!$P:$P,0))="","",INDEX('G_Fall-back'!L:L,MATCH($P1139,'G_Fall-back'!$P:$P,0))))</f>
        <v>61.403224397952918</v>
      </c>
      <c r="M1139" s="1005">
        <f>IF($M1111&lt;&gt;EUconst_Relevant,"",IF(INDEX('G_Fall-back'!M:M,MATCH($P1139,'G_Fall-back'!$P:$P,0))="","",INDEX('G_Fall-back'!M:M,MATCH($P1139,'G_Fall-back'!$P:$P,0))))</f>
        <v>61.409990495302431</v>
      </c>
      <c r="N1139" s="831"/>
      <c r="O1139" s="20"/>
      <c r="P1139" s="351" t="str">
        <f>EUconst_CNTR_HeatImportEF &amp; I1111</f>
        <v>HeatImEF_Podinstalacja objęta wskaźnikiem emisyjności opartym na cieple, „nie-CL”</v>
      </c>
      <c r="Q1139" s="422"/>
      <c r="R1139" s="422"/>
      <c r="S1139" s="422"/>
      <c r="T1139" s="422"/>
    </row>
    <row r="1140" spans="1:20" s="701" customFormat="1" ht="25.5" customHeight="1" x14ac:dyDescent="0.2">
      <c r="A1140" s="422"/>
      <c r="B1140" s="398"/>
      <c r="C1140" s="398"/>
      <c r="D1140" s="398"/>
      <c r="E1140" s="1766" t="str">
        <f>Translations!$B$1242</f>
        <v>Ciepło wprowadzone netto (wsk. emisyjności dla produktów)</v>
      </c>
      <c r="F1140" s="1767"/>
      <c r="G1140" s="1767"/>
      <c r="H1140" s="454" t="str">
        <f>EUconst_TJpa</f>
        <v>TJ / rok</v>
      </c>
      <c r="I1140" s="1004" t="str">
        <f>IF($M1111&lt;&gt;EUconst_Relevant,"",IF(INDEX('G_Fall-back'!I:I,MATCH($P1140,'G_Fall-back'!$P:$P,0))="","",INDEX('G_Fall-back'!I:I,MATCH($P1140,'G_Fall-back'!$P:$P,0))))</f>
        <v/>
      </c>
      <c r="J1140" s="1004" t="str">
        <f>IF($M1111&lt;&gt;EUconst_Relevant,"",IF(INDEX('G_Fall-back'!J:J,MATCH($P1140,'G_Fall-back'!$P:$P,0))="","",INDEX('G_Fall-back'!J:J,MATCH($P1140,'G_Fall-back'!$P:$P,0))))</f>
        <v/>
      </c>
      <c r="K1140" s="1004" t="str">
        <f>IF($M1111&lt;&gt;EUconst_Relevant,"",IF(INDEX('G_Fall-back'!K:K,MATCH($P1140,'G_Fall-back'!$P:$P,0))="","",INDEX('G_Fall-back'!K:K,MATCH($P1140,'G_Fall-back'!$P:$P,0))))</f>
        <v/>
      </c>
      <c r="L1140" s="1004" t="str">
        <f>IF($M1111&lt;&gt;EUconst_Relevant,"",IF(INDEX('G_Fall-back'!L:L,MATCH($P1140,'G_Fall-back'!$P:$P,0))="","",INDEX('G_Fall-back'!L:L,MATCH($P1140,'G_Fall-back'!$P:$P,0))))</f>
        <v/>
      </c>
      <c r="M1140" s="1004" t="str">
        <f>IF($M1111&lt;&gt;EUconst_Relevant,"",IF(INDEX('G_Fall-back'!M:M,MATCH($P1140,'G_Fall-back'!$P:$P,0))="","",INDEX('G_Fall-back'!M:M,MATCH($P1140,'G_Fall-back'!$P:$P,0))))</f>
        <v/>
      </c>
      <c r="N1140" s="831"/>
      <c r="O1140" s="20"/>
      <c r="P1140" s="351" t="str">
        <f>EUconst_CNTR_HeatImportProduct &amp; I1111</f>
        <v>HeatImProd_Podinstalacja objęta wskaźnikiem emisyjności opartym na cieple, „nie-CL”</v>
      </c>
      <c r="Q1140" s="422"/>
      <c r="R1140" s="422"/>
      <c r="S1140" s="422"/>
      <c r="T1140" s="422"/>
    </row>
    <row r="1141" spans="1:20" s="701" customFormat="1" ht="25.5" customHeight="1" x14ac:dyDescent="0.2">
      <c r="A1141" s="422"/>
      <c r="B1141" s="398"/>
      <c r="C1141" s="398"/>
      <c r="D1141" s="398"/>
      <c r="E1141" s="1743" t="str">
        <f>Translations!$B$868</f>
        <v>Właściwy współczynnik emisji (z podinstalacji objętych wskaźnikiem emisyjności dla produktów)</v>
      </c>
      <c r="F1141" s="1744"/>
      <c r="G1141" s="1744"/>
      <c r="H1141" s="473" t="str">
        <f>EUconst_tCO2pTJ</f>
        <v>t CO2 / TJ</v>
      </c>
      <c r="I1141" s="1005" t="str">
        <f>IF($M1111&lt;&gt;EUconst_Relevant,"",IF(INDEX('G_Fall-back'!I:I,MATCH($P1141,'G_Fall-back'!$P:$P,0))="","",INDEX('G_Fall-back'!I:I,MATCH($P1141,'G_Fall-back'!$P:$P,0))))</f>
        <v/>
      </c>
      <c r="J1141" s="1005" t="str">
        <f>IF($M1111&lt;&gt;EUconst_Relevant,"",IF(INDEX('G_Fall-back'!J:J,MATCH($P1141,'G_Fall-back'!$P:$P,0))="","",INDEX('G_Fall-back'!J:J,MATCH($P1141,'G_Fall-back'!$P:$P,0))))</f>
        <v/>
      </c>
      <c r="K1141" s="1005" t="str">
        <f>IF($M1111&lt;&gt;EUconst_Relevant,"",IF(INDEX('G_Fall-back'!K:K,MATCH($P1141,'G_Fall-back'!$P:$P,0))="","",INDEX('G_Fall-back'!K:K,MATCH($P1141,'G_Fall-back'!$P:$P,0))))</f>
        <v/>
      </c>
      <c r="L1141" s="1005" t="str">
        <f>IF($M1111&lt;&gt;EUconst_Relevant,"",IF(INDEX('G_Fall-back'!L:L,MATCH($P1141,'G_Fall-back'!$P:$P,0))="","",INDEX('G_Fall-back'!L:L,MATCH($P1141,'G_Fall-back'!$P:$P,0))))</f>
        <v/>
      </c>
      <c r="M1141" s="1005" t="str">
        <f>IF($M1111&lt;&gt;EUconst_Relevant,"",IF(INDEX('G_Fall-back'!M:M,MATCH($P1141,'G_Fall-back'!$P:$P,0))="","",INDEX('G_Fall-back'!M:M,MATCH($P1141,'G_Fall-back'!$P:$P,0))))</f>
        <v/>
      </c>
      <c r="N1141" s="831"/>
      <c r="O1141" s="20"/>
      <c r="P1141" s="351" t="str">
        <f>EUconst_CNTR_HeatImportProductEF &amp; I1111</f>
        <v>HeatImProdEF_Podinstalacja objęta wskaźnikiem emisyjności opartym na cieple, „nie-CL”</v>
      </c>
      <c r="Q1141" s="422"/>
      <c r="R1141" s="422"/>
      <c r="S1141" s="422"/>
      <c r="T1141" s="422"/>
    </row>
    <row r="1142" spans="1:20" s="701" customFormat="1" x14ac:dyDescent="0.2">
      <c r="A1142" s="422"/>
      <c r="B1142" s="398"/>
      <c r="C1142" s="398"/>
      <c r="D1142" s="398"/>
      <c r="E1142" s="1766" t="str">
        <f>Translations!$B$1243</f>
        <v>Ciepło wprowadzone netto (masa celulozowa)</v>
      </c>
      <c r="F1142" s="1767"/>
      <c r="G1142" s="1767"/>
      <c r="H1142" s="454" t="str">
        <f>EUconst_TJpa</f>
        <v>TJ / rok</v>
      </c>
      <c r="I1142" s="1004" t="str">
        <f>IF($M1111&lt;&gt;EUconst_Relevant,"",IF(INDEX('G_Fall-back'!I:I,MATCH($P1142,'G_Fall-back'!$P:$P,0))="","",INDEX('G_Fall-back'!I:I,MATCH($P1142,'G_Fall-back'!$P:$P,0))))</f>
        <v/>
      </c>
      <c r="J1142" s="1004" t="str">
        <f>IF($M1111&lt;&gt;EUconst_Relevant,"",IF(INDEX('G_Fall-back'!J:J,MATCH($P1142,'G_Fall-back'!$P:$P,0))="","",INDEX('G_Fall-back'!J:J,MATCH($P1142,'G_Fall-back'!$P:$P,0))))</f>
        <v/>
      </c>
      <c r="K1142" s="1004" t="str">
        <f>IF($M1111&lt;&gt;EUconst_Relevant,"",IF(INDEX('G_Fall-back'!K:K,MATCH($P1142,'G_Fall-back'!$P:$P,0))="","",INDEX('G_Fall-back'!K:K,MATCH($P1142,'G_Fall-back'!$P:$P,0))))</f>
        <v/>
      </c>
      <c r="L1142" s="1004" t="str">
        <f>IF($M1111&lt;&gt;EUconst_Relevant,"",IF(INDEX('G_Fall-back'!L:L,MATCH($P1142,'G_Fall-back'!$P:$P,0))="","",INDEX('G_Fall-back'!L:L,MATCH($P1142,'G_Fall-back'!$P:$P,0))))</f>
        <v/>
      </c>
      <c r="M1142" s="1004" t="str">
        <f>IF($M1111&lt;&gt;EUconst_Relevant,"",IF(INDEX('G_Fall-back'!M:M,MATCH($P1142,'G_Fall-back'!$P:$P,0))="","",INDEX('G_Fall-back'!M:M,MATCH($P1142,'G_Fall-back'!$P:$P,0))))</f>
        <v/>
      </c>
      <c r="N1142" s="831"/>
      <c r="O1142" s="20"/>
      <c r="P1142" s="351" t="str">
        <f>EUconst_CNTR_HeatImportPulp &amp; I1111</f>
        <v>HeatImPulp_Podinstalacja objęta wskaźnikiem emisyjności opartym na cieple, „nie-CL”</v>
      </c>
      <c r="Q1142" s="422"/>
      <c r="R1142" s="422"/>
      <c r="S1142" s="422"/>
      <c r="T1142" s="422"/>
    </row>
    <row r="1143" spans="1:20" s="701" customFormat="1" ht="25.5" customHeight="1" x14ac:dyDescent="0.2">
      <c r="A1143" s="422"/>
      <c r="B1143" s="398"/>
      <c r="C1143" s="398"/>
      <c r="D1143" s="398"/>
      <c r="E1143" s="1743" t="str">
        <f>Translations!$B$870</f>
        <v>Właściwy współczynnik emisji (z masy celulozowej)</v>
      </c>
      <c r="F1143" s="1744"/>
      <c r="G1143" s="1744"/>
      <c r="H1143" s="473" t="str">
        <f>EUconst_tCO2pTJ</f>
        <v>t CO2 / TJ</v>
      </c>
      <c r="I1143" s="1005" t="str">
        <f>IF($M1111&lt;&gt;EUconst_Relevant,"",IF(INDEX('G_Fall-back'!I:I,MATCH($P1143,'G_Fall-back'!$P:$P,0))="","",INDEX('G_Fall-back'!I:I,MATCH($P1143,'G_Fall-back'!$P:$P,0))))</f>
        <v/>
      </c>
      <c r="J1143" s="1005" t="str">
        <f>IF($M1111&lt;&gt;EUconst_Relevant,"",IF(INDEX('G_Fall-back'!J:J,MATCH($P1143,'G_Fall-back'!$P:$P,0))="","",INDEX('G_Fall-back'!J:J,MATCH($P1143,'G_Fall-back'!$P:$P,0))))</f>
        <v/>
      </c>
      <c r="K1143" s="1005" t="str">
        <f>IF($M1111&lt;&gt;EUconst_Relevant,"",IF(INDEX('G_Fall-back'!K:K,MATCH($P1143,'G_Fall-back'!$P:$P,0))="","",INDEX('G_Fall-back'!K:K,MATCH($P1143,'G_Fall-back'!$P:$P,0))))</f>
        <v/>
      </c>
      <c r="L1143" s="1005" t="str">
        <f>IF($M1111&lt;&gt;EUconst_Relevant,"",IF(INDEX('G_Fall-back'!L:L,MATCH($P1143,'G_Fall-back'!$P:$P,0))="","",INDEX('G_Fall-back'!L:L,MATCH($P1143,'G_Fall-back'!$P:$P,0))))</f>
        <v/>
      </c>
      <c r="M1143" s="1005" t="str">
        <f>IF($M1111&lt;&gt;EUconst_Relevant,"",IF(INDEX('G_Fall-back'!M:M,MATCH($P1143,'G_Fall-back'!$P:$P,0))="","",INDEX('G_Fall-back'!M:M,MATCH($P1143,'G_Fall-back'!$P:$P,0))))</f>
        <v/>
      </c>
      <c r="N1143" s="831"/>
      <c r="O1143" s="20"/>
      <c r="P1143" s="351" t="str">
        <f>EUconst_CNTR_HeatImportPulpEF &amp; I1111</f>
        <v>HeatImPulpEF_Podinstalacja objęta wskaźnikiem emisyjności opartym na cieple, „nie-CL”</v>
      </c>
      <c r="Q1143" s="422"/>
      <c r="R1143" s="422"/>
      <c r="S1143" s="422"/>
      <c r="T1143" s="422"/>
    </row>
    <row r="1144" spans="1:20" s="701" customFormat="1" ht="25.5" customHeight="1" x14ac:dyDescent="0.2">
      <c r="A1144" s="422"/>
      <c r="B1144" s="398"/>
      <c r="C1144" s="398"/>
      <c r="D1144" s="398"/>
      <c r="E1144" s="1766" t="str">
        <f>Translations!$B$1244</f>
        <v>Ciepło wprowadzone netto (wsk. emisyjności oparty na paliwie)</v>
      </c>
      <c r="F1144" s="1767"/>
      <c r="G1144" s="1767"/>
      <c r="H1144" s="454" t="str">
        <f>EUconst_TJpa</f>
        <v>TJ / rok</v>
      </c>
      <c r="I1144" s="1004" t="str">
        <f>IF($M1111&lt;&gt;EUconst_Relevant,"",IF(INDEX('G_Fall-back'!I:I,MATCH($P1144,'G_Fall-back'!$P:$P,0))="","",INDEX('G_Fall-back'!I:I,MATCH($P1144,'G_Fall-back'!$P:$P,0))))</f>
        <v/>
      </c>
      <c r="J1144" s="1004" t="str">
        <f>IF($M1111&lt;&gt;EUconst_Relevant,"",IF(INDEX('G_Fall-back'!J:J,MATCH($P1144,'G_Fall-back'!$P:$P,0))="","",INDEX('G_Fall-back'!J:J,MATCH($P1144,'G_Fall-back'!$P:$P,0))))</f>
        <v/>
      </c>
      <c r="K1144" s="1004" t="str">
        <f>IF($M1111&lt;&gt;EUconst_Relevant,"",IF(INDEX('G_Fall-back'!K:K,MATCH($P1144,'G_Fall-back'!$P:$P,0))="","",INDEX('G_Fall-back'!K:K,MATCH($P1144,'G_Fall-back'!$P:$P,0))))</f>
        <v/>
      </c>
      <c r="L1144" s="1004" t="str">
        <f>IF($M1111&lt;&gt;EUconst_Relevant,"",IF(INDEX('G_Fall-back'!L:L,MATCH($P1144,'G_Fall-back'!$P:$P,0))="","",INDEX('G_Fall-back'!L:L,MATCH($P1144,'G_Fall-back'!$P:$P,0))))</f>
        <v/>
      </c>
      <c r="M1144" s="1004" t="str">
        <f>IF($M1111&lt;&gt;EUconst_Relevant,"",IF(INDEX('G_Fall-back'!M:M,MATCH($P1144,'G_Fall-back'!$P:$P,0))="","",INDEX('G_Fall-back'!M:M,MATCH($P1144,'G_Fall-back'!$P:$P,0))))</f>
        <v/>
      </c>
      <c r="N1144" s="831"/>
      <c r="O1144" s="20"/>
      <c r="P1144" s="351" t="str">
        <f>EUconst_CNTR_HeatImportFuel &amp; I1111</f>
        <v>HeatImFuel_Podinstalacja objęta wskaźnikiem emisyjności opartym na cieple, „nie-CL”</v>
      </c>
      <c r="Q1144" s="422"/>
      <c r="R1144" s="422"/>
      <c r="S1144" s="422"/>
      <c r="T1144" s="422"/>
    </row>
    <row r="1145" spans="1:20" s="701" customFormat="1" ht="25.5" customHeight="1" x14ac:dyDescent="0.2">
      <c r="A1145" s="422"/>
      <c r="B1145" s="398"/>
      <c r="C1145" s="398"/>
      <c r="D1145" s="398"/>
      <c r="E1145" s="1743" t="str">
        <f>Translations!$B$872</f>
        <v>Właściwy współczynnik emisji (z podinstalacji objętych wskaźnikiem emisyjności opartym na paliwie)</v>
      </c>
      <c r="F1145" s="1743"/>
      <c r="G1145" s="1743"/>
      <c r="H1145" s="832" t="str">
        <f>EUconst_tCO2pTJ</f>
        <v>t CO2 / TJ</v>
      </c>
      <c r="I1145" s="1005" t="str">
        <f>IF($M1111&lt;&gt;EUconst_Relevant,"",IF(INDEX('G_Fall-back'!I:I,MATCH($P1145,'G_Fall-back'!$P:$P,0))="","",INDEX('G_Fall-back'!I:I,MATCH($P1145,'G_Fall-back'!$P:$P,0))))</f>
        <v/>
      </c>
      <c r="J1145" s="1005" t="str">
        <f>IF($M1111&lt;&gt;EUconst_Relevant,"",IF(INDEX('G_Fall-back'!J:J,MATCH($P1145,'G_Fall-back'!$P:$P,0))="","",INDEX('G_Fall-back'!J:J,MATCH($P1145,'G_Fall-back'!$P:$P,0))))</f>
        <v/>
      </c>
      <c r="K1145" s="1005" t="str">
        <f>IF($M1111&lt;&gt;EUconst_Relevant,"",IF(INDEX('G_Fall-back'!K:K,MATCH($P1145,'G_Fall-back'!$P:$P,0))="","",INDEX('G_Fall-back'!K:K,MATCH($P1145,'G_Fall-back'!$P:$P,0))))</f>
        <v/>
      </c>
      <c r="L1145" s="1005" t="str">
        <f>IF($M1111&lt;&gt;EUconst_Relevant,"",IF(INDEX('G_Fall-back'!L:L,MATCH($P1145,'G_Fall-back'!$P:$P,0))="","",INDEX('G_Fall-back'!L:L,MATCH($P1145,'G_Fall-back'!$P:$P,0))))</f>
        <v/>
      </c>
      <c r="M1145" s="1005" t="str">
        <f>IF($M1111&lt;&gt;EUconst_Relevant,"",IF(INDEX('G_Fall-back'!M:M,MATCH($P1145,'G_Fall-back'!$P:$P,0))="","",INDEX('G_Fall-back'!M:M,MATCH($P1145,'G_Fall-back'!$P:$P,0))))</f>
        <v/>
      </c>
      <c r="N1145" s="831"/>
      <c r="O1145" s="20"/>
      <c r="P1145" s="351" t="str">
        <f>EUconst_CNTR_HeatImportPulpEF &amp; I1111</f>
        <v>HeatImPulpEF_Podinstalacja objęta wskaźnikiem emisyjności opartym na cieple, „nie-CL”</v>
      </c>
      <c r="Q1145" s="422"/>
      <c r="R1145" s="422"/>
      <c r="S1145" s="422"/>
      <c r="T1145" s="422"/>
    </row>
    <row r="1146" spans="1:20" s="701" customFormat="1" ht="12.75" customHeight="1" x14ac:dyDescent="0.2">
      <c r="A1146" s="422"/>
      <c r="B1146" s="398"/>
      <c r="C1146" s="398"/>
      <c r="D1146" s="398"/>
      <c r="E1146" s="1766" t="str">
        <f>Translations!$B$1245</f>
        <v>Ciepło wprowadzone netto (gazy odlotowe)</v>
      </c>
      <c r="F1146" s="1767"/>
      <c r="G1146" s="1767"/>
      <c r="H1146" s="454" t="str">
        <f>EUconst_TJpa</f>
        <v>TJ / rok</v>
      </c>
      <c r="I1146" s="1004" t="str">
        <f>IF($M1111&lt;&gt;EUconst_Relevant,"",IF(INDEX('G_Fall-back'!I:I,MATCH($P1146,'G_Fall-back'!$P:$P,0))="","",INDEX('G_Fall-back'!I:I,MATCH($P1146,'G_Fall-back'!$P:$P,0))))</f>
        <v/>
      </c>
      <c r="J1146" s="1004" t="str">
        <f>IF($M1111&lt;&gt;EUconst_Relevant,"",IF(INDEX('G_Fall-back'!J:J,MATCH($P1146,'G_Fall-back'!$P:$P,0))="","",INDEX('G_Fall-back'!J:J,MATCH($P1146,'G_Fall-back'!$P:$P,0))))</f>
        <v/>
      </c>
      <c r="K1146" s="1004" t="str">
        <f>IF($M1111&lt;&gt;EUconst_Relevant,"",IF(INDEX('G_Fall-back'!K:K,MATCH($P1146,'G_Fall-back'!$P:$P,0))="","",INDEX('G_Fall-back'!K:K,MATCH($P1146,'G_Fall-back'!$P:$P,0))))</f>
        <v/>
      </c>
      <c r="L1146" s="1004" t="str">
        <f>IF($M1111&lt;&gt;EUconst_Relevant,"",IF(INDEX('G_Fall-back'!L:L,MATCH($P1146,'G_Fall-back'!$P:$P,0))="","",INDEX('G_Fall-back'!L:L,MATCH($P1146,'G_Fall-back'!$P:$P,0))))</f>
        <v/>
      </c>
      <c r="M1146" s="1004" t="str">
        <f>IF($M1111&lt;&gt;EUconst_Relevant,"",IF(INDEX('G_Fall-back'!M:M,MATCH($P1146,'G_Fall-back'!$P:$P,0))="","",INDEX('G_Fall-back'!M:M,MATCH($P1146,'G_Fall-back'!$P:$P,0))))</f>
        <v/>
      </c>
      <c r="N1146" s="831"/>
      <c r="O1146" s="20"/>
      <c r="P1146" s="351" t="str">
        <f>EUconst_CNTR_WGImport &amp; I1111</f>
        <v>WasteGasIm_Podinstalacja objęta wskaźnikiem emisyjności opartym na cieple, „nie-CL”</v>
      </c>
      <c r="Q1146" s="422"/>
      <c r="R1146" s="422"/>
      <c r="S1146" s="422"/>
      <c r="T1146" s="422"/>
    </row>
    <row r="1147" spans="1:20" s="701" customFormat="1" ht="25.5" customHeight="1" x14ac:dyDescent="0.2">
      <c r="A1147" s="422"/>
      <c r="B1147" s="398"/>
      <c r="C1147" s="398"/>
      <c r="D1147" s="398"/>
      <c r="E1147" s="1743" t="str">
        <f>Translations!$B$874</f>
        <v>Właściwy współczynnik emisji (z gazów odlotowych)</v>
      </c>
      <c r="F1147" s="1743"/>
      <c r="G1147" s="1743"/>
      <c r="H1147" s="832" t="str">
        <f>EUconst_tCO2pTJ</f>
        <v>t CO2 / TJ</v>
      </c>
      <c r="I1147" s="1005" t="str">
        <f>IF($M1111&lt;&gt;EUconst_Relevant,"",IF(INDEX('G_Fall-back'!I:I,MATCH($P1147,'G_Fall-back'!$P:$P,0))="","",INDEX('G_Fall-back'!I:I,MATCH($P1147,'G_Fall-back'!$P:$P,0))))</f>
        <v/>
      </c>
      <c r="J1147" s="1005" t="str">
        <f>IF($M1111&lt;&gt;EUconst_Relevant,"",IF(INDEX('G_Fall-back'!J:J,MATCH($P1147,'G_Fall-back'!$P:$P,0))="","",INDEX('G_Fall-back'!J:J,MATCH($P1147,'G_Fall-back'!$P:$P,0))))</f>
        <v/>
      </c>
      <c r="K1147" s="1005" t="str">
        <f>IF($M1111&lt;&gt;EUconst_Relevant,"",IF(INDEX('G_Fall-back'!K:K,MATCH($P1147,'G_Fall-back'!$P:$P,0))="","",INDEX('G_Fall-back'!K:K,MATCH($P1147,'G_Fall-back'!$P:$P,0))))</f>
        <v/>
      </c>
      <c r="L1147" s="1005" t="str">
        <f>IF($M1111&lt;&gt;EUconst_Relevant,"",IF(INDEX('G_Fall-back'!L:L,MATCH($P1147,'G_Fall-back'!$P:$P,0))="","",INDEX('G_Fall-back'!L:L,MATCH($P1147,'G_Fall-back'!$P:$P,0))))</f>
        <v/>
      </c>
      <c r="M1147" s="1005" t="str">
        <f>IF($M1111&lt;&gt;EUconst_Relevant,"",IF(INDEX('G_Fall-back'!M:M,MATCH($P1147,'G_Fall-back'!$P:$P,0))="","",INDEX('G_Fall-back'!M:M,MATCH($P1147,'G_Fall-back'!$P:$P,0))))</f>
        <v/>
      </c>
      <c r="N1147" s="831"/>
      <c r="O1147" s="20"/>
      <c r="P1147" s="351" t="str">
        <f>EUconst_CNTR_WGImportEF &amp; I1111</f>
        <v>WasteGasImEF_Podinstalacja objęta wskaźnikiem emisyjności opartym na cieple, „nie-CL”</v>
      </c>
      <c r="Q1147" s="422"/>
      <c r="R1147" s="422"/>
      <c r="S1147" s="422"/>
      <c r="T1147" s="422"/>
    </row>
    <row r="1148" spans="1:20" s="701" customFormat="1" ht="12.75" customHeight="1" x14ac:dyDescent="0.2">
      <c r="A1148" s="422"/>
      <c r="B1148" s="398"/>
      <c r="C1148" s="398"/>
      <c r="D1148" s="398"/>
      <c r="E1148" s="831"/>
      <c r="F1148" s="831"/>
      <c r="G1148" s="831"/>
      <c r="H1148" s="831"/>
      <c r="I1148" s="831"/>
      <c r="J1148" s="831"/>
      <c r="K1148" s="831"/>
      <c r="L1148" s="831"/>
      <c r="M1148" s="831"/>
      <c r="N1148" s="831"/>
      <c r="O1148" s="20"/>
      <c r="P1148" s="422"/>
      <c r="Q1148" s="422"/>
      <c r="R1148" s="422"/>
      <c r="S1148" s="422"/>
      <c r="T1148" s="422"/>
    </row>
    <row r="1149" spans="1:20" s="701" customFormat="1" ht="13.5" thickBot="1" x14ac:dyDescent="0.25">
      <c r="A1149" s="422"/>
      <c r="B1149" s="398"/>
      <c r="C1149" s="398"/>
      <c r="D1149" s="398"/>
      <c r="E1149" s="398"/>
      <c r="F1149" s="398"/>
      <c r="G1149" s="398"/>
      <c r="M1149" s="398"/>
      <c r="N1149" s="398"/>
      <c r="O1149" s="20"/>
      <c r="P1149" s="422"/>
      <c r="Q1149" s="422"/>
      <c r="R1149" s="422"/>
      <c r="S1149" s="422"/>
      <c r="T1149" s="422"/>
    </row>
    <row r="1150" spans="1:20" s="701" customFormat="1" ht="12.75" customHeight="1" thickBot="1" x14ac:dyDescent="0.25">
      <c r="A1150" s="422"/>
      <c r="B1150" s="3"/>
      <c r="C1150" s="281"/>
      <c r="D1150" s="281"/>
      <c r="E1150" s="281"/>
      <c r="F1150" s="281"/>
      <c r="G1150" s="281"/>
      <c r="H1150" s="281"/>
      <c r="I1150" s="281"/>
      <c r="J1150" s="281"/>
      <c r="K1150" s="281"/>
      <c r="L1150" s="281"/>
      <c r="M1150" s="281"/>
      <c r="N1150" s="281"/>
      <c r="O1150" s="20"/>
      <c r="P1150" s="422"/>
      <c r="Q1150" s="422"/>
      <c r="R1150" s="422"/>
      <c r="S1150" s="422"/>
      <c r="T1150" s="8" t="s">
        <v>583</v>
      </c>
    </row>
    <row r="1151" spans="1:20" s="701" customFormat="1" ht="15" customHeight="1" thickBot="1" x14ac:dyDescent="0.3">
      <c r="A1151" s="422"/>
      <c r="B1151" s="398"/>
      <c r="C1151" s="18">
        <f>C1111+1</f>
        <v>13</v>
      </c>
      <c r="D1151" s="1439" t="str">
        <f>CONCATENATE(EUconst_FBSubinst," ",C1151-10, ":")</f>
        <v>Podinstalacja, dla której wprowadzono rozwiązania rezerwowe (fall-back) 3:</v>
      </c>
      <c r="E1151" s="1370"/>
      <c r="F1151" s="1370"/>
      <c r="G1151" s="1370"/>
      <c r="H1151" s="1432"/>
      <c r="I1151" s="1958" t="str">
        <f>INDEX(EUconst_FallBackListNames,$C1151-10)</f>
        <v>Podinstalacja sieci ciepłowniczej</v>
      </c>
      <c r="J1151" s="1959"/>
      <c r="K1151" s="1959"/>
      <c r="L1151" s="1960"/>
      <c r="M1151" s="1860" t="str">
        <f>IF(ISBLANK(INDEX(CNTR_FallBackSubInstRelevant,C1151-10)),"",IF(INDEX(CNTR_FallBackSubInstRelevant,C1151-10),EUconst_Relevant,EUconst_NotRelevant))</f>
        <v>dotyczy</v>
      </c>
      <c r="N1151" s="1861"/>
      <c r="O1151" s="20"/>
      <c r="P1151" s="422"/>
      <c r="Q1151" s="986">
        <f>C1151</f>
        <v>13</v>
      </c>
      <c r="R1151" s="983" t="str">
        <f>I1151</f>
        <v>Podinstalacja sieci ciepłowniczej</v>
      </c>
      <c r="S1151" s="985" t="b">
        <f>H1154</f>
        <v>0</v>
      </c>
      <c r="T1151" s="984" t="str">
        <f>IF(M1163="","",IF(S1154=0,0,SUM(M1163)/S1154))</f>
        <v/>
      </c>
    </row>
    <row r="1152" spans="1:20" s="701" customFormat="1" ht="5.0999999999999996" customHeight="1" thickBot="1" x14ac:dyDescent="0.25">
      <c r="A1152" s="422"/>
      <c r="B1152" s="398"/>
      <c r="C1152" s="398"/>
      <c r="D1152" s="398"/>
      <c r="E1152" s="398"/>
      <c r="F1152" s="398"/>
      <c r="G1152" s="398"/>
      <c r="H1152" s="398"/>
      <c r="I1152" s="398"/>
      <c r="J1152" s="398"/>
      <c r="K1152" s="398"/>
      <c r="L1152" s="398"/>
      <c r="M1152" s="398"/>
      <c r="N1152" s="398"/>
      <c r="O1152" s="20"/>
      <c r="P1152" s="422"/>
      <c r="Q1152" s="422"/>
      <c r="R1152" s="422"/>
      <c r="S1152" s="422"/>
      <c r="T1152" s="8"/>
    </row>
    <row r="1153" spans="1:20" s="1299" customFormat="1" ht="51" x14ac:dyDescent="0.2">
      <c r="A1153" s="970"/>
      <c r="B1153" s="1300"/>
      <c r="C1153" s="1300"/>
      <c r="D1153" s="1300"/>
      <c r="E1153" s="1300"/>
      <c r="F1153" s="1300"/>
      <c r="G1153" s="1300"/>
      <c r="H1153" s="1304" t="str">
        <f>Translations!$B$1204</f>
        <v>narażenie na ryzyko ucieczki emisji</v>
      </c>
      <c r="I1153" s="1305" t="str">
        <f>Translations!$B$1208</f>
        <v>Rozpoczęcie</v>
      </c>
      <c r="J1153" s="1305" t="str">
        <f>Translations!$B$1212</f>
        <v>Art. 15 ust. 7 akapit trzeci?</v>
      </c>
      <c r="K1153" s="1305" t="str">
        <f>Translations!$B$1214</f>
        <v>Art. 15 ust. 7 akapit trzeci – HPD</v>
      </c>
      <c r="L1153" s="1306" t="str">
        <f>Translations!$B$1206</f>
        <v>Nr wskaźnika</v>
      </c>
      <c r="M1153" s="1307" t="str">
        <f>Translations!$B$1234</f>
        <v>Wart. wskaźnika (min./maks./faktyczna)</v>
      </c>
      <c r="N1153" s="1308"/>
      <c r="O1153" s="121"/>
      <c r="P1153" s="970"/>
      <c r="Q1153" s="970"/>
      <c r="R1153" s="970"/>
      <c r="S1153" s="970"/>
      <c r="T1153" s="972"/>
    </row>
    <row r="1154" spans="1:20" s="701" customFormat="1" x14ac:dyDescent="0.2">
      <c r="A1154" s="422"/>
      <c r="B1154" s="398"/>
      <c r="C1154" s="398"/>
      <c r="D1154" s="398"/>
      <c r="E1154" s="652" t="str">
        <f>I1151</f>
        <v>Podinstalacja sieci ciepłowniczej</v>
      </c>
      <c r="F1154" s="653"/>
      <c r="G1154" s="590"/>
      <c r="H1154" s="654" t="b">
        <f>INDEX(EUconst_FallBackListCLstatus,MATCH(I1151,EUconst_FallBackListNames,0))</f>
        <v>0</v>
      </c>
      <c r="I1154" s="857">
        <f>IF(M1151&lt;&gt;EUconst_Relevant,"",INDEX(CNTR_SubInstStartDate,MATCH(E1154,CNTR_SubInstListNames,0)))</f>
        <v>0</v>
      </c>
      <c r="J1154" s="655" t="b">
        <f>IF(M1151&lt;&gt;EUconst_Relevant,"",INDEX(CNTR_SubInstLess1Year,MATCH(E1154,CNTR_SubInstListNames,0)))</f>
        <v>0</v>
      </c>
      <c r="K1154" s="536" t="str">
        <f>IF($J1154=TRUE,SUMIF('G_Fall-back'!$P:$P,EUconst_CNTR_HAL&amp;$E1154,'G_Fall-back'!$N:$N),"")</f>
        <v/>
      </c>
      <c r="L1154" s="855">
        <f>C1151-10</f>
        <v>3</v>
      </c>
      <c r="M1154" s="1077">
        <f>IF(M1151&lt;&gt;EUconst_Relevant,"",INDEX(EUconst_FallBackListBMvaluesMatrix,L1154,2))</f>
        <v>47.347999999999999</v>
      </c>
      <c r="N1154" s="1074" t="str">
        <f>EUconst_EUA &amp; "/" &amp; H1159</f>
        <v>Uprawnienia do emisji ogólnych/TJ</v>
      </c>
      <c r="O1154" s="20"/>
      <c r="P1154" s="422"/>
      <c r="Q1154" s="422"/>
      <c r="R1154" s="736" t="s">
        <v>577</v>
      </c>
      <c r="S1154" s="822">
        <f>IF(H1154,1,INDEX(EUconst_CLEFYears,1))</f>
        <v>0.3</v>
      </c>
      <c r="T1154" s="422"/>
    </row>
    <row r="1155" spans="1:20" s="701" customFormat="1" x14ac:dyDescent="0.2">
      <c r="A1155" s="422"/>
      <c r="B1155" s="398"/>
      <c r="C1155" s="398"/>
      <c r="M1155" s="1077">
        <f>IF(M1151&lt;&gt;EUconst_Relevant,"",INDEX(EUconst_FallBackListBMvaluesMatrix,L1154,1))</f>
        <v>60.430999999999997</v>
      </c>
      <c r="N1155" s="1074" t="str">
        <f>EUconst_EUA &amp; "/" &amp; H1159</f>
        <v>Uprawnienia do emisji ogólnych/TJ</v>
      </c>
      <c r="O1155" s="20"/>
      <c r="P1155" s="422"/>
      <c r="Q1155" s="422"/>
      <c r="R1155" s="736"/>
      <c r="S1155" s="875"/>
      <c r="T1155" s="422"/>
    </row>
    <row r="1156" spans="1:20" s="701" customFormat="1" ht="13.5" thickBot="1" x14ac:dyDescent="0.25">
      <c r="A1156" s="422"/>
      <c r="B1156" s="398"/>
      <c r="C1156" s="398"/>
      <c r="M1156" s="1078" t="str">
        <f>IF(M1151&lt;&gt;EUconst_Relevant,"",IF(EUconst_StatusOfDataCollection,INDEX(EUconst_FallBackListBMvaluesMatrix,L1154,3),""))</f>
        <v/>
      </c>
      <c r="N1156" s="1076" t="str">
        <f>EUconst_EUA &amp; "/" &amp; H1159</f>
        <v>Uprawnienia do emisji ogólnych/TJ</v>
      </c>
      <c r="O1156" s="20"/>
      <c r="P1156" s="422"/>
      <c r="Q1156" s="422"/>
      <c r="R1156" s="736"/>
      <c r="S1156" s="875"/>
      <c r="T1156" s="422"/>
    </row>
    <row r="1157" spans="1:20" s="701" customFormat="1" ht="5.0999999999999996" customHeight="1" x14ac:dyDescent="0.2">
      <c r="A1157" s="422"/>
      <c r="B1157" s="398"/>
      <c r="C1157" s="398"/>
      <c r="D1157" s="398"/>
      <c r="E1157" s="398"/>
      <c r="F1157" s="398"/>
      <c r="G1157" s="398"/>
      <c r="H1157" s="398"/>
      <c r="I1157" s="398"/>
      <c r="J1157" s="398"/>
      <c r="K1157" s="398"/>
      <c r="L1157" s="398"/>
      <c r="M1157" s="398"/>
      <c r="N1157" s="398"/>
      <c r="O1157" s="20"/>
      <c r="P1157" s="422"/>
      <c r="Q1157" s="422"/>
      <c r="R1157" s="422"/>
      <c r="S1157" s="422"/>
      <c r="T1157" s="422"/>
    </row>
    <row r="1158" spans="1:20" s="701" customFormat="1" x14ac:dyDescent="0.2">
      <c r="A1158" s="422"/>
      <c r="B1158" s="398"/>
      <c r="C1158" s="398"/>
      <c r="D1158" s="398"/>
      <c r="E1158" s="656"/>
      <c r="F1158" s="656"/>
      <c r="G1158" s="657"/>
      <c r="H1158" s="650" t="str">
        <f>EUconst_Unit</f>
        <v>Jednostka</v>
      </c>
      <c r="I1158" s="432">
        <f>I$1397</f>
        <v>2014</v>
      </c>
      <c r="J1158" s="432">
        <f>J$1397</f>
        <v>2015</v>
      </c>
      <c r="K1158" s="432">
        <f>K$1397</f>
        <v>2016</v>
      </c>
      <c r="L1158" s="432">
        <f>L$1397</f>
        <v>2017</v>
      </c>
      <c r="M1158" s="432">
        <f>M$1397</f>
        <v>2018</v>
      </c>
      <c r="N1158" s="398"/>
      <c r="O1158" s="20"/>
      <c r="P1158" s="185" t="s">
        <v>237</v>
      </c>
      <c r="Q1158" s="422"/>
      <c r="R1158" s="422"/>
      <c r="S1158" s="422"/>
      <c r="T1158" s="422"/>
    </row>
    <row r="1159" spans="1:20" s="701" customFormat="1" x14ac:dyDescent="0.2">
      <c r="A1159" s="422"/>
      <c r="B1159" s="398"/>
      <c r="C1159" s="398"/>
      <c r="D1159" s="398"/>
      <c r="E1159" s="658" t="str">
        <f>Translations!$B$1236</f>
        <v>Zgłoszony HPD (historyczny poziom działalności)</v>
      </c>
      <c r="F1159" s="659"/>
      <c r="G1159" s="660"/>
      <c r="H1159" s="654" t="str">
        <f>INDEX(EUconst_FallBackListUnits,L1154)</f>
        <v>TJ</v>
      </c>
      <c r="I1159" s="536">
        <f>IF($M1151&lt;&gt;EUconst_Relevant,"",SUMIF('G_Fall-back'!$P:$P,$P1160,'G_Fall-back'!I:I))</f>
        <v>662.06804061044795</v>
      </c>
      <c r="J1159" s="536">
        <f>IF($M1151&lt;&gt;EUconst_Relevant,"",SUMIF('G_Fall-back'!$P:$P,$P1160,'G_Fall-back'!J:J))</f>
        <v>626.64672879565023</v>
      </c>
      <c r="K1159" s="536">
        <f>IF($M1151&lt;&gt;EUconst_Relevant,"",SUMIF('G_Fall-back'!$P:$P,$P1160,'G_Fall-back'!K:K))</f>
        <v>723.68499865240449</v>
      </c>
      <c r="L1159" s="536">
        <f>IF($M1151&lt;&gt;EUconst_Relevant,"",SUMIF('G_Fall-back'!$P:$P,$P1160,'G_Fall-back'!L:L))</f>
        <v>609.35093899960611</v>
      </c>
      <c r="M1159" s="536">
        <f>IF($M1151&lt;&gt;EUconst_Relevant,"",SUMIF('G_Fall-back'!$P:$P,$P1160,'G_Fall-back'!M:M))</f>
        <v>700.89915206116541</v>
      </c>
      <c r="N1159" s="651" t="str">
        <f>Translations!$B$1224</f>
        <v>Średnia</v>
      </c>
      <c r="O1159" s="20"/>
      <c r="P1159" s="185" t="str">
        <f>EUconst_CNTR_HAL&amp;I1151</f>
        <v>HAL_Podinstalacja sieci ciepłowniczej</v>
      </c>
      <c r="Q1159" s="422"/>
      <c r="R1159" s="422"/>
      <c r="S1159" s="422"/>
      <c r="T1159" s="8"/>
    </row>
    <row r="1160" spans="1:20" s="701" customFormat="1" x14ac:dyDescent="0.2">
      <c r="A1160" s="422"/>
      <c r="B1160" s="398"/>
      <c r="C1160" s="398"/>
      <c r="D1160" s="398"/>
      <c r="E1160" s="658" t="str">
        <f>Translations!$B$1237</f>
        <v>Wartości wykorzystywane do obliczania zgłoszonego HPD:</v>
      </c>
      <c r="F1160" s="659"/>
      <c r="G1160" s="660"/>
      <c r="H1160" s="654" t="str">
        <f>H1159</f>
        <v>TJ</v>
      </c>
      <c r="I1160" s="427">
        <f>IF($M1151&lt;&gt;EUconst_Relevant,"",INDEX('G_Fall-back'!S:S,MATCH($P1160,'G_Fall-back'!$P:$P,0)))</f>
        <v>662.06804061044795</v>
      </c>
      <c r="J1160" s="427">
        <f>IF($M1151&lt;&gt;EUconst_Relevant,"",INDEX('G_Fall-back'!T:T,MATCH($P1160,'G_Fall-back'!$P:$P,0)))</f>
        <v>626.64672879565023</v>
      </c>
      <c r="K1160" s="427">
        <f>IF($M1151&lt;&gt;EUconst_Relevant,"",INDEX('G_Fall-back'!U:U,MATCH($P1160,'G_Fall-back'!$P:$P,0)))</f>
        <v>723.68499865240449</v>
      </c>
      <c r="L1160" s="427">
        <f>IF($M1151&lt;&gt;EUconst_Relevant,"",INDEX('G_Fall-back'!V:V,MATCH($P1160,'G_Fall-back'!$P:$P,0)))</f>
        <v>609.35093899960611</v>
      </c>
      <c r="M1160" s="427">
        <f>IF($M1151&lt;&gt;EUconst_Relevant,"",INDEX('G_Fall-back'!W:W,MATCH($P1160,'G_Fall-back'!$P:$P,0)))</f>
        <v>700.89915206116541</v>
      </c>
      <c r="N1160" s="536">
        <f>IF(OR($M1151&lt;&gt;EUconst_Relevant,$J1154=TRUE),"",IF(COUNT($I1160:$M1160)&gt;0,AVERAGE($I1160:$M1160),""))</f>
        <v>664.52997182385479</v>
      </c>
      <c r="O1160" s="20"/>
      <c r="P1160" s="185" t="str">
        <f>EUconst_CNTR_HAL&amp;I1151</f>
        <v>HAL_Podinstalacja sieci ciepłowniczej</v>
      </c>
      <c r="Q1160" s="422"/>
      <c r="R1160" s="1013" t="s">
        <v>630</v>
      </c>
      <c r="S1160" s="1013" t="s">
        <v>631</v>
      </c>
      <c r="T1160" s="1013" t="s">
        <v>632</v>
      </c>
    </row>
    <row r="1161" spans="1:20" s="701" customFormat="1" ht="5.0999999999999996" customHeight="1" thickBot="1" x14ac:dyDescent="0.25">
      <c r="A1161" s="422"/>
      <c r="B1161" s="398"/>
      <c r="C1161" s="398"/>
      <c r="D1161" s="398"/>
      <c r="E1161" s="398"/>
      <c r="F1161" s="398"/>
      <c r="G1161" s="398"/>
      <c r="H1161" s="398"/>
      <c r="I1161" s="398"/>
      <c r="J1161" s="398"/>
      <c r="K1161" s="398"/>
      <c r="L1161" s="398"/>
      <c r="M1161" s="398"/>
      <c r="N1161" s="398"/>
      <c r="O1161" s="20"/>
      <c r="P1161" s="422"/>
      <c r="Q1161" s="422"/>
      <c r="R1161" s="422"/>
      <c r="S1161" s="422"/>
      <c r="T1161" s="8"/>
    </row>
    <row r="1162" spans="1:20" s="701" customFormat="1" ht="13.5" thickBot="1" x14ac:dyDescent="0.25">
      <c r="A1162" s="422"/>
      <c r="B1162" s="398"/>
      <c r="C1162" s="398"/>
      <c r="D1162" s="398"/>
      <c r="E1162" s="398"/>
      <c r="F1162" s="661" t="s">
        <v>520</v>
      </c>
      <c r="G1162" s="824"/>
      <c r="H1162" s="398"/>
      <c r="I1162" s="823" t="str">
        <f>Translations!$B$1226</f>
        <v>Wst. przydział rok 1 (min.)</v>
      </c>
      <c r="J1162" s="824"/>
      <c r="K1162" s="823" t="str">
        <f>Translations!$B$1229</f>
        <v>Wst. przydział rok 1 (maks.)</v>
      </c>
      <c r="L1162" s="824"/>
      <c r="M1162" s="823" t="str">
        <f>Translations!$B$1231</f>
        <v>Wst. przydział rok 1 (faktyczny)</v>
      </c>
      <c r="N1162" s="824"/>
      <c r="O1162" s="20"/>
      <c r="P1162" s="185" t="str">
        <f>EUconst_AllocPrelim&amp;I1151</f>
        <v>AllocPrelim_Podinstalacja sieci ciepłowniczej</v>
      </c>
      <c r="Q1162" s="422"/>
      <c r="R1162" s="982">
        <f>IF(I1163="","",IF(S1154=0,0,SUM(I1163)/S1154))</f>
        <v>31463.333333333336</v>
      </c>
      <c r="S1162" s="982">
        <f>IF(K1163="","",IF(S1154=0,0,SUM(K1163)/S1154))</f>
        <v>40156.666666666672</v>
      </c>
      <c r="T1162" s="982" t="str">
        <f>T1151</f>
        <v/>
      </c>
    </row>
    <row r="1163" spans="1:20" s="701" customFormat="1" ht="13.5" thickBot="1" x14ac:dyDescent="0.25">
      <c r="A1163" s="422"/>
      <c r="B1163" s="398"/>
      <c r="C1163" s="398"/>
      <c r="D1163" s="398"/>
      <c r="E1163" s="398"/>
      <c r="F1163" s="662">
        <f>IF(M1151&lt;&gt;EUconst_Relevant,"",MAX(0, IF(J1154=TRUE, SUM(K1154), SUM(N1160))))</f>
        <v>664.52997182385479</v>
      </c>
      <c r="G1163" s="966" t="str">
        <f>H1160&amp;" / "&amp;EUconst_Year</f>
        <v>TJ / rok</v>
      </c>
      <c r="H1163" s="398"/>
      <c r="I1163" s="820">
        <f>IF(M1151&lt;&gt;EUconst_Relevant,"",ROUND(SUM(M1154)*SUM(F1163)*SUM(S1154),0))</f>
        <v>9439</v>
      </c>
      <c r="J1163" s="966" t="str">
        <f>EUconst_EUApa</f>
        <v>Uprawnienia do emisji ogólnych / rok</v>
      </c>
      <c r="K1163" s="820">
        <f>IF(M1151&lt;&gt;EUconst_Relevant,"",ROUND(SUM(M1155)*SUM(F1163)*SUM(S1154),0))</f>
        <v>12047</v>
      </c>
      <c r="L1163" s="966" t="str">
        <f>EUconst_EUApa</f>
        <v>Uprawnienia do emisji ogólnych / rok</v>
      </c>
      <c r="M1163" s="820" t="str">
        <f>IF(OR(M1151&lt;&gt;EUconst_Relevant,M1156=""),"",ROUND(SUM(M1156)*SUM(F1163)*SUM(S1154),0))</f>
        <v/>
      </c>
      <c r="N1163" s="966" t="str">
        <f>EUconst_EUApa</f>
        <v>Uprawnienia do emisji ogólnych / rok</v>
      </c>
      <c r="O1163" s="20"/>
      <c r="P1163" s="185" t="str">
        <f>EUconst_HALsum &amp; I1151</f>
        <v>HALsum_Podinstalacja sieci ciepłowniczej</v>
      </c>
      <c r="Q1163" s="422"/>
      <c r="R1163" s="422"/>
      <c r="S1163" s="422"/>
      <c r="T1163" s="422"/>
    </row>
    <row r="1164" spans="1:20" s="701" customFormat="1" x14ac:dyDescent="0.2">
      <c r="A1164" s="422"/>
      <c r="B1164" s="398"/>
      <c r="C1164" s="398"/>
      <c r="D1164" s="398"/>
      <c r="E1164" s="398"/>
      <c r="F1164" s="398"/>
      <c r="G1164" s="398"/>
      <c r="H1164" s="398"/>
      <c r="I1164" s="398"/>
      <c r="J1164" s="398"/>
      <c r="K1164" s="398"/>
      <c r="L1164" s="398"/>
      <c r="M1164" s="398"/>
      <c r="N1164" s="398"/>
      <c r="O1164" s="20"/>
      <c r="P1164" s="422"/>
      <c r="Q1164" s="422"/>
      <c r="R1164" s="422"/>
      <c r="S1164" s="422"/>
      <c r="T1164" s="422"/>
    </row>
    <row r="1165" spans="1:20" s="701" customFormat="1" ht="12.75" customHeight="1" x14ac:dyDescent="0.2">
      <c r="A1165" s="422"/>
      <c r="B1165" s="398"/>
      <c r="C1165" s="398"/>
      <c r="D1165" s="398"/>
      <c r="E1165" s="516"/>
      <c r="F1165" s="831"/>
      <c r="G1165" s="831"/>
      <c r="H1165" s="831"/>
      <c r="I1165" s="831"/>
      <c r="J1165" s="831"/>
      <c r="K1165" s="831"/>
      <c r="L1165" s="831"/>
      <c r="M1165" s="831"/>
      <c r="N1165" s="831"/>
      <c r="O1165" s="20"/>
      <c r="P1165" s="422"/>
      <c r="Q1165" s="422"/>
      <c r="R1165" s="422"/>
      <c r="S1165" s="422"/>
      <c r="T1165" s="422"/>
    </row>
    <row r="1166" spans="1:20" s="701" customFormat="1" ht="13.5" thickBot="1" x14ac:dyDescent="0.25">
      <c r="A1166" s="422"/>
      <c r="B1166" s="398"/>
      <c r="C1166" s="398"/>
      <c r="D1166" s="398"/>
      <c r="E1166" s="516"/>
      <c r="F1166" s="831"/>
      <c r="G1166" s="831"/>
      <c r="H1166" s="515" t="str">
        <f>EUconst_Unit</f>
        <v>Jednostka</v>
      </c>
      <c r="I1166" s="1010">
        <f>I$1397</f>
        <v>2014</v>
      </c>
      <c r="J1166" s="833">
        <f>J$1397</f>
        <v>2015</v>
      </c>
      <c r="K1166" s="833">
        <f>K$1397</f>
        <v>2016</v>
      </c>
      <c r="L1166" s="833">
        <f>L$1397</f>
        <v>2017</v>
      </c>
      <c r="M1166" s="833">
        <f>M$1397</f>
        <v>2018</v>
      </c>
      <c r="N1166" s="831"/>
      <c r="O1166" s="20"/>
      <c r="P1166" s="422"/>
      <c r="Q1166" s="422"/>
      <c r="R1166" s="422"/>
      <c r="S1166" s="422"/>
      <c r="T1166" s="422"/>
    </row>
    <row r="1167" spans="1:20" s="701" customFormat="1" ht="13.5" thickBot="1" x14ac:dyDescent="0.25">
      <c r="A1167" s="422"/>
      <c r="B1167" s="398"/>
      <c r="C1167" s="398"/>
      <c r="D1167" s="398"/>
      <c r="E1167" s="1876" t="str">
        <f>Translations!$B$532</f>
        <v>Wytworzone mierzalne ciepło</v>
      </c>
      <c r="F1167" s="1876"/>
      <c r="G1167" s="1876"/>
      <c r="H1167" s="968" t="str">
        <f>EUconst_TJpa</f>
        <v>TJ / rok</v>
      </c>
      <c r="I1167" s="1000">
        <f>IF($M1151&lt;&gt;EUconst_Relevant,"",IF(INDEX('G_Fall-back'!I:I,MATCH($P1167,'G_Fall-back'!$P:$P,0))="","",INDEX('G_Fall-back'!I:I,MATCH($P1167,'G_Fall-back'!$P:$P,0))))</f>
        <v>663.64899213055912</v>
      </c>
      <c r="J1167" s="1001">
        <f>IF($M1151&lt;&gt;EUconst_Relevant,"",IF(INDEX('G_Fall-back'!J:J,MATCH($P1167,'G_Fall-back'!$P:$P,0))="","",INDEX('G_Fall-back'!J:J,MATCH($P1167,'G_Fall-back'!$P:$P,0))))</f>
        <v>628.21289030383014</v>
      </c>
      <c r="K1167" s="1001">
        <f>IF($M1151&lt;&gt;EUconst_Relevant,"",IF(INDEX('G_Fall-back'!K:K,MATCH($P1167,'G_Fall-back'!$P:$P,0))="","",INDEX('G_Fall-back'!K:K,MATCH($P1167,'G_Fall-back'!$P:$P,0))))</f>
        <v>725.29721616301322</v>
      </c>
      <c r="L1167" s="1001">
        <f>IF($M1151&lt;&gt;EUconst_Relevant,"",IF(INDEX('G_Fall-back'!L:L,MATCH($P1167,'G_Fall-back'!$P:$P,0))="","",INDEX('G_Fall-back'!L:L,MATCH($P1167,'G_Fall-back'!$P:$P,0))))</f>
        <v>610.90317106465557</v>
      </c>
      <c r="M1167" s="1002">
        <f>IF($M1151&lt;&gt;EUconst_Relevant,"",IF(INDEX('G_Fall-back'!M:M,MATCH($P1167,'G_Fall-back'!$P:$P,0))="","",INDEX('G_Fall-back'!M:M,MATCH($P1167,'G_Fall-back'!$P:$P,0))))</f>
        <v>702.49352596233302</v>
      </c>
      <c r="N1167" s="831"/>
      <c r="O1167" s="20"/>
      <c r="P1167" s="351" t="str">
        <f>EUconst_CNTR_HeatProduced &amp; I1151</f>
        <v>HeatProd_Podinstalacja sieci ciepłowniczej</v>
      </c>
      <c r="Q1167" s="422"/>
      <c r="R1167" s="422"/>
      <c r="S1167" s="422"/>
      <c r="T1167" s="422"/>
    </row>
    <row r="1168" spans="1:20" s="701" customFormat="1" ht="5.0999999999999996" customHeight="1" thickBot="1" x14ac:dyDescent="0.25">
      <c r="A1168" s="422"/>
      <c r="B1168" s="398"/>
      <c r="C1168" s="398"/>
      <c r="D1168" s="398"/>
      <c r="E1168" s="516"/>
      <c r="F1168" s="516"/>
      <c r="G1168" s="516"/>
      <c r="H1168" s="516"/>
      <c r="I1168" s="1006"/>
      <c r="J1168" s="1006"/>
      <c r="K1168" s="1006"/>
      <c r="L1168" s="1006"/>
      <c r="M1168" s="1006"/>
      <c r="N1168" s="831"/>
      <c r="O1168" s="20"/>
      <c r="P1168" s="422"/>
      <c r="Q1168" s="422"/>
      <c r="R1168" s="422"/>
      <c r="S1168" s="422"/>
      <c r="T1168" s="422"/>
    </row>
    <row r="1169" spans="1:20" s="701" customFormat="1" ht="13.5" thickBot="1" x14ac:dyDescent="0.25">
      <c r="A1169" s="422"/>
      <c r="B1169" s="398"/>
      <c r="C1169" s="398"/>
      <c r="D1169" s="398"/>
      <c r="E1169" s="1876" t="str">
        <f>Translations!$B$1238</f>
        <v>Całkowite przypisane emisje</v>
      </c>
      <c r="F1169" s="1876"/>
      <c r="G1169" s="1876"/>
      <c r="H1169" s="968" t="str">
        <f>EUconst_tCO2epa</f>
        <v>t CO2e/rok</v>
      </c>
      <c r="I1169" s="1000">
        <f>INDEX(I$93:I$109,MATCH($I1151,$E$93:$E$109,0))</f>
        <v>42319.850026289838</v>
      </c>
      <c r="J1169" s="1001">
        <f>INDEX(J$93:J$109,MATCH($I1151,$E$93:$E$109,0))</f>
        <v>39373.979099218071</v>
      </c>
      <c r="K1169" s="1001">
        <f>INDEX(K$93:K$109,MATCH($I1151,$E$93:$E$109,0))</f>
        <v>44304.647921548945</v>
      </c>
      <c r="L1169" s="1001">
        <f>INDEX(L$93:L$109,MATCH($I1151,$E$93:$E$109,0))</f>
        <v>37416.112444496132</v>
      </c>
      <c r="M1169" s="1002">
        <f>INDEX(M$93:M$109,MATCH($I1151,$E$93:$E$109,0))</f>
        <v>43042.210266241702</v>
      </c>
      <c r="N1169" s="831"/>
      <c r="O1169" s="20"/>
      <c r="P1169" s="422"/>
      <c r="Q1169" s="422"/>
      <c r="R1169" s="422"/>
      <c r="S1169" s="422"/>
      <c r="T1169" s="8"/>
    </row>
    <row r="1170" spans="1:20" s="701" customFormat="1" ht="5.0999999999999996" customHeight="1" x14ac:dyDescent="0.2">
      <c r="A1170" s="422"/>
      <c r="B1170" s="398"/>
      <c r="C1170" s="398"/>
      <c r="D1170" s="398"/>
      <c r="E1170" s="516"/>
      <c r="F1170" s="516"/>
      <c r="G1170" s="516"/>
      <c r="H1170" s="516"/>
      <c r="I1170" s="1003"/>
      <c r="J1170" s="1003"/>
      <c r="K1170" s="1003"/>
      <c r="L1170" s="1003"/>
      <c r="M1170" s="1003"/>
      <c r="N1170" s="516"/>
      <c r="O1170" s="20"/>
      <c r="P1170" s="422"/>
      <c r="Q1170" s="422"/>
      <c r="R1170" s="422"/>
      <c r="S1170" s="422"/>
      <c r="T1170" s="8"/>
    </row>
    <row r="1171" spans="1:20" s="701" customFormat="1" x14ac:dyDescent="0.2">
      <c r="A1171" s="422"/>
      <c r="B1171" s="398"/>
      <c r="C1171" s="398"/>
      <c r="D1171" s="398"/>
      <c r="E1171" s="1766" t="str">
        <f>Translations!$B$731</f>
        <v>Wsad paliwa</v>
      </c>
      <c r="F1171" s="1767"/>
      <c r="G1171" s="1767"/>
      <c r="H1171" s="454" t="str">
        <f>EUconst_TJpa</f>
        <v>TJ / rok</v>
      </c>
      <c r="I1171" s="1004">
        <f>IF($M1151&lt;&gt;EUconst_Relevant,"",IF(INDEX('G_Fall-back'!I:I,MATCH($P1171,'G_Fall-back'!$P:$P,0))="","",INDEX('G_Fall-back'!I:I,MATCH($P1171,'G_Fall-back'!$P:$P,0))))</f>
        <v>920.33460322968017</v>
      </c>
      <c r="J1171" s="1004">
        <f>IF($M1151&lt;&gt;EUconst_Relevant,"",IF(INDEX('G_Fall-back'!J:J,MATCH($P1171,'G_Fall-back'!$P:$P,0))="","",INDEX('G_Fall-back'!J:J,MATCH($P1171,'G_Fall-back'!$P:$P,0))))</f>
        <v>864.79539559919135</v>
      </c>
      <c r="K1171" s="1004">
        <f>IF($M1151&lt;&gt;EUconst_Relevant,"",IF(INDEX('G_Fall-back'!K:K,MATCH($P1171,'G_Fall-back'!$P:$P,0))="","",INDEX('G_Fall-back'!K:K,MATCH($P1171,'G_Fall-back'!$P:$P,0))))</f>
        <v>958.26434329735036</v>
      </c>
      <c r="L1171" s="1004">
        <f>IF($M1151&lt;&gt;EUconst_Relevant,"",IF(INDEX('G_Fall-back'!L:L,MATCH($P1171,'G_Fall-back'!$P:$P,0))="","",INDEX('G_Fall-back'!L:L,MATCH($P1171,'G_Fall-back'!$P:$P,0))))</f>
        <v>827.16010256632342</v>
      </c>
      <c r="M1171" s="1004">
        <f>IF($M1151&lt;&gt;EUconst_Relevant,"",IF(INDEX('G_Fall-back'!M:M,MATCH($P1171,'G_Fall-back'!$P:$P,0))="","",INDEX('G_Fall-back'!M:M,MATCH($P1171,'G_Fall-back'!$P:$P,0))))</f>
        <v>928.88015707038483</v>
      </c>
      <c r="N1171" s="831"/>
      <c r="O1171" s="20"/>
      <c r="P1171" s="830" t="str">
        <f>EUconst_CNTR_FuelInput &amp; I1151</f>
        <v>FuelInput_Podinstalacja sieci ciepłowniczej</v>
      </c>
      <c r="Q1171" s="422"/>
      <c r="R1171" s="422"/>
      <c r="S1171" s="422"/>
      <c r="T1171" s="422"/>
    </row>
    <row r="1172" spans="1:20" s="701" customFormat="1" x14ac:dyDescent="0.2">
      <c r="A1172" s="422"/>
      <c r="B1172" s="398"/>
      <c r="C1172" s="398"/>
      <c r="D1172" s="398"/>
      <c r="E1172" s="1743" t="str">
        <f>Translations!$B$732</f>
        <v>Ważony współczynnik emisji</v>
      </c>
      <c r="F1172" s="1744"/>
      <c r="G1172" s="1744"/>
      <c r="H1172" s="473" t="str">
        <f>EUconst_tCO2pTJ</f>
        <v>t CO2 / TJ</v>
      </c>
      <c r="I1172" s="1005">
        <f>IF($M1151&lt;&gt;EUconst_Relevant,"",IF(INDEX('G_Fall-back'!I:I,MATCH($P1172,'G_Fall-back'!$P:$P,0))="","",INDEX('G_Fall-back'!I:I,MATCH($P1172,'G_Fall-back'!$P:$P,0))))</f>
        <v>52.94156199999999</v>
      </c>
      <c r="J1172" s="1005">
        <f>IF($M1151&lt;&gt;EUconst_Relevant,"",IF(INDEX('G_Fall-back'!J:J,MATCH($P1172,'G_Fall-back'!$P:$P,0))="","",INDEX('G_Fall-back'!J:J,MATCH($P1172,'G_Fall-back'!$P:$P,0))))</f>
        <v>52.824505280000011</v>
      </c>
      <c r="K1172" s="1005">
        <f>IF($M1151&lt;&gt;EUconst_Relevant,"",IF(INDEX('G_Fall-back'!K:K,MATCH($P1172,'G_Fall-back'!$P:$P,0))="","",INDEX('G_Fall-back'!K:K,MATCH($P1172,'G_Fall-back'!$P:$P,0))))</f>
        <v>52.659561719999992</v>
      </c>
      <c r="L1172" s="1005">
        <f>IF($M1151&lt;&gt;EUconst_Relevant,"",IF(INDEX('G_Fall-back'!L:L,MATCH($P1172,'G_Fall-back'!$P:$P,0))="","",INDEX('G_Fall-back'!L:L,MATCH($P1172,'G_Fall-back'!$P:$P,0))))</f>
        <v>52.659561719999999</v>
      </c>
      <c r="M1172" s="1005">
        <f>IF($M1151&lt;&gt;EUconst_Relevant,"",IF(INDEX('G_Fall-back'!M:M,MATCH($P1172,'G_Fall-back'!$P:$P,0))="","",INDEX('G_Fall-back'!M:M,MATCH($P1172,'G_Fall-back'!$P:$P,0))))</f>
        <v>52.941562000000005</v>
      </c>
      <c r="N1172" s="831"/>
      <c r="O1172" s="20"/>
      <c r="P1172" s="351" t="str">
        <f>EUconst_CNTR_FuelEF &amp; I1151</f>
        <v>FuelEF_Podinstalacja sieci ciepłowniczej</v>
      </c>
      <c r="Q1172" s="422"/>
      <c r="R1172" s="422"/>
      <c r="S1172" s="422"/>
      <c r="T1172" s="422"/>
    </row>
    <row r="1173" spans="1:20" s="701" customFormat="1" x14ac:dyDescent="0.2">
      <c r="A1173" s="422"/>
      <c r="B1173" s="398"/>
      <c r="C1173" s="398"/>
      <c r="D1173" s="398"/>
      <c r="E1173" s="1766" t="str">
        <f>Translations!$B$853</f>
        <v>Wsad paliwa z gazów odlotowych</v>
      </c>
      <c r="F1173" s="1767"/>
      <c r="G1173" s="1767"/>
      <c r="H1173" s="454" t="str">
        <f>EUconst_TJpa</f>
        <v>TJ / rok</v>
      </c>
      <c r="I1173" s="1004" t="str">
        <f>IF($M1151&lt;&gt;EUconst_Relevant,"",IF(INDEX('G_Fall-back'!I:I,MATCH($P1173,'G_Fall-back'!$P:$P,0))="","",INDEX('G_Fall-back'!I:I,MATCH($P1173,'G_Fall-back'!$P:$P,0))))</f>
        <v/>
      </c>
      <c r="J1173" s="1004" t="str">
        <f>IF($M1151&lt;&gt;EUconst_Relevant,"",IF(INDEX('G_Fall-back'!J:J,MATCH($P1173,'G_Fall-back'!$P:$P,0))="","",INDEX('G_Fall-back'!J:J,MATCH($P1173,'G_Fall-back'!$P:$P,0))))</f>
        <v/>
      </c>
      <c r="K1173" s="1004" t="str">
        <f>IF($M1151&lt;&gt;EUconst_Relevant,"",IF(INDEX('G_Fall-back'!K:K,MATCH($P1173,'G_Fall-back'!$P:$P,0))="","",INDEX('G_Fall-back'!K:K,MATCH($P1173,'G_Fall-back'!$P:$P,0))))</f>
        <v/>
      </c>
      <c r="L1173" s="1004" t="str">
        <f>IF($M1151&lt;&gt;EUconst_Relevant,"",IF(INDEX('G_Fall-back'!L:L,MATCH($P1173,'G_Fall-back'!$P:$P,0))="","",INDEX('G_Fall-back'!L:L,MATCH($P1173,'G_Fall-back'!$P:$P,0))))</f>
        <v/>
      </c>
      <c r="M1173" s="1004" t="str">
        <f>IF($M1151&lt;&gt;EUconst_Relevant,"",IF(INDEX('G_Fall-back'!M:M,MATCH($P1173,'G_Fall-back'!$P:$P,0))="","",INDEX('G_Fall-back'!M:M,MATCH($P1173,'G_Fall-back'!$P:$P,0))))</f>
        <v/>
      </c>
      <c r="N1173" s="831"/>
      <c r="O1173" s="20"/>
      <c r="P1173" s="438" t="str">
        <f>EUconst_CNTR_WGConsumed &amp; I1151</f>
        <v>WasteGasCons_Podinstalacja sieci ciepłowniczej</v>
      </c>
      <c r="Q1173" s="422"/>
      <c r="R1173" s="422"/>
      <c r="S1173" s="422"/>
      <c r="T1173" s="422"/>
    </row>
    <row r="1174" spans="1:20" s="701" customFormat="1" ht="12.75" customHeight="1" x14ac:dyDescent="0.2">
      <c r="A1174" s="422"/>
      <c r="B1174" s="398"/>
      <c r="C1174" s="398"/>
      <c r="D1174" s="398"/>
      <c r="E1174" s="1743" t="str">
        <f>Translations!$B$732</f>
        <v>Ważony współczynnik emisji</v>
      </c>
      <c r="F1174" s="1744"/>
      <c r="G1174" s="1744"/>
      <c r="H1174" s="473" t="str">
        <f>EUconst_tCO2pTJ</f>
        <v>t CO2 / TJ</v>
      </c>
      <c r="I1174" s="1005" t="str">
        <f>IF($M1151&lt;&gt;EUconst_Relevant,"",IF(INDEX('G_Fall-back'!I:I,MATCH($P1174,'G_Fall-back'!$P:$P,0))="","",INDEX('G_Fall-back'!I:I,MATCH($P1174,'G_Fall-back'!$P:$P,0))))</f>
        <v/>
      </c>
      <c r="J1174" s="1005" t="str">
        <f>IF($M1151&lt;&gt;EUconst_Relevant,"",IF(INDEX('G_Fall-back'!J:J,MATCH($P1174,'G_Fall-back'!$P:$P,0))="","",INDEX('G_Fall-back'!J:J,MATCH($P1174,'G_Fall-back'!$P:$P,0))))</f>
        <v/>
      </c>
      <c r="K1174" s="1005" t="str">
        <f>IF($M1151&lt;&gt;EUconst_Relevant,"",IF(INDEX('G_Fall-back'!K:K,MATCH($P1174,'G_Fall-back'!$P:$P,0))="","",INDEX('G_Fall-back'!K:K,MATCH($P1174,'G_Fall-back'!$P:$P,0))))</f>
        <v/>
      </c>
      <c r="L1174" s="1005" t="str">
        <f>IF($M1151&lt;&gt;EUconst_Relevant,"",IF(INDEX('G_Fall-back'!L:L,MATCH($P1174,'G_Fall-back'!$P:$P,0))="","",INDEX('G_Fall-back'!L:L,MATCH($P1174,'G_Fall-back'!$P:$P,0))))</f>
        <v/>
      </c>
      <c r="M1174" s="1005" t="str">
        <f>IF($M1151&lt;&gt;EUconst_Relevant,"",IF(INDEX('G_Fall-back'!M:M,MATCH($P1174,'G_Fall-back'!$P:$P,0))="","",INDEX('G_Fall-back'!M:M,MATCH($P1174,'G_Fall-back'!$P:$P,0))))</f>
        <v/>
      </c>
      <c r="N1174" s="831"/>
      <c r="O1174" s="20"/>
      <c r="P1174" s="351" t="str">
        <f>EUconst_CNTR_WGConsumedEF &amp; I1151</f>
        <v>WasteGasConsEF_Podinstalacja sieci ciepłowniczej</v>
      </c>
      <c r="Q1174" s="422"/>
      <c r="R1174" s="422"/>
      <c r="S1174" s="422"/>
      <c r="T1174" s="422"/>
    </row>
    <row r="1175" spans="1:20" s="701" customFormat="1" ht="5.0999999999999996" customHeight="1" x14ac:dyDescent="0.2">
      <c r="A1175" s="422"/>
      <c r="B1175" s="398"/>
      <c r="C1175" s="398"/>
      <c r="D1175" s="398"/>
      <c r="E1175" s="516"/>
      <c r="F1175" s="831"/>
      <c r="G1175" s="831"/>
      <c r="H1175" s="831"/>
      <c r="I1175" s="1006"/>
      <c r="J1175" s="1006"/>
      <c r="K1175" s="1006"/>
      <c r="L1175" s="1006"/>
      <c r="M1175" s="1006"/>
      <c r="N1175" s="831"/>
      <c r="O1175" s="20"/>
      <c r="P1175" s="422"/>
      <c r="Q1175" s="422"/>
      <c r="R1175" s="422"/>
      <c r="S1175" s="422"/>
      <c r="T1175" s="422"/>
    </row>
    <row r="1176" spans="1:20" s="701" customFormat="1" x14ac:dyDescent="0.2">
      <c r="A1176" s="422"/>
      <c r="B1176" s="398"/>
      <c r="C1176" s="398"/>
      <c r="D1176" s="398"/>
      <c r="E1176" s="1739" t="str">
        <f>Translations!$B$687</f>
        <v>Emisje bezpośrednie</v>
      </c>
      <c r="F1176" s="1740"/>
      <c r="G1176" s="1740"/>
      <c r="H1176" s="453" t="str">
        <f>EUconst_tCO2pa</f>
        <v>t CO2 / rok</v>
      </c>
      <c r="I1176" s="1007" t="str">
        <f>IF($M1151&lt;&gt;EUconst_Relevant,"",IF(INDEX('G_Fall-back'!I:I,MATCH($P1176,'G_Fall-back'!$P:$P,0))="","",INDEX('G_Fall-back'!I:I,MATCH($P1176,'G_Fall-back'!$P:$P,0))))</f>
        <v/>
      </c>
      <c r="J1176" s="1007" t="str">
        <f>IF($M1151&lt;&gt;EUconst_Relevant,"",IF(INDEX('G_Fall-back'!J:J,MATCH($P1176,'G_Fall-back'!$P:$P,0))="","",INDEX('G_Fall-back'!J:J,MATCH($P1176,'G_Fall-back'!$P:$P,0))))</f>
        <v/>
      </c>
      <c r="K1176" s="1007" t="str">
        <f>IF($M1151&lt;&gt;EUconst_Relevant,"",IF(INDEX('G_Fall-back'!K:K,MATCH($P1176,'G_Fall-back'!$P:$P,0))="","",INDEX('G_Fall-back'!K:K,MATCH($P1176,'G_Fall-back'!$P:$P,0))))</f>
        <v/>
      </c>
      <c r="L1176" s="1007" t="str">
        <f>IF($M1151&lt;&gt;EUconst_Relevant,"",IF(INDEX('G_Fall-back'!L:L,MATCH($P1176,'G_Fall-back'!$P:$P,0))="","",INDEX('G_Fall-back'!L:L,MATCH($P1176,'G_Fall-back'!$P:$P,0))))</f>
        <v/>
      </c>
      <c r="M1176" s="1007" t="str">
        <f>IF($M1151&lt;&gt;EUconst_Relevant,"",IF(INDEX('G_Fall-back'!M:M,MATCH($P1176,'G_Fall-back'!$P:$P,0))="","",INDEX('G_Fall-back'!M:M,MATCH($P1176,'G_Fall-back'!$P:$P,0))))</f>
        <v/>
      </c>
      <c r="N1176" s="831"/>
      <c r="O1176" s="20"/>
      <c r="P1176" s="351" t="str">
        <f>EUconst_CNTR_Emissions &amp; I1151</f>
        <v>DirEmissions_Podinstalacja sieci ciepłowniczej</v>
      </c>
      <c r="Q1176" s="422"/>
      <c r="R1176" s="422"/>
      <c r="S1176" s="422"/>
      <c r="T1176" s="422"/>
    </row>
    <row r="1177" spans="1:20" s="701" customFormat="1" ht="5.0999999999999996" customHeight="1" x14ac:dyDescent="0.2">
      <c r="A1177" s="422"/>
      <c r="B1177" s="398"/>
      <c r="C1177" s="398"/>
      <c r="D1177" s="398"/>
      <c r="E1177" s="516"/>
      <c r="F1177" s="516"/>
      <c r="G1177" s="516"/>
      <c r="H1177" s="516"/>
      <c r="I1177" s="1006"/>
      <c r="J1177" s="1006"/>
      <c r="K1177" s="1006"/>
      <c r="L1177" s="1006"/>
      <c r="M1177" s="1006"/>
      <c r="N1177" s="831"/>
      <c r="O1177" s="20"/>
      <c r="P1177" s="422"/>
      <c r="Q1177" s="422"/>
      <c r="R1177" s="422"/>
      <c r="S1177" s="422"/>
      <c r="T1177" s="422"/>
    </row>
    <row r="1178" spans="1:20" s="701" customFormat="1" x14ac:dyDescent="0.2">
      <c r="A1178" s="422"/>
      <c r="B1178" s="398"/>
      <c r="C1178" s="398"/>
      <c r="D1178" s="398"/>
      <c r="E1178" s="1766" t="str">
        <f>Translations!$B$1241</f>
        <v>Ciepło wprowadzone netto (inne)</v>
      </c>
      <c r="F1178" s="1767"/>
      <c r="G1178" s="1767"/>
      <c r="H1178" s="454" t="str">
        <f>EUconst_TJpa</f>
        <v>TJ / rok</v>
      </c>
      <c r="I1178" s="1004">
        <f>IF($M1151&lt;&gt;EUconst_Relevant,"",IF(INDEX('G_Fall-back'!I:I,MATCH($P1178,'G_Fall-back'!$P:$P,0))="","",INDEX('G_Fall-back'!I:I,MATCH($P1178,'G_Fall-back'!$P:$P,0))))</f>
        <v>662.06804061044795</v>
      </c>
      <c r="J1178" s="1004">
        <f>IF($M1151&lt;&gt;EUconst_Relevant,"",IF(INDEX('G_Fall-back'!J:J,MATCH($P1178,'G_Fall-back'!$P:$P,0))="","",INDEX('G_Fall-back'!J:J,MATCH($P1178,'G_Fall-back'!$P:$P,0))))</f>
        <v>626.64672879565023</v>
      </c>
      <c r="K1178" s="1004">
        <f>IF($M1151&lt;&gt;EUconst_Relevant,"",IF(INDEX('G_Fall-back'!K:K,MATCH($P1178,'G_Fall-back'!$P:$P,0))="","",INDEX('G_Fall-back'!K:K,MATCH($P1178,'G_Fall-back'!$P:$P,0))))</f>
        <v>723.68499865240449</v>
      </c>
      <c r="L1178" s="1004">
        <f>IF($M1151&lt;&gt;EUconst_Relevant,"",IF(INDEX('G_Fall-back'!L:L,MATCH($P1178,'G_Fall-back'!$P:$P,0))="","",INDEX('G_Fall-back'!L:L,MATCH($P1178,'G_Fall-back'!$P:$P,0))))</f>
        <v>609.35093899960611</v>
      </c>
      <c r="M1178" s="1004">
        <f>IF($M1151&lt;&gt;EUconst_Relevant,"",IF(INDEX('G_Fall-back'!M:M,MATCH($P1178,'G_Fall-back'!$P:$P,0))="","",INDEX('G_Fall-back'!M:M,MATCH($P1178,'G_Fall-back'!$P:$P,0))))</f>
        <v>700.89915206116541</v>
      </c>
      <c r="N1178" s="831"/>
      <c r="O1178" s="20"/>
      <c r="P1178" s="351" t="str">
        <f>EUconst_CNTR_HeatImport &amp; I1151</f>
        <v>HeatIm_Podinstalacja sieci ciepłowniczej</v>
      </c>
      <c r="Q1178" s="422"/>
      <c r="R1178" s="422"/>
      <c r="S1178" s="422"/>
      <c r="T1178" s="422"/>
    </row>
    <row r="1179" spans="1:20" s="701" customFormat="1" ht="25.5" customHeight="1" x14ac:dyDescent="0.2">
      <c r="A1179" s="422"/>
      <c r="B1179" s="398"/>
      <c r="C1179" s="398"/>
      <c r="D1179" s="398"/>
      <c r="E1179" s="1743" t="str">
        <f>Translations!$B$765</f>
        <v>Właściwy współczynnik emisji (ciepło wprowadzone)</v>
      </c>
      <c r="F1179" s="1744"/>
      <c r="G1179" s="1744"/>
      <c r="H1179" s="473" t="str">
        <f>EUconst_tCO2pTJ</f>
        <v>t CO2 / TJ</v>
      </c>
      <c r="I1179" s="1005">
        <f>IF($M1151&lt;&gt;EUconst_Relevant,"",IF(INDEX('G_Fall-back'!I:I,MATCH($P1179,'G_Fall-back'!$P:$P,0))="","",INDEX('G_Fall-back'!I:I,MATCH($P1179,'G_Fall-back'!$P:$P,0))))</f>
        <v>63.92069610741153</v>
      </c>
      <c r="J1179" s="1005">
        <f>IF($M1151&lt;&gt;EUconst_Relevant,"",IF(INDEX('G_Fall-back'!J:J,MATCH($P1179,'G_Fall-back'!$P:$P,0))="","",INDEX('G_Fall-back'!J:J,MATCH($P1179,'G_Fall-back'!$P:$P,0))))</f>
        <v>62.832816784810731</v>
      </c>
      <c r="K1179" s="1005">
        <f>IF($M1151&lt;&gt;EUconst_Relevant,"",IF(INDEX('G_Fall-back'!K:K,MATCH($P1179,'G_Fall-back'!$P:$P,0))="","",INDEX('G_Fall-back'!K:K,MATCH($P1179,'G_Fall-back'!$P:$P,0))))</f>
        <v>61.220901364612999</v>
      </c>
      <c r="L1179" s="1005">
        <f>IF($M1151&lt;&gt;EUconst_Relevant,"",IF(INDEX('G_Fall-back'!L:L,MATCH($P1179,'G_Fall-back'!$P:$P,0))="","",INDEX('G_Fall-back'!L:L,MATCH($P1179,'G_Fall-back'!$P:$P,0))))</f>
        <v>61.403224397952918</v>
      </c>
      <c r="M1179" s="1005">
        <f>IF($M1151&lt;&gt;EUconst_Relevant,"",IF(INDEX('G_Fall-back'!M:M,MATCH($P1179,'G_Fall-back'!$P:$P,0))="","",INDEX('G_Fall-back'!M:M,MATCH($P1179,'G_Fall-back'!$P:$P,0))))</f>
        <v>61.409990495302431</v>
      </c>
      <c r="N1179" s="831"/>
      <c r="O1179" s="20"/>
      <c r="P1179" s="351" t="str">
        <f>EUconst_CNTR_HeatImportEF &amp; I1151</f>
        <v>HeatImEF_Podinstalacja sieci ciepłowniczej</v>
      </c>
      <c r="Q1179" s="422"/>
      <c r="R1179" s="422"/>
      <c r="S1179" s="422"/>
      <c r="T1179" s="422"/>
    </row>
    <row r="1180" spans="1:20" s="701" customFormat="1" ht="25.5" customHeight="1" x14ac:dyDescent="0.2">
      <c r="A1180" s="422"/>
      <c r="B1180" s="398"/>
      <c r="C1180" s="398"/>
      <c r="D1180" s="398"/>
      <c r="E1180" s="1766" t="str">
        <f>Translations!$B$1242</f>
        <v>Ciepło wprowadzone netto (wsk. emisyjności dla produktów)</v>
      </c>
      <c r="F1180" s="1767"/>
      <c r="G1180" s="1767"/>
      <c r="H1180" s="454" t="str">
        <f>EUconst_TJpa</f>
        <v>TJ / rok</v>
      </c>
      <c r="I1180" s="1004" t="str">
        <f>IF($M1151&lt;&gt;EUconst_Relevant,"",IF(INDEX('G_Fall-back'!I:I,MATCH($P1180,'G_Fall-back'!$P:$P,0))="","",INDEX('G_Fall-back'!I:I,MATCH($P1180,'G_Fall-back'!$P:$P,0))))</f>
        <v/>
      </c>
      <c r="J1180" s="1004" t="str">
        <f>IF($M1151&lt;&gt;EUconst_Relevant,"",IF(INDEX('G_Fall-back'!J:J,MATCH($P1180,'G_Fall-back'!$P:$P,0))="","",INDEX('G_Fall-back'!J:J,MATCH($P1180,'G_Fall-back'!$P:$P,0))))</f>
        <v/>
      </c>
      <c r="K1180" s="1004" t="str">
        <f>IF($M1151&lt;&gt;EUconst_Relevant,"",IF(INDEX('G_Fall-back'!K:K,MATCH($P1180,'G_Fall-back'!$P:$P,0))="","",INDEX('G_Fall-back'!K:K,MATCH($P1180,'G_Fall-back'!$P:$P,0))))</f>
        <v/>
      </c>
      <c r="L1180" s="1004" t="str">
        <f>IF($M1151&lt;&gt;EUconst_Relevant,"",IF(INDEX('G_Fall-back'!L:L,MATCH($P1180,'G_Fall-back'!$P:$P,0))="","",INDEX('G_Fall-back'!L:L,MATCH($P1180,'G_Fall-back'!$P:$P,0))))</f>
        <v/>
      </c>
      <c r="M1180" s="1004" t="str">
        <f>IF($M1151&lt;&gt;EUconst_Relevant,"",IF(INDEX('G_Fall-back'!M:M,MATCH($P1180,'G_Fall-back'!$P:$P,0))="","",INDEX('G_Fall-back'!M:M,MATCH($P1180,'G_Fall-back'!$P:$P,0))))</f>
        <v/>
      </c>
      <c r="N1180" s="831"/>
      <c r="O1180" s="20"/>
      <c r="P1180" s="351" t="str">
        <f>EUconst_CNTR_HeatImportProduct &amp; I1151</f>
        <v>HeatImProd_Podinstalacja sieci ciepłowniczej</v>
      </c>
      <c r="Q1180" s="422"/>
      <c r="R1180" s="422"/>
      <c r="S1180" s="422"/>
      <c r="T1180" s="422"/>
    </row>
    <row r="1181" spans="1:20" s="701" customFormat="1" ht="25.5" customHeight="1" x14ac:dyDescent="0.2">
      <c r="A1181" s="422"/>
      <c r="B1181" s="398"/>
      <c r="C1181" s="398"/>
      <c r="D1181" s="398"/>
      <c r="E1181" s="1743" t="str">
        <f>Translations!$B$868</f>
        <v>Właściwy współczynnik emisji (z podinstalacji objętych wskaźnikiem emisyjności dla produktów)</v>
      </c>
      <c r="F1181" s="1744"/>
      <c r="G1181" s="1744"/>
      <c r="H1181" s="473" t="str">
        <f>EUconst_tCO2pTJ</f>
        <v>t CO2 / TJ</v>
      </c>
      <c r="I1181" s="1005" t="str">
        <f>IF($M1151&lt;&gt;EUconst_Relevant,"",IF(INDEX('G_Fall-back'!I:I,MATCH($P1181,'G_Fall-back'!$P:$P,0))="","",INDEX('G_Fall-back'!I:I,MATCH($P1181,'G_Fall-back'!$P:$P,0))))</f>
        <v/>
      </c>
      <c r="J1181" s="1005" t="str">
        <f>IF($M1151&lt;&gt;EUconst_Relevant,"",IF(INDEX('G_Fall-back'!J:J,MATCH($P1181,'G_Fall-back'!$P:$P,0))="","",INDEX('G_Fall-back'!J:J,MATCH($P1181,'G_Fall-back'!$P:$P,0))))</f>
        <v/>
      </c>
      <c r="K1181" s="1005" t="str">
        <f>IF($M1151&lt;&gt;EUconst_Relevant,"",IF(INDEX('G_Fall-back'!K:K,MATCH($P1181,'G_Fall-back'!$P:$P,0))="","",INDEX('G_Fall-back'!K:K,MATCH($P1181,'G_Fall-back'!$P:$P,0))))</f>
        <v/>
      </c>
      <c r="L1181" s="1005" t="str">
        <f>IF($M1151&lt;&gt;EUconst_Relevant,"",IF(INDEX('G_Fall-back'!L:L,MATCH($P1181,'G_Fall-back'!$P:$P,0))="","",INDEX('G_Fall-back'!L:L,MATCH($P1181,'G_Fall-back'!$P:$P,0))))</f>
        <v/>
      </c>
      <c r="M1181" s="1005" t="str">
        <f>IF($M1151&lt;&gt;EUconst_Relevant,"",IF(INDEX('G_Fall-back'!M:M,MATCH($P1181,'G_Fall-back'!$P:$P,0))="","",INDEX('G_Fall-back'!M:M,MATCH($P1181,'G_Fall-back'!$P:$P,0))))</f>
        <v/>
      </c>
      <c r="N1181" s="831"/>
      <c r="O1181" s="20"/>
      <c r="P1181" s="351" t="str">
        <f>EUconst_CNTR_HeatImportProductEF &amp; I1151</f>
        <v>HeatImProdEF_Podinstalacja sieci ciepłowniczej</v>
      </c>
      <c r="Q1181" s="422"/>
      <c r="R1181" s="422"/>
      <c r="S1181" s="422"/>
      <c r="T1181" s="422"/>
    </row>
    <row r="1182" spans="1:20" s="701" customFormat="1" x14ac:dyDescent="0.2">
      <c r="A1182" s="422"/>
      <c r="B1182" s="398"/>
      <c r="C1182" s="398"/>
      <c r="D1182" s="398"/>
      <c r="E1182" s="1766" t="str">
        <f>Translations!$B$1243</f>
        <v>Ciepło wprowadzone netto (masa celulozowa)</v>
      </c>
      <c r="F1182" s="1767"/>
      <c r="G1182" s="1767"/>
      <c r="H1182" s="454" t="str">
        <f>EUconst_TJpa</f>
        <v>TJ / rok</v>
      </c>
      <c r="I1182" s="1004" t="str">
        <f>IF($M1151&lt;&gt;EUconst_Relevant,"",IF(INDEX('G_Fall-back'!I:I,MATCH($P1182,'G_Fall-back'!$P:$P,0))="","",INDEX('G_Fall-back'!I:I,MATCH($P1182,'G_Fall-back'!$P:$P,0))))</f>
        <v/>
      </c>
      <c r="J1182" s="1004" t="str">
        <f>IF($M1151&lt;&gt;EUconst_Relevant,"",IF(INDEX('G_Fall-back'!J:J,MATCH($P1182,'G_Fall-back'!$P:$P,0))="","",INDEX('G_Fall-back'!J:J,MATCH($P1182,'G_Fall-back'!$P:$P,0))))</f>
        <v/>
      </c>
      <c r="K1182" s="1004" t="str">
        <f>IF($M1151&lt;&gt;EUconst_Relevant,"",IF(INDEX('G_Fall-back'!K:K,MATCH($P1182,'G_Fall-back'!$P:$P,0))="","",INDEX('G_Fall-back'!K:K,MATCH($P1182,'G_Fall-back'!$P:$P,0))))</f>
        <v/>
      </c>
      <c r="L1182" s="1004" t="str">
        <f>IF($M1151&lt;&gt;EUconst_Relevant,"",IF(INDEX('G_Fall-back'!L:L,MATCH($P1182,'G_Fall-back'!$P:$P,0))="","",INDEX('G_Fall-back'!L:L,MATCH($P1182,'G_Fall-back'!$P:$P,0))))</f>
        <v/>
      </c>
      <c r="M1182" s="1004" t="str">
        <f>IF($M1151&lt;&gt;EUconst_Relevant,"",IF(INDEX('G_Fall-back'!M:M,MATCH($P1182,'G_Fall-back'!$P:$P,0))="","",INDEX('G_Fall-back'!M:M,MATCH($P1182,'G_Fall-back'!$P:$P,0))))</f>
        <v/>
      </c>
      <c r="N1182" s="831"/>
      <c r="O1182" s="20"/>
      <c r="P1182" s="351" t="str">
        <f>EUconst_CNTR_HeatImportPulp &amp; I1151</f>
        <v>HeatImPulp_Podinstalacja sieci ciepłowniczej</v>
      </c>
      <c r="Q1182" s="422"/>
      <c r="R1182" s="422"/>
      <c r="S1182" s="422"/>
      <c r="T1182" s="422"/>
    </row>
    <row r="1183" spans="1:20" s="701" customFormat="1" ht="25.5" customHeight="1" x14ac:dyDescent="0.2">
      <c r="A1183" s="422"/>
      <c r="B1183" s="398"/>
      <c r="C1183" s="398"/>
      <c r="D1183" s="398"/>
      <c r="E1183" s="1743" t="str">
        <f>Translations!$B$870</f>
        <v>Właściwy współczynnik emisji (z masy celulozowej)</v>
      </c>
      <c r="F1183" s="1744"/>
      <c r="G1183" s="1744"/>
      <c r="H1183" s="473" t="str">
        <f>EUconst_tCO2pTJ</f>
        <v>t CO2 / TJ</v>
      </c>
      <c r="I1183" s="1005" t="str">
        <f>IF($M1151&lt;&gt;EUconst_Relevant,"",IF(INDEX('G_Fall-back'!I:I,MATCH($P1183,'G_Fall-back'!$P:$P,0))="","",INDEX('G_Fall-back'!I:I,MATCH($P1183,'G_Fall-back'!$P:$P,0))))</f>
        <v/>
      </c>
      <c r="J1183" s="1005" t="str">
        <f>IF($M1151&lt;&gt;EUconst_Relevant,"",IF(INDEX('G_Fall-back'!J:J,MATCH($P1183,'G_Fall-back'!$P:$P,0))="","",INDEX('G_Fall-back'!J:J,MATCH($P1183,'G_Fall-back'!$P:$P,0))))</f>
        <v/>
      </c>
      <c r="K1183" s="1005" t="str">
        <f>IF($M1151&lt;&gt;EUconst_Relevant,"",IF(INDEX('G_Fall-back'!K:K,MATCH($P1183,'G_Fall-back'!$P:$P,0))="","",INDEX('G_Fall-back'!K:K,MATCH($P1183,'G_Fall-back'!$P:$P,0))))</f>
        <v/>
      </c>
      <c r="L1183" s="1005" t="str">
        <f>IF($M1151&lt;&gt;EUconst_Relevant,"",IF(INDEX('G_Fall-back'!L:L,MATCH($P1183,'G_Fall-back'!$P:$P,0))="","",INDEX('G_Fall-back'!L:L,MATCH($P1183,'G_Fall-back'!$P:$P,0))))</f>
        <v/>
      </c>
      <c r="M1183" s="1005" t="str">
        <f>IF($M1151&lt;&gt;EUconst_Relevant,"",IF(INDEX('G_Fall-back'!M:M,MATCH($P1183,'G_Fall-back'!$P:$P,0))="","",INDEX('G_Fall-back'!M:M,MATCH($P1183,'G_Fall-back'!$P:$P,0))))</f>
        <v/>
      </c>
      <c r="N1183" s="831"/>
      <c r="O1183" s="20"/>
      <c r="P1183" s="351" t="str">
        <f>EUconst_CNTR_HeatImportPulpEF &amp; I1151</f>
        <v>HeatImPulpEF_Podinstalacja sieci ciepłowniczej</v>
      </c>
      <c r="Q1183" s="422"/>
      <c r="R1183" s="422"/>
      <c r="S1183" s="422"/>
      <c r="T1183" s="422"/>
    </row>
    <row r="1184" spans="1:20" s="701" customFormat="1" ht="25.5" customHeight="1" x14ac:dyDescent="0.2">
      <c r="A1184" s="422"/>
      <c r="B1184" s="398"/>
      <c r="C1184" s="398"/>
      <c r="D1184" s="398"/>
      <c r="E1184" s="1766" t="str">
        <f>Translations!$B$1244</f>
        <v>Ciepło wprowadzone netto (wsk. emisyjności oparty na paliwie)</v>
      </c>
      <c r="F1184" s="1767"/>
      <c r="G1184" s="1767"/>
      <c r="H1184" s="454" t="str">
        <f>EUconst_TJpa</f>
        <v>TJ / rok</v>
      </c>
      <c r="I1184" s="1004" t="str">
        <f>IF($M1151&lt;&gt;EUconst_Relevant,"",IF(INDEX('G_Fall-back'!I:I,MATCH($P1184,'G_Fall-back'!$P:$P,0))="","",INDEX('G_Fall-back'!I:I,MATCH($P1184,'G_Fall-back'!$P:$P,0))))</f>
        <v/>
      </c>
      <c r="J1184" s="1004" t="str">
        <f>IF($M1151&lt;&gt;EUconst_Relevant,"",IF(INDEX('G_Fall-back'!J:J,MATCH($P1184,'G_Fall-back'!$P:$P,0))="","",INDEX('G_Fall-back'!J:J,MATCH($P1184,'G_Fall-back'!$P:$P,0))))</f>
        <v/>
      </c>
      <c r="K1184" s="1004" t="str">
        <f>IF($M1151&lt;&gt;EUconst_Relevant,"",IF(INDEX('G_Fall-back'!K:K,MATCH($P1184,'G_Fall-back'!$P:$P,0))="","",INDEX('G_Fall-back'!K:K,MATCH($P1184,'G_Fall-back'!$P:$P,0))))</f>
        <v/>
      </c>
      <c r="L1184" s="1004" t="str">
        <f>IF($M1151&lt;&gt;EUconst_Relevant,"",IF(INDEX('G_Fall-back'!L:L,MATCH($P1184,'G_Fall-back'!$P:$P,0))="","",INDEX('G_Fall-back'!L:L,MATCH($P1184,'G_Fall-back'!$P:$P,0))))</f>
        <v/>
      </c>
      <c r="M1184" s="1004" t="str">
        <f>IF($M1151&lt;&gt;EUconst_Relevant,"",IF(INDEX('G_Fall-back'!M:M,MATCH($P1184,'G_Fall-back'!$P:$P,0))="","",INDEX('G_Fall-back'!M:M,MATCH($P1184,'G_Fall-back'!$P:$P,0))))</f>
        <v/>
      </c>
      <c r="N1184" s="831"/>
      <c r="O1184" s="20"/>
      <c r="P1184" s="351" t="str">
        <f>EUconst_CNTR_HeatImportFuel &amp; I1151</f>
        <v>HeatImFuel_Podinstalacja sieci ciepłowniczej</v>
      </c>
      <c r="Q1184" s="422"/>
      <c r="R1184" s="422"/>
      <c r="S1184" s="422"/>
      <c r="T1184" s="422"/>
    </row>
    <row r="1185" spans="1:20" s="701" customFormat="1" ht="25.5" customHeight="1" x14ac:dyDescent="0.2">
      <c r="A1185" s="422"/>
      <c r="B1185" s="398"/>
      <c r="C1185" s="398"/>
      <c r="D1185" s="398"/>
      <c r="E1185" s="1743" t="str">
        <f>Translations!$B$872</f>
        <v>Właściwy współczynnik emisji (z podinstalacji objętych wskaźnikiem emisyjności opartym na paliwie)</v>
      </c>
      <c r="F1185" s="1743"/>
      <c r="G1185" s="1743"/>
      <c r="H1185" s="832" t="str">
        <f>EUconst_tCO2pTJ</f>
        <v>t CO2 / TJ</v>
      </c>
      <c r="I1185" s="1005" t="str">
        <f>IF($M1151&lt;&gt;EUconst_Relevant,"",IF(INDEX('G_Fall-back'!I:I,MATCH($P1185,'G_Fall-back'!$P:$P,0))="","",INDEX('G_Fall-back'!I:I,MATCH($P1185,'G_Fall-back'!$P:$P,0))))</f>
        <v/>
      </c>
      <c r="J1185" s="1005" t="str">
        <f>IF($M1151&lt;&gt;EUconst_Relevant,"",IF(INDEX('G_Fall-back'!J:J,MATCH($P1185,'G_Fall-back'!$P:$P,0))="","",INDEX('G_Fall-back'!J:J,MATCH($P1185,'G_Fall-back'!$P:$P,0))))</f>
        <v/>
      </c>
      <c r="K1185" s="1005" t="str">
        <f>IF($M1151&lt;&gt;EUconst_Relevant,"",IF(INDEX('G_Fall-back'!K:K,MATCH($P1185,'G_Fall-back'!$P:$P,0))="","",INDEX('G_Fall-back'!K:K,MATCH($P1185,'G_Fall-back'!$P:$P,0))))</f>
        <v/>
      </c>
      <c r="L1185" s="1005" t="str">
        <f>IF($M1151&lt;&gt;EUconst_Relevant,"",IF(INDEX('G_Fall-back'!L:L,MATCH($P1185,'G_Fall-back'!$P:$P,0))="","",INDEX('G_Fall-back'!L:L,MATCH($P1185,'G_Fall-back'!$P:$P,0))))</f>
        <v/>
      </c>
      <c r="M1185" s="1005" t="str">
        <f>IF($M1151&lt;&gt;EUconst_Relevant,"",IF(INDEX('G_Fall-back'!M:M,MATCH($P1185,'G_Fall-back'!$P:$P,0))="","",INDEX('G_Fall-back'!M:M,MATCH($P1185,'G_Fall-back'!$P:$P,0))))</f>
        <v/>
      </c>
      <c r="N1185" s="831"/>
      <c r="O1185" s="20"/>
      <c r="P1185" s="351" t="str">
        <f>EUconst_CNTR_HeatImportPulpEF &amp; I1151</f>
        <v>HeatImPulpEF_Podinstalacja sieci ciepłowniczej</v>
      </c>
      <c r="Q1185" s="422"/>
      <c r="R1185" s="422"/>
      <c r="S1185" s="422"/>
      <c r="T1185" s="422"/>
    </row>
    <row r="1186" spans="1:20" s="701" customFormat="1" x14ac:dyDescent="0.2">
      <c r="A1186" s="422"/>
      <c r="B1186" s="398"/>
      <c r="C1186" s="398"/>
      <c r="D1186" s="398"/>
      <c r="E1186" s="1766" t="str">
        <f>Translations!$B$1245</f>
        <v>Ciepło wprowadzone netto (gazy odlotowe)</v>
      </c>
      <c r="F1186" s="1767"/>
      <c r="G1186" s="1767"/>
      <c r="H1186" s="454" t="str">
        <f>EUconst_TJpa</f>
        <v>TJ / rok</v>
      </c>
      <c r="I1186" s="1004" t="str">
        <f>IF($M1151&lt;&gt;EUconst_Relevant,"",IF(INDEX('G_Fall-back'!I:I,MATCH($P1186,'G_Fall-back'!$P:$P,0))="","",INDEX('G_Fall-back'!I:I,MATCH($P1186,'G_Fall-back'!$P:$P,0))))</f>
        <v/>
      </c>
      <c r="J1186" s="1004" t="str">
        <f>IF($M1151&lt;&gt;EUconst_Relevant,"",IF(INDEX('G_Fall-back'!J:J,MATCH($P1186,'G_Fall-back'!$P:$P,0))="","",INDEX('G_Fall-back'!J:J,MATCH($P1186,'G_Fall-back'!$P:$P,0))))</f>
        <v/>
      </c>
      <c r="K1186" s="1004" t="str">
        <f>IF($M1151&lt;&gt;EUconst_Relevant,"",IF(INDEX('G_Fall-back'!K:K,MATCH($P1186,'G_Fall-back'!$P:$P,0))="","",INDEX('G_Fall-back'!K:K,MATCH($P1186,'G_Fall-back'!$P:$P,0))))</f>
        <v/>
      </c>
      <c r="L1186" s="1004" t="str">
        <f>IF($M1151&lt;&gt;EUconst_Relevant,"",IF(INDEX('G_Fall-back'!L:L,MATCH($P1186,'G_Fall-back'!$P:$P,0))="","",INDEX('G_Fall-back'!L:L,MATCH($P1186,'G_Fall-back'!$P:$P,0))))</f>
        <v/>
      </c>
      <c r="M1186" s="1004" t="str">
        <f>IF($M1151&lt;&gt;EUconst_Relevant,"",IF(INDEX('G_Fall-back'!M:M,MATCH($P1186,'G_Fall-back'!$P:$P,0))="","",INDEX('G_Fall-back'!M:M,MATCH($P1186,'G_Fall-back'!$P:$P,0))))</f>
        <v/>
      </c>
      <c r="N1186" s="831"/>
      <c r="O1186" s="20"/>
      <c r="P1186" s="351" t="str">
        <f>EUconst_CNTR_WGImport &amp; I1151</f>
        <v>WasteGasIm_Podinstalacja sieci ciepłowniczej</v>
      </c>
      <c r="Q1186" s="422"/>
      <c r="R1186" s="422"/>
      <c r="S1186" s="422"/>
      <c r="T1186" s="422"/>
    </row>
    <row r="1187" spans="1:20" s="701" customFormat="1" ht="25.5" customHeight="1" x14ac:dyDescent="0.2">
      <c r="A1187" s="422"/>
      <c r="B1187" s="398"/>
      <c r="C1187" s="398"/>
      <c r="D1187" s="398"/>
      <c r="E1187" s="1743" t="str">
        <f>Translations!$B$874</f>
        <v>Właściwy współczynnik emisji (z gazów odlotowych)</v>
      </c>
      <c r="F1187" s="1743"/>
      <c r="G1187" s="1743"/>
      <c r="H1187" s="832" t="str">
        <f>EUconst_tCO2pTJ</f>
        <v>t CO2 / TJ</v>
      </c>
      <c r="I1187" s="1005" t="str">
        <f>IF($M1151&lt;&gt;EUconst_Relevant,"",IF(INDEX('G_Fall-back'!I:I,MATCH($P1187,'G_Fall-back'!$P:$P,0))="","",INDEX('G_Fall-back'!I:I,MATCH($P1187,'G_Fall-back'!$P:$P,0))))</f>
        <v/>
      </c>
      <c r="J1187" s="1005" t="str">
        <f>IF($M1151&lt;&gt;EUconst_Relevant,"",IF(INDEX('G_Fall-back'!J:J,MATCH($P1187,'G_Fall-back'!$P:$P,0))="","",INDEX('G_Fall-back'!J:J,MATCH($P1187,'G_Fall-back'!$P:$P,0))))</f>
        <v/>
      </c>
      <c r="K1187" s="1005" t="str">
        <f>IF($M1151&lt;&gt;EUconst_Relevant,"",IF(INDEX('G_Fall-back'!K:K,MATCH($P1187,'G_Fall-back'!$P:$P,0))="","",INDEX('G_Fall-back'!K:K,MATCH($P1187,'G_Fall-back'!$P:$P,0))))</f>
        <v/>
      </c>
      <c r="L1187" s="1005" t="str">
        <f>IF($M1151&lt;&gt;EUconst_Relevant,"",IF(INDEX('G_Fall-back'!L:L,MATCH($P1187,'G_Fall-back'!$P:$P,0))="","",INDEX('G_Fall-back'!L:L,MATCH($P1187,'G_Fall-back'!$P:$P,0))))</f>
        <v/>
      </c>
      <c r="M1187" s="1005" t="str">
        <f>IF($M1151&lt;&gt;EUconst_Relevant,"",IF(INDEX('G_Fall-back'!M:M,MATCH($P1187,'G_Fall-back'!$P:$P,0))="","",INDEX('G_Fall-back'!M:M,MATCH($P1187,'G_Fall-back'!$P:$P,0))))</f>
        <v/>
      </c>
      <c r="N1187" s="831"/>
      <c r="O1187" s="20"/>
      <c r="P1187" s="351" t="str">
        <f>EUconst_CNTR_WGImportEF &amp; I1151</f>
        <v>WasteGasImEF_Podinstalacja sieci ciepłowniczej</v>
      </c>
      <c r="Q1187" s="422"/>
      <c r="R1187" s="422"/>
      <c r="S1187" s="422"/>
      <c r="T1187" s="422"/>
    </row>
    <row r="1188" spans="1:20" s="701" customFormat="1" ht="12.75" customHeight="1" x14ac:dyDescent="0.2">
      <c r="A1188" s="422"/>
      <c r="B1188" s="398"/>
      <c r="C1188" s="398"/>
      <c r="D1188" s="398"/>
      <c r="E1188" s="831"/>
      <c r="F1188" s="831"/>
      <c r="G1188" s="831"/>
      <c r="H1188" s="831"/>
      <c r="I1188" s="831"/>
      <c r="J1188" s="831"/>
      <c r="K1188" s="831"/>
      <c r="L1188" s="831"/>
      <c r="M1188" s="831"/>
      <c r="N1188" s="831"/>
      <c r="O1188" s="20"/>
      <c r="P1188" s="422"/>
      <c r="Q1188" s="422"/>
      <c r="R1188" s="422"/>
      <c r="S1188" s="422"/>
      <c r="T1188" s="422"/>
    </row>
    <row r="1189" spans="1:20" s="701" customFormat="1" ht="13.5" thickBot="1" x14ac:dyDescent="0.25">
      <c r="A1189" s="422"/>
      <c r="B1189" s="398"/>
      <c r="C1189" s="398"/>
      <c r="D1189" s="398"/>
      <c r="E1189" s="398"/>
      <c r="F1189" s="398"/>
      <c r="G1189" s="398"/>
      <c r="M1189" s="398"/>
      <c r="N1189" s="398"/>
      <c r="O1189" s="20"/>
      <c r="P1189" s="422"/>
      <c r="Q1189" s="422"/>
      <c r="R1189" s="422"/>
      <c r="S1189" s="422"/>
      <c r="T1189" s="422"/>
    </row>
    <row r="1190" spans="1:20" s="701" customFormat="1" ht="12.75" customHeight="1" thickBot="1" x14ac:dyDescent="0.25">
      <c r="A1190" s="422"/>
      <c r="B1190" s="3"/>
      <c r="C1190" s="281"/>
      <c r="D1190" s="281"/>
      <c r="E1190" s="281"/>
      <c r="F1190" s="281"/>
      <c r="G1190" s="281"/>
      <c r="H1190" s="281"/>
      <c r="I1190" s="281"/>
      <c r="J1190" s="281"/>
      <c r="K1190" s="281"/>
      <c r="L1190" s="281"/>
      <c r="M1190" s="281"/>
      <c r="N1190" s="281"/>
      <c r="O1190" s="20"/>
      <c r="P1190" s="422"/>
      <c r="Q1190" s="422"/>
      <c r="R1190" s="422"/>
      <c r="S1190" s="422"/>
      <c r="T1190" s="8" t="s">
        <v>583</v>
      </c>
    </row>
    <row r="1191" spans="1:20" s="701" customFormat="1" ht="38.25" customHeight="1" thickBot="1" x14ac:dyDescent="0.3">
      <c r="A1191" s="422"/>
      <c r="B1191" s="398"/>
      <c r="C1191" s="18">
        <f>C1151+1</f>
        <v>14</v>
      </c>
      <c r="D1191" s="1439" t="str">
        <f>CONCATENATE(EUconst_FBSubinst," ",C1191-10, ":")</f>
        <v>Podinstalacja, dla której wprowadzono rozwiązania rezerwowe (fall-back) 4:</v>
      </c>
      <c r="E1191" s="1370"/>
      <c r="F1191" s="1370"/>
      <c r="G1191" s="1370"/>
      <c r="H1191" s="1432"/>
      <c r="I1191" s="1958" t="str">
        <f>INDEX(EUconst_FallBackListNames,$C1191-10)</f>
        <v>Podinstalacja objęta wskaźnikiem emisyjności opartym na paliwie, „CL”</v>
      </c>
      <c r="J1191" s="1959"/>
      <c r="K1191" s="1959"/>
      <c r="L1191" s="1960"/>
      <c r="M1191" s="1860" t="str">
        <f>IF(ISBLANK(INDEX(CNTR_FallBackSubInstRelevant,C1191-10)),"",IF(INDEX(CNTR_FallBackSubInstRelevant,C1191-10),EUconst_Relevant,EUconst_NotRelevant))</f>
        <v>nie dotyczy</v>
      </c>
      <c r="N1191" s="1861"/>
      <c r="O1191" s="20"/>
      <c r="P1191" s="422"/>
      <c r="Q1191" s="986">
        <f>C1191</f>
        <v>14</v>
      </c>
      <c r="R1191" s="983" t="str">
        <f>I1191</f>
        <v>Podinstalacja objęta wskaźnikiem emisyjności opartym na paliwie, „CL”</v>
      </c>
      <c r="S1191" s="985" t="b">
        <f>H1194</f>
        <v>1</v>
      </c>
      <c r="T1191" s="984" t="str">
        <f>IF(M1203="","",IF(S1194=0,0,SUM(M1203)/S1194))</f>
        <v/>
      </c>
    </row>
    <row r="1192" spans="1:20" s="701" customFormat="1" ht="5.0999999999999996" customHeight="1" thickBot="1" x14ac:dyDescent="0.25">
      <c r="A1192" s="422"/>
      <c r="B1192" s="398"/>
      <c r="C1192" s="398"/>
      <c r="D1192" s="398"/>
      <c r="E1192" s="398"/>
      <c r="F1192" s="398"/>
      <c r="G1192" s="398"/>
      <c r="H1192" s="398"/>
      <c r="I1192" s="398"/>
      <c r="J1192" s="398"/>
      <c r="K1192" s="398"/>
      <c r="L1192" s="398"/>
      <c r="M1192" s="398"/>
      <c r="N1192" s="398"/>
      <c r="O1192" s="20"/>
      <c r="P1192" s="422"/>
      <c r="Q1192" s="422"/>
      <c r="R1192" s="422"/>
      <c r="S1192" s="422"/>
      <c r="T1192" s="8"/>
    </row>
    <row r="1193" spans="1:20" s="1299" customFormat="1" ht="51" x14ac:dyDescent="0.2">
      <c r="A1193" s="970"/>
      <c r="B1193" s="1300"/>
      <c r="C1193" s="1300"/>
      <c r="D1193" s="1300"/>
      <c r="E1193" s="1300"/>
      <c r="F1193" s="1300"/>
      <c r="G1193" s="1300"/>
      <c r="H1193" s="1304" t="str">
        <f>Translations!$B$1204</f>
        <v>narażenie na ryzyko ucieczki emisji</v>
      </c>
      <c r="I1193" s="1305" t="str">
        <f>Translations!$B$1208</f>
        <v>Rozpoczęcie</v>
      </c>
      <c r="J1193" s="1305" t="str">
        <f>Translations!$B$1212</f>
        <v>Art. 15 ust. 7 akapit trzeci?</v>
      </c>
      <c r="K1193" s="1305" t="str">
        <f>Translations!$B$1214</f>
        <v>Art. 15 ust. 7 akapit trzeci – HPD</v>
      </c>
      <c r="L1193" s="1306" t="str">
        <f>Translations!$B$1206</f>
        <v>Nr wskaźnika</v>
      </c>
      <c r="M1193" s="1307" t="str">
        <f>Translations!$B$1234</f>
        <v>Wart. wskaźnika (min./maks./faktyczna)</v>
      </c>
      <c r="N1193" s="1308"/>
      <c r="O1193" s="121"/>
      <c r="P1193" s="970"/>
      <c r="Q1193" s="970"/>
      <c r="R1193" s="970"/>
      <c r="S1193" s="970"/>
      <c r="T1193" s="972"/>
    </row>
    <row r="1194" spans="1:20" s="701" customFormat="1" x14ac:dyDescent="0.2">
      <c r="A1194" s="422"/>
      <c r="B1194" s="398"/>
      <c r="C1194" s="398"/>
      <c r="D1194" s="398"/>
      <c r="E1194" s="652" t="str">
        <f>I1191</f>
        <v>Podinstalacja objęta wskaźnikiem emisyjności opartym na paliwie, „CL”</v>
      </c>
      <c r="F1194" s="653"/>
      <c r="G1194" s="590"/>
      <c r="H1194" s="654" t="b">
        <f>INDEX(EUconst_FallBackListCLstatus,MATCH(I1191,EUconst_FallBackListNames,0))</f>
        <v>1</v>
      </c>
      <c r="I1194" s="857" t="str">
        <f>IF(M1191&lt;&gt;EUconst_Relevant,"",INDEX(CNTR_SubInstStartDate,MATCH(E1194,CNTR_SubInstListNames,0)))</f>
        <v/>
      </c>
      <c r="J1194" s="655" t="str">
        <f>IF(M1191&lt;&gt;EUconst_Relevant,"",INDEX(CNTR_SubInstLess1Year,MATCH(E1194,CNTR_SubInstListNames,0)))</f>
        <v/>
      </c>
      <c r="K1194" s="536" t="str">
        <f>IF($J1194=TRUE,SUMIF('G_Fall-back'!$P:$P,EUconst_CNTR_HAL&amp;$E1194,'G_Fall-back'!$N:$N),"")</f>
        <v/>
      </c>
      <c r="L1194" s="855">
        <f>C1191-10</f>
        <v>4</v>
      </c>
      <c r="M1194" s="1077" t="str">
        <f>IF(M1191&lt;&gt;EUconst_Relevant,"",INDEX(EUconst_FallBackListBMvaluesMatrix,L1194,2))</f>
        <v/>
      </c>
      <c r="N1194" s="1074" t="str">
        <f>EUconst_EUA &amp; "/" &amp; H1199</f>
        <v>Uprawnienia do emisji ogólnych/TJ</v>
      </c>
      <c r="O1194" s="20"/>
      <c r="P1194" s="422"/>
      <c r="Q1194" s="422"/>
      <c r="R1194" s="736" t="s">
        <v>577</v>
      </c>
      <c r="S1194" s="822">
        <f>IF(H1194,1,INDEX(EUconst_CLEFYears,1))</f>
        <v>1</v>
      </c>
      <c r="T1194" s="422"/>
    </row>
    <row r="1195" spans="1:20" s="701" customFormat="1" x14ac:dyDescent="0.2">
      <c r="A1195" s="422"/>
      <c r="B1195" s="398"/>
      <c r="C1195" s="398"/>
      <c r="M1195" s="1077" t="str">
        <f>IF(M1191&lt;&gt;EUconst_Relevant,"",INDEX(EUconst_FallBackListBMvaluesMatrix,L1194,1))</f>
        <v/>
      </c>
      <c r="N1195" s="1074" t="str">
        <f>EUconst_EUA &amp; "/" &amp; H1199</f>
        <v>Uprawnienia do emisji ogólnych/TJ</v>
      </c>
      <c r="O1195" s="20"/>
      <c r="P1195" s="422"/>
      <c r="Q1195" s="422"/>
      <c r="R1195" s="736"/>
      <c r="S1195" s="875"/>
      <c r="T1195" s="422"/>
    </row>
    <row r="1196" spans="1:20" s="701" customFormat="1" ht="13.5" thickBot="1" x14ac:dyDescent="0.25">
      <c r="A1196" s="422"/>
      <c r="B1196" s="398"/>
      <c r="C1196" s="398"/>
      <c r="M1196" s="1078" t="str">
        <f>IF(M1191&lt;&gt;EUconst_Relevant,"",IF(EUconst_StatusOfDataCollection,INDEX(EUconst_FallBackListBMvaluesMatrix,L1194,3),""))</f>
        <v/>
      </c>
      <c r="N1196" s="1076" t="str">
        <f>EUconst_EUA &amp; "/" &amp; H1199</f>
        <v>Uprawnienia do emisji ogólnych/TJ</v>
      </c>
      <c r="O1196" s="20"/>
      <c r="P1196" s="422"/>
      <c r="Q1196" s="422"/>
      <c r="R1196" s="736"/>
      <c r="S1196" s="875"/>
      <c r="T1196" s="422"/>
    </row>
    <row r="1197" spans="1:20" s="701" customFormat="1" ht="5.0999999999999996" customHeight="1" x14ac:dyDescent="0.2">
      <c r="A1197" s="422"/>
      <c r="B1197" s="398"/>
      <c r="C1197" s="398"/>
      <c r="D1197" s="398"/>
      <c r="E1197" s="398"/>
      <c r="F1197" s="398"/>
      <c r="G1197" s="398"/>
      <c r="H1197" s="398"/>
      <c r="I1197" s="398"/>
      <c r="J1197" s="398"/>
      <c r="K1197" s="398"/>
      <c r="L1197" s="398"/>
      <c r="M1197" s="398"/>
      <c r="N1197" s="398"/>
      <c r="O1197" s="20"/>
      <c r="P1197" s="422"/>
      <c r="Q1197" s="422"/>
      <c r="R1197" s="422"/>
      <c r="S1197" s="422"/>
      <c r="T1197" s="422"/>
    </row>
    <row r="1198" spans="1:20" s="701" customFormat="1" x14ac:dyDescent="0.2">
      <c r="A1198" s="422"/>
      <c r="B1198" s="398"/>
      <c r="C1198" s="398"/>
      <c r="D1198" s="398"/>
      <c r="E1198" s="656"/>
      <c r="F1198" s="656"/>
      <c r="G1198" s="657"/>
      <c r="H1198" s="650" t="str">
        <f>EUconst_Unit</f>
        <v>Jednostka</v>
      </c>
      <c r="I1198" s="432">
        <f>I$1397</f>
        <v>2014</v>
      </c>
      <c r="J1198" s="432">
        <f>J$1397</f>
        <v>2015</v>
      </c>
      <c r="K1198" s="432">
        <f>K$1397</f>
        <v>2016</v>
      </c>
      <c r="L1198" s="432">
        <f>L$1397</f>
        <v>2017</v>
      </c>
      <c r="M1198" s="432">
        <f>M$1397</f>
        <v>2018</v>
      </c>
      <c r="N1198" s="398"/>
      <c r="O1198" s="20"/>
      <c r="P1198" s="185" t="s">
        <v>237</v>
      </c>
      <c r="Q1198" s="422"/>
      <c r="R1198" s="422"/>
      <c r="S1198" s="422"/>
      <c r="T1198" s="422"/>
    </row>
    <row r="1199" spans="1:20" s="701" customFormat="1" x14ac:dyDescent="0.2">
      <c r="A1199" s="422"/>
      <c r="B1199" s="398"/>
      <c r="C1199" s="398"/>
      <c r="D1199" s="398"/>
      <c r="E1199" s="658" t="str">
        <f>Translations!$B$1236</f>
        <v>Zgłoszony HPD (historyczny poziom działalności)</v>
      </c>
      <c r="F1199" s="659"/>
      <c r="G1199" s="660"/>
      <c r="H1199" s="654" t="str">
        <f>INDEX(EUconst_FallBackListUnits,L1194)</f>
        <v>TJ</v>
      </c>
      <c r="I1199" s="536" t="str">
        <f>IF($M1191&lt;&gt;EUconst_Relevant,"",SUMIF('G_Fall-back'!$P:$P,$P1200,'G_Fall-back'!I:I))</f>
        <v/>
      </c>
      <c r="J1199" s="536" t="str">
        <f>IF($M1191&lt;&gt;EUconst_Relevant,"",SUMIF('G_Fall-back'!$P:$P,$P1200,'G_Fall-back'!J:J))</f>
        <v/>
      </c>
      <c r="K1199" s="536" t="str">
        <f>IF($M1191&lt;&gt;EUconst_Relevant,"",SUMIF('G_Fall-back'!$P:$P,$P1200,'G_Fall-back'!K:K))</f>
        <v/>
      </c>
      <c r="L1199" s="536" t="str">
        <f>IF($M1191&lt;&gt;EUconst_Relevant,"",SUMIF('G_Fall-back'!$P:$P,$P1200,'G_Fall-back'!L:L))</f>
        <v/>
      </c>
      <c r="M1199" s="536" t="str">
        <f>IF($M1191&lt;&gt;EUconst_Relevant,"",SUMIF('G_Fall-back'!$P:$P,$P1200,'G_Fall-back'!M:M))</f>
        <v/>
      </c>
      <c r="N1199" s="651" t="str">
        <f>Translations!$B$1224</f>
        <v>Średnia</v>
      </c>
      <c r="O1199" s="20"/>
      <c r="P1199" s="185" t="str">
        <f>EUconst_CNTR_HAL&amp;I1191</f>
        <v>HAL_Podinstalacja objęta wskaźnikiem emisyjności opartym na paliwie, „CL”</v>
      </c>
      <c r="Q1199" s="422"/>
      <c r="R1199" s="422"/>
      <c r="S1199" s="422"/>
      <c r="T1199" s="8"/>
    </row>
    <row r="1200" spans="1:20" s="701" customFormat="1" x14ac:dyDescent="0.2">
      <c r="A1200" s="422"/>
      <c r="B1200" s="398"/>
      <c r="C1200" s="398"/>
      <c r="D1200" s="398"/>
      <c r="E1200" s="658" t="str">
        <f>Translations!$B$1237</f>
        <v>Wartości wykorzystywane do obliczania zgłoszonego HPD:</v>
      </c>
      <c r="F1200" s="659"/>
      <c r="G1200" s="660"/>
      <c r="H1200" s="654" t="str">
        <f>H1199</f>
        <v>TJ</v>
      </c>
      <c r="I1200" s="427" t="str">
        <f>IF($M1191&lt;&gt;EUconst_Relevant,"",INDEX('G_Fall-back'!S:S,MATCH($P1200,'G_Fall-back'!$P:$P,0)))</f>
        <v/>
      </c>
      <c r="J1200" s="427" t="str">
        <f>IF($M1191&lt;&gt;EUconst_Relevant,"",INDEX('G_Fall-back'!T:T,MATCH($P1200,'G_Fall-back'!$P:$P,0)))</f>
        <v/>
      </c>
      <c r="K1200" s="427" t="str">
        <f>IF($M1191&lt;&gt;EUconst_Relevant,"",INDEX('G_Fall-back'!U:U,MATCH($P1200,'G_Fall-back'!$P:$P,0)))</f>
        <v/>
      </c>
      <c r="L1200" s="427" t="str">
        <f>IF($M1191&lt;&gt;EUconst_Relevant,"",INDEX('G_Fall-back'!V:V,MATCH($P1200,'G_Fall-back'!$P:$P,0)))</f>
        <v/>
      </c>
      <c r="M1200" s="427" t="str">
        <f>IF($M1191&lt;&gt;EUconst_Relevant,"",INDEX('G_Fall-back'!W:W,MATCH($P1200,'G_Fall-back'!$P:$P,0)))</f>
        <v/>
      </c>
      <c r="N1200" s="536" t="str">
        <f>IF(OR($M1191&lt;&gt;EUconst_Relevant,$J1194=TRUE),"",IF(COUNT($I1200:$M1200)&gt;0,AVERAGE($I1200:$M1200),""))</f>
        <v/>
      </c>
      <c r="O1200" s="20"/>
      <c r="P1200" s="185" t="str">
        <f>EUconst_CNTR_HAL&amp;I1191</f>
        <v>HAL_Podinstalacja objęta wskaźnikiem emisyjności opartym na paliwie, „CL”</v>
      </c>
      <c r="Q1200" s="422"/>
      <c r="R1200" s="1013" t="s">
        <v>630</v>
      </c>
      <c r="S1200" s="1013" t="s">
        <v>631</v>
      </c>
      <c r="T1200" s="1013" t="s">
        <v>632</v>
      </c>
    </row>
    <row r="1201" spans="1:20" s="701" customFormat="1" ht="5.0999999999999996" customHeight="1" thickBot="1" x14ac:dyDescent="0.25">
      <c r="A1201" s="422"/>
      <c r="B1201" s="398"/>
      <c r="C1201" s="398"/>
      <c r="D1201" s="398"/>
      <c r="E1201" s="398"/>
      <c r="F1201" s="398"/>
      <c r="G1201" s="398"/>
      <c r="H1201" s="398"/>
      <c r="I1201" s="398"/>
      <c r="J1201" s="398"/>
      <c r="K1201" s="398"/>
      <c r="L1201" s="398"/>
      <c r="M1201" s="398"/>
      <c r="N1201" s="398"/>
      <c r="O1201" s="20"/>
      <c r="P1201" s="422"/>
      <c r="Q1201" s="422"/>
      <c r="R1201" s="422"/>
      <c r="S1201" s="422"/>
      <c r="T1201" s="8"/>
    </row>
    <row r="1202" spans="1:20" s="701" customFormat="1" ht="13.5" thickBot="1" x14ac:dyDescent="0.25">
      <c r="A1202" s="422"/>
      <c r="B1202" s="398"/>
      <c r="C1202" s="398"/>
      <c r="D1202" s="398"/>
      <c r="E1202" s="398"/>
      <c r="F1202" s="661" t="s">
        <v>520</v>
      </c>
      <c r="G1202" s="824"/>
      <c r="H1202" s="398"/>
      <c r="I1202" s="823" t="str">
        <f>Translations!$B$1226</f>
        <v>Wst. przydział rok 1 (min.)</v>
      </c>
      <c r="J1202" s="824"/>
      <c r="K1202" s="823" t="str">
        <f>Translations!$B$1229</f>
        <v>Wst. przydział rok 1 (maks.)</v>
      </c>
      <c r="L1202" s="824"/>
      <c r="M1202" s="823" t="str">
        <f>Translations!$B$1231</f>
        <v>Wst. przydział rok 1 (faktyczny)</v>
      </c>
      <c r="N1202" s="824"/>
      <c r="O1202" s="20"/>
      <c r="P1202" s="185" t="str">
        <f>EUconst_AllocPrelim&amp;I1191</f>
        <v>AllocPrelim_Podinstalacja objęta wskaźnikiem emisyjności opartym na paliwie, „CL”</v>
      </c>
      <c r="Q1202" s="422"/>
      <c r="R1202" s="982" t="str">
        <f>IF(I1203="","",IF(S1194=0,0,SUM(I1203)/S1194))</f>
        <v/>
      </c>
      <c r="S1202" s="982" t="str">
        <f>IF(K1203="","",IF(S1194=0,0,SUM(K1203)/S1194))</f>
        <v/>
      </c>
      <c r="T1202" s="982" t="str">
        <f>T1191</f>
        <v/>
      </c>
    </row>
    <row r="1203" spans="1:20" s="701" customFormat="1" ht="13.5" thickBot="1" x14ac:dyDescent="0.25">
      <c r="A1203" s="422"/>
      <c r="B1203" s="398"/>
      <c r="C1203" s="398"/>
      <c r="D1203" s="398"/>
      <c r="E1203" s="398"/>
      <c r="F1203" s="662" t="str">
        <f>IF(M1191&lt;&gt;EUconst_Relevant,"",MAX(0, IF(J1194=TRUE, SUM(K1194), SUM(N1200))))</f>
        <v/>
      </c>
      <c r="G1203" s="966" t="str">
        <f>H1200&amp;" / "&amp;EUconst_Year</f>
        <v>TJ / rok</v>
      </c>
      <c r="H1203" s="398"/>
      <c r="I1203" s="820" t="str">
        <f>IF(M1191&lt;&gt;EUconst_Relevant,"",ROUND(SUM(M1194)*SUM(F1203)*SUM(S1194),0))</f>
        <v/>
      </c>
      <c r="J1203" s="966" t="str">
        <f>EUconst_EUApa</f>
        <v>Uprawnienia do emisji ogólnych / rok</v>
      </c>
      <c r="K1203" s="820" t="str">
        <f>IF(M1191&lt;&gt;EUconst_Relevant,"",ROUND(SUM(M1195)*SUM(F1203)*SUM(S1194),0))</f>
        <v/>
      </c>
      <c r="L1203" s="966" t="str">
        <f>EUconst_EUApa</f>
        <v>Uprawnienia do emisji ogólnych / rok</v>
      </c>
      <c r="M1203" s="820" t="str">
        <f>IF(OR(M1191&lt;&gt;EUconst_Relevant,M1196=""),"",ROUND(SUM(M1196)*SUM(F1203)*SUM(S1194),0))</f>
        <v/>
      </c>
      <c r="N1203" s="966" t="str">
        <f>EUconst_EUApa</f>
        <v>Uprawnienia do emisji ogólnych / rok</v>
      </c>
      <c r="O1203" s="20"/>
      <c r="P1203" s="185" t="str">
        <f>EUconst_HALsum &amp; I1191</f>
        <v>HALsum_Podinstalacja objęta wskaźnikiem emisyjności opartym na paliwie, „CL”</v>
      </c>
      <c r="Q1203" s="422"/>
      <c r="R1203" s="422"/>
      <c r="S1203" s="422"/>
      <c r="T1203" s="422"/>
    </row>
    <row r="1204" spans="1:20" s="701" customFormat="1" x14ac:dyDescent="0.2">
      <c r="A1204" s="422"/>
      <c r="B1204" s="398"/>
      <c r="C1204" s="398"/>
      <c r="D1204" s="398"/>
      <c r="E1204" s="398"/>
      <c r="F1204" s="398"/>
      <c r="G1204" s="398"/>
      <c r="H1204" s="398"/>
      <c r="I1204" s="398"/>
      <c r="J1204" s="398"/>
      <c r="K1204" s="398"/>
      <c r="L1204" s="398"/>
      <c r="M1204" s="398"/>
      <c r="N1204" s="398"/>
      <c r="O1204" s="20"/>
      <c r="P1204" s="422"/>
      <c r="Q1204" s="422"/>
      <c r="R1204" s="422"/>
      <c r="S1204" s="422"/>
      <c r="T1204" s="422"/>
    </row>
    <row r="1205" spans="1:20" s="701" customFormat="1" ht="12.75" customHeight="1" x14ac:dyDescent="0.2">
      <c r="A1205" s="422"/>
      <c r="B1205" s="398"/>
      <c r="C1205" s="398"/>
      <c r="D1205" s="398"/>
      <c r="E1205" s="516"/>
      <c r="F1205" s="831"/>
      <c r="G1205" s="831"/>
      <c r="H1205" s="831"/>
      <c r="I1205" s="831"/>
      <c r="J1205" s="831"/>
      <c r="K1205" s="831"/>
      <c r="L1205" s="831"/>
      <c r="M1205" s="831"/>
      <c r="N1205" s="831"/>
      <c r="O1205" s="20"/>
      <c r="P1205" s="422"/>
      <c r="Q1205" s="422"/>
      <c r="R1205" s="422"/>
      <c r="S1205" s="422"/>
      <c r="T1205" s="422"/>
    </row>
    <row r="1206" spans="1:20" s="701" customFormat="1" ht="13.5" thickBot="1" x14ac:dyDescent="0.25">
      <c r="A1206" s="422"/>
      <c r="B1206" s="398"/>
      <c r="C1206" s="398"/>
      <c r="D1206" s="398"/>
      <c r="E1206" s="516"/>
      <c r="F1206" s="831"/>
      <c r="G1206" s="831"/>
      <c r="H1206" s="515" t="str">
        <f>EUconst_Unit</f>
        <v>Jednostka</v>
      </c>
      <c r="I1206" s="1010">
        <f>I$1397</f>
        <v>2014</v>
      </c>
      <c r="J1206" s="833">
        <f>J$1397</f>
        <v>2015</v>
      </c>
      <c r="K1206" s="833">
        <f>K$1397</f>
        <v>2016</v>
      </c>
      <c r="L1206" s="833">
        <f>L$1397</f>
        <v>2017</v>
      </c>
      <c r="M1206" s="833">
        <f>M$1397</f>
        <v>2018</v>
      </c>
      <c r="N1206" s="831"/>
      <c r="O1206" s="20"/>
      <c r="P1206" s="422"/>
      <c r="Q1206" s="422"/>
      <c r="R1206" s="422"/>
      <c r="S1206" s="422"/>
      <c r="T1206" s="422"/>
    </row>
    <row r="1207" spans="1:20" s="701" customFormat="1" ht="13.5" thickBot="1" x14ac:dyDescent="0.25">
      <c r="A1207" s="422"/>
      <c r="B1207" s="398"/>
      <c r="C1207" s="398"/>
      <c r="D1207" s="398"/>
      <c r="E1207" s="1876" t="str">
        <f>Translations!$B$1238</f>
        <v>Całkowite przypisane emisje</v>
      </c>
      <c r="F1207" s="1876"/>
      <c r="G1207" s="1876"/>
      <c r="H1207" s="968" t="str">
        <f>EUconst_tCO2epa</f>
        <v>t CO2e/rok</v>
      </c>
      <c r="I1207" s="1000" t="str">
        <f>INDEX(I$93:I$109,MATCH($I1191,$E$93:$E$109,0))</f>
        <v/>
      </c>
      <c r="J1207" s="1001" t="str">
        <f>INDEX(J$93:J$109,MATCH($I1191,$E$93:$E$109,0))</f>
        <v/>
      </c>
      <c r="K1207" s="1001" t="str">
        <f>INDEX(K$93:K$109,MATCH($I1191,$E$93:$E$109,0))</f>
        <v/>
      </c>
      <c r="L1207" s="1001" t="str">
        <f>INDEX(L$93:L$109,MATCH($I1191,$E$93:$E$109,0))</f>
        <v/>
      </c>
      <c r="M1207" s="1002" t="str">
        <f>INDEX(M$93:M$109,MATCH($I1191,$E$93:$E$109,0))</f>
        <v/>
      </c>
      <c r="N1207" s="831"/>
      <c r="O1207" s="20"/>
      <c r="P1207" s="422"/>
      <c r="Q1207" s="422"/>
      <c r="R1207" s="422"/>
      <c r="S1207" s="422"/>
      <c r="T1207" s="8"/>
    </row>
    <row r="1208" spans="1:20" s="701" customFormat="1" ht="5.0999999999999996" customHeight="1" x14ac:dyDescent="0.2">
      <c r="A1208" s="422"/>
      <c r="B1208" s="398"/>
      <c r="C1208" s="398"/>
      <c r="D1208" s="398"/>
      <c r="E1208" s="516"/>
      <c r="F1208" s="516"/>
      <c r="G1208" s="516"/>
      <c r="H1208" s="516"/>
      <c r="I1208" s="1003"/>
      <c r="J1208" s="1003"/>
      <c r="K1208" s="1003"/>
      <c r="L1208" s="1003"/>
      <c r="M1208" s="1003"/>
      <c r="N1208" s="516"/>
      <c r="O1208" s="20"/>
      <c r="P1208" s="422"/>
      <c r="Q1208" s="422"/>
      <c r="R1208" s="422"/>
      <c r="S1208" s="422"/>
      <c r="T1208" s="8"/>
    </row>
    <row r="1209" spans="1:20" s="701" customFormat="1" x14ac:dyDescent="0.2">
      <c r="A1209" s="422"/>
      <c r="B1209" s="398"/>
      <c r="C1209" s="398"/>
      <c r="D1209" s="398"/>
      <c r="E1209" s="1766" t="str">
        <f>Translations!$B$731</f>
        <v>Wsad paliwa</v>
      </c>
      <c r="F1209" s="1767"/>
      <c r="G1209" s="1767"/>
      <c r="H1209" s="454" t="str">
        <f>EUconst_TJpa</f>
        <v>TJ / rok</v>
      </c>
      <c r="I1209" s="1004" t="str">
        <f>IF($M1191&lt;&gt;EUconst_Relevant,"",IF(INDEX('G_Fall-back'!I:I,MATCH($P1209,'G_Fall-back'!$P:$P,0))="","",INDEX('G_Fall-back'!I:I,MATCH($P1209,'G_Fall-back'!$P:$P,0))))</f>
        <v/>
      </c>
      <c r="J1209" s="1004" t="str">
        <f>IF($M1191&lt;&gt;EUconst_Relevant,"",IF(INDEX('G_Fall-back'!J:J,MATCH($P1209,'G_Fall-back'!$P:$P,0))="","",INDEX('G_Fall-back'!J:J,MATCH($P1209,'G_Fall-back'!$P:$P,0))))</f>
        <v/>
      </c>
      <c r="K1209" s="1004" t="str">
        <f>IF($M1191&lt;&gt;EUconst_Relevant,"",IF(INDEX('G_Fall-back'!K:K,MATCH($P1209,'G_Fall-back'!$P:$P,0))="","",INDEX('G_Fall-back'!K:K,MATCH($P1209,'G_Fall-back'!$P:$P,0))))</f>
        <v/>
      </c>
      <c r="L1209" s="1004" t="str">
        <f>IF($M1191&lt;&gt;EUconst_Relevant,"",IF(INDEX('G_Fall-back'!L:L,MATCH($P1209,'G_Fall-back'!$P:$P,0))="","",INDEX('G_Fall-back'!L:L,MATCH($P1209,'G_Fall-back'!$P:$P,0))))</f>
        <v/>
      </c>
      <c r="M1209" s="1004" t="str">
        <f>IF($M1191&lt;&gt;EUconst_Relevant,"",IF(INDEX('G_Fall-back'!M:M,MATCH($P1209,'G_Fall-back'!$P:$P,0))="","",INDEX('G_Fall-back'!M:M,MATCH($P1209,'G_Fall-back'!$P:$P,0))))</f>
        <v/>
      </c>
      <c r="N1209" s="831"/>
      <c r="O1209" s="20"/>
      <c r="P1209" s="830" t="str">
        <f>EUconst_CNTR_FuelInput &amp; I1191</f>
        <v>FuelInput_Podinstalacja objęta wskaźnikiem emisyjności opartym na paliwie, „CL”</v>
      </c>
      <c r="Q1209" s="422"/>
      <c r="R1209" s="422"/>
      <c r="S1209" s="422"/>
      <c r="T1209" s="422"/>
    </row>
    <row r="1210" spans="1:20" s="701" customFormat="1" x14ac:dyDescent="0.2">
      <c r="A1210" s="422"/>
      <c r="B1210" s="398"/>
      <c r="C1210" s="398"/>
      <c r="D1210" s="398"/>
      <c r="E1210" s="1743" t="str">
        <f>Translations!$B$732</f>
        <v>Ważony współczynnik emisji</v>
      </c>
      <c r="F1210" s="1744"/>
      <c r="G1210" s="1744"/>
      <c r="H1210" s="473" t="str">
        <f>EUconst_tCO2pTJ</f>
        <v>t CO2 / TJ</v>
      </c>
      <c r="I1210" s="1005" t="str">
        <f>IF($M1191&lt;&gt;EUconst_Relevant,"",IF(INDEX('G_Fall-back'!I:I,MATCH($P1210,'G_Fall-back'!$P:$P,0))="","",INDEX('G_Fall-back'!I:I,MATCH($P1210,'G_Fall-back'!$P:$P,0))))</f>
        <v/>
      </c>
      <c r="J1210" s="1005" t="str">
        <f>IF($M1191&lt;&gt;EUconst_Relevant,"",IF(INDEX('G_Fall-back'!J:J,MATCH($P1210,'G_Fall-back'!$P:$P,0))="","",INDEX('G_Fall-back'!J:J,MATCH($P1210,'G_Fall-back'!$P:$P,0))))</f>
        <v/>
      </c>
      <c r="K1210" s="1005" t="str">
        <f>IF($M1191&lt;&gt;EUconst_Relevant,"",IF(INDEX('G_Fall-back'!K:K,MATCH($P1210,'G_Fall-back'!$P:$P,0))="","",INDEX('G_Fall-back'!K:K,MATCH($P1210,'G_Fall-back'!$P:$P,0))))</f>
        <v/>
      </c>
      <c r="L1210" s="1005" t="str">
        <f>IF($M1191&lt;&gt;EUconst_Relevant,"",IF(INDEX('G_Fall-back'!L:L,MATCH($P1210,'G_Fall-back'!$P:$P,0))="","",INDEX('G_Fall-back'!L:L,MATCH($P1210,'G_Fall-back'!$P:$P,0))))</f>
        <v/>
      </c>
      <c r="M1210" s="1005" t="str">
        <f>IF($M1191&lt;&gt;EUconst_Relevant,"",IF(INDEX('G_Fall-back'!M:M,MATCH($P1210,'G_Fall-back'!$P:$P,0))="","",INDEX('G_Fall-back'!M:M,MATCH($P1210,'G_Fall-back'!$P:$P,0))))</f>
        <v/>
      </c>
      <c r="N1210" s="831"/>
      <c r="O1210" s="20"/>
      <c r="P1210" s="351" t="str">
        <f>EUconst_CNTR_FuelEF &amp; I1191</f>
        <v>FuelEF_Podinstalacja objęta wskaźnikiem emisyjności opartym na paliwie, „CL”</v>
      </c>
      <c r="Q1210" s="422"/>
      <c r="R1210" s="422"/>
      <c r="S1210" s="422"/>
      <c r="T1210" s="422"/>
    </row>
    <row r="1211" spans="1:20" s="701" customFormat="1" x14ac:dyDescent="0.2">
      <c r="A1211" s="422"/>
      <c r="B1211" s="398"/>
      <c r="C1211" s="398"/>
      <c r="D1211" s="398"/>
      <c r="E1211" s="1766" t="str">
        <f>Translations!$B$853</f>
        <v>Wsad paliwa z gazów odlotowych</v>
      </c>
      <c r="F1211" s="1767"/>
      <c r="G1211" s="1767"/>
      <c r="H1211" s="454" t="str">
        <f>EUconst_TJpa</f>
        <v>TJ / rok</v>
      </c>
      <c r="I1211" s="1004" t="str">
        <f>IF($M1191&lt;&gt;EUconst_Relevant,"",IF(INDEX('G_Fall-back'!I:I,MATCH($P1211,'G_Fall-back'!$P:$P,0))="","",INDEX('G_Fall-back'!I:I,MATCH($P1211,'G_Fall-back'!$P:$P,0))))</f>
        <v/>
      </c>
      <c r="J1211" s="1004" t="str">
        <f>IF($M1191&lt;&gt;EUconst_Relevant,"",IF(INDEX('G_Fall-back'!J:J,MATCH($P1211,'G_Fall-back'!$P:$P,0))="","",INDEX('G_Fall-back'!J:J,MATCH($P1211,'G_Fall-back'!$P:$P,0))))</f>
        <v/>
      </c>
      <c r="K1211" s="1004" t="str">
        <f>IF($M1191&lt;&gt;EUconst_Relevant,"",IF(INDEX('G_Fall-back'!K:K,MATCH($P1211,'G_Fall-back'!$P:$P,0))="","",INDEX('G_Fall-back'!K:K,MATCH($P1211,'G_Fall-back'!$P:$P,0))))</f>
        <v/>
      </c>
      <c r="L1211" s="1004" t="str">
        <f>IF($M1191&lt;&gt;EUconst_Relevant,"",IF(INDEX('G_Fall-back'!L:L,MATCH($P1211,'G_Fall-back'!$P:$P,0))="","",INDEX('G_Fall-back'!L:L,MATCH($P1211,'G_Fall-back'!$P:$P,0))))</f>
        <v/>
      </c>
      <c r="M1211" s="1004" t="str">
        <f>IF($M1191&lt;&gt;EUconst_Relevant,"",IF(INDEX('G_Fall-back'!M:M,MATCH($P1211,'G_Fall-back'!$P:$P,0))="","",INDEX('G_Fall-back'!M:M,MATCH($P1211,'G_Fall-back'!$P:$P,0))))</f>
        <v/>
      </c>
      <c r="N1211" s="831"/>
      <c r="O1211" s="20"/>
      <c r="P1211" s="438" t="str">
        <f>EUconst_CNTR_WGConsumed &amp; I1191</f>
        <v>WasteGasCons_Podinstalacja objęta wskaźnikiem emisyjności opartym na paliwie, „CL”</v>
      </c>
      <c r="Q1211" s="422"/>
      <c r="R1211" s="422"/>
      <c r="S1211" s="422"/>
      <c r="T1211" s="422"/>
    </row>
    <row r="1212" spans="1:20" s="701" customFormat="1" ht="12.75" customHeight="1" x14ac:dyDescent="0.2">
      <c r="A1212" s="422"/>
      <c r="B1212" s="398"/>
      <c r="C1212" s="398"/>
      <c r="D1212" s="398"/>
      <c r="E1212" s="1743" t="str">
        <f>Translations!$B$732</f>
        <v>Ważony współczynnik emisji</v>
      </c>
      <c r="F1212" s="1744"/>
      <c r="G1212" s="1744"/>
      <c r="H1212" s="473" t="str">
        <f>EUconst_tCO2pTJ</f>
        <v>t CO2 / TJ</v>
      </c>
      <c r="I1212" s="1005" t="str">
        <f>IF($M1191&lt;&gt;EUconst_Relevant,"",IF(INDEX('G_Fall-back'!I:I,MATCH($P1212,'G_Fall-back'!$P:$P,0))="","",INDEX('G_Fall-back'!I:I,MATCH($P1212,'G_Fall-back'!$P:$P,0))))</f>
        <v/>
      </c>
      <c r="J1212" s="1005" t="str">
        <f>IF($M1191&lt;&gt;EUconst_Relevant,"",IF(INDEX('G_Fall-back'!J:J,MATCH($P1212,'G_Fall-back'!$P:$P,0))="","",INDEX('G_Fall-back'!J:J,MATCH($P1212,'G_Fall-back'!$P:$P,0))))</f>
        <v/>
      </c>
      <c r="K1212" s="1005" t="str">
        <f>IF($M1191&lt;&gt;EUconst_Relevant,"",IF(INDEX('G_Fall-back'!K:K,MATCH($P1212,'G_Fall-back'!$P:$P,0))="","",INDEX('G_Fall-back'!K:K,MATCH($P1212,'G_Fall-back'!$P:$P,0))))</f>
        <v/>
      </c>
      <c r="L1212" s="1005" t="str">
        <f>IF($M1191&lt;&gt;EUconst_Relevant,"",IF(INDEX('G_Fall-back'!L:L,MATCH($P1212,'G_Fall-back'!$P:$P,0))="","",INDEX('G_Fall-back'!L:L,MATCH($P1212,'G_Fall-back'!$P:$P,0))))</f>
        <v/>
      </c>
      <c r="M1212" s="1005" t="str">
        <f>IF($M1191&lt;&gt;EUconst_Relevant,"",IF(INDEX('G_Fall-back'!M:M,MATCH($P1212,'G_Fall-back'!$P:$P,0))="","",INDEX('G_Fall-back'!M:M,MATCH($P1212,'G_Fall-back'!$P:$P,0))))</f>
        <v/>
      </c>
      <c r="N1212" s="831"/>
      <c r="O1212" s="20"/>
      <c r="P1212" s="351" t="str">
        <f>EUconst_CNTR_WGConsumedEF &amp; I1191</f>
        <v>WasteGasConsEF_Podinstalacja objęta wskaźnikiem emisyjności opartym na paliwie, „CL”</v>
      </c>
      <c r="Q1212" s="422"/>
      <c r="R1212" s="422"/>
      <c r="S1212" s="422"/>
      <c r="T1212" s="422"/>
    </row>
    <row r="1213" spans="1:20" s="701" customFormat="1" ht="5.0999999999999996" customHeight="1" x14ac:dyDescent="0.2">
      <c r="A1213" s="422"/>
      <c r="B1213" s="398"/>
      <c r="C1213" s="398"/>
      <c r="D1213" s="398"/>
      <c r="E1213" s="516"/>
      <c r="F1213" s="831"/>
      <c r="G1213" s="831"/>
      <c r="H1213" s="831"/>
      <c r="I1213" s="1006"/>
      <c r="J1213" s="1006"/>
      <c r="K1213" s="1006"/>
      <c r="L1213" s="1006"/>
      <c r="M1213" s="1006"/>
      <c r="N1213" s="831"/>
      <c r="O1213" s="20"/>
      <c r="P1213" s="422"/>
      <c r="Q1213" s="422"/>
      <c r="R1213" s="422"/>
      <c r="S1213" s="422"/>
      <c r="T1213" s="422"/>
    </row>
    <row r="1214" spans="1:20" s="701" customFormat="1" x14ac:dyDescent="0.2">
      <c r="A1214" s="422"/>
      <c r="B1214" s="398"/>
      <c r="C1214" s="398"/>
      <c r="D1214" s="398"/>
      <c r="E1214" s="1739" t="str">
        <f>Translations!$B$687</f>
        <v>Emisje bezpośrednie</v>
      </c>
      <c r="F1214" s="1740"/>
      <c r="G1214" s="1740"/>
      <c r="H1214" s="453" t="str">
        <f>EUconst_tCO2pa</f>
        <v>t CO2 / rok</v>
      </c>
      <c r="I1214" s="1007" t="str">
        <f>IF($M1191&lt;&gt;EUconst_Relevant,"",IF(INDEX('G_Fall-back'!I:I,MATCH($P1214,'G_Fall-back'!$P:$P,0))="","",INDEX('G_Fall-back'!I:I,MATCH($P1214,'G_Fall-back'!$P:$P,0))))</f>
        <v/>
      </c>
      <c r="J1214" s="1007" t="str">
        <f>IF($M1191&lt;&gt;EUconst_Relevant,"",IF(INDEX('G_Fall-back'!J:J,MATCH($P1214,'G_Fall-back'!$P:$P,0))="","",INDEX('G_Fall-back'!J:J,MATCH($P1214,'G_Fall-back'!$P:$P,0))))</f>
        <v/>
      </c>
      <c r="K1214" s="1007" t="str">
        <f>IF($M1191&lt;&gt;EUconst_Relevant,"",IF(INDEX('G_Fall-back'!K:K,MATCH($P1214,'G_Fall-back'!$P:$P,0))="","",INDEX('G_Fall-back'!K:K,MATCH($P1214,'G_Fall-back'!$P:$P,0))))</f>
        <v/>
      </c>
      <c r="L1214" s="1007" t="str">
        <f>IF($M1191&lt;&gt;EUconst_Relevant,"",IF(INDEX('G_Fall-back'!L:L,MATCH($P1214,'G_Fall-back'!$P:$P,0))="","",INDEX('G_Fall-back'!L:L,MATCH($P1214,'G_Fall-back'!$P:$P,0))))</f>
        <v/>
      </c>
      <c r="M1214" s="1007" t="str">
        <f>IF($M1191&lt;&gt;EUconst_Relevant,"",IF(INDEX('G_Fall-back'!M:M,MATCH($P1214,'G_Fall-back'!$P:$P,0))="","",INDEX('G_Fall-back'!M:M,MATCH($P1214,'G_Fall-back'!$P:$P,0))))</f>
        <v/>
      </c>
      <c r="N1214" s="831"/>
      <c r="O1214" s="20"/>
      <c r="P1214" s="351" t="str">
        <f>EUconst_CNTR_Emissions &amp; I1191</f>
        <v>DirEmissions_Podinstalacja objęta wskaźnikiem emisyjności opartym na paliwie, „CL”</v>
      </c>
      <c r="Q1214" s="422"/>
      <c r="R1214" s="422"/>
      <c r="S1214" s="422"/>
      <c r="T1214" s="422"/>
    </row>
    <row r="1215" spans="1:20" s="701" customFormat="1" ht="5.0999999999999996" customHeight="1" x14ac:dyDescent="0.2">
      <c r="A1215" s="422"/>
      <c r="B1215" s="398"/>
      <c r="C1215" s="398"/>
      <c r="D1215" s="398"/>
      <c r="E1215" s="516"/>
      <c r="F1215" s="516"/>
      <c r="G1215" s="516"/>
      <c r="H1215" s="516"/>
      <c r="I1215" s="1006"/>
      <c r="J1215" s="1006"/>
      <c r="K1215" s="1006"/>
      <c r="L1215" s="1006"/>
      <c r="M1215" s="1006"/>
      <c r="N1215" s="831"/>
      <c r="O1215" s="20"/>
      <c r="P1215" s="422"/>
      <c r="Q1215" s="422"/>
      <c r="R1215" s="422"/>
      <c r="S1215" s="422"/>
      <c r="T1215" s="422"/>
    </row>
    <row r="1216" spans="1:20" s="701" customFormat="1" x14ac:dyDescent="0.2">
      <c r="A1216" s="422"/>
      <c r="B1216" s="398"/>
      <c r="C1216" s="398"/>
      <c r="D1216" s="398"/>
      <c r="E1216" s="1739" t="str">
        <f>Translations!$B$770</f>
        <v>Ciepło wyprowadzone netto</v>
      </c>
      <c r="F1216" s="1740"/>
      <c r="G1216" s="1740"/>
      <c r="H1216" s="453" t="str">
        <f>EUconst_TJpa</f>
        <v>TJ / rok</v>
      </c>
      <c r="I1216" s="1007" t="str">
        <f>IF($M1191&lt;&gt;EUconst_Relevant,"",IF(INDEX('G_Fall-back'!I:I,MATCH($P1216,'G_Fall-back'!$P:$P,0))="","",INDEX('G_Fall-back'!I:I,MATCH($P1216,'G_Fall-back'!$P:$P,0))))</f>
        <v/>
      </c>
      <c r="J1216" s="1007" t="str">
        <f>IF($M1191&lt;&gt;EUconst_Relevant,"",IF(INDEX('G_Fall-back'!J:J,MATCH($P1216,'G_Fall-back'!$P:$P,0))="","",INDEX('G_Fall-back'!J:J,MATCH($P1216,'G_Fall-back'!$P:$P,0))))</f>
        <v/>
      </c>
      <c r="K1216" s="1007" t="str">
        <f>IF($M1191&lt;&gt;EUconst_Relevant,"",IF(INDEX('G_Fall-back'!K:K,MATCH($P1216,'G_Fall-back'!$P:$P,0))="","",INDEX('G_Fall-back'!K:K,MATCH($P1216,'G_Fall-back'!$P:$P,0))))</f>
        <v/>
      </c>
      <c r="L1216" s="1007" t="str">
        <f>IF($M1191&lt;&gt;EUconst_Relevant,"",IF(INDEX('G_Fall-back'!L:L,MATCH($P1216,'G_Fall-back'!$P:$P,0))="","",INDEX('G_Fall-back'!L:L,MATCH($P1216,'G_Fall-back'!$P:$P,0))))</f>
        <v/>
      </c>
      <c r="M1216" s="1007" t="str">
        <f>IF($M1191&lt;&gt;EUconst_Relevant,"",IF(INDEX('G_Fall-back'!M:M,MATCH($P1216,'G_Fall-back'!$P:$P,0))="","",INDEX('G_Fall-back'!M:M,MATCH($P1216,'G_Fall-back'!$P:$P,0))))</f>
        <v/>
      </c>
      <c r="N1216" s="831"/>
      <c r="O1216" s="20"/>
      <c r="P1216" s="351" t="str">
        <f>EUconst_CNTR_HeatExport &amp; I1191</f>
        <v>HeatEx_Podinstalacja objęta wskaźnikiem emisyjności opartym na paliwie, „CL”</v>
      </c>
      <c r="Q1216" s="422"/>
      <c r="R1216" s="422"/>
      <c r="S1216" s="422"/>
      <c r="T1216" s="422"/>
    </row>
    <row r="1217" spans="1:20" s="701" customFormat="1" ht="12.75" customHeight="1" x14ac:dyDescent="0.2">
      <c r="A1217" s="422"/>
      <c r="B1217" s="398"/>
      <c r="C1217" s="398"/>
      <c r="D1217" s="398"/>
      <c r="E1217" s="1739" t="s">
        <v>635</v>
      </c>
      <c r="F1217" s="1740"/>
      <c r="G1217" s="1740"/>
      <c r="H1217" s="453" t="str">
        <f>EUconst_TJpa</f>
        <v>TJ / rok</v>
      </c>
      <c r="I1217" s="1007" t="str">
        <f>IF($M1191&lt;&gt;EUconst_Relevant,"",IF(INDEX('G_Fall-back'!I:I,MATCH($P1217,'G_Fall-back'!$P:$P,0))="","",INDEX('G_Fall-back'!I:I,MATCH($P1217,'G_Fall-back'!$P:$P,0))))</f>
        <v/>
      </c>
      <c r="J1217" s="1007" t="str">
        <f>IF($M1191&lt;&gt;EUconst_Relevant,"",IF(INDEX('G_Fall-back'!J:J,MATCH($P1217,'G_Fall-back'!$P:$P,0))="","",INDEX('G_Fall-back'!J:J,MATCH($P1217,'G_Fall-back'!$P:$P,0))))</f>
        <v/>
      </c>
      <c r="K1217" s="1007" t="str">
        <f>IF($M1191&lt;&gt;EUconst_Relevant,"",IF(INDEX('G_Fall-back'!K:K,MATCH($P1217,'G_Fall-back'!$P:$P,0))="","",INDEX('G_Fall-back'!K:K,MATCH($P1217,'G_Fall-back'!$P:$P,0))))</f>
        <v/>
      </c>
      <c r="L1217" s="1007" t="str">
        <f>IF($M1191&lt;&gt;EUconst_Relevant,"",IF(INDEX('G_Fall-back'!L:L,MATCH($P1217,'G_Fall-back'!$P:$P,0))="","",INDEX('G_Fall-back'!L:L,MATCH($P1217,'G_Fall-back'!$P:$P,0))))</f>
        <v/>
      </c>
      <c r="M1217" s="1007" t="str">
        <f>IF($M1191&lt;&gt;EUconst_Relevant,"",IF(INDEX('G_Fall-back'!M:M,MATCH($P1217,'G_Fall-back'!$P:$P,0))="","",INDEX('G_Fall-back'!M:M,MATCH($P1217,'G_Fall-back'!$P:$P,0))))</f>
        <v/>
      </c>
      <c r="N1217" s="831"/>
      <c r="O1217" s="20"/>
      <c r="P1217" s="185" t="str">
        <f>EUconst_CNTR_HeatExportEF &amp; I1191</f>
        <v>HeatExEF_Podinstalacja objęta wskaźnikiem emisyjności opartym na paliwie, „CL”</v>
      </c>
      <c r="Q1217" s="422"/>
      <c r="R1217" s="422"/>
      <c r="S1217" s="422"/>
      <c r="T1217" s="422"/>
    </row>
    <row r="1218" spans="1:20" s="701" customFormat="1" ht="12.75" customHeight="1" x14ac:dyDescent="0.2">
      <c r="A1218" s="422"/>
      <c r="B1218" s="398"/>
      <c r="C1218" s="398"/>
      <c r="D1218" s="398"/>
      <c r="E1218" s="831"/>
      <c r="F1218" s="831"/>
      <c r="G1218" s="831"/>
      <c r="H1218" s="831"/>
      <c r="I1218" s="831"/>
      <c r="J1218" s="831"/>
      <c r="K1218" s="831"/>
      <c r="L1218" s="831"/>
      <c r="M1218" s="831"/>
      <c r="N1218" s="831"/>
      <c r="O1218" s="20"/>
      <c r="P1218" s="422"/>
      <c r="Q1218" s="422"/>
      <c r="R1218" s="422"/>
      <c r="S1218" s="422"/>
      <c r="T1218" s="422"/>
    </row>
    <row r="1219" spans="1:20" s="701" customFormat="1" ht="13.5" thickBot="1" x14ac:dyDescent="0.25">
      <c r="A1219" s="422"/>
      <c r="B1219" s="398"/>
      <c r="C1219" s="398"/>
      <c r="D1219" s="398"/>
      <c r="E1219" s="398"/>
      <c r="F1219" s="398"/>
      <c r="G1219" s="398"/>
      <c r="M1219" s="398"/>
      <c r="N1219" s="398"/>
      <c r="O1219" s="20"/>
      <c r="P1219" s="422"/>
      <c r="Q1219" s="422"/>
      <c r="R1219" s="422"/>
      <c r="S1219" s="422"/>
      <c r="T1219" s="422"/>
    </row>
    <row r="1220" spans="1:20" s="701" customFormat="1" ht="12.75" customHeight="1" thickBot="1" x14ac:dyDescent="0.25">
      <c r="A1220" s="422"/>
      <c r="B1220" s="3"/>
      <c r="C1220" s="281"/>
      <c r="D1220" s="281"/>
      <c r="E1220" s="281"/>
      <c r="F1220" s="281"/>
      <c r="G1220" s="281"/>
      <c r="H1220" s="281"/>
      <c r="I1220" s="281"/>
      <c r="J1220" s="281"/>
      <c r="K1220" s="281"/>
      <c r="L1220" s="281"/>
      <c r="M1220" s="281"/>
      <c r="N1220" s="281"/>
      <c r="O1220" s="20"/>
      <c r="P1220" s="422"/>
      <c r="Q1220" s="422"/>
      <c r="R1220" s="422"/>
      <c r="S1220" s="422"/>
      <c r="T1220" s="8" t="s">
        <v>583</v>
      </c>
    </row>
    <row r="1221" spans="1:20" s="701" customFormat="1" ht="38.25" customHeight="1" thickBot="1" x14ac:dyDescent="0.3">
      <c r="A1221" s="422"/>
      <c r="B1221" s="398"/>
      <c r="C1221" s="18">
        <f>C1191+1</f>
        <v>15</v>
      </c>
      <c r="D1221" s="1439" t="str">
        <f>CONCATENATE(EUconst_FBSubinst," ",C1221-10, ":")</f>
        <v>Podinstalacja, dla której wprowadzono rozwiązania rezerwowe (fall-back) 5:</v>
      </c>
      <c r="E1221" s="1370"/>
      <c r="F1221" s="1370"/>
      <c r="G1221" s="1370"/>
      <c r="H1221" s="1432"/>
      <c r="I1221" s="1958" t="str">
        <f>INDEX(EUconst_FallBackListNames,$C1221-10)</f>
        <v>Podinstalacja objęta wskaźnikiem emisyjności opartym na paliwie, „nie-CL”</v>
      </c>
      <c r="J1221" s="1959"/>
      <c r="K1221" s="1959"/>
      <c r="L1221" s="1960"/>
      <c r="M1221" s="1860" t="str">
        <f>IF(ISBLANK(INDEX(CNTR_FallBackSubInstRelevant,C1221-10)),"",IF(INDEX(CNTR_FallBackSubInstRelevant,C1221-10),EUconst_Relevant,EUconst_NotRelevant))</f>
        <v>nie dotyczy</v>
      </c>
      <c r="N1221" s="1861"/>
      <c r="O1221" s="20"/>
      <c r="P1221" s="422"/>
      <c r="Q1221" s="986">
        <f>C1221</f>
        <v>15</v>
      </c>
      <c r="R1221" s="983" t="str">
        <f>I1221</f>
        <v>Podinstalacja objęta wskaźnikiem emisyjności opartym na paliwie, „nie-CL”</v>
      </c>
      <c r="S1221" s="985" t="b">
        <f>H1224</f>
        <v>0</v>
      </c>
      <c r="T1221" s="984" t="str">
        <f>IF(M1233="","",IF(S1224=0,0,SUM(M1233)/S1224))</f>
        <v/>
      </c>
    </row>
    <row r="1222" spans="1:20" s="701" customFormat="1" ht="5.0999999999999996" customHeight="1" thickBot="1" x14ac:dyDescent="0.25">
      <c r="A1222" s="422"/>
      <c r="B1222" s="398"/>
      <c r="C1222" s="398"/>
      <c r="D1222" s="398"/>
      <c r="E1222" s="398"/>
      <c r="F1222" s="398"/>
      <c r="G1222" s="398"/>
      <c r="H1222" s="398"/>
      <c r="I1222" s="398"/>
      <c r="J1222" s="398"/>
      <c r="K1222" s="398"/>
      <c r="L1222" s="398"/>
      <c r="M1222" s="398"/>
      <c r="N1222" s="398"/>
      <c r="O1222" s="20"/>
      <c r="P1222" s="422"/>
      <c r="Q1222" s="422"/>
      <c r="R1222" s="422"/>
      <c r="S1222" s="422"/>
      <c r="T1222" s="8"/>
    </row>
    <row r="1223" spans="1:20" s="1299" customFormat="1" ht="51" x14ac:dyDescent="0.2">
      <c r="A1223" s="970"/>
      <c r="B1223" s="1300"/>
      <c r="C1223" s="1300"/>
      <c r="D1223" s="1300"/>
      <c r="E1223" s="1300"/>
      <c r="F1223" s="1300"/>
      <c r="G1223" s="1300"/>
      <c r="H1223" s="1304" t="str">
        <f>Translations!$B$1204</f>
        <v>narażenie na ryzyko ucieczki emisji</v>
      </c>
      <c r="I1223" s="1305" t="str">
        <f>Translations!$B$1208</f>
        <v>Rozpoczęcie</v>
      </c>
      <c r="J1223" s="1305" t="str">
        <f>Translations!$B$1212</f>
        <v>Art. 15 ust. 7 akapit trzeci?</v>
      </c>
      <c r="K1223" s="1305" t="str">
        <f>Translations!$B$1214</f>
        <v>Art. 15 ust. 7 akapit trzeci – HPD</v>
      </c>
      <c r="L1223" s="1306" t="str">
        <f>Translations!$B$1206</f>
        <v>Nr wskaźnika</v>
      </c>
      <c r="M1223" s="1307" t="str">
        <f>Translations!$B$1234</f>
        <v>Wart. wskaźnika (min./maks./faktyczna)</v>
      </c>
      <c r="N1223" s="1308"/>
      <c r="O1223" s="121"/>
      <c r="P1223" s="970"/>
      <c r="Q1223" s="970"/>
      <c r="R1223" s="970"/>
      <c r="S1223" s="970"/>
      <c r="T1223" s="972"/>
    </row>
    <row r="1224" spans="1:20" s="701" customFormat="1" x14ac:dyDescent="0.2">
      <c r="A1224" s="422"/>
      <c r="B1224" s="398"/>
      <c r="C1224" s="398"/>
      <c r="D1224" s="398"/>
      <c r="E1224" s="652" t="str">
        <f>I1221</f>
        <v>Podinstalacja objęta wskaźnikiem emisyjności opartym na paliwie, „nie-CL”</v>
      </c>
      <c r="F1224" s="653"/>
      <c r="G1224" s="590"/>
      <c r="H1224" s="654" t="b">
        <f>INDEX(EUconst_FallBackListCLstatus,MATCH(I1221,EUconst_FallBackListNames,0))</f>
        <v>0</v>
      </c>
      <c r="I1224" s="857" t="str">
        <f>IF(M1221&lt;&gt;EUconst_Relevant,"",INDEX(CNTR_SubInstStartDate,MATCH(E1224,CNTR_SubInstListNames,0)))</f>
        <v/>
      </c>
      <c r="J1224" s="655" t="str">
        <f>IF(M1221&lt;&gt;EUconst_Relevant,"",INDEX(CNTR_SubInstLess1Year,MATCH(E1224,CNTR_SubInstListNames,0)))</f>
        <v/>
      </c>
      <c r="K1224" s="536" t="str">
        <f>IF($J1224=TRUE,SUMIF('G_Fall-back'!$P:$P,EUconst_CNTR_HAL&amp;$E1224,'G_Fall-back'!$N:$N),"")</f>
        <v/>
      </c>
      <c r="L1224" s="855">
        <f>C1221-10</f>
        <v>5</v>
      </c>
      <c r="M1224" s="1077" t="str">
        <f>IF(M1221&lt;&gt;EUconst_Relevant,"",INDEX(EUconst_FallBackListBMvaluesMatrix,L1224,2))</f>
        <v/>
      </c>
      <c r="N1224" s="1074" t="str">
        <f>EUconst_EUA &amp; "/" &amp; H1229</f>
        <v>Uprawnienia do emisji ogólnych/TJ</v>
      </c>
      <c r="O1224" s="20"/>
      <c r="P1224" s="422"/>
      <c r="Q1224" s="422"/>
      <c r="R1224" s="736" t="s">
        <v>577</v>
      </c>
      <c r="S1224" s="822">
        <f>IF(H1224,1,INDEX(EUconst_CLEFYears,1))</f>
        <v>0.3</v>
      </c>
      <c r="T1224" s="422"/>
    </row>
    <row r="1225" spans="1:20" s="701" customFormat="1" x14ac:dyDescent="0.2">
      <c r="A1225" s="422"/>
      <c r="B1225" s="398"/>
      <c r="C1225" s="398"/>
      <c r="M1225" s="1077" t="str">
        <f>IF(M1221&lt;&gt;EUconst_Relevant,"",INDEX(EUconst_FallBackListBMvaluesMatrix,L1224,1))</f>
        <v/>
      </c>
      <c r="N1225" s="1074" t="str">
        <f>EUconst_EUA &amp; "/" &amp; H1229</f>
        <v>Uprawnienia do emisji ogólnych/TJ</v>
      </c>
      <c r="O1225" s="20"/>
      <c r="P1225" s="422"/>
      <c r="Q1225" s="422"/>
      <c r="R1225" s="736"/>
      <c r="S1225" s="875"/>
      <c r="T1225" s="422"/>
    </row>
    <row r="1226" spans="1:20" s="701" customFormat="1" ht="13.5" thickBot="1" x14ac:dyDescent="0.25">
      <c r="A1226" s="422"/>
      <c r="B1226" s="398"/>
      <c r="C1226" s="398"/>
      <c r="M1226" s="1078" t="str">
        <f>IF(M1221&lt;&gt;EUconst_Relevant,"",IF(EUconst_StatusOfDataCollection,INDEX(EUconst_FallBackListBMvaluesMatrix,L1224,3),""))</f>
        <v/>
      </c>
      <c r="N1226" s="1076" t="str">
        <f>EUconst_EUA &amp; "/" &amp; H1229</f>
        <v>Uprawnienia do emisji ogólnych/TJ</v>
      </c>
      <c r="O1226" s="20"/>
      <c r="P1226" s="422"/>
      <c r="Q1226" s="422"/>
      <c r="R1226" s="736"/>
      <c r="S1226" s="875"/>
      <c r="T1226" s="422"/>
    </row>
    <row r="1227" spans="1:20" s="701" customFormat="1" ht="5.0999999999999996" customHeight="1" x14ac:dyDescent="0.2">
      <c r="A1227" s="422"/>
      <c r="B1227" s="398"/>
      <c r="C1227" s="398"/>
      <c r="D1227" s="398"/>
      <c r="E1227" s="398"/>
      <c r="F1227" s="398"/>
      <c r="G1227" s="398"/>
      <c r="H1227" s="398"/>
      <c r="I1227" s="398"/>
      <c r="J1227" s="398"/>
      <c r="K1227" s="398"/>
      <c r="L1227" s="398"/>
      <c r="M1227" s="398"/>
      <c r="N1227" s="398"/>
      <c r="O1227" s="20"/>
      <c r="P1227" s="422"/>
      <c r="Q1227" s="422"/>
      <c r="R1227" s="422"/>
      <c r="S1227" s="422"/>
      <c r="T1227" s="422"/>
    </row>
    <row r="1228" spans="1:20" s="701" customFormat="1" x14ac:dyDescent="0.2">
      <c r="A1228" s="422"/>
      <c r="B1228" s="398"/>
      <c r="C1228" s="398"/>
      <c r="D1228" s="398"/>
      <c r="E1228" s="656"/>
      <c r="F1228" s="656"/>
      <c r="G1228" s="657"/>
      <c r="H1228" s="650" t="str">
        <f>EUconst_Unit</f>
        <v>Jednostka</v>
      </c>
      <c r="I1228" s="432">
        <f>I$1397</f>
        <v>2014</v>
      </c>
      <c r="J1228" s="432">
        <f>J$1397</f>
        <v>2015</v>
      </c>
      <c r="K1228" s="432">
        <f>K$1397</f>
        <v>2016</v>
      </c>
      <c r="L1228" s="432">
        <f>L$1397</f>
        <v>2017</v>
      </c>
      <c r="M1228" s="432">
        <f>M$1397</f>
        <v>2018</v>
      </c>
      <c r="N1228" s="398"/>
      <c r="O1228" s="20"/>
      <c r="P1228" s="185" t="s">
        <v>237</v>
      </c>
      <c r="Q1228" s="422"/>
      <c r="R1228" s="422"/>
      <c r="S1228" s="422"/>
      <c r="T1228" s="422"/>
    </row>
    <row r="1229" spans="1:20" s="701" customFormat="1" x14ac:dyDescent="0.2">
      <c r="A1229" s="422"/>
      <c r="B1229" s="398"/>
      <c r="C1229" s="398"/>
      <c r="D1229" s="398"/>
      <c r="E1229" s="658" t="str">
        <f>Translations!$B$1236</f>
        <v>Zgłoszony HPD (historyczny poziom działalności)</v>
      </c>
      <c r="F1229" s="659"/>
      <c r="G1229" s="660"/>
      <c r="H1229" s="654" t="str">
        <f>INDEX(EUconst_FallBackListUnits,L1224)</f>
        <v>TJ</v>
      </c>
      <c r="I1229" s="536" t="str">
        <f>IF($M1221&lt;&gt;EUconst_Relevant,"",SUMIF('G_Fall-back'!$P:$P,$P1230,'G_Fall-back'!I:I))</f>
        <v/>
      </c>
      <c r="J1229" s="536" t="str">
        <f>IF($M1221&lt;&gt;EUconst_Relevant,"",SUMIF('G_Fall-back'!$P:$P,$P1230,'G_Fall-back'!J:J))</f>
        <v/>
      </c>
      <c r="K1229" s="536" t="str">
        <f>IF($M1221&lt;&gt;EUconst_Relevant,"",SUMIF('G_Fall-back'!$P:$P,$P1230,'G_Fall-back'!K:K))</f>
        <v/>
      </c>
      <c r="L1229" s="536" t="str">
        <f>IF($M1221&lt;&gt;EUconst_Relevant,"",SUMIF('G_Fall-back'!$P:$P,$P1230,'G_Fall-back'!L:L))</f>
        <v/>
      </c>
      <c r="M1229" s="536" t="str">
        <f>IF($M1221&lt;&gt;EUconst_Relevant,"",SUMIF('G_Fall-back'!$P:$P,$P1230,'G_Fall-back'!M:M))</f>
        <v/>
      </c>
      <c r="N1229" s="651" t="str">
        <f>Translations!$B$1224</f>
        <v>Średnia</v>
      </c>
      <c r="O1229" s="20"/>
      <c r="P1229" s="185" t="str">
        <f>EUconst_CNTR_HAL&amp;I1221</f>
        <v>HAL_Podinstalacja objęta wskaźnikiem emisyjności opartym na paliwie, „nie-CL”</v>
      </c>
      <c r="Q1229" s="422"/>
      <c r="R1229" s="422"/>
      <c r="S1229" s="422"/>
      <c r="T1229" s="8"/>
    </row>
    <row r="1230" spans="1:20" s="701" customFormat="1" x14ac:dyDescent="0.2">
      <c r="A1230" s="422"/>
      <c r="B1230" s="398"/>
      <c r="C1230" s="398"/>
      <c r="D1230" s="398"/>
      <c r="E1230" s="658" t="str">
        <f>Translations!$B$1237</f>
        <v>Wartości wykorzystywane do obliczania zgłoszonego HPD:</v>
      </c>
      <c r="F1230" s="659"/>
      <c r="G1230" s="660"/>
      <c r="H1230" s="654" t="str">
        <f>H1229</f>
        <v>TJ</v>
      </c>
      <c r="I1230" s="427" t="str">
        <f>IF($M1221&lt;&gt;EUconst_Relevant,"",INDEX('G_Fall-back'!S:S,MATCH($P1230,'G_Fall-back'!$P:$P,0)))</f>
        <v/>
      </c>
      <c r="J1230" s="427" t="str">
        <f>IF($M1221&lt;&gt;EUconst_Relevant,"",INDEX('G_Fall-back'!T:T,MATCH($P1230,'G_Fall-back'!$P:$P,0)))</f>
        <v/>
      </c>
      <c r="K1230" s="427" t="str">
        <f>IF($M1221&lt;&gt;EUconst_Relevant,"",INDEX('G_Fall-back'!U:U,MATCH($P1230,'G_Fall-back'!$P:$P,0)))</f>
        <v/>
      </c>
      <c r="L1230" s="427" t="str">
        <f>IF($M1221&lt;&gt;EUconst_Relevant,"",INDEX('G_Fall-back'!V:V,MATCH($P1230,'G_Fall-back'!$P:$P,0)))</f>
        <v/>
      </c>
      <c r="M1230" s="427" t="str">
        <f>IF($M1221&lt;&gt;EUconst_Relevant,"",INDEX('G_Fall-back'!W:W,MATCH($P1230,'G_Fall-back'!$P:$P,0)))</f>
        <v/>
      </c>
      <c r="N1230" s="536" t="str">
        <f>IF(OR($M1221&lt;&gt;EUconst_Relevant,$J1224=TRUE),"",IF(COUNT($I1230:$M1230)&gt;0,AVERAGE($I1230:$M1230),""))</f>
        <v/>
      </c>
      <c r="O1230" s="20"/>
      <c r="P1230" s="185" t="str">
        <f>EUconst_CNTR_HAL&amp;I1221</f>
        <v>HAL_Podinstalacja objęta wskaźnikiem emisyjności opartym na paliwie, „nie-CL”</v>
      </c>
      <c r="Q1230" s="422"/>
      <c r="R1230" s="1013" t="s">
        <v>630</v>
      </c>
      <c r="S1230" s="1013" t="s">
        <v>631</v>
      </c>
      <c r="T1230" s="1013" t="s">
        <v>632</v>
      </c>
    </row>
    <row r="1231" spans="1:20" s="701" customFormat="1" ht="5.0999999999999996" customHeight="1" thickBot="1" x14ac:dyDescent="0.25">
      <c r="A1231" s="422"/>
      <c r="B1231" s="398"/>
      <c r="C1231" s="398"/>
      <c r="D1231" s="398"/>
      <c r="E1231" s="398"/>
      <c r="F1231" s="398"/>
      <c r="G1231" s="398"/>
      <c r="H1231" s="398"/>
      <c r="I1231" s="398"/>
      <c r="J1231" s="398"/>
      <c r="K1231" s="398"/>
      <c r="L1231" s="398"/>
      <c r="M1231" s="398"/>
      <c r="N1231" s="398"/>
      <c r="O1231" s="20"/>
      <c r="P1231" s="422"/>
      <c r="Q1231" s="422"/>
      <c r="R1231" s="422"/>
      <c r="S1231" s="422"/>
      <c r="T1231" s="8"/>
    </row>
    <row r="1232" spans="1:20" s="701" customFormat="1" ht="13.5" thickBot="1" x14ac:dyDescent="0.25">
      <c r="A1232" s="422"/>
      <c r="B1232" s="398"/>
      <c r="C1232" s="398"/>
      <c r="D1232" s="398"/>
      <c r="E1232" s="398"/>
      <c r="F1232" s="661" t="s">
        <v>520</v>
      </c>
      <c r="G1232" s="824"/>
      <c r="H1232" s="398"/>
      <c r="I1232" s="823" t="str">
        <f>Translations!$B$1226</f>
        <v>Wst. przydział rok 1 (min.)</v>
      </c>
      <c r="J1232" s="824"/>
      <c r="K1232" s="823" t="str">
        <f>Translations!$B$1229</f>
        <v>Wst. przydział rok 1 (maks.)</v>
      </c>
      <c r="L1232" s="824"/>
      <c r="M1232" s="823" t="str">
        <f>Translations!$B$1231</f>
        <v>Wst. przydział rok 1 (faktyczny)</v>
      </c>
      <c r="N1232" s="824"/>
      <c r="O1232" s="20"/>
      <c r="P1232" s="185" t="str">
        <f>EUconst_AllocPrelim&amp;I1221</f>
        <v>AllocPrelim_Podinstalacja objęta wskaźnikiem emisyjności opartym na paliwie, „nie-CL”</v>
      </c>
      <c r="Q1232" s="422"/>
      <c r="R1232" s="982" t="str">
        <f>IF(I1233="","",IF(S1224=0,0,SUM(I1233)/S1224))</f>
        <v/>
      </c>
      <c r="S1232" s="982" t="str">
        <f>IF(K1233="","",IF(S1224=0,0,SUM(K1233)/S1224))</f>
        <v/>
      </c>
      <c r="T1232" s="982" t="str">
        <f>T1221</f>
        <v/>
      </c>
    </row>
    <row r="1233" spans="1:20" s="701" customFormat="1" ht="13.5" thickBot="1" x14ac:dyDescent="0.25">
      <c r="A1233" s="422"/>
      <c r="B1233" s="398"/>
      <c r="C1233" s="398"/>
      <c r="D1233" s="398"/>
      <c r="E1233" s="398"/>
      <c r="F1233" s="662" t="str">
        <f>IF(M1221&lt;&gt;EUconst_Relevant,"",MAX(0, IF(J1224=TRUE, SUM(K1224), SUM(N1230))))</f>
        <v/>
      </c>
      <c r="G1233" s="966" t="str">
        <f>H1230&amp;" / "&amp;EUconst_Year</f>
        <v>TJ / rok</v>
      </c>
      <c r="H1233" s="398"/>
      <c r="I1233" s="820" t="str">
        <f>IF(M1221&lt;&gt;EUconst_Relevant,"",ROUND(SUM(M1224)*SUM(F1233)*SUM(S1224),0))</f>
        <v/>
      </c>
      <c r="J1233" s="966" t="str">
        <f>EUconst_EUApa</f>
        <v>Uprawnienia do emisji ogólnych / rok</v>
      </c>
      <c r="K1233" s="820" t="str">
        <f>IF(M1221&lt;&gt;EUconst_Relevant,"",ROUND(SUM(M1225)*SUM(F1233)*SUM(S1224),0))</f>
        <v/>
      </c>
      <c r="L1233" s="966" t="str">
        <f>EUconst_EUApa</f>
        <v>Uprawnienia do emisji ogólnych / rok</v>
      </c>
      <c r="M1233" s="820" t="str">
        <f>IF(OR(M1221&lt;&gt;EUconst_Relevant,M1226=""),"",ROUND(SUM(M1226)*SUM(F1233)*SUM(S1224),0))</f>
        <v/>
      </c>
      <c r="N1233" s="966" t="str">
        <f>EUconst_EUApa</f>
        <v>Uprawnienia do emisji ogólnych / rok</v>
      </c>
      <c r="O1233" s="20"/>
      <c r="P1233" s="185" t="str">
        <f>EUconst_HALsum &amp; I1221</f>
        <v>HALsum_Podinstalacja objęta wskaźnikiem emisyjności opartym na paliwie, „nie-CL”</v>
      </c>
      <c r="Q1233" s="422"/>
      <c r="R1233" s="422"/>
      <c r="S1233" s="422"/>
      <c r="T1233" s="422"/>
    </row>
    <row r="1234" spans="1:20" s="701" customFormat="1" x14ac:dyDescent="0.2">
      <c r="A1234" s="422"/>
      <c r="B1234" s="398"/>
      <c r="C1234" s="398"/>
      <c r="D1234" s="398"/>
      <c r="E1234" s="398"/>
      <c r="F1234" s="398"/>
      <c r="G1234" s="398"/>
      <c r="H1234" s="398"/>
      <c r="I1234" s="398"/>
      <c r="J1234" s="398"/>
      <c r="K1234" s="398"/>
      <c r="L1234" s="398"/>
      <c r="M1234" s="398"/>
      <c r="N1234" s="398"/>
      <c r="O1234" s="20"/>
      <c r="P1234" s="422"/>
      <c r="Q1234" s="422"/>
      <c r="R1234" s="422"/>
      <c r="S1234" s="422"/>
      <c r="T1234" s="422"/>
    </row>
    <row r="1235" spans="1:20" s="701" customFormat="1" ht="12.75" customHeight="1" x14ac:dyDescent="0.2">
      <c r="A1235" s="422"/>
      <c r="B1235" s="398"/>
      <c r="C1235" s="398"/>
      <c r="D1235" s="398"/>
      <c r="E1235" s="516"/>
      <c r="F1235" s="831"/>
      <c r="G1235" s="831"/>
      <c r="H1235" s="831"/>
      <c r="I1235" s="831"/>
      <c r="J1235" s="831"/>
      <c r="K1235" s="831"/>
      <c r="L1235" s="831"/>
      <c r="M1235" s="831"/>
      <c r="N1235" s="831"/>
      <c r="O1235" s="20"/>
      <c r="P1235" s="422"/>
      <c r="Q1235" s="422"/>
      <c r="R1235" s="422"/>
      <c r="S1235" s="422"/>
      <c r="T1235" s="422"/>
    </row>
    <row r="1236" spans="1:20" s="701" customFormat="1" ht="13.5" thickBot="1" x14ac:dyDescent="0.25">
      <c r="A1236" s="422"/>
      <c r="B1236" s="398"/>
      <c r="C1236" s="398"/>
      <c r="D1236" s="398"/>
      <c r="E1236" s="516"/>
      <c r="F1236" s="831"/>
      <c r="G1236" s="831"/>
      <c r="H1236" s="515" t="str">
        <f>EUconst_Unit</f>
        <v>Jednostka</v>
      </c>
      <c r="I1236" s="1010">
        <f>I$1397</f>
        <v>2014</v>
      </c>
      <c r="J1236" s="833">
        <f>J$1397</f>
        <v>2015</v>
      </c>
      <c r="K1236" s="833">
        <f>K$1397</f>
        <v>2016</v>
      </c>
      <c r="L1236" s="833">
        <f>L$1397</f>
        <v>2017</v>
      </c>
      <c r="M1236" s="833">
        <f>M$1397</f>
        <v>2018</v>
      </c>
      <c r="N1236" s="831"/>
      <c r="O1236" s="20"/>
      <c r="P1236" s="422"/>
      <c r="Q1236" s="422"/>
      <c r="R1236" s="422"/>
      <c r="S1236" s="422"/>
      <c r="T1236" s="422"/>
    </row>
    <row r="1237" spans="1:20" s="701" customFormat="1" ht="13.5" thickBot="1" x14ac:dyDescent="0.25">
      <c r="A1237" s="422"/>
      <c r="B1237" s="398"/>
      <c r="C1237" s="398"/>
      <c r="D1237" s="398"/>
      <c r="E1237" s="1876" t="str">
        <f>Translations!$B$1238</f>
        <v>Całkowite przypisane emisje</v>
      </c>
      <c r="F1237" s="1876"/>
      <c r="G1237" s="1876"/>
      <c r="H1237" s="968" t="str">
        <f>EUconst_tCO2epa</f>
        <v>t CO2e/rok</v>
      </c>
      <c r="I1237" s="1000" t="str">
        <f>INDEX(I$93:I$109,MATCH($I1221,$E$93:$E$109,0))</f>
        <v/>
      </c>
      <c r="J1237" s="1001" t="str">
        <f>INDEX(J$93:J$109,MATCH($I1221,$E$93:$E$109,0))</f>
        <v/>
      </c>
      <c r="K1237" s="1001" t="str">
        <f>INDEX(K$93:K$109,MATCH($I1221,$E$93:$E$109,0))</f>
        <v/>
      </c>
      <c r="L1237" s="1001" t="str">
        <f>INDEX(L$93:L$109,MATCH($I1221,$E$93:$E$109,0))</f>
        <v/>
      </c>
      <c r="M1237" s="1002" t="str">
        <f>INDEX(M$93:M$109,MATCH($I1221,$E$93:$E$109,0))</f>
        <v/>
      </c>
      <c r="N1237" s="831"/>
      <c r="O1237" s="20"/>
      <c r="P1237" s="422"/>
      <c r="Q1237" s="422"/>
      <c r="R1237" s="422"/>
      <c r="S1237" s="422"/>
      <c r="T1237" s="8"/>
    </row>
    <row r="1238" spans="1:20" s="701" customFormat="1" ht="5.0999999999999996" customHeight="1" x14ac:dyDescent="0.2">
      <c r="A1238" s="422"/>
      <c r="B1238" s="398"/>
      <c r="C1238" s="398"/>
      <c r="D1238" s="398"/>
      <c r="E1238" s="516"/>
      <c r="F1238" s="516"/>
      <c r="G1238" s="516"/>
      <c r="H1238" s="516"/>
      <c r="I1238" s="1003"/>
      <c r="J1238" s="1003"/>
      <c r="K1238" s="1003"/>
      <c r="L1238" s="1003"/>
      <c r="M1238" s="1003"/>
      <c r="N1238" s="516"/>
      <c r="O1238" s="20"/>
      <c r="P1238" s="422"/>
      <c r="Q1238" s="422"/>
      <c r="R1238" s="422"/>
      <c r="S1238" s="422"/>
      <c r="T1238" s="8"/>
    </row>
    <row r="1239" spans="1:20" s="701" customFormat="1" x14ac:dyDescent="0.2">
      <c r="A1239" s="422"/>
      <c r="B1239" s="398"/>
      <c r="C1239" s="398"/>
      <c r="D1239" s="398"/>
      <c r="E1239" s="1766" t="str">
        <f>Translations!$B$731</f>
        <v>Wsad paliwa</v>
      </c>
      <c r="F1239" s="1767"/>
      <c r="G1239" s="1767"/>
      <c r="H1239" s="454" t="str">
        <f>EUconst_TJpa</f>
        <v>TJ / rok</v>
      </c>
      <c r="I1239" s="1004" t="str">
        <f>IF($M1221&lt;&gt;EUconst_Relevant,"",IF(INDEX('G_Fall-back'!I:I,MATCH($P1239,'G_Fall-back'!$P:$P,0))="","",INDEX('G_Fall-back'!I:I,MATCH($P1239,'G_Fall-back'!$P:$P,0))))</f>
        <v/>
      </c>
      <c r="J1239" s="1004" t="str">
        <f>IF($M1221&lt;&gt;EUconst_Relevant,"",IF(INDEX('G_Fall-back'!J:J,MATCH($P1239,'G_Fall-back'!$P:$P,0))="","",INDEX('G_Fall-back'!J:J,MATCH($P1239,'G_Fall-back'!$P:$P,0))))</f>
        <v/>
      </c>
      <c r="K1239" s="1004" t="str">
        <f>IF($M1221&lt;&gt;EUconst_Relevant,"",IF(INDEX('G_Fall-back'!K:K,MATCH($P1239,'G_Fall-back'!$P:$P,0))="","",INDEX('G_Fall-back'!K:K,MATCH($P1239,'G_Fall-back'!$P:$P,0))))</f>
        <v/>
      </c>
      <c r="L1239" s="1004" t="str">
        <f>IF($M1221&lt;&gt;EUconst_Relevant,"",IF(INDEX('G_Fall-back'!L:L,MATCH($P1239,'G_Fall-back'!$P:$P,0))="","",INDEX('G_Fall-back'!L:L,MATCH($P1239,'G_Fall-back'!$P:$P,0))))</f>
        <v/>
      </c>
      <c r="M1239" s="1004" t="str">
        <f>IF($M1221&lt;&gt;EUconst_Relevant,"",IF(INDEX('G_Fall-back'!M:M,MATCH($P1239,'G_Fall-back'!$P:$P,0))="","",INDEX('G_Fall-back'!M:M,MATCH($P1239,'G_Fall-back'!$P:$P,0))))</f>
        <v/>
      </c>
      <c r="N1239" s="831"/>
      <c r="O1239" s="20"/>
      <c r="P1239" s="830" t="str">
        <f>EUconst_CNTR_FuelInput &amp; I1221</f>
        <v>FuelInput_Podinstalacja objęta wskaźnikiem emisyjności opartym na paliwie, „nie-CL”</v>
      </c>
      <c r="Q1239" s="422"/>
      <c r="R1239" s="422"/>
      <c r="S1239" s="422"/>
      <c r="T1239" s="422"/>
    </row>
    <row r="1240" spans="1:20" s="701" customFormat="1" x14ac:dyDescent="0.2">
      <c r="A1240" s="422"/>
      <c r="B1240" s="398"/>
      <c r="C1240" s="398"/>
      <c r="D1240" s="398"/>
      <c r="E1240" s="1743" t="str">
        <f>Translations!$B$732</f>
        <v>Ważony współczynnik emisji</v>
      </c>
      <c r="F1240" s="1744"/>
      <c r="G1240" s="1744"/>
      <c r="H1240" s="473" t="str">
        <f>EUconst_tCO2pTJ</f>
        <v>t CO2 / TJ</v>
      </c>
      <c r="I1240" s="1005" t="str">
        <f>IF($M1221&lt;&gt;EUconst_Relevant,"",IF(INDEX('G_Fall-back'!I:I,MATCH($P1240,'G_Fall-back'!$P:$P,0))="","",INDEX('G_Fall-back'!I:I,MATCH($P1240,'G_Fall-back'!$P:$P,0))))</f>
        <v/>
      </c>
      <c r="J1240" s="1005" t="str">
        <f>IF($M1221&lt;&gt;EUconst_Relevant,"",IF(INDEX('G_Fall-back'!J:J,MATCH($P1240,'G_Fall-back'!$P:$P,0))="","",INDEX('G_Fall-back'!J:J,MATCH($P1240,'G_Fall-back'!$P:$P,0))))</f>
        <v/>
      </c>
      <c r="K1240" s="1005" t="str">
        <f>IF($M1221&lt;&gt;EUconst_Relevant,"",IF(INDEX('G_Fall-back'!K:K,MATCH($P1240,'G_Fall-back'!$P:$P,0))="","",INDEX('G_Fall-back'!K:K,MATCH($P1240,'G_Fall-back'!$P:$P,0))))</f>
        <v/>
      </c>
      <c r="L1240" s="1005" t="str">
        <f>IF($M1221&lt;&gt;EUconst_Relevant,"",IF(INDEX('G_Fall-back'!L:L,MATCH($P1240,'G_Fall-back'!$P:$P,0))="","",INDEX('G_Fall-back'!L:L,MATCH($P1240,'G_Fall-back'!$P:$P,0))))</f>
        <v/>
      </c>
      <c r="M1240" s="1005" t="str">
        <f>IF($M1221&lt;&gt;EUconst_Relevant,"",IF(INDEX('G_Fall-back'!M:M,MATCH($P1240,'G_Fall-back'!$P:$P,0))="","",INDEX('G_Fall-back'!M:M,MATCH($P1240,'G_Fall-back'!$P:$P,0))))</f>
        <v/>
      </c>
      <c r="N1240" s="831"/>
      <c r="O1240" s="20"/>
      <c r="P1240" s="351" t="str">
        <f>EUconst_CNTR_FuelEF &amp; I1221</f>
        <v>FuelEF_Podinstalacja objęta wskaźnikiem emisyjności opartym na paliwie, „nie-CL”</v>
      </c>
      <c r="Q1240" s="422"/>
      <c r="R1240" s="422"/>
      <c r="S1240" s="422"/>
      <c r="T1240" s="422"/>
    </row>
    <row r="1241" spans="1:20" s="701" customFormat="1" x14ac:dyDescent="0.2">
      <c r="A1241" s="422"/>
      <c r="B1241" s="398"/>
      <c r="C1241" s="398"/>
      <c r="D1241" s="398"/>
      <c r="E1241" s="1766" t="str">
        <f>Translations!$B$853</f>
        <v>Wsad paliwa z gazów odlotowych</v>
      </c>
      <c r="F1241" s="1767"/>
      <c r="G1241" s="1767"/>
      <c r="H1241" s="454" t="str">
        <f>EUconst_TJpa</f>
        <v>TJ / rok</v>
      </c>
      <c r="I1241" s="1004" t="str">
        <f>IF($M1221&lt;&gt;EUconst_Relevant,"",IF(INDEX('G_Fall-back'!I:I,MATCH($P1241,'G_Fall-back'!$P:$P,0))="","",INDEX('G_Fall-back'!I:I,MATCH($P1241,'G_Fall-back'!$P:$P,0))))</f>
        <v/>
      </c>
      <c r="J1241" s="1004" t="str">
        <f>IF($M1221&lt;&gt;EUconst_Relevant,"",IF(INDEX('G_Fall-back'!J:J,MATCH($P1241,'G_Fall-back'!$P:$P,0))="","",INDEX('G_Fall-back'!J:J,MATCH($P1241,'G_Fall-back'!$P:$P,0))))</f>
        <v/>
      </c>
      <c r="K1241" s="1004" t="str">
        <f>IF($M1221&lt;&gt;EUconst_Relevant,"",IF(INDEX('G_Fall-back'!K:K,MATCH($P1241,'G_Fall-back'!$P:$P,0))="","",INDEX('G_Fall-back'!K:K,MATCH($P1241,'G_Fall-back'!$P:$P,0))))</f>
        <v/>
      </c>
      <c r="L1241" s="1004" t="str">
        <f>IF($M1221&lt;&gt;EUconst_Relevant,"",IF(INDEX('G_Fall-back'!L:L,MATCH($P1241,'G_Fall-back'!$P:$P,0))="","",INDEX('G_Fall-back'!L:L,MATCH($P1241,'G_Fall-back'!$P:$P,0))))</f>
        <v/>
      </c>
      <c r="M1241" s="1004" t="str">
        <f>IF($M1221&lt;&gt;EUconst_Relevant,"",IF(INDEX('G_Fall-back'!M:M,MATCH($P1241,'G_Fall-back'!$P:$P,0))="","",INDEX('G_Fall-back'!M:M,MATCH($P1241,'G_Fall-back'!$P:$P,0))))</f>
        <v/>
      </c>
      <c r="N1241" s="831"/>
      <c r="O1241" s="20"/>
      <c r="P1241" s="438" t="str">
        <f>EUconst_CNTR_WGConsumed &amp; I1221</f>
        <v>WasteGasCons_Podinstalacja objęta wskaźnikiem emisyjności opartym na paliwie, „nie-CL”</v>
      </c>
      <c r="Q1241" s="422"/>
      <c r="R1241" s="422"/>
      <c r="S1241" s="422"/>
      <c r="T1241" s="422"/>
    </row>
    <row r="1242" spans="1:20" s="701" customFormat="1" x14ac:dyDescent="0.2">
      <c r="A1242" s="422"/>
      <c r="B1242" s="398"/>
      <c r="C1242" s="398"/>
      <c r="D1242" s="398"/>
      <c r="E1242" s="1743" t="str">
        <f>Translations!$B$732</f>
        <v>Ważony współczynnik emisji</v>
      </c>
      <c r="F1242" s="1744"/>
      <c r="G1242" s="1744"/>
      <c r="H1242" s="473" t="str">
        <f>EUconst_tCO2pTJ</f>
        <v>t CO2 / TJ</v>
      </c>
      <c r="I1242" s="1005" t="str">
        <f>IF($M1221&lt;&gt;EUconst_Relevant,"",IF(INDEX('G_Fall-back'!I:I,MATCH($P1242,'G_Fall-back'!$P:$P,0))="","",INDEX('G_Fall-back'!I:I,MATCH($P1242,'G_Fall-back'!$P:$P,0))))</f>
        <v/>
      </c>
      <c r="J1242" s="1005" t="str">
        <f>IF($M1221&lt;&gt;EUconst_Relevant,"",IF(INDEX('G_Fall-back'!J:J,MATCH($P1242,'G_Fall-back'!$P:$P,0))="","",INDEX('G_Fall-back'!J:J,MATCH($P1242,'G_Fall-back'!$P:$P,0))))</f>
        <v/>
      </c>
      <c r="K1242" s="1005" t="str">
        <f>IF($M1221&lt;&gt;EUconst_Relevant,"",IF(INDEX('G_Fall-back'!K:K,MATCH($P1242,'G_Fall-back'!$P:$P,0))="","",INDEX('G_Fall-back'!K:K,MATCH($P1242,'G_Fall-back'!$P:$P,0))))</f>
        <v/>
      </c>
      <c r="L1242" s="1005" t="str">
        <f>IF($M1221&lt;&gt;EUconst_Relevant,"",IF(INDEX('G_Fall-back'!L:L,MATCH($P1242,'G_Fall-back'!$P:$P,0))="","",INDEX('G_Fall-back'!L:L,MATCH($P1242,'G_Fall-back'!$P:$P,0))))</f>
        <v/>
      </c>
      <c r="M1242" s="1005" t="str">
        <f>IF($M1221&lt;&gt;EUconst_Relevant,"",IF(INDEX('G_Fall-back'!M:M,MATCH($P1242,'G_Fall-back'!$P:$P,0))="","",INDEX('G_Fall-back'!M:M,MATCH($P1242,'G_Fall-back'!$P:$P,0))))</f>
        <v/>
      </c>
      <c r="N1242" s="831"/>
      <c r="O1242" s="20"/>
      <c r="P1242" s="351" t="str">
        <f>EUconst_CNTR_WGConsumedEF &amp; I1221</f>
        <v>WasteGasConsEF_Podinstalacja objęta wskaźnikiem emisyjności opartym na paliwie, „nie-CL”</v>
      </c>
      <c r="Q1242" s="422"/>
      <c r="R1242" s="422"/>
      <c r="S1242" s="422"/>
      <c r="T1242" s="422"/>
    </row>
    <row r="1243" spans="1:20" s="701" customFormat="1" ht="5.0999999999999996" customHeight="1" x14ac:dyDescent="0.2">
      <c r="A1243" s="422"/>
      <c r="B1243" s="398"/>
      <c r="C1243" s="398"/>
      <c r="D1243" s="398"/>
      <c r="E1243" s="516"/>
      <c r="F1243" s="831"/>
      <c r="G1243" s="831"/>
      <c r="H1243" s="831"/>
      <c r="I1243" s="1006"/>
      <c r="J1243" s="1006"/>
      <c r="K1243" s="1006"/>
      <c r="L1243" s="1006"/>
      <c r="M1243" s="1006"/>
      <c r="N1243" s="831"/>
      <c r="O1243" s="20"/>
      <c r="P1243" s="422"/>
      <c r="Q1243" s="422"/>
      <c r="R1243" s="422"/>
      <c r="S1243" s="422"/>
      <c r="T1243" s="422"/>
    </row>
    <row r="1244" spans="1:20" s="701" customFormat="1" x14ac:dyDescent="0.2">
      <c r="A1244" s="422"/>
      <c r="B1244" s="398"/>
      <c r="C1244" s="398"/>
      <c r="D1244" s="398"/>
      <c r="E1244" s="1739" t="str">
        <f>Translations!$B$687</f>
        <v>Emisje bezpośrednie</v>
      </c>
      <c r="F1244" s="1740"/>
      <c r="G1244" s="1740"/>
      <c r="H1244" s="453" t="str">
        <f>EUconst_tCO2pa</f>
        <v>t CO2 / rok</v>
      </c>
      <c r="I1244" s="1007" t="str">
        <f>IF($M1221&lt;&gt;EUconst_Relevant,"",IF(INDEX('G_Fall-back'!I:I,MATCH($P1244,'G_Fall-back'!$P:$P,0))="","",INDEX('G_Fall-back'!I:I,MATCH($P1244,'G_Fall-back'!$P:$P,0))))</f>
        <v/>
      </c>
      <c r="J1244" s="1007" t="str">
        <f>IF($M1221&lt;&gt;EUconst_Relevant,"",IF(INDEX('G_Fall-back'!J:J,MATCH($P1244,'G_Fall-back'!$P:$P,0))="","",INDEX('G_Fall-back'!J:J,MATCH($P1244,'G_Fall-back'!$P:$P,0))))</f>
        <v/>
      </c>
      <c r="K1244" s="1007" t="str">
        <f>IF($M1221&lt;&gt;EUconst_Relevant,"",IF(INDEX('G_Fall-back'!K:K,MATCH($P1244,'G_Fall-back'!$P:$P,0))="","",INDEX('G_Fall-back'!K:K,MATCH($P1244,'G_Fall-back'!$P:$P,0))))</f>
        <v/>
      </c>
      <c r="L1244" s="1007" t="str">
        <f>IF($M1221&lt;&gt;EUconst_Relevant,"",IF(INDEX('G_Fall-back'!L:L,MATCH($P1244,'G_Fall-back'!$P:$P,0))="","",INDEX('G_Fall-back'!L:L,MATCH($P1244,'G_Fall-back'!$P:$P,0))))</f>
        <v/>
      </c>
      <c r="M1244" s="1007" t="str">
        <f>IF($M1221&lt;&gt;EUconst_Relevant,"",IF(INDEX('G_Fall-back'!M:M,MATCH($P1244,'G_Fall-back'!$P:$P,0))="","",INDEX('G_Fall-back'!M:M,MATCH($P1244,'G_Fall-back'!$P:$P,0))))</f>
        <v/>
      </c>
      <c r="N1244" s="831"/>
      <c r="O1244" s="20"/>
      <c r="P1244" s="351" t="str">
        <f>EUconst_CNTR_Emissions &amp; I1221</f>
        <v>DirEmissions_Podinstalacja objęta wskaźnikiem emisyjności opartym na paliwie, „nie-CL”</v>
      </c>
      <c r="Q1244" s="422"/>
      <c r="R1244" s="422"/>
      <c r="S1244" s="422"/>
      <c r="T1244" s="422"/>
    </row>
    <row r="1245" spans="1:20" s="701" customFormat="1" ht="5.0999999999999996" customHeight="1" x14ac:dyDescent="0.2">
      <c r="A1245" s="422"/>
      <c r="B1245" s="398"/>
      <c r="C1245" s="398"/>
      <c r="D1245" s="398"/>
      <c r="E1245" s="516"/>
      <c r="F1245" s="516"/>
      <c r="G1245" s="516"/>
      <c r="H1245" s="516"/>
      <c r="I1245" s="1006"/>
      <c r="J1245" s="1006"/>
      <c r="K1245" s="1006"/>
      <c r="L1245" s="1006"/>
      <c r="M1245" s="1006"/>
      <c r="N1245" s="831"/>
      <c r="O1245" s="20"/>
      <c r="P1245" s="422"/>
      <c r="Q1245" s="422"/>
      <c r="R1245" s="422"/>
      <c r="S1245" s="422"/>
      <c r="T1245" s="422"/>
    </row>
    <row r="1246" spans="1:20" s="701" customFormat="1" x14ac:dyDescent="0.2">
      <c r="A1246" s="422"/>
      <c r="B1246" s="398"/>
      <c r="C1246" s="398"/>
      <c r="D1246" s="398"/>
      <c r="E1246" s="1739" t="str">
        <f>Translations!$B$770</f>
        <v>Ciepło wyprowadzone netto</v>
      </c>
      <c r="F1246" s="1740"/>
      <c r="G1246" s="1740"/>
      <c r="H1246" s="453" t="str">
        <f>EUconst_TJpa</f>
        <v>TJ / rok</v>
      </c>
      <c r="I1246" s="1007" t="str">
        <f>IF($M1221&lt;&gt;EUconst_Relevant,"",IF(INDEX('G_Fall-back'!I:I,MATCH($P1246,'G_Fall-back'!$P:$P,0))="","",INDEX('G_Fall-back'!I:I,MATCH($P1246,'G_Fall-back'!$P:$P,0))))</f>
        <v/>
      </c>
      <c r="J1246" s="1007" t="str">
        <f>IF($M1221&lt;&gt;EUconst_Relevant,"",IF(INDEX('G_Fall-back'!J:J,MATCH($P1246,'G_Fall-back'!$P:$P,0))="","",INDEX('G_Fall-back'!J:J,MATCH($P1246,'G_Fall-back'!$P:$P,0))))</f>
        <v/>
      </c>
      <c r="K1246" s="1007" t="str">
        <f>IF($M1221&lt;&gt;EUconst_Relevant,"",IF(INDEX('G_Fall-back'!K:K,MATCH($P1246,'G_Fall-back'!$P:$P,0))="","",INDEX('G_Fall-back'!K:K,MATCH($P1246,'G_Fall-back'!$P:$P,0))))</f>
        <v/>
      </c>
      <c r="L1246" s="1007" t="str">
        <f>IF($M1221&lt;&gt;EUconst_Relevant,"",IF(INDEX('G_Fall-back'!L:L,MATCH($P1246,'G_Fall-back'!$P:$P,0))="","",INDEX('G_Fall-back'!L:L,MATCH($P1246,'G_Fall-back'!$P:$P,0))))</f>
        <v/>
      </c>
      <c r="M1246" s="1007" t="str">
        <f>IF($M1221&lt;&gt;EUconst_Relevant,"",IF(INDEX('G_Fall-back'!M:M,MATCH($P1246,'G_Fall-back'!$P:$P,0))="","",INDEX('G_Fall-back'!M:M,MATCH($P1246,'G_Fall-back'!$P:$P,0))))</f>
        <v/>
      </c>
      <c r="N1246" s="831"/>
      <c r="O1246" s="20"/>
      <c r="P1246" s="351" t="str">
        <f>EUconst_CNTR_HeatExport &amp; I1221</f>
        <v>HeatEx_Podinstalacja objęta wskaźnikiem emisyjności opartym na paliwie, „nie-CL”</v>
      </c>
      <c r="Q1246" s="422"/>
      <c r="R1246" s="422"/>
      <c r="S1246" s="422"/>
      <c r="T1246" s="422"/>
    </row>
    <row r="1247" spans="1:20" s="701" customFormat="1" ht="12.75" customHeight="1" x14ac:dyDescent="0.2">
      <c r="A1247" s="422"/>
      <c r="B1247" s="398"/>
      <c r="C1247" s="398"/>
      <c r="D1247" s="398"/>
      <c r="E1247" s="1739" t="s">
        <v>635</v>
      </c>
      <c r="F1247" s="1740"/>
      <c r="G1247" s="1740"/>
      <c r="H1247" s="453" t="str">
        <f>EUconst_TJpa</f>
        <v>TJ / rok</v>
      </c>
      <c r="I1247" s="1007" t="str">
        <f>IF($M1221&lt;&gt;EUconst_Relevant,"",IF(INDEX('G_Fall-back'!I:I,MATCH($P1247,'G_Fall-back'!$P:$P,0))="","",INDEX('G_Fall-back'!I:I,MATCH($P1247,'G_Fall-back'!$P:$P,0))))</f>
        <v/>
      </c>
      <c r="J1247" s="1007" t="str">
        <f>IF($M1221&lt;&gt;EUconst_Relevant,"",IF(INDEX('G_Fall-back'!J:J,MATCH($P1247,'G_Fall-back'!$P:$P,0))="","",INDEX('G_Fall-back'!J:J,MATCH($P1247,'G_Fall-back'!$P:$P,0))))</f>
        <v/>
      </c>
      <c r="K1247" s="1007" t="str">
        <f>IF($M1221&lt;&gt;EUconst_Relevant,"",IF(INDEX('G_Fall-back'!K:K,MATCH($P1247,'G_Fall-back'!$P:$P,0))="","",INDEX('G_Fall-back'!K:K,MATCH($P1247,'G_Fall-back'!$P:$P,0))))</f>
        <v/>
      </c>
      <c r="L1247" s="1007" t="str">
        <f>IF($M1221&lt;&gt;EUconst_Relevant,"",IF(INDEX('G_Fall-back'!L:L,MATCH($P1247,'G_Fall-back'!$P:$P,0))="","",INDEX('G_Fall-back'!L:L,MATCH($P1247,'G_Fall-back'!$P:$P,0))))</f>
        <v/>
      </c>
      <c r="M1247" s="1007" t="str">
        <f>IF($M1221&lt;&gt;EUconst_Relevant,"",IF(INDEX('G_Fall-back'!M:M,MATCH($P1247,'G_Fall-back'!$P:$P,0))="","",INDEX('G_Fall-back'!M:M,MATCH($P1247,'G_Fall-back'!$P:$P,0))))</f>
        <v/>
      </c>
      <c r="N1247" s="831"/>
      <c r="O1247" s="20"/>
      <c r="P1247" s="185" t="str">
        <f>EUconst_CNTR_HeatExportEF &amp; I1221</f>
        <v>HeatExEF_Podinstalacja objęta wskaźnikiem emisyjności opartym na paliwie, „nie-CL”</v>
      </c>
      <c r="Q1247" s="422"/>
      <c r="R1247" s="422"/>
      <c r="S1247" s="422"/>
      <c r="T1247" s="422"/>
    </row>
    <row r="1248" spans="1:20" s="701" customFormat="1" ht="12.75" customHeight="1" x14ac:dyDescent="0.2">
      <c r="A1248" s="422"/>
      <c r="B1248" s="398"/>
      <c r="C1248" s="398"/>
      <c r="D1248" s="398"/>
      <c r="E1248" s="831"/>
      <c r="F1248" s="831"/>
      <c r="G1248" s="831"/>
      <c r="H1248" s="831"/>
      <c r="I1248" s="831"/>
      <c r="J1248" s="831"/>
      <c r="K1248" s="831"/>
      <c r="L1248" s="831"/>
      <c r="M1248" s="831"/>
      <c r="N1248" s="831"/>
      <c r="O1248" s="20"/>
      <c r="P1248" s="422"/>
      <c r="Q1248" s="422"/>
      <c r="R1248" s="422"/>
      <c r="S1248" s="422"/>
      <c r="T1248" s="422"/>
    </row>
    <row r="1249" spans="1:20" s="701" customFormat="1" ht="13.5" thickBot="1" x14ac:dyDescent="0.25">
      <c r="A1249" s="422"/>
      <c r="B1249" s="398"/>
      <c r="C1249" s="398"/>
      <c r="D1249" s="398"/>
      <c r="E1249" s="398"/>
      <c r="F1249" s="398"/>
      <c r="G1249" s="398"/>
      <c r="M1249" s="398"/>
      <c r="N1249" s="398"/>
      <c r="O1249" s="20"/>
      <c r="P1249" s="422"/>
      <c r="Q1249" s="422"/>
      <c r="R1249" s="422"/>
      <c r="S1249" s="422"/>
      <c r="T1249" s="422"/>
    </row>
    <row r="1250" spans="1:20" s="701" customFormat="1" ht="12.75" customHeight="1" thickBot="1" x14ac:dyDescent="0.25">
      <c r="A1250" s="422"/>
      <c r="B1250" s="3"/>
      <c r="C1250" s="281"/>
      <c r="D1250" s="281"/>
      <c r="E1250" s="281"/>
      <c r="F1250" s="281"/>
      <c r="G1250" s="281"/>
      <c r="H1250" s="281"/>
      <c r="I1250" s="281"/>
      <c r="J1250" s="281"/>
      <c r="K1250" s="281"/>
      <c r="L1250" s="281"/>
      <c r="M1250" s="281"/>
      <c r="N1250" s="281"/>
      <c r="O1250" s="20"/>
      <c r="P1250" s="422"/>
      <c r="Q1250" s="422"/>
      <c r="R1250" s="422"/>
      <c r="S1250" s="422"/>
      <c r="T1250" s="8" t="s">
        <v>583</v>
      </c>
    </row>
    <row r="1251" spans="1:20" s="701" customFormat="1" ht="34.5" customHeight="1" thickBot="1" x14ac:dyDescent="0.3">
      <c r="A1251" s="422"/>
      <c r="B1251" s="398"/>
      <c r="C1251" s="18">
        <f>C1221+1</f>
        <v>16</v>
      </c>
      <c r="D1251" s="1439" t="str">
        <f>CONCATENATE(EUconst_FBSubinst," ",C1251-10, ":")</f>
        <v>Podinstalacja, dla której wprowadzono rozwiązania rezerwowe (fall-back) 6:</v>
      </c>
      <c r="E1251" s="1370"/>
      <c r="F1251" s="1370"/>
      <c r="G1251" s="1370"/>
      <c r="H1251" s="1432"/>
      <c r="I1251" s="1958" t="str">
        <f>INDEX(EUconst_FallBackListNames,$C1251-10)</f>
        <v>Podinstalacja wytwarzająca emisje procesowe, „CL”</v>
      </c>
      <c r="J1251" s="1959"/>
      <c r="K1251" s="1959"/>
      <c r="L1251" s="1960"/>
      <c r="M1251" s="1860" t="str">
        <f>IF(ISBLANK(INDEX(CNTR_FallBackSubInstRelevant,C1251-10)),"",IF(INDEX(CNTR_FallBackSubInstRelevant,C1251-10),EUconst_Relevant,EUconst_NotRelevant))</f>
        <v>nie dotyczy</v>
      </c>
      <c r="N1251" s="1861"/>
      <c r="O1251" s="20"/>
      <c r="P1251" s="422"/>
      <c r="Q1251" s="986">
        <f>C1251</f>
        <v>16</v>
      </c>
      <c r="R1251" s="983" t="str">
        <f>I1251</f>
        <v>Podinstalacja wytwarzająca emisje procesowe, „CL”</v>
      </c>
      <c r="S1251" s="985" t="b">
        <f>H1254</f>
        <v>1</v>
      </c>
      <c r="T1251" s="984" t="str">
        <f>IF(M1263="","",IF(S1254=0,0,SUM(M1263)/S1254))</f>
        <v/>
      </c>
    </row>
    <row r="1252" spans="1:20" s="701" customFormat="1" ht="5.0999999999999996" customHeight="1" thickBot="1" x14ac:dyDescent="0.25">
      <c r="A1252" s="422"/>
      <c r="B1252" s="398"/>
      <c r="C1252" s="398"/>
      <c r="D1252" s="398"/>
      <c r="E1252" s="398"/>
      <c r="F1252" s="398"/>
      <c r="G1252" s="398"/>
      <c r="H1252" s="398"/>
      <c r="I1252" s="398"/>
      <c r="J1252" s="398"/>
      <c r="K1252" s="398"/>
      <c r="L1252" s="398"/>
      <c r="M1252" s="398"/>
      <c r="N1252" s="398"/>
      <c r="O1252" s="20"/>
      <c r="P1252" s="422"/>
      <c r="Q1252" s="422"/>
      <c r="R1252" s="422"/>
      <c r="S1252" s="422"/>
      <c r="T1252" s="8"/>
    </row>
    <row r="1253" spans="1:20" s="1299" customFormat="1" ht="51" x14ac:dyDescent="0.2">
      <c r="A1253" s="970"/>
      <c r="B1253" s="1300"/>
      <c r="C1253" s="1300"/>
      <c r="D1253" s="1300"/>
      <c r="E1253" s="1300"/>
      <c r="F1253" s="1300"/>
      <c r="G1253" s="1300"/>
      <c r="H1253" s="1304" t="str">
        <f>Translations!$B$1204</f>
        <v>narażenie na ryzyko ucieczki emisji</v>
      </c>
      <c r="I1253" s="1305" t="str">
        <f>Translations!$B$1208</f>
        <v>Rozpoczęcie</v>
      </c>
      <c r="J1253" s="1305" t="str">
        <f>Translations!$B$1212</f>
        <v>Art. 15 ust. 7 akapit trzeci?</v>
      </c>
      <c r="K1253" s="1305" t="str">
        <f>Translations!$B$1214</f>
        <v>Art. 15 ust. 7 akapit trzeci – HPD</v>
      </c>
      <c r="L1253" s="1306" t="str">
        <f>Translations!$B$1206</f>
        <v>Nr wskaźnika</v>
      </c>
      <c r="M1253" s="1307" t="str">
        <f>Translations!$B$1234</f>
        <v>Wart. wskaźnika (min./maks./faktyczna)</v>
      </c>
      <c r="N1253" s="1308"/>
      <c r="O1253" s="121"/>
      <c r="P1253" s="970"/>
      <c r="Q1253" s="970"/>
      <c r="R1253" s="970"/>
      <c r="S1253" s="970"/>
      <c r="T1253" s="972"/>
    </row>
    <row r="1254" spans="1:20" s="701" customFormat="1" x14ac:dyDescent="0.2">
      <c r="A1254" s="422"/>
      <c r="B1254" s="398"/>
      <c r="C1254" s="398"/>
      <c r="D1254" s="398"/>
      <c r="E1254" s="652" t="str">
        <f>I1251</f>
        <v>Podinstalacja wytwarzająca emisje procesowe, „CL”</v>
      </c>
      <c r="F1254" s="653"/>
      <c r="G1254" s="590"/>
      <c r="H1254" s="654" t="b">
        <f>INDEX(EUconst_FallBackListCLstatus,MATCH(I1251,EUconst_FallBackListNames,0))</f>
        <v>1</v>
      </c>
      <c r="I1254" s="857" t="str">
        <f>IF(M1251&lt;&gt;EUconst_Relevant,"",INDEX(CNTR_SubInstStartDate,MATCH(E1254,CNTR_SubInstListNames,0)))</f>
        <v/>
      </c>
      <c r="J1254" s="655" t="str">
        <f>IF(M1251&lt;&gt;EUconst_Relevant,"",INDEX(CNTR_SubInstLess1Year,MATCH(E1254,CNTR_SubInstListNames,0)))</f>
        <v/>
      </c>
      <c r="K1254" s="536" t="str">
        <f>IF($J1254=TRUE,SUMIF('G_Fall-back'!$P:$P,EUconst_CNTR_HAL&amp;$E1254,'G_Fall-back'!$N:$N),"")</f>
        <v/>
      </c>
      <c r="L1254" s="855">
        <f>C1251-10</f>
        <v>6</v>
      </c>
      <c r="M1254" s="1077" t="str">
        <f>IF(M1251&lt;&gt;EUconst_Relevant,"",INDEX(EUconst_FallBackListBMvaluesMatrix,L1254,2))</f>
        <v/>
      </c>
      <c r="N1254" s="1074" t="str">
        <f>EUconst_EUA &amp; "/" &amp; H1259</f>
        <v>Uprawnienia do emisji ogólnych/t CO2e</v>
      </c>
      <c r="O1254" s="20"/>
      <c r="P1254" s="422"/>
      <c r="Q1254" s="422"/>
      <c r="R1254" s="736" t="s">
        <v>577</v>
      </c>
      <c r="S1254" s="822">
        <f>IF(H1254,1,INDEX(EUconst_CLEFYears,1))</f>
        <v>1</v>
      </c>
      <c r="T1254" s="422"/>
    </row>
    <row r="1255" spans="1:20" s="701" customFormat="1" x14ac:dyDescent="0.2">
      <c r="A1255" s="422"/>
      <c r="B1255" s="398"/>
      <c r="C1255" s="398"/>
      <c r="M1255" s="1077" t="str">
        <f>IF(M1251&lt;&gt;EUconst_Relevant,"",INDEX(EUconst_FallBackListBMvaluesMatrix,L1254,1))</f>
        <v/>
      </c>
      <c r="N1255" s="1074" t="str">
        <f>EUconst_EUA &amp; "/" &amp; H1259</f>
        <v>Uprawnienia do emisji ogólnych/t CO2e</v>
      </c>
      <c r="O1255" s="20"/>
      <c r="P1255" s="422"/>
      <c r="Q1255" s="422"/>
      <c r="R1255" s="736"/>
      <c r="S1255" s="875"/>
      <c r="T1255" s="422"/>
    </row>
    <row r="1256" spans="1:20" s="701" customFormat="1" ht="13.5" thickBot="1" x14ac:dyDescent="0.25">
      <c r="A1256" s="422"/>
      <c r="B1256" s="398"/>
      <c r="C1256" s="398"/>
      <c r="M1256" s="1078" t="str">
        <f>IF(M1251&lt;&gt;EUconst_Relevant,"",IF(EUconst_StatusOfDataCollection,INDEX(EUconst_FallBackListBMvaluesMatrix,L1254,3),""))</f>
        <v/>
      </c>
      <c r="N1256" s="1076" t="str">
        <f>EUconst_EUA &amp; "/" &amp; H1259</f>
        <v>Uprawnienia do emisji ogólnych/t CO2e</v>
      </c>
      <c r="O1256" s="20"/>
      <c r="P1256" s="422"/>
      <c r="Q1256" s="422"/>
      <c r="R1256" s="736"/>
      <c r="S1256" s="875"/>
      <c r="T1256" s="422"/>
    </row>
    <row r="1257" spans="1:20" s="701" customFormat="1" ht="5.0999999999999996" customHeight="1" x14ac:dyDescent="0.2">
      <c r="A1257" s="422"/>
      <c r="B1257" s="398"/>
      <c r="C1257" s="398"/>
      <c r="D1257" s="398"/>
      <c r="E1257" s="398"/>
      <c r="F1257" s="398"/>
      <c r="G1257" s="398"/>
      <c r="H1257" s="398"/>
      <c r="I1257" s="398"/>
      <c r="J1257" s="398"/>
      <c r="K1257" s="398"/>
      <c r="L1257" s="398"/>
      <c r="M1257" s="398"/>
      <c r="N1257" s="398"/>
      <c r="O1257" s="20"/>
      <c r="P1257" s="422"/>
      <c r="Q1257" s="422"/>
      <c r="R1257" s="422"/>
      <c r="S1257" s="422"/>
      <c r="T1257" s="422"/>
    </row>
    <row r="1258" spans="1:20" s="701" customFormat="1" x14ac:dyDescent="0.2">
      <c r="A1258" s="422"/>
      <c r="B1258" s="398"/>
      <c r="C1258" s="398"/>
      <c r="D1258" s="398"/>
      <c r="E1258" s="656"/>
      <c r="F1258" s="656"/>
      <c r="G1258" s="657"/>
      <c r="H1258" s="650" t="str">
        <f>EUconst_Unit</f>
        <v>Jednostka</v>
      </c>
      <c r="I1258" s="432">
        <f>I$1397</f>
        <v>2014</v>
      </c>
      <c r="J1258" s="432">
        <f>J$1397</f>
        <v>2015</v>
      </c>
      <c r="K1258" s="432">
        <f>K$1397</f>
        <v>2016</v>
      </c>
      <c r="L1258" s="432">
        <f>L$1397</f>
        <v>2017</v>
      </c>
      <c r="M1258" s="432">
        <f>M$1397</f>
        <v>2018</v>
      </c>
      <c r="N1258" s="398"/>
      <c r="O1258" s="20"/>
      <c r="P1258" s="185" t="s">
        <v>237</v>
      </c>
      <c r="Q1258" s="422"/>
      <c r="R1258" s="422"/>
      <c r="S1258" s="422"/>
      <c r="T1258" s="422"/>
    </row>
    <row r="1259" spans="1:20" s="701" customFormat="1" x14ac:dyDescent="0.2">
      <c r="A1259" s="422"/>
      <c r="B1259" s="398"/>
      <c r="C1259" s="398"/>
      <c r="D1259" s="398"/>
      <c r="E1259" s="658" t="str">
        <f>Translations!$B$1236</f>
        <v>Zgłoszony HPD (historyczny poziom działalności)</v>
      </c>
      <c r="F1259" s="659"/>
      <c r="G1259" s="660"/>
      <c r="H1259" s="654" t="str">
        <f>INDEX(EUconst_FallBackListUnits,L1254)</f>
        <v>t CO2e</v>
      </c>
      <c r="I1259" s="536" t="str">
        <f>IF($M1251&lt;&gt;EUconst_Relevant,"",SUMIF('G_Fall-back'!$P:$P,$P1260,'G_Fall-back'!I:I))</f>
        <v/>
      </c>
      <c r="J1259" s="536" t="str">
        <f>IF($M1251&lt;&gt;EUconst_Relevant,"",SUMIF('G_Fall-back'!$P:$P,$P1260,'G_Fall-back'!J:J))</f>
        <v/>
      </c>
      <c r="K1259" s="536" t="str">
        <f>IF($M1251&lt;&gt;EUconst_Relevant,"",SUMIF('G_Fall-back'!$P:$P,$P1260,'G_Fall-back'!K:K))</f>
        <v/>
      </c>
      <c r="L1259" s="536" t="str">
        <f>IF($M1251&lt;&gt;EUconst_Relevant,"",SUMIF('G_Fall-back'!$P:$P,$P1260,'G_Fall-back'!L:L))</f>
        <v/>
      </c>
      <c r="M1259" s="536" t="str">
        <f>IF($M1251&lt;&gt;EUconst_Relevant,"",SUMIF('G_Fall-back'!$P:$P,$P1260,'G_Fall-back'!M:M))</f>
        <v/>
      </c>
      <c r="N1259" s="651" t="str">
        <f>Translations!$B$1224</f>
        <v>Średnia</v>
      </c>
      <c r="O1259" s="20"/>
      <c r="P1259" s="185" t="str">
        <f>EUconst_CNTR_HAL&amp;I1251</f>
        <v>HAL_Podinstalacja wytwarzająca emisje procesowe, „CL”</v>
      </c>
      <c r="Q1259" s="422"/>
      <c r="R1259" s="422"/>
      <c r="S1259" s="422"/>
      <c r="T1259" s="8"/>
    </row>
    <row r="1260" spans="1:20" s="701" customFormat="1" x14ac:dyDescent="0.2">
      <c r="A1260" s="422"/>
      <c r="B1260" s="398"/>
      <c r="C1260" s="398"/>
      <c r="D1260" s="398"/>
      <c r="E1260" s="658" t="str">
        <f>Translations!$B$1237</f>
        <v>Wartości wykorzystywane do obliczania zgłoszonego HPD:</v>
      </c>
      <c r="F1260" s="659"/>
      <c r="G1260" s="660"/>
      <c r="H1260" s="654" t="str">
        <f>H1259</f>
        <v>t CO2e</v>
      </c>
      <c r="I1260" s="427" t="str">
        <f>IF($M1251&lt;&gt;EUconst_Relevant,"",INDEX('G_Fall-back'!S:S,MATCH($P1260,'G_Fall-back'!$P:$P,0)))</f>
        <v/>
      </c>
      <c r="J1260" s="427" t="str">
        <f>IF($M1251&lt;&gt;EUconst_Relevant,"",INDEX('G_Fall-back'!T:T,MATCH($P1260,'G_Fall-back'!$P:$P,0)))</f>
        <v/>
      </c>
      <c r="K1260" s="427" t="str">
        <f>IF($M1251&lt;&gt;EUconst_Relevant,"",INDEX('G_Fall-back'!U:U,MATCH($P1260,'G_Fall-back'!$P:$P,0)))</f>
        <v/>
      </c>
      <c r="L1260" s="427" t="str">
        <f>IF($M1251&lt;&gt;EUconst_Relevant,"",INDEX('G_Fall-back'!V:V,MATCH($P1260,'G_Fall-back'!$P:$P,0)))</f>
        <v/>
      </c>
      <c r="M1260" s="427" t="str">
        <f>IF($M1251&lt;&gt;EUconst_Relevant,"",INDEX('G_Fall-back'!W:W,MATCH($P1260,'G_Fall-back'!$P:$P,0)))</f>
        <v/>
      </c>
      <c r="N1260" s="536" t="str">
        <f>IF(OR($M1251&lt;&gt;EUconst_Relevant,$J1254=TRUE),"",IF(COUNT($I1260:$M1260)&gt;0,AVERAGE($I1260:$M1260),""))</f>
        <v/>
      </c>
      <c r="O1260" s="20"/>
      <c r="P1260" s="185" t="str">
        <f>EUconst_CNTR_HAL&amp;I1251</f>
        <v>HAL_Podinstalacja wytwarzająca emisje procesowe, „CL”</v>
      </c>
      <c r="Q1260" s="422"/>
      <c r="R1260" s="1013" t="s">
        <v>630</v>
      </c>
      <c r="S1260" s="1013" t="s">
        <v>631</v>
      </c>
      <c r="T1260" s="1013" t="s">
        <v>632</v>
      </c>
    </row>
    <row r="1261" spans="1:20" s="701" customFormat="1" ht="5.0999999999999996" customHeight="1" thickBot="1" x14ac:dyDescent="0.25">
      <c r="A1261" s="422"/>
      <c r="B1261" s="398"/>
      <c r="C1261" s="398"/>
      <c r="D1261" s="398"/>
      <c r="E1261" s="398"/>
      <c r="F1261" s="398"/>
      <c r="G1261" s="398"/>
      <c r="H1261" s="398"/>
      <c r="I1261" s="398"/>
      <c r="J1261" s="398"/>
      <c r="K1261" s="398"/>
      <c r="L1261" s="398"/>
      <c r="M1261" s="398"/>
      <c r="N1261" s="398"/>
      <c r="O1261" s="20"/>
      <c r="P1261" s="422"/>
      <c r="Q1261" s="422"/>
      <c r="R1261" s="422"/>
      <c r="S1261" s="422"/>
      <c r="T1261" s="8"/>
    </row>
    <row r="1262" spans="1:20" s="701" customFormat="1" ht="13.5" thickBot="1" x14ac:dyDescent="0.25">
      <c r="A1262" s="422"/>
      <c r="B1262" s="398"/>
      <c r="C1262" s="398"/>
      <c r="D1262" s="398"/>
      <c r="E1262" s="398"/>
      <c r="F1262" s="661" t="s">
        <v>520</v>
      </c>
      <c r="G1262" s="824"/>
      <c r="H1262" s="398"/>
      <c r="I1262" s="823" t="str">
        <f>Translations!$B$1226</f>
        <v>Wst. przydział rok 1 (min.)</v>
      </c>
      <c r="J1262" s="824"/>
      <c r="K1262" s="823" t="str">
        <f>Translations!$B$1229</f>
        <v>Wst. przydział rok 1 (maks.)</v>
      </c>
      <c r="L1262" s="824"/>
      <c r="M1262" s="823" t="str">
        <f>Translations!$B$1231</f>
        <v>Wst. przydział rok 1 (faktyczny)</v>
      </c>
      <c r="N1262" s="824"/>
      <c r="O1262" s="20"/>
      <c r="P1262" s="185" t="str">
        <f>EUconst_AllocPrelim&amp;I1251</f>
        <v>AllocPrelim_Podinstalacja wytwarzająca emisje procesowe, „CL”</v>
      </c>
      <c r="Q1262" s="422"/>
      <c r="R1262" s="982" t="str">
        <f>IF(I1263="","",IF(S1254=0,0,SUM(I1263)/S1254))</f>
        <v/>
      </c>
      <c r="S1262" s="982" t="str">
        <f>IF(K1263="","",IF(S1254=0,0,SUM(K1263)/S1254))</f>
        <v/>
      </c>
      <c r="T1262" s="982" t="str">
        <f>T1251</f>
        <v/>
      </c>
    </row>
    <row r="1263" spans="1:20" s="701" customFormat="1" ht="13.5" thickBot="1" x14ac:dyDescent="0.25">
      <c r="A1263" s="422"/>
      <c r="B1263" s="398"/>
      <c r="C1263" s="398"/>
      <c r="D1263" s="398"/>
      <c r="E1263" s="398"/>
      <c r="F1263" s="662" t="str">
        <f>IF(M1251&lt;&gt;EUconst_Relevant,"",MAX(0, IF(J1254=TRUE, SUM(K1254), SUM(N1260))))</f>
        <v/>
      </c>
      <c r="G1263" s="966" t="str">
        <f>H1260&amp;" / "&amp;EUconst_Year</f>
        <v>t CO2e / rok</v>
      </c>
      <c r="H1263" s="398"/>
      <c r="I1263" s="820" t="str">
        <f>IF(M1251&lt;&gt;EUconst_Relevant,"",ROUND(SUM(M1254)*SUM(F1263)*SUM(S1254),0))</f>
        <v/>
      </c>
      <c r="J1263" s="966" t="str">
        <f>EUconst_EUApa</f>
        <v>Uprawnienia do emisji ogólnych / rok</v>
      </c>
      <c r="K1263" s="820" t="str">
        <f>IF(M1251&lt;&gt;EUconst_Relevant,"",ROUND(SUM(M1255)*SUM(F1263)*SUM(S1254),0))</f>
        <v/>
      </c>
      <c r="L1263" s="966" t="str">
        <f>EUconst_EUApa</f>
        <v>Uprawnienia do emisji ogólnych / rok</v>
      </c>
      <c r="M1263" s="820" t="str">
        <f>IF(OR(M1251&lt;&gt;EUconst_Relevant,M1256=""),"",ROUND(SUM(M1256)*SUM(F1263)*SUM(S1254),0))</f>
        <v/>
      </c>
      <c r="N1263" s="966" t="str">
        <f>EUconst_EUApa</f>
        <v>Uprawnienia do emisji ogólnych / rok</v>
      </c>
      <c r="O1263" s="20"/>
      <c r="P1263" s="185" t="str">
        <f>EUconst_HALsum &amp; I1251</f>
        <v>HALsum_Podinstalacja wytwarzająca emisje procesowe, „CL”</v>
      </c>
      <c r="Q1263" s="422"/>
      <c r="R1263" s="422"/>
      <c r="S1263" s="422"/>
      <c r="T1263" s="422"/>
    </row>
    <row r="1264" spans="1:20" s="701" customFormat="1" x14ac:dyDescent="0.2">
      <c r="A1264" s="422"/>
      <c r="B1264" s="398"/>
      <c r="C1264" s="398"/>
      <c r="D1264" s="398"/>
      <c r="E1264" s="398"/>
      <c r="F1264" s="398"/>
      <c r="G1264" s="398"/>
      <c r="H1264" s="398"/>
      <c r="I1264" s="398"/>
      <c r="J1264" s="398"/>
      <c r="K1264" s="398"/>
      <c r="L1264" s="398"/>
      <c r="M1264" s="398"/>
      <c r="N1264" s="398"/>
      <c r="O1264" s="20"/>
      <c r="P1264" s="422"/>
      <c r="Q1264" s="422"/>
      <c r="R1264" s="422"/>
      <c r="S1264" s="422"/>
      <c r="T1264" s="422"/>
    </row>
    <row r="1265" spans="1:20" s="701" customFormat="1" ht="12.75" customHeight="1" x14ac:dyDescent="0.2">
      <c r="A1265" s="422"/>
      <c r="B1265" s="398"/>
      <c r="C1265" s="398"/>
      <c r="D1265" s="398"/>
      <c r="E1265" s="516"/>
      <c r="F1265" s="831"/>
      <c r="G1265" s="831"/>
      <c r="H1265" s="831"/>
      <c r="I1265" s="831"/>
      <c r="J1265" s="831"/>
      <c r="K1265" s="831"/>
      <c r="L1265" s="831"/>
      <c r="M1265" s="831"/>
      <c r="N1265" s="831"/>
      <c r="O1265" s="20"/>
      <c r="P1265" s="422"/>
      <c r="Q1265" s="422"/>
      <c r="R1265" s="422"/>
      <c r="S1265" s="422"/>
      <c r="T1265" s="422"/>
    </row>
    <row r="1266" spans="1:20" s="701" customFormat="1" ht="13.5" thickBot="1" x14ac:dyDescent="0.25">
      <c r="A1266" s="422"/>
      <c r="B1266" s="398"/>
      <c r="C1266" s="398"/>
      <c r="D1266" s="398"/>
      <c r="E1266" s="516"/>
      <c r="F1266" s="831"/>
      <c r="G1266" s="831"/>
      <c r="H1266" s="515" t="str">
        <f>EUconst_Unit</f>
        <v>Jednostka</v>
      </c>
      <c r="I1266" s="1010">
        <f>I$1397</f>
        <v>2014</v>
      </c>
      <c r="J1266" s="833">
        <f>J$1397</f>
        <v>2015</v>
      </c>
      <c r="K1266" s="833">
        <f>K$1397</f>
        <v>2016</v>
      </c>
      <c r="L1266" s="833">
        <f>L$1397</f>
        <v>2017</v>
      </c>
      <c r="M1266" s="833">
        <f>M$1397</f>
        <v>2018</v>
      </c>
      <c r="N1266" s="831"/>
      <c r="O1266" s="20"/>
      <c r="P1266" s="422"/>
      <c r="Q1266" s="422"/>
      <c r="R1266" s="422"/>
      <c r="S1266" s="422"/>
      <c r="T1266" s="422"/>
    </row>
    <row r="1267" spans="1:20" s="701" customFormat="1" ht="13.5" thickBot="1" x14ac:dyDescent="0.25">
      <c r="A1267" s="422"/>
      <c r="B1267" s="398"/>
      <c r="C1267" s="398"/>
      <c r="D1267" s="398"/>
      <c r="E1267" s="1876" t="str">
        <f>Translations!$B$1238</f>
        <v>Całkowite przypisane emisje</v>
      </c>
      <c r="F1267" s="1876"/>
      <c r="G1267" s="1876"/>
      <c r="H1267" s="968" t="str">
        <f>EUconst_tCO2epa</f>
        <v>t CO2e/rok</v>
      </c>
      <c r="I1267" s="1000" t="str">
        <f>INDEX(I$93:I$109,MATCH($I1251,$E$93:$E$109,0))</f>
        <v/>
      </c>
      <c r="J1267" s="1001" t="str">
        <f>INDEX(J$93:J$109,MATCH($I1251,$E$93:$E$109,0))</f>
        <v/>
      </c>
      <c r="K1267" s="1001" t="str">
        <f>INDEX(K$93:K$109,MATCH($I1251,$E$93:$E$109,0))</f>
        <v/>
      </c>
      <c r="L1267" s="1001" t="str">
        <f>INDEX(L$93:L$109,MATCH($I1251,$E$93:$E$109,0))</f>
        <v/>
      </c>
      <c r="M1267" s="1002" t="str">
        <f>INDEX(M$93:M$109,MATCH($I1251,$E$93:$E$109,0))</f>
        <v/>
      </c>
      <c r="N1267" s="831"/>
      <c r="O1267" s="20"/>
      <c r="P1267" s="422"/>
      <c r="Q1267" s="422"/>
      <c r="R1267" s="422"/>
      <c r="S1267" s="422"/>
      <c r="T1267" s="8"/>
    </row>
    <row r="1268" spans="1:20" s="701" customFormat="1" ht="12.75" customHeight="1" x14ac:dyDescent="0.2">
      <c r="A1268" s="422"/>
      <c r="B1268" s="398"/>
      <c r="C1268" s="398"/>
      <c r="D1268" s="398"/>
      <c r="E1268" s="831"/>
      <c r="F1268" s="831"/>
      <c r="G1268" s="831"/>
      <c r="H1268" s="831"/>
      <c r="I1268" s="831"/>
      <c r="J1268" s="831"/>
      <c r="K1268" s="831"/>
      <c r="L1268" s="831"/>
      <c r="M1268" s="831"/>
      <c r="N1268" s="831"/>
      <c r="O1268" s="20"/>
      <c r="P1268" s="422"/>
      <c r="Q1268" s="422"/>
      <c r="R1268" s="422"/>
      <c r="S1268" s="422"/>
      <c r="T1268" s="422"/>
    </row>
    <row r="1269" spans="1:20" s="701" customFormat="1" ht="13.5" thickBot="1" x14ac:dyDescent="0.25">
      <c r="A1269" s="422"/>
      <c r="B1269" s="398"/>
      <c r="C1269" s="398"/>
      <c r="D1269" s="398"/>
      <c r="E1269" s="398"/>
      <c r="F1269" s="398"/>
      <c r="G1269" s="398"/>
      <c r="M1269" s="398"/>
      <c r="N1269" s="398"/>
      <c r="O1269" s="20"/>
      <c r="P1269" s="422"/>
      <c r="Q1269" s="422"/>
      <c r="R1269" s="422"/>
      <c r="S1269" s="422"/>
      <c r="T1269" s="422"/>
    </row>
    <row r="1270" spans="1:20" s="701" customFormat="1" ht="12.75" customHeight="1" thickBot="1" x14ac:dyDescent="0.25">
      <c r="A1270" s="422"/>
      <c r="B1270" s="3"/>
      <c r="C1270" s="281"/>
      <c r="D1270" s="281"/>
      <c r="E1270" s="281"/>
      <c r="F1270" s="281"/>
      <c r="G1270" s="281"/>
      <c r="H1270" s="281"/>
      <c r="I1270" s="281"/>
      <c r="J1270" s="281"/>
      <c r="K1270" s="281"/>
      <c r="L1270" s="281"/>
      <c r="M1270" s="281"/>
      <c r="N1270" s="281"/>
      <c r="O1270" s="20"/>
      <c r="P1270" s="422"/>
      <c r="Q1270" s="422"/>
      <c r="R1270" s="422"/>
      <c r="S1270" s="422"/>
      <c r="T1270" s="8" t="s">
        <v>583</v>
      </c>
    </row>
    <row r="1271" spans="1:20" s="701" customFormat="1" ht="30" customHeight="1" thickBot="1" x14ac:dyDescent="0.3">
      <c r="A1271" s="422"/>
      <c r="B1271" s="398"/>
      <c r="C1271" s="18">
        <f>C1251+1</f>
        <v>17</v>
      </c>
      <c r="D1271" s="1439" t="str">
        <f>CONCATENATE(EUconst_FBSubinst," ",C1271-10, ":")</f>
        <v>Podinstalacja, dla której wprowadzono rozwiązania rezerwowe (fall-back) 7:</v>
      </c>
      <c r="E1271" s="1370"/>
      <c r="F1271" s="1370"/>
      <c r="G1271" s="1370"/>
      <c r="H1271" s="1432"/>
      <c r="I1271" s="1958" t="str">
        <f>INDEX(EUconst_FallBackListNames,$C1271-10)</f>
        <v>Podinstalacja wytwarzająca emisje procesowe, „nie-CL”</v>
      </c>
      <c r="J1271" s="1959"/>
      <c r="K1271" s="1959"/>
      <c r="L1271" s="1960"/>
      <c r="M1271" s="1860" t="str">
        <f>IF(ISBLANK(INDEX(CNTR_FallBackSubInstRelevant,C1271-10)),"",IF(INDEX(CNTR_FallBackSubInstRelevant,C1271-10),EUconst_Relevant,EUconst_NotRelevant))</f>
        <v>nie dotyczy</v>
      </c>
      <c r="N1271" s="1861"/>
      <c r="O1271" s="20"/>
      <c r="P1271" s="422"/>
      <c r="Q1271" s="986">
        <f>C1271</f>
        <v>17</v>
      </c>
      <c r="R1271" s="983" t="str">
        <f>I1271</f>
        <v>Podinstalacja wytwarzająca emisje procesowe, „nie-CL”</v>
      </c>
      <c r="S1271" s="985" t="b">
        <f>H1274</f>
        <v>0</v>
      </c>
      <c r="T1271" s="984" t="str">
        <f>IF(M1283="","",IF(S1274=0,0,SUM(M1283)/S1274))</f>
        <v/>
      </c>
    </row>
    <row r="1272" spans="1:20" s="701" customFormat="1" ht="5.0999999999999996" customHeight="1" thickBot="1" x14ac:dyDescent="0.25">
      <c r="A1272" s="422"/>
      <c r="B1272" s="398"/>
      <c r="C1272" s="398"/>
      <c r="D1272" s="398"/>
      <c r="E1272" s="398"/>
      <c r="F1272" s="398"/>
      <c r="G1272" s="398"/>
      <c r="H1272" s="398"/>
      <c r="I1272" s="398"/>
      <c r="J1272" s="398"/>
      <c r="K1272" s="398"/>
      <c r="L1272" s="398"/>
      <c r="M1272" s="398"/>
      <c r="N1272" s="398"/>
      <c r="O1272" s="20"/>
      <c r="P1272" s="422"/>
      <c r="Q1272" s="422"/>
      <c r="R1272" s="422"/>
      <c r="S1272" s="422"/>
      <c r="T1272" s="8"/>
    </row>
    <row r="1273" spans="1:20" s="1299" customFormat="1" ht="51" x14ac:dyDescent="0.2">
      <c r="A1273" s="970"/>
      <c r="B1273" s="1300"/>
      <c r="C1273" s="1300"/>
      <c r="D1273" s="1300"/>
      <c r="E1273" s="1300"/>
      <c r="F1273" s="1300"/>
      <c r="G1273" s="1300"/>
      <c r="H1273" s="1304" t="str">
        <f>Translations!$B$1204</f>
        <v>narażenie na ryzyko ucieczki emisji</v>
      </c>
      <c r="I1273" s="1305" t="str">
        <f>Translations!$B$1208</f>
        <v>Rozpoczęcie</v>
      </c>
      <c r="J1273" s="1305" t="str">
        <f>Translations!$B$1212</f>
        <v>Art. 15 ust. 7 akapit trzeci?</v>
      </c>
      <c r="K1273" s="1305" t="str">
        <f>Translations!$B$1214</f>
        <v>Art. 15 ust. 7 akapit trzeci – HPD</v>
      </c>
      <c r="L1273" s="1306" t="str">
        <f>Translations!$B$1206</f>
        <v>Nr wskaźnika</v>
      </c>
      <c r="M1273" s="1307" t="str">
        <f>Translations!$B$1234</f>
        <v>Wart. wskaźnika (min./maks./faktyczna)</v>
      </c>
      <c r="N1273" s="1308"/>
      <c r="O1273" s="121"/>
      <c r="P1273" s="970"/>
      <c r="Q1273" s="970"/>
      <c r="R1273" s="970"/>
      <c r="S1273" s="970"/>
      <c r="T1273" s="972"/>
    </row>
    <row r="1274" spans="1:20" s="701" customFormat="1" x14ac:dyDescent="0.2">
      <c r="A1274" s="422"/>
      <c r="B1274" s="398"/>
      <c r="C1274" s="398"/>
      <c r="D1274" s="398"/>
      <c r="E1274" s="652" t="str">
        <f>I1271</f>
        <v>Podinstalacja wytwarzająca emisje procesowe, „nie-CL”</v>
      </c>
      <c r="F1274" s="653"/>
      <c r="G1274" s="590"/>
      <c r="H1274" s="654" t="b">
        <f>INDEX(EUconst_FallBackListCLstatus,MATCH(I1271,EUconst_FallBackListNames,0))</f>
        <v>0</v>
      </c>
      <c r="I1274" s="857" t="str">
        <f>IF(M1271&lt;&gt;EUconst_Relevant,"",INDEX(CNTR_SubInstStartDate,MATCH(E1274,CNTR_SubInstListNames,0)))</f>
        <v/>
      </c>
      <c r="J1274" s="655" t="str">
        <f>IF(M1271&lt;&gt;EUconst_Relevant,"",INDEX(CNTR_SubInstLess1Year,MATCH(E1274,CNTR_SubInstListNames,0)))</f>
        <v/>
      </c>
      <c r="K1274" s="536" t="str">
        <f>IF($J1274=TRUE,SUMIF('G_Fall-back'!$P:$P,EUconst_CNTR_HAL&amp;$E1274,'G_Fall-back'!$N:$N),"")</f>
        <v/>
      </c>
      <c r="L1274" s="855">
        <f>C1271-10</f>
        <v>7</v>
      </c>
      <c r="M1274" s="1077" t="str">
        <f>IF(M1271&lt;&gt;EUconst_Relevant,"",INDEX(EUconst_FallBackListBMvaluesMatrix,L1274,2))</f>
        <v/>
      </c>
      <c r="N1274" s="1074" t="str">
        <f>EUconst_EUA &amp; "/" &amp; H1279</f>
        <v>Uprawnienia do emisji ogólnych/t CO2e</v>
      </c>
      <c r="O1274" s="20"/>
      <c r="P1274" s="422"/>
      <c r="Q1274" s="422"/>
      <c r="R1274" s="736" t="s">
        <v>577</v>
      </c>
      <c r="S1274" s="822">
        <f>IF(H1274,1,INDEX(EUconst_CLEFYears,1))</f>
        <v>0.3</v>
      </c>
      <c r="T1274" s="422"/>
    </row>
    <row r="1275" spans="1:20" s="701" customFormat="1" x14ac:dyDescent="0.2">
      <c r="A1275" s="422"/>
      <c r="B1275" s="398"/>
      <c r="C1275" s="398"/>
      <c r="M1275" s="1077" t="str">
        <f>IF(M1271&lt;&gt;EUconst_Relevant,"",INDEX(EUconst_FallBackListBMvaluesMatrix,L1274,1))</f>
        <v/>
      </c>
      <c r="N1275" s="1074" t="str">
        <f>EUconst_EUA &amp; "/" &amp; H1279</f>
        <v>Uprawnienia do emisji ogólnych/t CO2e</v>
      </c>
      <c r="O1275" s="20"/>
      <c r="P1275" s="422"/>
      <c r="Q1275" s="422"/>
      <c r="R1275" s="736"/>
      <c r="S1275" s="875"/>
      <c r="T1275" s="422"/>
    </row>
    <row r="1276" spans="1:20" s="701" customFormat="1" ht="13.5" thickBot="1" x14ac:dyDescent="0.25">
      <c r="A1276" s="422"/>
      <c r="B1276" s="398"/>
      <c r="C1276" s="398"/>
      <c r="M1276" s="1078" t="str">
        <f>IF(M1271&lt;&gt;EUconst_Relevant,"",IF(EUconst_StatusOfDataCollection,INDEX(EUconst_FallBackListBMvaluesMatrix,L1274,3),""))</f>
        <v/>
      </c>
      <c r="N1276" s="1076" t="str">
        <f>EUconst_EUA &amp; "/" &amp; H1279</f>
        <v>Uprawnienia do emisji ogólnych/t CO2e</v>
      </c>
      <c r="O1276" s="20"/>
      <c r="P1276" s="422"/>
      <c r="Q1276" s="422"/>
      <c r="R1276" s="736"/>
      <c r="S1276" s="875"/>
      <c r="T1276" s="422"/>
    </row>
    <row r="1277" spans="1:20" s="701" customFormat="1" ht="5.0999999999999996" customHeight="1" x14ac:dyDescent="0.2">
      <c r="A1277" s="422"/>
      <c r="B1277" s="398"/>
      <c r="C1277" s="398"/>
      <c r="D1277" s="398"/>
      <c r="E1277" s="398"/>
      <c r="F1277" s="398"/>
      <c r="G1277" s="398"/>
      <c r="H1277" s="398"/>
      <c r="I1277" s="398"/>
      <c r="J1277" s="398"/>
      <c r="K1277" s="398"/>
      <c r="L1277" s="398"/>
      <c r="M1277" s="398"/>
      <c r="N1277" s="398"/>
      <c r="O1277" s="20"/>
      <c r="P1277" s="422"/>
      <c r="Q1277" s="422"/>
      <c r="R1277" s="422"/>
      <c r="S1277" s="422"/>
      <c r="T1277" s="422"/>
    </row>
    <row r="1278" spans="1:20" s="701" customFormat="1" x14ac:dyDescent="0.2">
      <c r="A1278" s="422"/>
      <c r="B1278" s="398"/>
      <c r="C1278" s="398"/>
      <c r="D1278" s="398"/>
      <c r="E1278" s="656"/>
      <c r="F1278" s="656"/>
      <c r="G1278" s="657"/>
      <c r="H1278" s="650" t="str">
        <f>EUconst_Unit</f>
        <v>Jednostka</v>
      </c>
      <c r="I1278" s="432">
        <f>I$1397</f>
        <v>2014</v>
      </c>
      <c r="J1278" s="432">
        <f>J$1397</f>
        <v>2015</v>
      </c>
      <c r="K1278" s="432">
        <f>K$1397</f>
        <v>2016</v>
      </c>
      <c r="L1278" s="432">
        <f>L$1397</f>
        <v>2017</v>
      </c>
      <c r="M1278" s="432">
        <f>M$1397</f>
        <v>2018</v>
      </c>
      <c r="N1278" s="398"/>
      <c r="O1278" s="20"/>
      <c r="P1278" s="185" t="s">
        <v>237</v>
      </c>
      <c r="Q1278" s="422"/>
      <c r="R1278" s="422"/>
      <c r="S1278" s="422"/>
      <c r="T1278" s="422"/>
    </row>
    <row r="1279" spans="1:20" s="701" customFormat="1" x14ac:dyDescent="0.2">
      <c r="A1279" s="422"/>
      <c r="B1279" s="398"/>
      <c r="C1279" s="398"/>
      <c r="D1279" s="398"/>
      <c r="E1279" s="658" t="str">
        <f>Translations!$B$1236</f>
        <v>Zgłoszony HPD (historyczny poziom działalności)</v>
      </c>
      <c r="F1279" s="659"/>
      <c r="G1279" s="660"/>
      <c r="H1279" s="654" t="str">
        <f>INDEX(EUconst_FallBackListUnits,L1274)</f>
        <v>t CO2e</v>
      </c>
      <c r="I1279" s="536" t="str">
        <f>IF($M1271&lt;&gt;EUconst_Relevant,"",SUMIF('G_Fall-back'!$P:$P,$P1280,'G_Fall-back'!I:I))</f>
        <v/>
      </c>
      <c r="J1279" s="536" t="str">
        <f>IF($M1271&lt;&gt;EUconst_Relevant,"",SUMIF('G_Fall-back'!$P:$P,$P1280,'G_Fall-back'!J:J))</f>
        <v/>
      </c>
      <c r="K1279" s="536" t="str">
        <f>IF($M1271&lt;&gt;EUconst_Relevant,"",SUMIF('G_Fall-back'!$P:$P,$P1280,'G_Fall-back'!K:K))</f>
        <v/>
      </c>
      <c r="L1279" s="536" t="str">
        <f>IF($M1271&lt;&gt;EUconst_Relevant,"",SUMIF('G_Fall-back'!$P:$P,$P1280,'G_Fall-back'!L:L))</f>
        <v/>
      </c>
      <c r="M1279" s="536" t="str">
        <f>IF($M1271&lt;&gt;EUconst_Relevant,"",SUMIF('G_Fall-back'!$P:$P,$P1280,'G_Fall-back'!M:M))</f>
        <v/>
      </c>
      <c r="N1279" s="651" t="str">
        <f>Translations!$B$1224</f>
        <v>Średnia</v>
      </c>
      <c r="O1279" s="20"/>
      <c r="P1279" s="185" t="str">
        <f>EUconst_CNTR_HAL&amp;I1271</f>
        <v>HAL_Podinstalacja wytwarzająca emisje procesowe, „nie-CL”</v>
      </c>
      <c r="Q1279" s="422"/>
      <c r="R1279" s="422"/>
      <c r="S1279" s="422"/>
      <c r="T1279" s="8"/>
    </row>
    <row r="1280" spans="1:20" s="701" customFormat="1" x14ac:dyDescent="0.2">
      <c r="A1280" s="422"/>
      <c r="B1280" s="398"/>
      <c r="C1280" s="398"/>
      <c r="D1280" s="398"/>
      <c r="E1280" s="658" t="str">
        <f>Translations!$B$1237</f>
        <v>Wartości wykorzystywane do obliczania zgłoszonego HPD:</v>
      </c>
      <c r="F1280" s="659"/>
      <c r="G1280" s="660"/>
      <c r="H1280" s="654" t="str">
        <f>H1279</f>
        <v>t CO2e</v>
      </c>
      <c r="I1280" s="427" t="str">
        <f>IF($M1271&lt;&gt;EUconst_Relevant,"",INDEX('G_Fall-back'!S:S,MATCH($P1280,'G_Fall-back'!$P:$P,0)))</f>
        <v/>
      </c>
      <c r="J1280" s="427" t="str">
        <f>IF($M1271&lt;&gt;EUconst_Relevant,"",INDEX('G_Fall-back'!T:T,MATCH($P1280,'G_Fall-back'!$P:$P,0)))</f>
        <v/>
      </c>
      <c r="K1280" s="427" t="str">
        <f>IF($M1271&lt;&gt;EUconst_Relevant,"",INDEX('G_Fall-back'!U:U,MATCH($P1280,'G_Fall-back'!$P:$P,0)))</f>
        <v/>
      </c>
      <c r="L1280" s="427" t="str">
        <f>IF($M1271&lt;&gt;EUconst_Relevant,"",INDEX('G_Fall-back'!V:V,MATCH($P1280,'G_Fall-back'!$P:$P,0)))</f>
        <v/>
      </c>
      <c r="M1280" s="427" t="str">
        <f>IF($M1271&lt;&gt;EUconst_Relevant,"",INDEX('G_Fall-back'!W:W,MATCH($P1280,'G_Fall-back'!$P:$P,0)))</f>
        <v/>
      </c>
      <c r="N1280" s="536" t="str">
        <f>IF(OR($M1271&lt;&gt;EUconst_Relevant,$J1274=TRUE),"",IF(COUNT($I1280:$M1280)&gt;0,AVERAGE($I1280:$M1280),""))</f>
        <v/>
      </c>
      <c r="O1280" s="20"/>
      <c r="P1280" s="185" t="str">
        <f>EUconst_CNTR_HAL&amp;I1271</f>
        <v>HAL_Podinstalacja wytwarzająca emisje procesowe, „nie-CL”</v>
      </c>
      <c r="Q1280" s="422"/>
      <c r="R1280" s="1013" t="s">
        <v>630</v>
      </c>
      <c r="S1280" s="1013" t="s">
        <v>631</v>
      </c>
      <c r="T1280" s="1013" t="s">
        <v>632</v>
      </c>
    </row>
    <row r="1281" spans="1:20" s="701" customFormat="1" ht="5.0999999999999996" customHeight="1" thickBot="1" x14ac:dyDescent="0.25">
      <c r="A1281" s="422"/>
      <c r="B1281" s="398"/>
      <c r="C1281" s="398"/>
      <c r="D1281" s="398"/>
      <c r="E1281" s="398"/>
      <c r="F1281" s="398"/>
      <c r="G1281" s="398"/>
      <c r="H1281" s="398"/>
      <c r="I1281" s="398"/>
      <c r="J1281" s="398"/>
      <c r="K1281" s="398"/>
      <c r="L1281" s="398"/>
      <c r="M1281" s="398"/>
      <c r="N1281" s="398"/>
      <c r="O1281" s="20"/>
      <c r="P1281" s="422"/>
      <c r="Q1281" s="422"/>
      <c r="R1281" s="422"/>
      <c r="S1281" s="422"/>
      <c r="T1281" s="8"/>
    </row>
    <row r="1282" spans="1:20" s="701" customFormat="1" ht="13.5" thickBot="1" x14ac:dyDescent="0.25">
      <c r="A1282" s="422"/>
      <c r="B1282" s="398"/>
      <c r="C1282" s="398"/>
      <c r="D1282" s="398"/>
      <c r="E1282" s="398"/>
      <c r="F1282" s="661" t="s">
        <v>520</v>
      </c>
      <c r="G1282" s="824"/>
      <c r="H1282" s="398"/>
      <c r="I1282" s="823" t="str">
        <f>Translations!$B$1226</f>
        <v>Wst. przydział rok 1 (min.)</v>
      </c>
      <c r="J1282" s="824"/>
      <c r="K1282" s="823" t="str">
        <f>Translations!$B$1229</f>
        <v>Wst. przydział rok 1 (maks.)</v>
      </c>
      <c r="L1282" s="824"/>
      <c r="M1282" s="823" t="str">
        <f>Translations!$B$1231</f>
        <v>Wst. przydział rok 1 (faktyczny)</v>
      </c>
      <c r="N1282" s="824"/>
      <c r="O1282" s="20"/>
      <c r="P1282" s="185" t="str">
        <f>EUconst_AllocPrelim&amp;I1271</f>
        <v>AllocPrelim_Podinstalacja wytwarzająca emisje procesowe, „nie-CL”</v>
      </c>
      <c r="Q1282" s="422"/>
      <c r="R1282" s="982" t="str">
        <f>IF(I1283="","",IF(S1274=0,0,SUM(I1283)/S1274))</f>
        <v/>
      </c>
      <c r="S1282" s="982" t="str">
        <f>IF(K1283="","",IF(S1274=0,0,SUM(K1283)/S1274))</f>
        <v/>
      </c>
      <c r="T1282" s="982" t="str">
        <f>T1271</f>
        <v/>
      </c>
    </row>
    <row r="1283" spans="1:20" s="701" customFormat="1" ht="13.5" thickBot="1" x14ac:dyDescent="0.25">
      <c r="A1283" s="422"/>
      <c r="B1283" s="398"/>
      <c r="C1283" s="398"/>
      <c r="D1283" s="398"/>
      <c r="E1283" s="398"/>
      <c r="F1283" s="662" t="str">
        <f>IF(M1271&lt;&gt;EUconst_Relevant,"",MAX(0, IF(J1274=TRUE, SUM(K1274), SUM(N1280))))</f>
        <v/>
      </c>
      <c r="G1283" s="966" t="str">
        <f>H1280&amp;" / "&amp;EUconst_Year</f>
        <v>t CO2e / rok</v>
      </c>
      <c r="H1283" s="398"/>
      <c r="I1283" s="820" t="str">
        <f>IF(M1271&lt;&gt;EUconst_Relevant,"",ROUND(SUM(M1274)*SUM(F1283)*SUM(S1274),0))</f>
        <v/>
      </c>
      <c r="J1283" s="966" t="str">
        <f>EUconst_EUApa</f>
        <v>Uprawnienia do emisji ogólnych / rok</v>
      </c>
      <c r="K1283" s="820" t="str">
        <f>IF(M1271&lt;&gt;EUconst_Relevant,"",ROUND(SUM(M1275)*SUM(F1283)*SUM(S1274),0))</f>
        <v/>
      </c>
      <c r="L1283" s="966" t="str">
        <f>EUconst_EUApa</f>
        <v>Uprawnienia do emisji ogólnych / rok</v>
      </c>
      <c r="M1283" s="820" t="str">
        <f>IF(OR(M1271&lt;&gt;EUconst_Relevant,M1276=""),"",ROUND(SUM(M1276)*SUM(F1283)*SUM(S1274),0))</f>
        <v/>
      </c>
      <c r="N1283" s="966" t="str">
        <f>EUconst_EUApa</f>
        <v>Uprawnienia do emisji ogólnych / rok</v>
      </c>
      <c r="O1283" s="20"/>
      <c r="P1283" s="185" t="str">
        <f>EUconst_HALsum &amp; I1271</f>
        <v>HALsum_Podinstalacja wytwarzająca emisje procesowe, „nie-CL”</v>
      </c>
      <c r="Q1283" s="422"/>
      <c r="R1283" s="422"/>
      <c r="S1283" s="422"/>
      <c r="T1283" s="422"/>
    </row>
    <row r="1284" spans="1:20" s="701" customFormat="1" x14ac:dyDescent="0.2">
      <c r="A1284" s="422"/>
      <c r="B1284" s="398"/>
      <c r="C1284" s="398"/>
      <c r="D1284" s="398"/>
      <c r="E1284" s="398"/>
      <c r="F1284" s="398"/>
      <c r="G1284" s="398"/>
      <c r="H1284" s="398"/>
      <c r="I1284" s="398"/>
      <c r="J1284" s="398"/>
      <c r="K1284" s="398"/>
      <c r="L1284" s="398"/>
      <c r="M1284" s="398"/>
      <c r="N1284" s="398"/>
      <c r="O1284" s="20"/>
      <c r="P1284" s="422"/>
      <c r="Q1284" s="422"/>
      <c r="R1284" s="422"/>
      <c r="S1284" s="422"/>
      <c r="T1284" s="422"/>
    </row>
    <row r="1285" spans="1:20" s="701" customFormat="1" ht="12.75" customHeight="1" x14ac:dyDescent="0.2">
      <c r="A1285" s="422"/>
      <c r="B1285" s="398"/>
      <c r="C1285" s="398"/>
      <c r="D1285" s="398"/>
      <c r="E1285" s="516"/>
      <c r="F1285" s="831"/>
      <c r="G1285" s="831"/>
      <c r="H1285" s="831"/>
      <c r="I1285" s="831"/>
      <c r="J1285" s="831"/>
      <c r="K1285" s="831"/>
      <c r="L1285" s="831"/>
      <c r="M1285" s="831"/>
      <c r="N1285" s="831"/>
      <c r="O1285" s="20"/>
      <c r="P1285" s="422"/>
      <c r="Q1285" s="422"/>
      <c r="R1285" s="422"/>
      <c r="S1285" s="422"/>
      <c r="T1285" s="422"/>
    </row>
    <row r="1286" spans="1:20" s="701" customFormat="1" ht="13.5" thickBot="1" x14ac:dyDescent="0.25">
      <c r="A1286" s="422"/>
      <c r="B1286" s="398"/>
      <c r="C1286" s="398"/>
      <c r="D1286" s="398"/>
      <c r="E1286" s="516"/>
      <c r="F1286" s="831"/>
      <c r="G1286" s="831"/>
      <c r="H1286" s="515" t="str">
        <f>EUconst_Unit</f>
        <v>Jednostka</v>
      </c>
      <c r="I1286" s="1010">
        <f>I$1397</f>
        <v>2014</v>
      </c>
      <c r="J1286" s="833">
        <f>J$1397</f>
        <v>2015</v>
      </c>
      <c r="K1286" s="833">
        <f>K$1397</f>
        <v>2016</v>
      </c>
      <c r="L1286" s="833">
        <f>L$1397</f>
        <v>2017</v>
      </c>
      <c r="M1286" s="833">
        <f>M$1397</f>
        <v>2018</v>
      </c>
      <c r="N1286" s="831"/>
      <c r="O1286" s="20"/>
      <c r="P1286" s="422"/>
      <c r="Q1286" s="422"/>
      <c r="R1286" s="422"/>
      <c r="S1286" s="422"/>
      <c r="T1286" s="422"/>
    </row>
    <row r="1287" spans="1:20" s="701" customFormat="1" ht="13.5" thickBot="1" x14ac:dyDescent="0.25">
      <c r="A1287" s="422"/>
      <c r="B1287" s="398"/>
      <c r="C1287" s="398"/>
      <c r="D1287" s="398"/>
      <c r="E1287" s="1876" t="str">
        <f>Translations!$B$1238</f>
        <v>Całkowite przypisane emisje</v>
      </c>
      <c r="F1287" s="1876"/>
      <c r="G1287" s="1876"/>
      <c r="H1287" s="968" t="str">
        <f>EUconst_tCO2epa</f>
        <v>t CO2e/rok</v>
      </c>
      <c r="I1287" s="1000" t="str">
        <f>INDEX(I$93:I$109,MATCH($I1271,$E$93:$E$109,0))</f>
        <v/>
      </c>
      <c r="J1287" s="1001" t="str">
        <f>INDEX(J$93:J$109,MATCH($I1271,$E$93:$E$109,0))</f>
        <v/>
      </c>
      <c r="K1287" s="1001" t="str">
        <f>INDEX(K$93:K$109,MATCH($I1271,$E$93:$E$109,0))</f>
        <v/>
      </c>
      <c r="L1287" s="1001" t="str">
        <f>INDEX(L$93:L$109,MATCH($I1271,$E$93:$E$109,0))</f>
        <v/>
      </c>
      <c r="M1287" s="1002" t="str">
        <f>INDEX(M$93:M$109,MATCH($I1271,$E$93:$E$109,0))</f>
        <v/>
      </c>
      <c r="N1287" s="831"/>
      <c r="O1287" s="20"/>
      <c r="P1287" s="422"/>
      <c r="Q1287" s="422"/>
      <c r="R1287" s="422"/>
      <c r="S1287" s="422"/>
      <c r="T1287" s="8"/>
    </row>
    <row r="1288" spans="1:20" s="701" customFormat="1" ht="12.75" customHeight="1" x14ac:dyDescent="0.2">
      <c r="A1288" s="422"/>
      <c r="B1288" s="398"/>
      <c r="C1288" s="398"/>
      <c r="D1288" s="398"/>
      <c r="E1288" s="831"/>
      <c r="F1288" s="831"/>
      <c r="G1288" s="831"/>
      <c r="H1288" s="831"/>
      <c r="I1288" s="831"/>
      <c r="J1288" s="831"/>
      <c r="K1288" s="831"/>
      <c r="L1288" s="831"/>
      <c r="M1288" s="831"/>
      <c r="N1288" s="831"/>
      <c r="O1288" s="20"/>
      <c r="P1288" s="422"/>
      <c r="Q1288" s="422"/>
      <c r="R1288" s="422"/>
      <c r="S1288" s="422"/>
      <c r="T1288" s="422"/>
    </row>
    <row r="1289" spans="1:20" ht="25.5" customHeight="1" x14ac:dyDescent="0.2">
      <c r="B1289" s="20"/>
      <c r="C1289" s="20"/>
      <c r="D1289" s="20"/>
      <c r="E1289" s="20"/>
      <c r="F1289" s="20"/>
      <c r="G1289" s="20"/>
      <c r="H1289" s="20"/>
      <c r="I1289" s="20"/>
      <c r="J1289" s="20"/>
      <c r="K1289" s="20"/>
      <c r="L1289" s="20"/>
      <c r="M1289" s="20"/>
      <c r="N1289" s="20"/>
      <c r="O1289" s="20"/>
    </row>
    <row r="1290" spans="1:20" s="575" customFormat="1" ht="15.75" x14ac:dyDescent="0.25">
      <c r="A1290" s="422"/>
      <c r="B1290" s="3"/>
      <c r="C1290" s="12" t="s">
        <v>253</v>
      </c>
      <c r="D1290" s="13" t="str">
        <f>Translations!$B$1246</f>
        <v>Obliczenie wstępnej rocznej liczby uprawnień przydzielonych bezpłatnie</v>
      </c>
      <c r="E1290" s="13"/>
      <c r="F1290" s="13"/>
      <c r="G1290" s="13"/>
      <c r="H1290" s="13"/>
      <c r="I1290" s="13"/>
      <c r="J1290" s="13"/>
      <c r="K1290" s="13"/>
      <c r="L1290" s="13"/>
      <c r="M1290" s="13"/>
      <c r="N1290" s="13"/>
      <c r="O1290" s="20"/>
      <c r="P1290" s="8" t="s">
        <v>618</v>
      </c>
      <c r="Q1290" s="8" t="s">
        <v>618</v>
      </c>
      <c r="R1290" s="8" t="s">
        <v>618</v>
      </c>
      <c r="S1290" s="8" t="s">
        <v>618</v>
      </c>
      <c r="T1290" s="8" t="s">
        <v>618</v>
      </c>
    </row>
    <row r="1291" spans="1:20" s="701" customFormat="1" ht="12.75" customHeight="1" x14ac:dyDescent="0.2">
      <c r="A1291" s="422"/>
      <c r="B1291" s="398"/>
      <c r="C1291" s="398"/>
      <c r="D1291" s="398"/>
      <c r="E1291" s="398"/>
      <c r="F1291" s="398"/>
      <c r="G1291" s="398"/>
      <c r="H1291" s="398"/>
      <c r="I1291" s="398"/>
      <c r="J1291" s="398"/>
      <c r="K1291" s="398"/>
      <c r="L1291" s="398"/>
      <c r="M1291" s="398"/>
      <c r="N1291" s="398"/>
      <c r="O1291" s="20"/>
      <c r="P1291" s="8"/>
      <c r="Q1291" s="8"/>
      <c r="R1291" s="8"/>
      <c r="S1291" s="8"/>
      <c r="T1291" s="8"/>
    </row>
    <row r="1292" spans="1:20" s="575" customFormat="1" ht="39.950000000000003" customHeight="1" x14ac:dyDescent="0.2">
      <c r="A1292" s="422"/>
      <c r="B1292" s="3"/>
      <c r="C1292" s="3"/>
      <c r="D1292" s="16"/>
      <c r="E1292" s="1408" t="str">
        <f>Translations!$B$1247</f>
        <v>W tej części mogą Państwo zapoznać się z podsumowaniem wstępnych wartości przydziału odpowiednio na lata 2021–2025 lub 2026–2030, które dotyczą tej instalacji i które opierają się na danych przedstawionych we wcześniejszych częściach w oparciu o Państwa wpisy. Wyświetlane informacje nie obejmują kontroli kompletności. W związku z tym dane te można uznać za prawidłowe wyłącznie wówczas, gdy upewnili się Państwo, że spełniono następujące warunki:</v>
      </c>
      <c r="F1292" s="1370"/>
      <c r="G1292" s="1370"/>
      <c r="H1292" s="1370"/>
      <c r="I1292" s="1370"/>
      <c r="J1292" s="1370"/>
      <c r="K1292" s="1370"/>
      <c r="L1292" s="1370"/>
      <c r="M1292" s="1370"/>
      <c r="N1292" s="1370"/>
      <c r="O1292" s="20"/>
      <c r="P1292" s="8"/>
      <c r="Q1292" s="422"/>
      <c r="R1292" s="422"/>
      <c r="S1292" s="422"/>
      <c r="T1292" s="422"/>
    </row>
    <row r="1293" spans="1:20" s="575" customFormat="1" ht="12.75" customHeight="1" x14ac:dyDescent="0.2">
      <c r="A1293" s="422"/>
      <c r="B1293" s="3"/>
      <c r="C1293" s="3"/>
      <c r="D1293" s="16"/>
      <c r="E1293" s="885" t="s">
        <v>408</v>
      </c>
      <c r="F1293" s="1408" t="str">
        <f>Translations!$B$1248</f>
        <v>Arkusz „A_InstallationData” należy wypełnić w całości, szczególnie część A.II (kwalifikowalność i okres odniesienia) i A.III (wykaz podinstalacji)</v>
      </c>
      <c r="G1293" s="1408"/>
      <c r="H1293" s="1408"/>
      <c r="I1293" s="1408"/>
      <c r="J1293" s="1408"/>
      <c r="K1293" s="1408"/>
      <c r="L1293" s="1408"/>
      <c r="M1293" s="1408"/>
      <c r="N1293" s="1408"/>
      <c r="O1293" s="20"/>
      <c r="P1293" s="8"/>
      <c r="Q1293" s="422"/>
      <c r="R1293" s="422"/>
      <c r="S1293" s="422"/>
      <c r="T1293" s="422"/>
    </row>
    <row r="1294" spans="1:20" s="575" customFormat="1" x14ac:dyDescent="0.2">
      <c r="A1294" s="422"/>
      <c r="B1294" s="3"/>
      <c r="C1294" s="3"/>
      <c r="D1294" s="16"/>
      <c r="E1294" s="885" t="s">
        <v>408</v>
      </c>
      <c r="F1294" s="1408" t="str">
        <f>Translations!$B$1249</f>
        <v>Dane wprowadzono dla wszystkich lat odniesienia i wypełniono odpowiednie części arkuszy F i G.</v>
      </c>
      <c r="G1294" s="1408"/>
      <c r="H1294" s="1408"/>
      <c r="I1294" s="1408"/>
      <c r="J1294" s="1408"/>
      <c r="K1294" s="1408"/>
      <c r="L1294" s="1408"/>
      <c r="M1294" s="1408"/>
      <c r="N1294" s="1408"/>
      <c r="O1294" s="20"/>
      <c r="P1294" s="8"/>
      <c r="Q1294" s="422"/>
      <c r="R1294" s="422"/>
      <c r="S1294" s="422"/>
      <c r="T1294" s="422"/>
    </row>
    <row r="1295" spans="1:20" s="575" customFormat="1" x14ac:dyDescent="0.2">
      <c r="A1295" s="422"/>
      <c r="B1295" s="3"/>
      <c r="C1295" s="3"/>
      <c r="D1295" s="16"/>
      <c r="E1295" s="885" t="s">
        <v>408</v>
      </c>
      <c r="F1295" s="1408" t="str">
        <f>Translations!$B$1250</f>
        <v>W żadnej z części w tych arkuszach nie pojawiają się komunikaty o błędzie.</v>
      </c>
      <c r="G1295" s="1408"/>
      <c r="H1295" s="1408"/>
      <c r="I1295" s="1408"/>
      <c r="J1295" s="1408"/>
      <c r="K1295" s="1408"/>
      <c r="L1295" s="1408"/>
      <c r="M1295" s="1408"/>
      <c r="N1295" s="1408"/>
      <c r="O1295" s="20"/>
      <c r="P1295" s="8"/>
      <c r="Q1295" s="422"/>
      <c r="R1295" s="422"/>
      <c r="S1295" s="422"/>
      <c r="T1295" s="422"/>
    </row>
    <row r="1296" spans="1:20" s="575" customFormat="1" x14ac:dyDescent="0.2">
      <c r="A1296" s="422"/>
      <c r="B1296" s="3"/>
      <c r="C1296" s="3"/>
      <c r="D1296" s="16"/>
      <c r="E1296" s="1408" t="str">
        <f>Translations!$B$1251</f>
        <v>Aby zrozumieć wstępny charakter tych informacji, istotne jest zrozumienie tego, co zostało uwzględnione w obliczeniach:</v>
      </c>
      <c r="F1296" s="1370"/>
      <c r="G1296" s="1370"/>
      <c r="H1296" s="1370"/>
      <c r="I1296" s="1370"/>
      <c r="J1296" s="1370"/>
      <c r="K1296" s="1370"/>
      <c r="L1296" s="1370"/>
      <c r="M1296" s="1370"/>
      <c r="N1296" s="1370"/>
      <c r="O1296" s="20"/>
      <c r="P1296" s="8"/>
      <c r="Q1296" s="422"/>
      <c r="R1296" s="422"/>
      <c r="S1296" s="422"/>
      <c r="T1296" s="422"/>
    </row>
    <row r="1297" spans="1:20" s="575" customFormat="1" ht="38.25" customHeight="1" x14ac:dyDescent="0.2">
      <c r="A1297" s="422"/>
      <c r="B1297" s="3"/>
      <c r="C1297" s="3"/>
      <c r="D1297" s="16"/>
      <c r="E1297" s="885" t="s">
        <v>408</v>
      </c>
      <c r="F1297" s="1408" t="str">
        <f>Translations!$B$1252</f>
        <v>W zależności od danych, które wprowadzili Państwo w części A.II.2 (wybrany okres odniesienia), części A.III (dane dotyczące podinstalacji) oraz arkuszach F i G, w części IV niniejszego arkusza widzą Państwo, które lata odniesienia wykorzystano do obliczenia historycznych poziomów działalności (HPD), których dotyczą wskaźniki.</v>
      </c>
      <c r="G1297" s="1408"/>
      <c r="H1297" s="1408"/>
      <c r="I1297" s="1408"/>
      <c r="J1297" s="1408"/>
      <c r="K1297" s="1408"/>
      <c r="L1297" s="1408"/>
      <c r="M1297" s="1408"/>
      <c r="N1297" s="1408"/>
      <c r="O1297" s="20"/>
      <c r="P1297" s="8"/>
      <c r="Q1297" s="422"/>
      <c r="R1297" s="422"/>
      <c r="S1297" s="422"/>
      <c r="T1297" s="422"/>
    </row>
    <row r="1298" spans="1:20" s="575" customFormat="1" ht="25.5" customHeight="1" x14ac:dyDescent="0.2">
      <c r="A1298" s="422"/>
      <c r="B1298" s="3"/>
      <c r="C1298" s="3"/>
      <c r="D1298" s="16"/>
      <c r="E1298" s="885" t="s">
        <v>408</v>
      </c>
      <c r="F1298" s="1416" t="str">
        <f>Translations!$B$1253</f>
        <v>Ponieważ w momencie zgłaszania danych właściwemu organowi nie są jeszcze dostępne aktualne wartości wskaźników, mogą Państwo poznać orientacyjny rząd wielkości oczekiwanego przydziału, wybierając albo „minimalne”, albo „maksymalne” wartości wskaźników w pkt 1 lit. a) poniżej.</v>
      </c>
      <c r="G1298" s="1364"/>
      <c r="H1298" s="1364"/>
      <c r="I1298" s="1364"/>
      <c r="J1298" s="1364"/>
      <c r="K1298" s="1364"/>
      <c r="L1298" s="1364"/>
      <c r="M1298" s="1364"/>
      <c r="N1298" s="1364"/>
      <c r="O1298" s="20"/>
      <c r="P1298" s="8"/>
      <c r="Q1298" s="422"/>
      <c r="R1298" s="422"/>
      <c r="S1298" s="422"/>
      <c r="T1298" s="422"/>
    </row>
    <row r="1299" spans="1:20" s="575" customFormat="1" x14ac:dyDescent="0.2">
      <c r="A1299" s="422"/>
      <c r="B1299" s="3"/>
      <c r="C1299" s="3"/>
      <c r="D1299" s="16"/>
      <c r="E1299" s="885" t="s">
        <v>408</v>
      </c>
      <c r="F1299" s="1408" t="str">
        <f>Translations!$B$1254</f>
        <v>W odniesieniu do każdej podinstalacji obliczenia uwzględniają, czy jest ona narażona na znaczne ryzyko ucieczki emisji.</v>
      </c>
      <c r="G1299" s="1408"/>
      <c r="H1299" s="1408"/>
      <c r="I1299" s="1408"/>
      <c r="J1299" s="1408"/>
      <c r="K1299" s="1408"/>
      <c r="L1299" s="1408"/>
      <c r="M1299" s="1408"/>
      <c r="N1299" s="1408"/>
      <c r="O1299" s="20"/>
      <c r="P1299" s="8"/>
      <c r="Q1299" s="422"/>
      <c r="R1299" s="422"/>
      <c r="S1299" s="422"/>
      <c r="T1299" s="422"/>
    </row>
    <row r="1300" spans="1:20" s="575" customFormat="1" ht="51" customHeight="1" x14ac:dyDescent="0.2">
      <c r="A1300" s="422"/>
      <c r="B1300" s="3"/>
      <c r="C1300" s="3"/>
      <c r="D1300" s="16"/>
      <c r="E1300" s="885" t="s">
        <v>408</v>
      </c>
      <c r="F1300" s="1408" t="str">
        <f>Translations!$B$1255</f>
        <v>W obliczeniach uwzględnia się, czy instalacja jest objęta art. 10a ust. 3 dyrektywy w sprawie EU ETS, tzn. czy jest wytwórcą energii elektrycznej lub instalacją służącą do wychwytywania, transportu i geologicznego składowania CO2. Zgodnie z art. 16 ust. 8 FAR przydział uprawnień dla takich instalacji musi być skorygowany przez zastosowanie współczynnika liniowego, o którym mowa w art. 10a ust. 4 dyrektywy w sprawie EU ETS. Ten współczynnik liniowy jest tutaj brany pod uwagę.</v>
      </c>
      <c r="G1300" s="1408"/>
      <c r="H1300" s="1408"/>
      <c r="I1300" s="1408"/>
      <c r="J1300" s="1408"/>
      <c r="K1300" s="1408"/>
      <c r="L1300" s="1408"/>
      <c r="M1300" s="1408"/>
      <c r="N1300" s="1408"/>
      <c r="O1300" s="20"/>
      <c r="P1300" s="8"/>
      <c r="Q1300" s="422"/>
      <c r="R1300" s="422"/>
      <c r="S1300" s="422"/>
      <c r="T1300" s="422"/>
    </row>
    <row r="1301" spans="1:20" s="575" customFormat="1" ht="39.950000000000003" customHeight="1" x14ac:dyDescent="0.2">
      <c r="A1301" s="422"/>
      <c r="B1301" s="3"/>
      <c r="C1301" s="3"/>
      <c r="D1301" s="16"/>
      <c r="E1301" s="885" t="s">
        <v>408</v>
      </c>
      <c r="F1301" s="1408" t="str">
        <f>Translations!$B$1256</f>
        <v>Wstępny przydział dla wszystkich pozostałych instalacji (tych, których nie uwzględniono w art. 10a ust. 3 dyrektywy w sprawie EU ETS) należy pomnożyć przez międzysektorowy współczynnik korygujący zgodnie z art. 14 ust. 6 FAR. Współczynnik ten obliczy Komisja Europejska, gdy tylko wszystkie państwa członkowskie zgłoszą swoje krajowe środki wykonawcze (KŚW), a nowe wartości wskaźników zostaną opublikowane.</v>
      </c>
      <c r="G1301" s="1408"/>
      <c r="H1301" s="1408"/>
      <c r="I1301" s="1408"/>
      <c r="J1301" s="1408"/>
      <c r="K1301" s="1408"/>
      <c r="L1301" s="1408"/>
      <c r="M1301" s="1408"/>
      <c r="N1301" s="1408"/>
      <c r="O1301" s="20"/>
      <c r="P1301" s="8"/>
      <c r="Q1301" s="422"/>
      <c r="R1301" s="422"/>
      <c r="S1301" s="422"/>
      <c r="T1301" s="422"/>
    </row>
    <row r="1302" spans="1:20" s="575" customFormat="1" ht="38.25" customHeight="1" x14ac:dyDescent="0.2">
      <c r="A1302" s="422"/>
      <c r="B1302" s="3"/>
      <c r="C1302" s="3"/>
      <c r="D1302" s="16"/>
      <c r="E1302" s="885" t="s">
        <v>408</v>
      </c>
      <c r="F1302" s="1408" t="str">
        <f>Translations!$B$1257</f>
        <v>Aby prowadzący instalację mogli lepiej zrozumieć, w jaki sposób dokonuje się obliczenia przydziału, poniżej wyświetla się przydział WSTĘPNY (tj. przydział przed zastosowaniem międzysektorowego współczynnika korygującego lub współczynnika liniowego). Na potrzeby złożenia wniosku do właściwego organu nie trzeba podawać międzysektorowego współczynnika korygującego.</v>
      </c>
      <c r="G1302" s="1408"/>
      <c r="H1302" s="1408"/>
      <c r="I1302" s="1408"/>
      <c r="J1302" s="1408"/>
      <c r="K1302" s="1408"/>
      <c r="L1302" s="1408"/>
      <c r="M1302" s="1408"/>
      <c r="N1302" s="1408"/>
      <c r="O1302" s="20"/>
      <c r="P1302" s="8"/>
      <c r="Q1302" s="422"/>
      <c r="R1302" s="422"/>
      <c r="S1302" s="422"/>
      <c r="T1302" s="422"/>
    </row>
    <row r="1303" spans="1:20" s="575" customFormat="1" ht="25.5" customHeight="1" x14ac:dyDescent="0.2">
      <c r="A1303" s="422"/>
      <c r="B1303" s="3"/>
      <c r="C1303" s="3"/>
      <c r="D1303" s="16"/>
      <c r="E1303" s="885" t="s">
        <v>408</v>
      </c>
      <c r="F1303" s="1408" t="str">
        <f>Translations!$B$1258</f>
        <v>Niniejszy formularz daje jednak możliwość wpisania wartości międzysektorowego współczynnika korygującego. Tej opcji prowadzący instalację może użyć tylko do własnych celów informacyjnych. Wyniki te nie są w żadnym wypadku prawnie wiążące.</v>
      </c>
      <c r="G1303" s="1408"/>
      <c r="H1303" s="1408"/>
      <c r="I1303" s="1408"/>
      <c r="J1303" s="1408"/>
      <c r="K1303" s="1408"/>
      <c r="L1303" s="1408"/>
      <c r="M1303" s="1408"/>
      <c r="N1303" s="1408"/>
      <c r="O1303" s="20"/>
      <c r="P1303" s="8"/>
      <c r="Q1303" s="422"/>
      <c r="R1303" s="422"/>
      <c r="S1303" s="422"/>
      <c r="T1303" s="422"/>
    </row>
    <row r="1304" spans="1:20" s="575" customFormat="1" ht="12.75" customHeight="1" thickBot="1" x14ac:dyDescent="0.25">
      <c r="A1304" s="422"/>
      <c r="B1304" s="3"/>
      <c r="C1304" s="3"/>
      <c r="D1304" s="16"/>
      <c r="E1304" s="885"/>
      <c r="F1304" s="1012"/>
      <c r="G1304" s="1012"/>
      <c r="H1304" s="1012"/>
      <c r="I1304" s="1012"/>
      <c r="J1304" s="1012"/>
      <c r="K1304" s="1012"/>
      <c r="L1304" s="1012"/>
      <c r="M1304" s="1012"/>
      <c r="N1304" s="1012"/>
      <c r="O1304" s="20"/>
      <c r="P1304" s="8"/>
      <c r="Q1304" s="422"/>
      <c r="R1304" s="422"/>
      <c r="S1304" s="422"/>
      <c r="T1304" s="422"/>
    </row>
    <row r="1305" spans="1:20" s="844" customFormat="1" ht="90" customHeight="1" thickBot="1" x14ac:dyDescent="0.25">
      <c r="A1305" s="842"/>
      <c r="B1305" s="843"/>
      <c r="C1305" s="843"/>
      <c r="D1305" s="1966" t="str">
        <f>Translations!$B$1259</f>
        <v>Zastrzeżenie: Zgodnie z art. 16 ust. 1 FAR państwa członkowskie mają obowiązek obliczenia i ustalenia liczby bezpłatnych uprawnień do emisji przydzielanych od roku 2021 każdej instalacji, na rzecz której występuje się o przydział bezpłatnych uprawnień. Wyniki wyświetlane w tym miejscu mają więc charakter wyłącznie orientacyjny. Nie udziela się żadnej gwarancji, wyraźnej ani dorozumianej, w zakresie dokładności, kompletności lub rzetelności wyników. Wyniki wyświetlane w niniejszym formularzu nie są podstawą do przyznania prawa do jakiejkolwiek liczby uprawnień. W sprawie poprawności obliczeń proszę odnieść się także do zastrzeżenia w arkuszu „Guidelines and conditions” (Wytyczne i warunki).</v>
      </c>
      <c r="E1305" s="1967"/>
      <c r="F1305" s="1967"/>
      <c r="G1305" s="1967"/>
      <c r="H1305" s="1967"/>
      <c r="I1305" s="1967"/>
      <c r="J1305" s="1967"/>
      <c r="K1305" s="1967"/>
      <c r="L1305" s="1967"/>
      <c r="M1305" s="1967"/>
      <c r="N1305" s="1968"/>
      <c r="O1305" s="20"/>
      <c r="P1305" s="8"/>
      <c r="Q1305" s="8"/>
      <c r="R1305" s="8"/>
      <c r="S1305" s="8"/>
      <c r="T1305" s="8"/>
    </row>
    <row r="1306" spans="1:20" s="575" customFormat="1" x14ac:dyDescent="0.2">
      <c r="A1306" s="422"/>
      <c r="B1306" s="398"/>
      <c r="C1306" s="398"/>
      <c r="D1306" s="398"/>
      <c r="E1306" s="398"/>
      <c r="F1306" s="398"/>
      <c r="G1306" s="398"/>
      <c r="H1306" s="398"/>
      <c r="I1306" s="398"/>
      <c r="J1306" s="398"/>
      <c r="K1306" s="398"/>
      <c r="L1306" s="398"/>
      <c r="M1306" s="398"/>
      <c r="N1306" s="398"/>
      <c r="O1306" s="20"/>
      <c r="P1306" s="422"/>
      <c r="Q1306" s="422"/>
      <c r="R1306" s="422"/>
      <c r="S1306" s="422"/>
      <c r="T1306" s="422"/>
    </row>
    <row r="1307" spans="1:20" s="575" customFormat="1" ht="15" x14ac:dyDescent="0.25">
      <c r="A1307" s="422"/>
      <c r="B1307" s="3"/>
      <c r="C1307" s="18">
        <v>1</v>
      </c>
      <c r="D1307" s="1961" t="str">
        <f>Translations!$B$1260</f>
        <v>Całkowita wstępna roczna liczba uprawnień przydzielonych bezpłatnie:</v>
      </c>
      <c r="E1307" s="1364"/>
      <c r="F1307" s="1364"/>
      <c r="G1307" s="1364"/>
      <c r="H1307" s="1364"/>
      <c r="I1307" s="1364"/>
      <c r="J1307" s="1364"/>
      <c r="K1307" s="1364"/>
      <c r="L1307" s="1364"/>
      <c r="M1307" s="1364"/>
      <c r="N1307" s="1364"/>
      <c r="O1307" s="20"/>
      <c r="P1307" s="422"/>
      <c r="Q1307" s="422"/>
      <c r="R1307" s="422"/>
      <c r="S1307" s="422"/>
      <c r="T1307" s="422"/>
    </row>
    <row r="1308" spans="1:20" s="575" customFormat="1" ht="38.85" customHeight="1" x14ac:dyDescent="0.2">
      <c r="A1308" s="422"/>
      <c r="B1308" s="3"/>
      <c r="C1308" s="3"/>
      <c r="D1308" s="16"/>
      <c r="E1308" s="1408" t="str">
        <f>Translations!$B$1261</f>
        <v>Liczby wyświetlane w tym miejscu stanowią wynik obliczenia wstępnej rocznej liczby uprawnień przydzielonych bezpłatnie zgodnie z art. 16 ust. 1–7 FAR, tj. już po zastosowaniu współczynników określonych w załączniku V do FAR (zwanych poniżej „współczynnikiem ucieczki emisji”). Zgodnie z art. 16 ust. 3 FAR w odniesieniu do podinstalacji sieci ciepłowniczej współczynnik ten będzie wynosił 0,3 we wszystkich latach.</v>
      </c>
      <c r="F1308" s="1370"/>
      <c r="G1308" s="1370"/>
      <c r="H1308" s="1370"/>
      <c r="I1308" s="1370"/>
      <c r="J1308" s="1370"/>
      <c r="K1308" s="1370"/>
      <c r="L1308" s="1370"/>
      <c r="M1308" s="1370"/>
      <c r="N1308" s="1370"/>
      <c r="O1308" s="20"/>
      <c r="P1308" s="8"/>
      <c r="Q1308" s="422"/>
      <c r="R1308" s="422"/>
      <c r="S1308" s="422"/>
      <c r="T1308" s="422"/>
    </row>
    <row r="1309" spans="1:20" s="575" customFormat="1" ht="25.5" customHeight="1" x14ac:dyDescent="0.2">
      <c r="A1309" s="422"/>
      <c r="B1309" s="3"/>
      <c r="C1309" s="3"/>
      <c r="D1309" s="16"/>
      <c r="E1309" s="1448" t="str">
        <f>Translations!$B$1262</f>
        <v>W przypadku gdy w odniesieniu do danej podinstalacji obliczona wstępna roczna liczba uprawnień przydzielonych bezpłatnie jest wartością ujemną, należy ją zamienić na zero.</v>
      </c>
      <c r="F1309" s="1434"/>
      <c r="G1309" s="1434"/>
      <c r="H1309" s="1434"/>
      <c r="I1309" s="1434"/>
      <c r="J1309" s="1434"/>
      <c r="K1309" s="1434"/>
      <c r="L1309" s="1434"/>
      <c r="M1309" s="1434"/>
      <c r="N1309" s="1434"/>
      <c r="O1309" s="20"/>
      <c r="P1309" s="8"/>
      <c r="Q1309" s="422"/>
      <c r="R1309" s="422"/>
      <c r="S1309" s="422"/>
      <c r="T1309" s="422"/>
    </row>
    <row r="1310" spans="1:20" s="575" customFormat="1" ht="5.0999999999999996" customHeight="1" thickBot="1" x14ac:dyDescent="0.25">
      <c r="A1310" s="422"/>
      <c r="B1310" s="398"/>
      <c r="C1310" s="398"/>
      <c r="D1310" s="398"/>
      <c r="E1310" s="398"/>
      <c r="F1310" s="398"/>
      <c r="G1310" s="398"/>
      <c r="H1310" s="398"/>
      <c r="I1310" s="398"/>
      <c r="J1310" s="398"/>
      <c r="K1310" s="398"/>
      <c r="L1310" s="398"/>
      <c r="M1310" s="398"/>
      <c r="N1310" s="398"/>
      <c r="O1310" s="20"/>
      <c r="P1310" s="422"/>
      <c r="Q1310" s="422"/>
      <c r="R1310" s="422"/>
      <c r="S1310" s="422"/>
      <c r="T1310" s="422"/>
    </row>
    <row r="1311" spans="1:20" s="575" customFormat="1" ht="13.5" thickBot="1" x14ac:dyDescent="0.25">
      <c r="A1311" s="422"/>
      <c r="B1311" s="3"/>
      <c r="D1311" s="14" t="s">
        <v>173</v>
      </c>
      <c r="E1311" s="1962" t="str">
        <f>Translations!$B$1263</f>
        <v>Obliczenie minimalnego, maksymalnego czy faktycznego wstępnego przydziału?</v>
      </c>
      <c r="F1311" s="1962"/>
      <c r="G1311" s="1962"/>
      <c r="H1311" s="1962"/>
      <c r="I1311" s="1962"/>
      <c r="J1311" s="1962"/>
      <c r="K1311" s="1963"/>
      <c r="L1311" s="1018"/>
      <c r="M1311" s="398"/>
      <c r="N1311" s="398"/>
      <c r="O1311" s="20"/>
      <c r="P1311" s="1014">
        <f>IF(L1311="",1,MATCH(L1311,EUconst_MinOrMaxOrActual,0))</f>
        <v>1</v>
      </c>
      <c r="Q1311" s="45" t="s">
        <v>633</v>
      </c>
      <c r="R1311" s="422"/>
      <c r="S1311" s="422"/>
      <c r="T1311" s="422"/>
    </row>
    <row r="1312" spans="1:20" s="575" customFormat="1" ht="12.75" customHeight="1" x14ac:dyDescent="0.2">
      <c r="A1312" s="422"/>
      <c r="B1312" s="3"/>
      <c r="C1312" s="3"/>
      <c r="D1312" s="16"/>
      <c r="E1312" s="1408" t="str">
        <f>Translations!$B$1264</f>
        <v>W zależności od wybranej opcji wyświetlony zostanie orientacyjny minimalny, maksymalny lub faktyczny wstępny przydział ustalony w części IV powyżej.</v>
      </c>
      <c r="F1312" s="1370"/>
      <c r="G1312" s="1370"/>
      <c r="H1312" s="1370"/>
      <c r="I1312" s="1370"/>
      <c r="J1312" s="1370"/>
      <c r="K1312" s="1370"/>
      <c r="L1312" s="1370"/>
      <c r="M1312" s="1370"/>
      <c r="N1312" s="1370"/>
      <c r="O1312" s="20"/>
      <c r="P1312" s="8"/>
      <c r="Q1312" s="422"/>
      <c r="R1312" s="422"/>
      <c r="S1312" s="422"/>
      <c r="T1312" s="422"/>
    </row>
    <row r="1313" spans="1:20" s="575" customFormat="1" ht="25.5" customHeight="1" x14ac:dyDescent="0.2">
      <c r="A1313" s="422"/>
      <c r="B1313" s="3"/>
      <c r="C1313" s="3"/>
      <c r="D1313" s="16"/>
      <c r="E1313" s="1408" t="str">
        <f>Translations!$B$1265</f>
        <v>Należy zauważyć, że faktyczny przydział uprawnień można obliczyć dopiero po opublikowaniu nowych wartości wskaźników. Jeżeli wybrano opcję „faktyczny” przed publikacją, poniżej nie zostaną przeprowadzone żadne obliczenia.</v>
      </c>
      <c r="F1313" s="1370"/>
      <c r="G1313" s="1370"/>
      <c r="H1313" s="1370"/>
      <c r="I1313" s="1370"/>
      <c r="J1313" s="1370"/>
      <c r="K1313" s="1370"/>
      <c r="L1313" s="1370"/>
      <c r="M1313" s="1370"/>
      <c r="N1313" s="1370"/>
      <c r="O1313" s="20"/>
      <c r="P1313" s="8"/>
      <c r="Q1313" s="422"/>
      <c r="R1313" s="422"/>
      <c r="S1313" s="422"/>
      <c r="T1313" s="422"/>
    </row>
    <row r="1314" spans="1:20" s="575" customFormat="1" ht="12.75" customHeight="1" x14ac:dyDescent="0.2">
      <c r="A1314" s="422"/>
      <c r="B1314" s="3"/>
      <c r="C1314" s="3"/>
      <c r="D1314" s="16"/>
      <c r="E1314" s="1408" t="str">
        <f>Translations!$B$1266</f>
        <v>Jeżeli pole to pozostanie niewypełnione, wartością domyślną wykorzystywaną we wszystkich poniższych obliczeniach będzie minimalny wstępny przydział.</v>
      </c>
      <c r="F1314" s="1370"/>
      <c r="G1314" s="1370"/>
      <c r="H1314" s="1370"/>
      <c r="I1314" s="1370"/>
      <c r="J1314" s="1370"/>
      <c r="K1314" s="1370"/>
      <c r="L1314" s="1370"/>
      <c r="M1314" s="1370"/>
      <c r="N1314" s="1370"/>
      <c r="O1314" s="20"/>
      <c r="P1314" s="8"/>
      <c r="Q1314" s="422"/>
      <c r="R1314" s="422"/>
      <c r="S1314" s="422"/>
      <c r="T1314" s="422"/>
    </row>
    <row r="1315" spans="1:20" s="575" customFormat="1" ht="5.0999999999999996" customHeight="1" x14ac:dyDescent="0.2">
      <c r="A1315" s="422"/>
      <c r="B1315" s="398"/>
      <c r="C1315" s="398"/>
      <c r="D1315" s="398"/>
      <c r="E1315" s="398"/>
      <c r="F1315" s="398"/>
      <c r="G1315" s="398"/>
      <c r="H1315" s="398"/>
      <c r="I1315" s="398"/>
      <c r="J1315" s="398"/>
      <c r="K1315" s="398"/>
      <c r="L1315" s="398"/>
      <c r="M1315" s="398"/>
      <c r="N1315" s="398"/>
      <c r="O1315" s="20"/>
      <c r="P1315" s="422"/>
      <c r="Q1315" s="422"/>
      <c r="R1315" s="422"/>
      <c r="S1315" s="422"/>
      <c r="T1315" s="422"/>
    </row>
    <row r="1316" spans="1:20" s="575" customFormat="1" x14ac:dyDescent="0.2">
      <c r="A1316" s="422"/>
      <c r="B1316" s="3"/>
      <c r="D1316" s="14" t="s">
        <v>353</v>
      </c>
      <c r="E1316" s="975" t="str">
        <f>Translations!$B$1267</f>
        <v>Współczynniki obliczeń:</v>
      </c>
      <c r="F1316" s="975"/>
      <c r="G1316" s="397"/>
      <c r="H1316" s="208"/>
      <c r="I1316" s="15"/>
      <c r="J1316" s="15"/>
      <c r="K1316" s="21"/>
      <c r="L1316" s="398"/>
      <c r="M1316" s="398"/>
      <c r="N1316" s="398"/>
      <c r="O1316" s="20"/>
      <c r="P1316" s="422"/>
      <c r="Q1316" s="422"/>
      <c r="R1316" s="422"/>
      <c r="S1316" s="422"/>
      <c r="T1316" s="422"/>
    </row>
    <row r="1317" spans="1:20" s="575" customFormat="1" x14ac:dyDescent="0.2">
      <c r="A1317" s="422"/>
      <c r="B1317" s="398"/>
      <c r="C1317" s="398"/>
      <c r="D1317" s="398"/>
      <c r="E1317" s="656"/>
      <c r="F1317" s="656"/>
      <c r="G1317" s="656"/>
      <c r="H1317" s="657"/>
      <c r="I1317" s="432">
        <f>I$1397+7</f>
        <v>2021</v>
      </c>
      <c r="J1317" s="432">
        <f>J$1397+7</f>
        <v>2022</v>
      </c>
      <c r="K1317" s="432">
        <f>K$1397+7</f>
        <v>2023</v>
      </c>
      <c r="L1317" s="432">
        <f>L$1397+7</f>
        <v>2024</v>
      </c>
      <c r="M1317" s="432">
        <f>M$1397+7</f>
        <v>2025</v>
      </c>
      <c r="N1317" s="398"/>
      <c r="O1317" s="20"/>
      <c r="P1317" s="422"/>
      <c r="Q1317" s="422"/>
      <c r="R1317" s="422"/>
      <c r="S1317" s="422"/>
      <c r="T1317" s="422"/>
    </row>
    <row r="1318" spans="1:20" s="575" customFormat="1" x14ac:dyDescent="0.2">
      <c r="A1318" s="422"/>
      <c r="B1318" s="398"/>
      <c r="C1318" s="398"/>
      <c r="D1318" s="398"/>
      <c r="E1318" s="1964" t="str">
        <f>Translations!$B$1268</f>
        <v>Współczynnik ucieczki emisji dla sektorów „nie-CL”</v>
      </c>
      <c r="F1318" s="1964"/>
      <c r="G1318" s="1964"/>
      <c r="H1318" s="1964"/>
      <c r="I1318" s="976">
        <f>INDEX(EUconst_CLEFYears,I1317-2020)</f>
        <v>0.3</v>
      </c>
      <c r="J1318" s="976">
        <f>INDEX(EUconst_CLEFYears,J1317-2020)</f>
        <v>0.3</v>
      </c>
      <c r="K1318" s="976">
        <f>INDEX(EUconst_CLEFYears,K1317-2020)</f>
        <v>0.3</v>
      </c>
      <c r="L1318" s="976">
        <f>INDEX(EUconst_CLEFYears,L1317-2020)</f>
        <v>0.3</v>
      </c>
      <c r="M1318" s="976">
        <f>INDEX(EUconst_CLEFYears,M1317-2020)</f>
        <v>0.3</v>
      </c>
      <c r="N1318" s="398"/>
      <c r="O1318" s="20"/>
      <c r="P1318" s="422"/>
      <c r="Q1318" s="422"/>
      <c r="R1318" s="422"/>
      <c r="S1318" s="422"/>
      <c r="T1318" s="422"/>
    </row>
    <row r="1319" spans="1:20" s="575" customFormat="1" x14ac:dyDescent="0.2">
      <c r="A1319" s="422"/>
      <c r="B1319" s="398"/>
      <c r="C1319" s="398"/>
      <c r="D1319" s="398"/>
      <c r="E1319" s="1964" t="str">
        <f>Translations!$B$1269</f>
        <v>Współczynnik ucieczki emisji dla sieci ciepłowniczej</v>
      </c>
      <c r="F1319" s="1964"/>
      <c r="G1319" s="1964"/>
      <c r="H1319" s="1964"/>
      <c r="I1319" s="976">
        <f>INDEX(EUconst_CLEFDistrict,I1317-2020)</f>
        <v>0.3</v>
      </c>
      <c r="J1319" s="976">
        <f>INDEX(EUconst_CLEFDistrict,J1317-2020)</f>
        <v>0.3</v>
      </c>
      <c r="K1319" s="976">
        <f>INDEX(EUconst_CLEFDistrict,K1317-2020)</f>
        <v>0.3</v>
      </c>
      <c r="L1319" s="976">
        <f>INDEX(EUconst_CLEFDistrict,L1317-2020)</f>
        <v>0.3</v>
      </c>
      <c r="M1319" s="976">
        <f>INDEX(EUconst_CLEFDistrict,M1317-2020)</f>
        <v>0.3</v>
      </c>
      <c r="N1319" s="398"/>
      <c r="O1319" s="20"/>
      <c r="P1319" s="422"/>
      <c r="Q1319" s="422"/>
      <c r="R1319" s="422"/>
      <c r="S1319" s="422"/>
      <c r="T1319" s="422"/>
    </row>
    <row r="1320" spans="1:20" s="575" customFormat="1" x14ac:dyDescent="0.2">
      <c r="A1320" s="422"/>
      <c r="B1320" s="398"/>
      <c r="C1320" s="398"/>
      <c r="D1320" s="398"/>
      <c r="E1320" s="1972" t="str">
        <f>Translations!$B$1270</f>
        <v>Uwaga: w sektorach narażonych na ryzyko ucieczki emisji współczynnik ucieczki emisji wynosi 1,0000 dla wszystkich lat.</v>
      </c>
      <c r="F1320" s="1408"/>
      <c r="G1320" s="1408"/>
      <c r="H1320" s="1408"/>
      <c r="I1320" s="1408"/>
      <c r="J1320" s="1408"/>
      <c r="K1320" s="1408"/>
      <c r="L1320" s="1408"/>
      <c r="M1320" s="1408"/>
      <c r="N1320" s="1408"/>
      <c r="O1320" s="20"/>
      <c r="P1320" s="422"/>
      <c r="Q1320" s="422"/>
      <c r="R1320" s="422"/>
      <c r="S1320" s="422"/>
      <c r="T1320" s="422"/>
    </row>
    <row r="1321" spans="1:20" s="575" customFormat="1" x14ac:dyDescent="0.2">
      <c r="A1321" s="422"/>
      <c r="B1321" s="398"/>
      <c r="C1321" s="398"/>
      <c r="D1321" s="398"/>
      <c r="E1321" s="398"/>
      <c r="F1321" s="398"/>
      <c r="G1321" s="398"/>
      <c r="H1321" s="398"/>
      <c r="I1321" s="398"/>
      <c r="J1321" s="398"/>
      <c r="K1321" s="398"/>
      <c r="L1321" s="398"/>
      <c r="M1321" s="398"/>
      <c r="N1321" s="398"/>
      <c r="O1321" s="20"/>
      <c r="P1321" s="422"/>
      <c r="Q1321" s="422"/>
      <c r="R1321" s="422"/>
      <c r="S1321" s="422"/>
      <c r="T1321" s="422"/>
    </row>
    <row r="1322" spans="1:20" s="575" customFormat="1" x14ac:dyDescent="0.2">
      <c r="A1322" s="422"/>
      <c r="B1322" s="3"/>
      <c r="D1322" s="14" t="s">
        <v>11</v>
      </c>
      <c r="E1322" s="975" t="str">
        <f>Translations!$B$1271</f>
        <v>Obliczenie zgodnie z art. 16 ust. 1–7 FAR:</v>
      </c>
      <c r="F1322" s="975"/>
      <c r="G1322" s="397"/>
      <c r="H1322" s="208"/>
      <c r="I1322" s="15"/>
      <c r="J1322" s="15"/>
      <c r="K1322" s="21"/>
      <c r="L1322" s="398"/>
      <c r="M1322" s="398"/>
      <c r="N1322" s="398"/>
      <c r="O1322" s="20"/>
      <c r="P1322" s="422"/>
      <c r="Q1322" s="422"/>
      <c r="R1322" s="422"/>
      <c r="S1322" s="422"/>
      <c r="T1322" s="422"/>
    </row>
    <row r="1323" spans="1:20" s="575" customFormat="1" ht="5.0999999999999996" customHeight="1" thickBot="1" x14ac:dyDescent="0.25">
      <c r="A1323" s="422"/>
      <c r="B1323" s="398"/>
      <c r="C1323" s="398"/>
      <c r="D1323" s="398"/>
      <c r="E1323" s="398"/>
      <c r="F1323" s="398"/>
      <c r="G1323" s="398"/>
      <c r="H1323" s="398"/>
      <c r="I1323" s="398"/>
      <c r="J1323" s="398"/>
      <c r="K1323" s="398"/>
      <c r="L1323" s="398"/>
      <c r="M1323" s="398"/>
      <c r="N1323" s="398"/>
      <c r="O1323" s="20"/>
      <c r="P1323" s="422"/>
      <c r="Q1323" s="422"/>
      <c r="R1323" s="422"/>
      <c r="S1323" s="422"/>
      <c r="T1323" s="422"/>
    </row>
    <row r="1324" spans="1:20" s="575" customFormat="1" ht="12.75" customHeight="1" thickBot="1" x14ac:dyDescent="0.25">
      <c r="A1324" s="422"/>
      <c r="B1324" s="398"/>
      <c r="C1324" s="398"/>
      <c r="D1324" s="1904" t="str">
        <f>Translations!$B$614</f>
        <v>Podinstalacja</v>
      </c>
      <c r="E1324" s="1904"/>
      <c r="F1324" s="1904"/>
      <c r="G1324" s="1904"/>
      <c r="H1324" s="1905"/>
      <c r="I1324" s="432">
        <f>I$1397+7</f>
        <v>2021</v>
      </c>
      <c r="J1324" s="432">
        <f>J$1397+7</f>
        <v>2022</v>
      </c>
      <c r="K1324" s="432">
        <f>K$1397+7</f>
        <v>2023</v>
      </c>
      <c r="L1324" s="432">
        <f>L$1397+7</f>
        <v>2024</v>
      </c>
      <c r="M1324" s="432">
        <f>M$1397+7</f>
        <v>2025</v>
      </c>
      <c r="N1324" s="398"/>
      <c r="O1324" s="20"/>
      <c r="P1324" s="422"/>
      <c r="Q1324" s="989" t="s">
        <v>621</v>
      </c>
      <c r="R1324" s="990" t="s">
        <v>619</v>
      </c>
      <c r="S1324" s="422"/>
      <c r="T1324" s="422"/>
    </row>
    <row r="1325" spans="1:20" s="575" customFormat="1" x14ac:dyDescent="0.2">
      <c r="A1325" s="422"/>
      <c r="B1325" s="398"/>
      <c r="C1325" s="974">
        <v>1</v>
      </c>
      <c r="D1325" s="1957" t="str">
        <f t="shared" ref="D1325:D1341" si="13">INDEX($R$469:$R$1290,MATCH($C1325,$Q$469:$Q$1290,0))</f>
        <v/>
      </c>
      <c r="E1325" s="1957"/>
      <c r="F1325" s="1957"/>
      <c r="G1325" s="1957"/>
      <c r="H1325" s="1957"/>
      <c r="I1325" s="427" t="str">
        <f t="shared" ref="I1325:M1334" si="14">IF(ISNUMBER($Q1325),IF(CNTR_Eligible10a,MAX(0,ROUND($Q1325*IF($R1325,1,IF($C1325=13,I$1319,I$1318)),0)),EUconst_NotEligible),"")</f>
        <v/>
      </c>
      <c r="J1325" s="427" t="str">
        <f t="shared" si="14"/>
        <v/>
      </c>
      <c r="K1325" s="427" t="str">
        <f t="shared" si="14"/>
        <v/>
      </c>
      <c r="L1325" s="427" t="str">
        <f t="shared" si="14"/>
        <v/>
      </c>
      <c r="M1325" s="427" t="str">
        <f t="shared" si="14"/>
        <v/>
      </c>
      <c r="N1325" s="398"/>
      <c r="O1325" s="20"/>
      <c r="P1325" s="422"/>
      <c r="Q1325" s="1081" t="str">
        <f t="shared" ref="Q1325:Q1341" si="15">IF(ISNUMBER(INDEX($R$469:$T$1290,MATCH(EUconst_AllocPrelim&amp;$D1325,$P$469:$P$1290,0),CNTR_MinMaxActual)),INDEX($R$469:$T$1290,MATCH(EUconst_AllocPrelim&amp;$D1325,$P$469:$P$1290,0),CNTR_MinMaxActual),"")</f>
        <v/>
      </c>
      <c r="R1325" s="911" t="str">
        <f t="shared" ref="R1325:R1341" si="16">IF(ISLOGICAL(INDEX($S$469:$S$1290,MATCH($C1325,$Q$469:$Q$1290,0))),INDEX($S$469:$S$1290,MATCH($C1325,$Q$469:$Q$1290,0)),"")</f>
        <v/>
      </c>
      <c r="S1325" s="422"/>
      <c r="T1325" s="422"/>
    </row>
    <row r="1326" spans="1:20" s="575" customFormat="1" x14ac:dyDescent="0.2">
      <c r="A1326" s="422"/>
      <c r="B1326" s="398"/>
      <c r="C1326" s="974">
        <f>C1325+1</f>
        <v>2</v>
      </c>
      <c r="D1326" s="1957" t="str">
        <f t="shared" si="13"/>
        <v/>
      </c>
      <c r="E1326" s="1957"/>
      <c r="F1326" s="1957"/>
      <c r="G1326" s="1957"/>
      <c r="H1326" s="1957"/>
      <c r="I1326" s="427" t="str">
        <f t="shared" si="14"/>
        <v/>
      </c>
      <c r="J1326" s="427" t="str">
        <f t="shared" si="14"/>
        <v/>
      </c>
      <c r="K1326" s="427" t="str">
        <f t="shared" si="14"/>
        <v/>
      </c>
      <c r="L1326" s="427" t="str">
        <f t="shared" si="14"/>
        <v/>
      </c>
      <c r="M1326" s="427" t="str">
        <f t="shared" si="14"/>
        <v/>
      </c>
      <c r="N1326" s="398"/>
      <c r="O1326" s="20"/>
      <c r="P1326" s="422"/>
      <c r="Q1326" s="1082" t="str">
        <f t="shared" si="15"/>
        <v/>
      </c>
      <c r="R1326" s="715" t="str">
        <f t="shared" si="16"/>
        <v/>
      </c>
      <c r="S1326" s="422"/>
      <c r="T1326" s="422"/>
    </row>
    <row r="1327" spans="1:20" s="575" customFormat="1" x14ac:dyDescent="0.2">
      <c r="A1327" s="422"/>
      <c r="B1327" s="398"/>
      <c r="C1327" s="974">
        <f t="shared" ref="C1327:C1340" si="17">C1326+1</f>
        <v>3</v>
      </c>
      <c r="D1327" s="1957" t="str">
        <f t="shared" si="13"/>
        <v/>
      </c>
      <c r="E1327" s="1957"/>
      <c r="F1327" s="1957"/>
      <c r="G1327" s="1957"/>
      <c r="H1327" s="1957"/>
      <c r="I1327" s="427" t="str">
        <f t="shared" si="14"/>
        <v/>
      </c>
      <c r="J1327" s="427" t="str">
        <f t="shared" si="14"/>
        <v/>
      </c>
      <c r="K1327" s="427" t="str">
        <f t="shared" si="14"/>
        <v/>
      </c>
      <c r="L1327" s="427" t="str">
        <f t="shared" si="14"/>
        <v/>
      </c>
      <c r="M1327" s="427" t="str">
        <f t="shared" si="14"/>
        <v/>
      </c>
      <c r="N1327" s="398"/>
      <c r="O1327" s="20"/>
      <c r="P1327" s="422"/>
      <c r="Q1327" s="1082" t="str">
        <f t="shared" si="15"/>
        <v/>
      </c>
      <c r="R1327" s="715" t="str">
        <f t="shared" si="16"/>
        <v/>
      </c>
      <c r="S1327" s="422"/>
      <c r="T1327" s="422"/>
    </row>
    <row r="1328" spans="1:20" s="575" customFormat="1" x14ac:dyDescent="0.2">
      <c r="A1328" s="422"/>
      <c r="B1328" s="398"/>
      <c r="C1328" s="974">
        <f t="shared" si="17"/>
        <v>4</v>
      </c>
      <c r="D1328" s="1957" t="str">
        <f t="shared" si="13"/>
        <v/>
      </c>
      <c r="E1328" s="1957"/>
      <c r="F1328" s="1957"/>
      <c r="G1328" s="1957"/>
      <c r="H1328" s="1957"/>
      <c r="I1328" s="427" t="str">
        <f t="shared" si="14"/>
        <v/>
      </c>
      <c r="J1328" s="427" t="str">
        <f t="shared" si="14"/>
        <v/>
      </c>
      <c r="K1328" s="427" t="str">
        <f t="shared" si="14"/>
        <v/>
      </c>
      <c r="L1328" s="427" t="str">
        <f t="shared" si="14"/>
        <v/>
      </c>
      <c r="M1328" s="427" t="str">
        <f t="shared" si="14"/>
        <v/>
      </c>
      <c r="N1328" s="398"/>
      <c r="O1328" s="20"/>
      <c r="P1328" s="422"/>
      <c r="Q1328" s="1082" t="str">
        <f t="shared" si="15"/>
        <v/>
      </c>
      <c r="R1328" s="715" t="str">
        <f t="shared" si="16"/>
        <v/>
      </c>
      <c r="S1328" s="422"/>
      <c r="T1328" s="422"/>
    </row>
    <row r="1329" spans="1:20" s="575" customFormat="1" x14ac:dyDescent="0.2">
      <c r="A1329" s="422"/>
      <c r="B1329" s="398"/>
      <c r="C1329" s="974">
        <f t="shared" si="17"/>
        <v>5</v>
      </c>
      <c r="D1329" s="1957" t="str">
        <f t="shared" si="13"/>
        <v/>
      </c>
      <c r="E1329" s="1957"/>
      <c r="F1329" s="1957"/>
      <c r="G1329" s="1957"/>
      <c r="H1329" s="1957"/>
      <c r="I1329" s="427" t="str">
        <f t="shared" si="14"/>
        <v/>
      </c>
      <c r="J1329" s="427" t="str">
        <f t="shared" si="14"/>
        <v/>
      </c>
      <c r="K1329" s="427" t="str">
        <f t="shared" si="14"/>
        <v/>
      </c>
      <c r="L1329" s="427" t="str">
        <f t="shared" si="14"/>
        <v/>
      </c>
      <c r="M1329" s="427" t="str">
        <f t="shared" si="14"/>
        <v/>
      </c>
      <c r="N1329" s="398"/>
      <c r="O1329" s="20"/>
      <c r="P1329" s="422"/>
      <c r="Q1329" s="1082" t="str">
        <f t="shared" si="15"/>
        <v/>
      </c>
      <c r="R1329" s="715" t="str">
        <f t="shared" si="16"/>
        <v/>
      </c>
      <c r="S1329" s="422"/>
      <c r="T1329" s="422"/>
    </row>
    <row r="1330" spans="1:20" s="575" customFormat="1" x14ac:dyDescent="0.2">
      <c r="A1330" s="422"/>
      <c r="B1330" s="398"/>
      <c r="C1330" s="974">
        <f t="shared" si="17"/>
        <v>6</v>
      </c>
      <c r="D1330" s="1957" t="str">
        <f t="shared" si="13"/>
        <v/>
      </c>
      <c r="E1330" s="1957"/>
      <c r="F1330" s="1957"/>
      <c r="G1330" s="1957"/>
      <c r="H1330" s="1957"/>
      <c r="I1330" s="427" t="str">
        <f t="shared" si="14"/>
        <v/>
      </c>
      <c r="J1330" s="427" t="str">
        <f t="shared" si="14"/>
        <v/>
      </c>
      <c r="K1330" s="427" t="str">
        <f t="shared" si="14"/>
        <v/>
      </c>
      <c r="L1330" s="427" t="str">
        <f t="shared" si="14"/>
        <v/>
      </c>
      <c r="M1330" s="427" t="str">
        <f t="shared" si="14"/>
        <v/>
      </c>
      <c r="N1330" s="398"/>
      <c r="O1330" s="20"/>
      <c r="P1330" s="422"/>
      <c r="Q1330" s="1082" t="str">
        <f t="shared" si="15"/>
        <v/>
      </c>
      <c r="R1330" s="715" t="str">
        <f t="shared" si="16"/>
        <v/>
      </c>
      <c r="S1330" s="422"/>
      <c r="T1330" s="422"/>
    </row>
    <row r="1331" spans="1:20" s="575" customFormat="1" ht="12.75" customHeight="1" x14ac:dyDescent="0.2">
      <c r="A1331" s="422"/>
      <c r="B1331" s="398"/>
      <c r="C1331" s="974">
        <f t="shared" si="17"/>
        <v>7</v>
      </c>
      <c r="D1331" s="1957" t="str">
        <f t="shared" si="13"/>
        <v/>
      </c>
      <c r="E1331" s="1957"/>
      <c r="F1331" s="1957"/>
      <c r="G1331" s="1957"/>
      <c r="H1331" s="1957"/>
      <c r="I1331" s="427" t="str">
        <f t="shared" si="14"/>
        <v/>
      </c>
      <c r="J1331" s="427" t="str">
        <f t="shared" si="14"/>
        <v/>
      </c>
      <c r="K1331" s="427" t="str">
        <f t="shared" si="14"/>
        <v/>
      </c>
      <c r="L1331" s="427" t="str">
        <f t="shared" si="14"/>
        <v/>
      </c>
      <c r="M1331" s="427" t="str">
        <f t="shared" si="14"/>
        <v/>
      </c>
      <c r="N1331" s="398"/>
      <c r="O1331" s="20"/>
      <c r="P1331" s="422"/>
      <c r="Q1331" s="1082" t="str">
        <f t="shared" si="15"/>
        <v/>
      </c>
      <c r="R1331" s="715" t="str">
        <f t="shared" si="16"/>
        <v/>
      </c>
      <c r="S1331" s="422"/>
      <c r="T1331" s="422"/>
    </row>
    <row r="1332" spans="1:20" s="575" customFormat="1" ht="12.75" customHeight="1" x14ac:dyDescent="0.2">
      <c r="A1332" s="422"/>
      <c r="B1332" s="398"/>
      <c r="C1332" s="974">
        <f t="shared" si="17"/>
        <v>8</v>
      </c>
      <c r="D1332" s="1957" t="str">
        <f t="shared" si="13"/>
        <v/>
      </c>
      <c r="E1332" s="1957"/>
      <c r="F1332" s="1957"/>
      <c r="G1332" s="1957"/>
      <c r="H1332" s="1957"/>
      <c r="I1332" s="427" t="str">
        <f t="shared" si="14"/>
        <v/>
      </c>
      <c r="J1332" s="427" t="str">
        <f t="shared" si="14"/>
        <v/>
      </c>
      <c r="K1332" s="427" t="str">
        <f t="shared" si="14"/>
        <v/>
      </c>
      <c r="L1332" s="427" t="str">
        <f t="shared" si="14"/>
        <v/>
      </c>
      <c r="M1332" s="427" t="str">
        <f t="shared" si="14"/>
        <v/>
      </c>
      <c r="N1332" s="398"/>
      <c r="O1332" s="20"/>
      <c r="P1332" s="422"/>
      <c r="Q1332" s="1082" t="str">
        <f t="shared" si="15"/>
        <v/>
      </c>
      <c r="R1332" s="715" t="str">
        <f t="shared" si="16"/>
        <v/>
      </c>
      <c r="S1332" s="422"/>
      <c r="T1332" s="422"/>
    </row>
    <row r="1333" spans="1:20" s="575" customFormat="1" ht="12.75" customHeight="1" x14ac:dyDescent="0.2">
      <c r="A1333" s="422"/>
      <c r="B1333" s="398"/>
      <c r="C1333" s="974">
        <f t="shared" si="17"/>
        <v>9</v>
      </c>
      <c r="D1333" s="1957" t="str">
        <f t="shared" si="13"/>
        <v/>
      </c>
      <c r="E1333" s="1957"/>
      <c r="F1333" s="1957"/>
      <c r="G1333" s="1957"/>
      <c r="H1333" s="1957"/>
      <c r="I1333" s="427" t="str">
        <f t="shared" si="14"/>
        <v/>
      </c>
      <c r="J1333" s="427" t="str">
        <f t="shared" si="14"/>
        <v/>
      </c>
      <c r="K1333" s="427" t="str">
        <f t="shared" si="14"/>
        <v/>
      </c>
      <c r="L1333" s="427" t="str">
        <f t="shared" si="14"/>
        <v/>
      </c>
      <c r="M1333" s="427" t="str">
        <f t="shared" si="14"/>
        <v/>
      </c>
      <c r="N1333" s="398"/>
      <c r="O1333" s="20"/>
      <c r="P1333" s="422"/>
      <c r="Q1333" s="1082" t="str">
        <f t="shared" si="15"/>
        <v/>
      </c>
      <c r="R1333" s="715" t="str">
        <f t="shared" si="16"/>
        <v/>
      </c>
      <c r="S1333" s="422"/>
      <c r="T1333" s="422"/>
    </row>
    <row r="1334" spans="1:20" s="575" customFormat="1" ht="13.5" thickBot="1" x14ac:dyDescent="0.25">
      <c r="A1334" s="422"/>
      <c r="B1334" s="398"/>
      <c r="C1334" s="977">
        <f t="shared" si="17"/>
        <v>10</v>
      </c>
      <c r="D1334" s="1965" t="str">
        <f t="shared" si="13"/>
        <v/>
      </c>
      <c r="E1334" s="1965"/>
      <c r="F1334" s="1965"/>
      <c r="G1334" s="1965"/>
      <c r="H1334" s="1965"/>
      <c r="I1334" s="978" t="str">
        <f t="shared" si="14"/>
        <v/>
      </c>
      <c r="J1334" s="978" t="str">
        <f t="shared" si="14"/>
        <v/>
      </c>
      <c r="K1334" s="978" t="str">
        <f t="shared" si="14"/>
        <v/>
      </c>
      <c r="L1334" s="978" t="str">
        <f t="shared" si="14"/>
        <v/>
      </c>
      <c r="M1334" s="978" t="str">
        <f t="shared" si="14"/>
        <v/>
      </c>
      <c r="N1334" s="398"/>
      <c r="O1334" s="20"/>
      <c r="P1334" s="422"/>
      <c r="Q1334" s="1082" t="str">
        <f t="shared" si="15"/>
        <v/>
      </c>
      <c r="R1334" s="715" t="str">
        <f t="shared" si="16"/>
        <v/>
      </c>
      <c r="S1334" s="422"/>
      <c r="T1334" s="422"/>
    </row>
    <row r="1335" spans="1:20" s="575" customFormat="1" ht="25.5" customHeight="1" x14ac:dyDescent="0.2">
      <c r="A1335" s="422"/>
      <c r="B1335" s="398"/>
      <c r="C1335" s="974">
        <f t="shared" si="17"/>
        <v>11</v>
      </c>
      <c r="D1335" s="1970" t="str">
        <f t="shared" si="13"/>
        <v>Podinstalacja objęta wskaźnikiem emisyjności opartym na cieple, „CL”</v>
      </c>
      <c r="E1335" s="1970"/>
      <c r="F1335" s="1970"/>
      <c r="G1335" s="1970"/>
      <c r="H1335" s="1970"/>
      <c r="I1335" s="979">
        <f t="shared" ref="I1335:M1341" si="18">IF(ISNUMBER($Q1335),IF(CNTR_Eligible10a,MAX(0,ROUND($Q1335*IF($R1335,1,IF($C1335=13,I$1319,I$1318)),0)),EUconst_NotEligible),"")</f>
        <v>31540</v>
      </c>
      <c r="J1335" s="979">
        <f t="shared" si="18"/>
        <v>31540</v>
      </c>
      <c r="K1335" s="979">
        <f t="shared" si="18"/>
        <v>31540</v>
      </c>
      <c r="L1335" s="979">
        <f t="shared" si="18"/>
        <v>31540</v>
      </c>
      <c r="M1335" s="979">
        <f t="shared" si="18"/>
        <v>31540</v>
      </c>
      <c r="N1335" s="398"/>
      <c r="O1335" s="20"/>
      <c r="P1335" s="422"/>
      <c r="Q1335" s="1082">
        <f t="shared" si="15"/>
        <v>31540</v>
      </c>
      <c r="R1335" s="715" t="b">
        <f t="shared" si="16"/>
        <v>1</v>
      </c>
      <c r="S1335" s="422"/>
      <c r="T1335" s="422"/>
    </row>
    <row r="1336" spans="1:20" s="575" customFormat="1" ht="25.5" customHeight="1" x14ac:dyDescent="0.2">
      <c r="A1336" s="422"/>
      <c r="B1336" s="398"/>
      <c r="C1336" s="974">
        <f t="shared" si="17"/>
        <v>12</v>
      </c>
      <c r="D1336" s="1957" t="str">
        <f t="shared" si="13"/>
        <v>Podinstalacja objęta wskaźnikiem emisyjności opartym na cieple, „nie-CL”</v>
      </c>
      <c r="E1336" s="1957"/>
      <c r="F1336" s="1957"/>
      <c r="G1336" s="1957"/>
      <c r="H1336" s="1957"/>
      <c r="I1336" s="427">
        <f t="shared" si="18"/>
        <v>9808</v>
      </c>
      <c r="J1336" s="427">
        <f t="shared" si="18"/>
        <v>9808</v>
      </c>
      <c r="K1336" s="427">
        <f t="shared" si="18"/>
        <v>9808</v>
      </c>
      <c r="L1336" s="427">
        <f t="shared" si="18"/>
        <v>9808</v>
      </c>
      <c r="M1336" s="427">
        <f t="shared" si="18"/>
        <v>9808</v>
      </c>
      <c r="N1336" s="398"/>
      <c r="O1336" s="20"/>
      <c r="P1336" s="422"/>
      <c r="Q1336" s="1082">
        <f t="shared" si="15"/>
        <v>32693.333333333336</v>
      </c>
      <c r="R1336" s="715" t="b">
        <f t="shared" si="16"/>
        <v>0</v>
      </c>
      <c r="S1336" s="422"/>
      <c r="T1336" s="422"/>
    </row>
    <row r="1337" spans="1:20" s="575" customFormat="1" x14ac:dyDescent="0.2">
      <c r="A1337" s="422"/>
      <c r="B1337" s="398"/>
      <c r="C1337" s="974">
        <f t="shared" si="17"/>
        <v>13</v>
      </c>
      <c r="D1337" s="1957" t="str">
        <f t="shared" si="13"/>
        <v>Podinstalacja sieci ciepłowniczej</v>
      </c>
      <c r="E1337" s="1957"/>
      <c r="F1337" s="1957"/>
      <c r="G1337" s="1957"/>
      <c r="H1337" s="1957"/>
      <c r="I1337" s="427">
        <f t="shared" si="18"/>
        <v>9439</v>
      </c>
      <c r="J1337" s="427">
        <f t="shared" si="18"/>
        <v>9439</v>
      </c>
      <c r="K1337" s="427">
        <f t="shared" si="18"/>
        <v>9439</v>
      </c>
      <c r="L1337" s="427">
        <f t="shared" si="18"/>
        <v>9439</v>
      </c>
      <c r="M1337" s="427">
        <f t="shared" si="18"/>
        <v>9439</v>
      </c>
      <c r="N1337" s="398"/>
      <c r="O1337" s="20"/>
      <c r="P1337" s="422"/>
      <c r="Q1337" s="1082">
        <f t="shared" si="15"/>
        <v>31463.333333333336</v>
      </c>
      <c r="R1337" s="715" t="b">
        <f t="shared" si="16"/>
        <v>0</v>
      </c>
      <c r="S1337" s="422"/>
      <c r="T1337" s="422"/>
    </row>
    <row r="1338" spans="1:20" s="575" customFormat="1" ht="25.5" customHeight="1" x14ac:dyDescent="0.2">
      <c r="A1338" s="422"/>
      <c r="B1338" s="398"/>
      <c r="C1338" s="974">
        <f t="shared" si="17"/>
        <v>14</v>
      </c>
      <c r="D1338" s="1957" t="str">
        <f t="shared" si="13"/>
        <v>Podinstalacja objęta wskaźnikiem emisyjności opartym na paliwie, „CL”</v>
      </c>
      <c r="E1338" s="1957"/>
      <c r="F1338" s="1957"/>
      <c r="G1338" s="1957"/>
      <c r="H1338" s="1957"/>
      <c r="I1338" s="427" t="str">
        <f t="shared" si="18"/>
        <v/>
      </c>
      <c r="J1338" s="427" t="str">
        <f t="shared" si="18"/>
        <v/>
      </c>
      <c r="K1338" s="427" t="str">
        <f t="shared" si="18"/>
        <v/>
      </c>
      <c r="L1338" s="427" t="str">
        <f t="shared" si="18"/>
        <v/>
      </c>
      <c r="M1338" s="427" t="str">
        <f t="shared" si="18"/>
        <v/>
      </c>
      <c r="N1338" s="398"/>
      <c r="O1338" s="20"/>
      <c r="P1338" s="422"/>
      <c r="Q1338" s="1082" t="str">
        <f t="shared" si="15"/>
        <v/>
      </c>
      <c r="R1338" s="715" t="b">
        <f t="shared" si="16"/>
        <v>1</v>
      </c>
      <c r="S1338" s="422"/>
      <c r="T1338" s="422"/>
    </row>
    <row r="1339" spans="1:20" s="575" customFormat="1" ht="25.5" customHeight="1" x14ac:dyDescent="0.2">
      <c r="A1339" s="422"/>
      <c r="B1339" s="398"/>
      <c r="C1339" s="974">
        <f t="shared" si="17"/>
        <v>15</v>
      </c>
      <c r="D1339" s="1957" t="str">
        <f t="shared" si="13"/>
        <v>Podinstalacja objęta wskaźnikiem emisyjności opartym na paliwie, „nie-CL”</v>
      </c>
      <c r="E1339" s="1957"/>
      <c r="F1339" s="1957"/>
      <c r="G1339" s="1957"/>
      <c r="H1339" s="1957"/>
      <c r="I1339" s="427" t="str">
        <f t="shared" si="18"/>
        <v/>
      </c>
      <c r="J1339" s="427" t="str">
        <f t="shared" si="18"/>
        <v/>
      </c>
      <c r="K1339" s="427" t="str">
        <f t="shared" si="18"/>
        <v/>
      </c>
      <c r="L1339" s="427" t="str">
        <f t="shared" si="18"/>
        <v/>
      </c>
      <c r="M1339" s="427" t="str">
        <f t="shared" si="18"/>
        <v/>
      </c>
      <c r="N1339" s="398"/>
      <c r="O1339" s="20"/>
      <c r="P1339" s="422"/>
      <c r="Q1339" s="1082" t="str">
        <f t="shared" si="15"/>
        <v/>
      </c>
      <c r="R1339" s="715" t="b">
        <f t="shared" si="16"/>
        <v>0</v>
      </c>
      <c r="S1339" s="422"/>
      <c r="T1339" s="422"/>
    </row>
    <row r="1340" spans="1:20" s="575" customFormat="1" x14ac:dyDescent="0.2">
      <c r="A1340" s="422"/>
      <c r="B1340" s="398"/>
      <c r="C1340" s="974">
        <f t="shared" si="17"/>
        <v>16</v>
      </c>
      <c r="D1340" s="1957" t="str">
        <f t="shared" si="13"/>
        <v>Podinstalacja wytwarzająca emisje procesowe, „CL”</v>
      </c>
      <c r="E1340" s="1957"/>
      <c r="F1340" s="1957"/>
      <c r="G1340" s="1957"/>
      <c r="H1340" s="1957"/>
      <c r="I1340" s="988" t="str">
        <f t="shared" si="18"/>
        <v/>
      </c>
      <c r="J1340" s="988" t="str">
        <f t="shared" si="18"/>
        <v/>
      </c>
      <c r="K1340" s="988" t="str">
        <f t="shared" si="18"/>
        <v/>
      </c>
      <c r="L1340" s="988" t="str">
        <f t="shared" si="18"/>
        <v/>
      </c>
      <c r="M1340" s="988" t="str">
        <f t="shared" si="18"/>
        <v/>
      </c>
      <c r="N1340" s="398"/>
      <c r="O1340" s="20"/>
      <c r="P1340" s="422"/>
      <c r="Q1340" s="1082" t="str">
        <f t="shared" si="15"/>
        <v/>
      </c>
      <c r="R1340" s="715" t="b">
        <f t="shared" si="16"/>
        <v>1</v>
      </c>
      <c r="S1340" s="422"/>
      <c r="T1340" s="422"/>
    </row>
    <row r="1341" spans="1:20" s="575" customFormat="1" ht="13.5" thickBot="1" x14ac:dyDescent="0.25">
      <c r="A1341" s="422"/>
      <c r="B1341" s="398"/>
      <c r="C1341" s="987">
        <v>17</v>
      </c>
      <c r="D1341" s="1971" t="str">
        <f t="shared" si="13"/>
        <v>Podinstalacja wytwarzająca emisje procesowe, „nie-CL”</v>
      </c>
      <c r="E1341" s="1971"/>
      <c r="F1341" s="1971"/>
      <c r="G1341" s="1971"/>
      <c r="H1341" s="1971"/>
      <c r="I1341" s="978" t="str">
        <f t="shared" si="18"/>
        <v/>
      </c>
      <c r="J1341" s="978" t="str">
        <f t="shared" si="18"/>
        <v/>
      </c>
      <c r="K1341" s="978" t="str">
        <f t="shared" si="18"/>
        <v/>
      </c>
      <c r="L1341" s="978" t="str">
        <f t="shared" si="18"/>
        <v/>
      </c>
      <c r="M1341" s="978" t="str">
        <f t="shared" si="18"/>
        <v/>
      </c>
      <c r="N1341" s="398"/>
      <c r="O1341" s="20"/>
      <c r="P1341" s="422"/>
      <c r="Q1341" s="1083" t="str">
        <f t="shared" si="15"/>
        <v/>
      </c>
      <c r="R1341" s="716" t="b">
        <f t="shared" si="16"/>
        <v>0</v>
      </c>
      <c r="S1341" s="422"/>
      <c r="T1341" s="422"/>
    </row>
    <row r="1342" spans="1:20" s="575" customFormat="1" x14ac:dyDescent="0.2">
      <c r="A1342" s="422"/>
      <c r="B1342" s="398"/>
      <c r="C1342" s="398"/>
      <c r="D1342" s="1969" t="str">
        <f>Translations!$B$1272</f>
        <v>Całkowity wstępny bezpłatny przydział</v>
      </c>
      <c r="E1342" s="1969"/>
      <c r="F1342" s="1969"/>
      <c r="G1342" s="1969"/>
      <c r="H1342" s="1969"/>
      <c r="I1342" s="980">
        <f>IF(COUNT(I1325:I1341)&gt;0,IF(SUM(I1325:I1341)&gt;0,SUM(I1325:I1341),0),"")</f>
        <v>50787</v>
      </c>
      <c r="J1342" s="980">
        <f>IF(COUNT(J1325:J1341)&gt;0,IF(SUM(J1325:J1341)&gt;0,SUM(J1325:J1341),0),"")</f>
        <v>50787</v>
      </c>
      <c r="K1342" s="980">
        <f>IF(COUNT(K1325:K1341)&gt;0,IF(SUM(K1325:K1341)&gt;0,SUM(K1325:K1341),0),"")</f>
        <v>50787</v>
      </c>
      <c r="L1342" s="980">
        <f>IF(COUNT(L1325:L1341)&gt;0,IF(SUM(L1325:L1341)&gt;0,SUM(L1325:L1341),0),"")</f>
        <v>50787</v>
      </c>
      <c r="M1342" s="980">
        <f>IF(COUNT(M1325:M1341)&gt;0,IF(SUM(M1325:M1341)&gt;0,SUM(M1325:M1341),0),"")</f>
        <v>50787</v>
      </c>
      <c r="N1342" s="398"/>
      <c r="O1342" s="20"/>
      <c r="P1342" s="422"/>
      <c r="Q1342" s="422"/>
      <c r="R1342" s="422"/>
      <c r="S1342" s="422"/>
      <c r="T1342" s="422"/>
    </row>
    <row r="1343" spans="1:20" s="575" customFormat="1" x14ac:dyDescent="0.2">
      <c r="A1343" s="422"/>
      <c r="B1343" s="398"/>
      <c r="C1343" s="398"/>
      <c r="D1343" s="398"/>
      <c r="E1343" s="398"/>
      <c r="F1343" s="398"/>
      <c r="G1343" s="398"/>
      <c r="H1343" s="398"/>
      <c r="I1343" s="398"/>
      <c r="J1343" s="398"/>
      <c r="K1343" s="398"/>
      <c r="L1343" s="398"/>
      <c r="M1343" s="398"/>
      <c r="N1343" s="398"/>
      <c r="O1343" s="20"/>
      <c r="P1343" s="422"/>
      <c r="Q1343" s="422"/>
      <c r="R1343" s="422"/>
      <c r="S1343" s="422"/>
      <c r="T1343" s="422"/>
    </row>
    <row r="1344" spans="1:20" s="575" customFormat="1" ht="15" x14ac:dyDescent="0.25">
      <c r="A1344" s="422"/>
      <c r="B1344" s="3"/>
      <c r="C1344" s="18">
        <v>2</v>
      </c>
      <c r="D1344" s="825" t="str">
        <f>Translations!$B$1273</f>
        <v>Przybliżona szacowana ostateczna liczba bezpłatnych uprawnień:</v>
      </c>
      <c r="E1344" s="208"/>
      <c r="F1344" s="208"/>
      <c r="G1344" s="208"/>
      <c r="H1344" s="208"/>
      <c r="I1344" s="15"/>
      <c r="J1344" s="15"/>
      <c r="K1344" s="21"/>
      <c r="L1344" s="398"/>
      <c r="M1344" s="398"/>
      <c r="N1344" s="398"/>
      <c r="O1344" s="20"/>
      <c r="P1344" s="422"/>
      <c r="Q1344" s="422"/>
      <c r="R1344" s="422"/>
      <c r="S1344" s="422"/>
      <c r="T1344" s="422"/>
    </row>
    <row r="1345" spans="1:20" s="575" customFormat="1" ht="5.0999999999999996" customHeight="1" x14ac:dyDescent="0.2">
      <c r="A1345" s="422"/>
      <c r="B1345" s="398"/>
      <c r="C1345" s="398"/>
      <c r="D1345" s="398"/>
      <c r="E1345" s="398"/>
      <c r="F1345" s="398"/>
      <c r="G1345" s="398"/>
      <c r="H1345" s="398"/>
      <c r="I1345" s="398"/>
      <c r="J1345" s="398"/>
      <c r="K1345" s="398"/>
      <c r="L1345" s="398"/>
      <c r="M1345" s="398"/>
      <c r="N1345" s="398"/>
      <c r="O1345" s="20"/>
      <c r="P1345" s="422"/>
      <c r="Q1345" s="422"/>
      <c r="R1345" s="422"/>
      <c r="S1345" s="422"/>
      <c r="T1345" s="422"/>
    </row>
    <row r="1346" spans="1:20" s="575" customFormat="1" x14ac:dyDescent="0.2">
      <c r="A1346" s="422"/>
      <c r="B1346" s="3"/>
      <c r="D1346" s="14" t="s">
        <v>173</v>
      </c>
      <c r="E1346" s="975" t="str">
        <f>Translations!$B$1274</f>
        <v>Współczynnik liniowy określony w art. 10a ust. 4 dyrektywy w sprawie EU ETS:</v>
      </c>
      <c r="F1346" s="975"/>
      <c r="G1346" s="397"/>
      <c r="H1346" s="208"/>
      <c r="I1346" s="15"/>
      <c r="J1346" s="15"/>
      <c r="K1346" s="21"/>
      <c r="L1346" s="398"/>
      <c r="M1346" s="398"/>
      <c r="N1346" s="398"/>
      <c r="O1346" s="20"/>
      <c r="P1346" s="422"/>
      <c r="Q1346" s="422"/>
      <c r="R1346" s="422"/>
      <c r="S1346" s="422"/>
      <c r="T1346" s="422"/>
    </row>
    <row r="1347" spans="1:20" s="575" customFormat="1" ht="5.0999999999999996" customHeight="1" x14ac:dyDescent="0.2">
      <c r="A1347" s="422"/>
      <c r="B1347" s="398"/>
      <c r="C1347" s="398"/>
      <c r="D1347" s="398"/>
      <c r="E1347" s="398"/>
      <c r="F1347" s="398"/>
      <c r="G1347" s="398"/>
      <c r="H1347" s="398"/>
      <c r="I1347" s="398"/>
      <c r="J1347" s="398"/>
      <c r="K1347" s="398"/>
      <c r="L1347" s="398"/>
      <c r="M1347" s="398"/>
      <c r="N1347" s="398"/>
      <c r="O1347" s="20"/>
      <c r="P1347" s="422"/>
      <c r="Q1347" s="422"/>
      <c r="R1347" s="422"/>
      <c r="S1347" s="422"/>
      <c r="T1347" s="422"/>
    </row>
    <row r="1348" spans="1:20" s="575" customFormat="1" x14ac:dyDescent="0.2">
      <c r="A1348" s="422"/>
      <c r="B1348" s="398"/>
      <c r="C1348" s="398"/>
      <c r="D1348" s="398"/>
      <c r="E1348" s="656"/>
      <c r="F1348" s="656"/>
      <c r="G1348" s="656"/>
      <c r="H1348" s="657"/>
      <c r="I1348" s="432">
        <f>I$1397+7</f>
        <v>2021</v>
      </c>
      <c r="J1348" s="432">
        <f>J$1397+7</f>
        <v>2022</v>
      </c>
      <c r="K1348" s="432">
        <f>K$1397+7</f>
        <v>2023</v>
      </c>
      <c r="L1348" s="432">
        <f>L$1397+7</f>
        <v>2024</v>
      </c>
      <c r="M1348" s="432">
        <f>M$1397+7</f>
        <v>2025</v>
      </c>
      <c r="N1348" s="398"/>
      <c r="O1348" s="20"/>
      <c r="P1348" s="422"/>
      <c r="Q1348" s="422"/>
      <c r="R1348" s="422"/>
      <c r="S1348" s="422"/>
      <c r="T1348" s="422"/>
    </row>
    <row r="1349" spans="1:20" s="575" customFormat="1" x14ac:dyDescent="0.2">
      <c r="A1349" s="422"/>
      <c r="B1349" s="398"/>
      <c r="C1349" s="398"/>
      <c r="D1349" s="398"/>
      <c r="E1349" s="1964" t="str">
        <f>Translations!$B$1275</f>
        <v>Współczynnik liniowy</v>
      </c>
      <c r="F1349" s="1964"/>
      <c r="G1349" s="1964"/>
      <c r="H1349" s="1964"/>
      <c r="I1349" s="976">
        <f>ROUND(0.8782-0.022*(I1348-2020),4)</f>
        <v>0.85619999999999996</v>
      </c>
      <c r="J1349" s="976">
        <f>ROUND(0.8782-0.022*(J1348-2020),4)</f>
        <v>0.83420000000000005</v>
      </c>
      <c r="K1349" s="976">
        <f>ROUND(0.8782-0.022*(K1348-2020),4)</f>
        <v>0.81220000000000003</v>
      </c>
      <c r="L1349" s="976">
        <f>ROUND(0.8782-0.022*(L1348-2020),4)</f>
        <v>0.79020000000000001</v>
      </c>
      <c r="M1349" s="976">
        <f>ROUND(0.8782-0.022*(M1348-2020),4)</f>
        <v>0.76819999999999999</v>
      </c>
      <c r="N1349" s="398"/>
      <c r="O1349" s="20"/>
      <c r="P1349" s="422"/>
      <c r="Q1349" s="422"/>
      <c r="R1349" s="422"/>
      <c r="S1349" s="422"/>
      <c r="T1349" s="422"/>
    </row>
    <row r="1350" spans="1:20" s="575" customFormat="1" ht="5.0999999999999996" customHeight="1" x14ac:dyDescent="0.2">
      <c r="A1350" s="422"/>
      <c r="B1350" s="398"/>
      <c r="C1350" s="398"/>
      <c r="D1350" s="398"/>
      <c r="E1350" s="398"/>
      <c r="F1350" s="398"/>
      <c r="G1350" s="398"/>
      <c r="H1350" s="398"/>
      <c r="I1350" s="398"/>
      <c r="J1350" s="398"/>
      <c r="K1350" s="398"/>
      <c r="L1350" s="398"/>
      <c r="M1350" s="398"/>
      <c r="N1350" s="398"/>
      <c r="O1350" s="20"/>
      <c r="P1350" s="422"/>
      <c r="Q1350" s="422"/>
      <c r="R1350" s="422"/>
      <c r="S1350" s="422"/>
      <c r="T1350" s="422"/>
    </row>
    <row r="1351" spans="1:20" s="575" customFormat="1" x14ac:dyDescent="0.2">
      <c r="A1351" s="422"/>
      <c r="B1351" s="3"/>
      <c r="C1351" s="3"/>
      <c r="D1351" s="14" t="s">
        <v>353</v>
      </c>
      <c r="E1351" s="975" t="str">
        <f>Translations!$B$1276</f>
        <v>Międzysektorowy współczynnik korygujący (CSCF) zgodnie z art. 14 ust. 6 FAR:</v>
      </c>
      <c r="F1351" s="207"/>
      <c r="G1351" s="207"/>
      <c r="H1351" s="207"/>
      <c r="I1351" s="207"/>
      <c r="J1351" s="207"/>
      <c r="K1351" s="207"/>
      <c r="L1351" s="207"/>
      <c r="M1351" s="207"/>
      <c r="N1351" s="207"/>
      <c r="O1351" s="20"/>
      <c r="P1351" s="8"/>
      <c r="Q1351" s="422"/>
      <c r="R1351" s="422"/>
      <c r="S1351" s="422"/>
      <c r="T1351" s="422"/>
    </row>
    <row r="1352" spans="1:20" s="575" customFormat="1" ht="25.5" customHeight="1" x14ac:dyDescent="0.2">
      <c r="A1352" s="422"/>
      <c r="B1352" s="3"/>
      <c r="C1352" s="3"/>
      <c r="D1352" s="16"/>
      <c r="E1352" s="1408" t="str">
        <f>Translations!$B$1277</f>
        <v>Do celów informacyjnych, zgodnie z powyższym wyjaśnieniem, w tym miejscu mogą Państwo wprowadzić wartość jednolitego międzysektorowego współczynnika korygującego zgodnie z art. 10a ust. 5 dyrektywy w sprawie EU ETS. Wartością domyślną jest 1 (do czasu opublikowania przez Komisję wartości ostatecznej zgodnie z art. 14 ust. 6 FAR).</v>
      </c>
      <c r="F1352" s="1370"/>
      <c r="G1352" s="1370"/>
      <c r="H1352" s="1370"/>
      <c r="I1352" s="1370"/>
      <c r="J1352" s="1370"/>
      <c r="K1352" s="1370"/>
      <c r="L1352" s="1370"/>
      <c r="M1352" s="1370"/>
      <c r="N1352" s="1370"/>
      <c r="O1352" s="20"/>
      <c r="P1352" s="8"/>
      <c r="Q1352" s="422"/>
      <c r="R1352" s="422"/>
      <c r="S1352" s="422"/>
      <c r="T1352" s="422"/>
    </row>
    <row r="1353" spans="1:20" s="575" customFormat="1" ht="25.5" customHeight="1" x14ac:dyDescent="0.2">
      <c r="A1353" s="422"/>
      <c r="B1353" s="3"/>
      <c r="C1353" s="3"/>
      <c r="D1353" s="16"/>
      <c r="E1353" s="1448" t="str">
        <f>Translations!$B$1278</f>
        <v>Przy składaniu niniejszego raportu właściwemu organowi w celu ustanowienia krajowych środków wykonawczych proszę upewnić się, że w tym miejscu nie wprowadzono żadnych danych.</v>
      </c>
      <c r="F1353" s="1434"/>
      <c r="G1353" s="1434"/>
      <c r="H1353" s="1434"/>
      <c r="I1353" s="1434"/>
      <c r="J1353" s="1434"/>
      <c r="K1353" s="1434"/>
      <c r="L1353" s="1434"/>
      <c r="M1353" s="1434"/>
      <c r="N1353" s="1434"/>
      <c r="O1353" s="20"/>
      <c r="P1353" s="8"/>
      <c r="Q1353" s="422"/>
      <c r="R1353" s="422"/>
      <c r="S1353" s="422"/>
      <c r="T1353" s="422"/>
    </row>
    <row r="1354" spans="1:20" s="575" customFormat="1" ht="12.75" customHeight="1" x14ac:dyDescent="0.2">
      <c r="A1354" s="422"/>
      <c r="B1354" s="398"/>
      <c r="C1354" s="398"/>
      <c r="D1354" s="398"/>
      <c r="E1354" s="656"/>
      <c r="F1354" s="656"/>
      <c r="G1354" s="656"/>
      <c r="H1354" s="657"/>
      <c r="I1354" s="432">
        <f>I$1397+7</f>
        <v>2021</v>
      </c>
      <c r="J1354" s="432">
        <f>J$1397+7</f>
        <v>2022</v>
      </c>
      <c r="K1354" s="432">
        <f>K$1397+7</f>
        <v>2023</v>
      </c>
      <c r="L1354" s="432">
        <f>L$1397+7</f>
        <v>2024</v>
      </c>
      <c r="M1354" s="432">
        <f>M$1397+7</f>
        <v>2025</v>
      </c>
      <c r="N1354" s="398"/>
      <c r="O1354" s="20"/>
      <c r="P1354" s="422"/>
      <c r="Q1354" s="422"/>
      <c r="R1354" s="422"/>
      <c r="S1354" s="422"/>
      <c r="T1354" s="422"/>
    </row>
    <row r="1355" spans="1:20" s="575" customFormat="1" x14ac:dyDescent="0.2">
      <c r="A1355" s="422"/>
      <c r="B1355" s="398"/>
      <c r="C1355" s="398"/>
      <c r="D1355" s="398"/>
      <c r="E1355" s="1964" t="str">
        <f>Translations!$B$1279</f>
        <v>Jednorodny międzysektorowy współczynnik korygujący</v>
      </c>
      <c r="F1355" s="1964"/>
      <c r="G1355" s="1964"/>
      <c r="H1355" s="1964"/>
      <c r="I1355" s="1079"/>
      <c r="J1355" s="1079"/>
      <c r="K1355" s="1079"/>
      <c r="L1355" s="1079"/>
      <c r="M1355" s="1079"/>
      <c r="N1355" s="398"/>
      <c r="O1355" s="20"/>
      <c r="P1355" s="422"/>
      <c r="Q1355" s="422"/>
      <c r="R1355" s="422"/>
      <c r="S1355" s="422"/>
      <c r="T1355" s="422"/>
    </row>
    <row r="1356" spans="1:20" s="575" customFormat="1" x14ac:dyDescent="0.2">
      <c r="A1356" s="422"/>
      <c r="B1356" s="398"/>
      <c r="C1356" s="398"/>
      <c r="D1356" s="398"/>
      <c r="E1356" s="1964" t="str">
        <f>Translations!$B$1280</f>
        <v>Wartość użyta do obliczeń</v>
      </c>
      <c r="F1356" s="1964"/>
      <c r="G1356" s="1964"/>
      <c r="H1356" s="1964"/>
      <c r="I1356" s="981">
        <f>IF(ISNUMBER(I1355),IF(AND(I1355&gt;=0,I1355&lt;=1),I1355,1),1)</f>
        <v>1</v>
      </c>
      <c r="J1356" s="981">
        <f>IF(ISNUMBER(J1355),IF(AND(J1355&gt;=0,J1355&lt;=1),J1355,1),1)</f>
        <v>1</v>
      </c>
      <c r="K1356" s="981">
        <f>IF(ISNUMBER(K1355),IF(AND(K1355&gt;=0,K1355&lt;=1),K1355,1),1)</f>
        <v>1</v>
      </c>
      <c r="L1356" s="981">
        <f>IF(ISNUMBER(L1355),IF(AND(L1355&gt;=0,L1355&lt;=1),L1355,1),1)</f>
        <v>1</v>
      </c>
      <c r="M1356" s="981">
        <f>IF(ISNUMBER(M1355),IF(AND(M1355&gt;=0,M1355&lt;=1),M1355,1),1)</f>
        <v>1</v>
      </c>
      <c r="N1356" s="398"/>
      <c r="O1356" s="20"/>
      <c r="P1356" s="422"/>
      <c r="Q1356" s="422"/>
      <c r="R1356" s="422"/>
      <c r="S1356" s="422"/>
      <c r="T1356" s="422"/>
    </row>
    <row r="1357" spans="1:20" s="575" customFormat="1" ht="5.0999999999999996" customHeight="1" x14ac:dyDescent="0.2">
      <c r="A1357" s="422"/>
      <c r="B1357" s="398"/>
      <c r="C1357" s="398"/>
      <c r="D1357" s="398"/>
      <c r="E1357" s="398"/>
      <c r="F1357" s="398"/>
      <c r="G1357" s="398"/>
      <c r="H1357" s="398"/>
      <c r="I1357" s="398"/>
      <c r="J1357" s="398"/>
      <c r="K1357" s="398"/>
      <c r="L1357" s="398"/>
      <c r="M1357" s="398"/>
      <c r="N1357" s="398"/>
      <c r="O1357" s="20"/>
      <c r="P1357" s="422"/>
      <c r="Q1357" s="422"/>
      <c r="R1357" s="422"/>
      <c r="S1357" s="422"/>
      <c r="T1357" s="422"/>
    </row>
    <row r="1358" spans="1:20" s="575" customFormat="1" x14ac:dyDescent="0.2">
      <c r="A1358" s="422"/>
      <c r="B1358" s="398"/>
      <c r="C1358" s="398"/>
      <c r="D1358" s="14" t="s">
        <v>11</v>
      </c>
      <c r="E1358" s="975" t="str">
        <f>Translations!$B$1281</f>
        <v>Współczynnik, który należy wykorzystać w obliczeniach:</v>
      </c>
      <c r="F1358" s="398"/>
      <c r="G1358" s="398"/>
      <c r="H1358" s="398"/>
      <c r="I1358" s="398"/>
      <c r="J1358" s="398"/>
      <c r="K1358" s="398"/>
      <c r="L1358" s="398"/>
      <c r="M1358" s="398"/>
      <c r="N1358" s="398"/>
      <c r="O1358" s="20"/>
      <c r="P1358" s="422"/>
      <c r="Q1358" s="422"/>
      <c r="R1358" s="422"/>
      <c r="S1358" s="422"/>
      <c r="T1358" s="422"/>
    </row>
    <row r="1359" spans="1:20" s="575" customFormat="1" ht="38.25" customHeight="1" x14ac:dyDescent="0.2">
      <c r="A1359" s="422"/>
      <c r="B1359" s="398"/>
      <c r="C1359" s="398"/>
      <c r="D1359" s="398"/>
      <c r="E1359" s="1408" t="str">
        <f>Translations!$B$1282</f>
        <v>W przypadku instalacji objętych art. 10a ust. 3 dyrektywy współczynnik liniowy podany w lit. a) należy stosować w odniesieniu do każdego roku, chyba że jednorodny międzysektorowy współczynnik korygujący podany w lit. b) jest niższy niż 1. W takim przypadku w odniesieniu do każdego roku należy stosować jednorodny międzysektorowy współczynnik korygujący.</v>
      </c>
      <c r="F1359" s="1370"/>
      <c r="G1359" s="1370"/>
      <c r="H1359" s="1370"/>
      <c r="I1359" s="1370"/>
      <c r="J1359" s="1370"/>
      <c r="K1359" s="1370"/>
      <c r="L1359" s="1370"/>
      <c r="M1359" s="1370"/>
      <c r="N1359" s="1370"/>
      <c r="O1359" s="20"/>
      <c r="P1359" s="422"/>
      <c r="Q1359" s="422"/>
      <c r="R1359" s="422"/>
      <c r="S1359" s="422"/>
      <c r="T1359" s="422"/>
    </row>
    <row r="1360" spans="1:20" s="575" customFormat="1" ht="12.75" customHeight="1" x14ac:dyDescent="0.2">
      <c r="A1360" s="422"/>
      <c r="B1360" s="398"/>
      <c r="C1360" s="398"/>
      <c r="D1360" s="398"/>
      <c r="E1360" s="1408" t="str">
        <f>Translations!$B$1283</f>
        <v>W przypadku instalacji objętych art. 10a ust. 3 dyrektywy w odniesieniu do każdego roku stosuje się jednorodny międzysektorowy współczynnik korygujący podany w lit. b).</v>
      </c>
      <c r="F1360" s="1370"/>
      <c r="G1360" s="1370"/>
      <c r="H1360" s="1370"/>
      <c r="I1360" s="1370"/>
      <c r="J1360" s="1370"/>
      <c r="K1360" s="1370"/>
      <c r="L1360" s="1370"/>
      <c r="M1360" s="1370"/>
      <c r="N1360" s="1370"/>
      <c r="O1360" s="20"/>
      <c r="P1360" s="422"/>
      <c r="Q1360" s="422"/>
      <c r="R1360" s="422"/>
      <c r="S1360" s="422"/>
      <c r="T1360" s="422"/>
    </row>
    <row r="1361" spans="1:20" s="575" customFormat="1" ht="12.75" customHeight="1" x14ac:dyDescent="0.2">
      <c r="A1361" s="422"/>
      <c r="B1361" s="398"/>
      <c r="C1361" s="398"/>
      <c r="D1361" s="398"/>
      <c r="E1361" s="656"/>
      <c r="F1361" s="656"/>
      <c r="G1361" s="656"/>
      <c r="H1361" s="657"/>
      <c r="I1361" s="432">
        <f>I$1397+7</f>
        <v>2021</v>
      </c>
      <c r="J1361" s="432">
        <f>J$1397+7</f>
        <v>2022</v>
      </c>
      <c r="K1361" s="432">
        <f>K$1397+7</f>
        <v>2023</v>
      </c>
      <c r="L1361" s="432">
        <f>L$1397+7</f>
        <v>2024</v>
      </c>
      <c r="M1361" s="432">
        <f>M$1397+7</f>
        <v>2025</v>
      </c>
      <c r="N1361" s="398"/>
      <c r="O1361" s="20"/>
      <c r="P1361" s="422"/>
      <c r="Q1361" s="422"/>
      <c r="R1361" s="422"/>
      <c r="S1361" s="422"/>
      <c r="T1361" s="422"/>
    </row>
    <row r="1362" spans="1:20" s="575" customFormat="1" x14ac:dyDescent="0.2">
      <c r="A1362" s="422"/>
      <c r="B1362" s="398"/>
      <c r="C1362" s="398"/>
      <c r="D1362" s="398"/>
      <c r="E1362" s="1964" t="str">
        <f>Translations!$B$1280</f>
        <v>Wartość użyta do obliczeń</v>
      </c>
      <c r="F1362" s="1964"/>
      <c r="G1362" s="1964"/>
      <c r="H1362" s="1964"/>
      <c r="I1362" s="981">
        <f>IF(CNTR_HasEntries_A_I,IF(AND(CNTR_ApplyLinF,I1356=1),I1349,I1356),"")</f>
        <v>1</v>
      </c>
      <c r="J1362" s="981">
        <f>IF(CNTR_HasEntries_A_I,IF(AND(CNTR_ApplyLinF,J1356=1),J1349,J1356),"")</f>
        <v>1</v>
      </c>
      <c r="K1362" s="981">
        <f>IF(CNTR_HasEntries_A_I,IF(AND(CNTR_ApplyLinF,K1356=1),K1349,K1356),"")</f>
        <v>1</v>
      </c>
      <c r="L1362" s="981">
        <f>IF(CNTR_HasEntries_A_I,IF(AND(CNTR_ApplyLinF,L1356=1),L1349,L1356),"")</f>
        <v>1</v>
      </c>
      <c r="M1362" s="981">
        <f>IF(CNTR_HasEntries_A_I,IF(AND(CNTR_ApplyLinF,M1356=1),M1349,M1356),"")</f>
        <v>1</v>
      </c>
      <c r="N1362" s="398"/>
      <c r="O1362" s="20"/>
      <c r="P1362" s="422"/>
      <c r="Q1362" s="422"/>
      <c r="R1362" s="422"/>
      <c r="S1362" s="422"/>
      <c r="T1362" s="422"/>
    </row>
    <row r="1363" spans="1:20" s="575" customFormat="1" ht="5.0999999999999996" customHeight="1" x14ac:dyDescent="0.2">
      <c r="A1363" s="422"/>
      <c r="B1363" s="398"/>
      <c r="C1363" s="398"/>
      <c r="D1363" s="398"/>
      <c r="E1363" s="398"/>
      <c r="F1363" s="398"/>
      <c r="G1363" s="398"/>
      <c r="H1363" s="398"/>
      <c r="I1363" s="398"/>
      <c r="J1363" s="398"/>
      <c r="K1363" s="398"/>
      <c r="L1363" s="398"/>
      <c r="M1363" s="398"/>
      <c r="N1363" s="398"/>
      <c r="O1363" s="20"/>
      <c r="P1363" s="422"/>
      <c r="Q1363" s="422"/>
      <c r="R1363" s="422"/>
      <c r="S1363" s="422"/>
      <c r="T1363" s="422"/>
    </row>
    <row r="1364" spans="1:20" s="575" customFormat="1" x14ac:dyDescent="0.2">
      <c r="A1364" s="422"/>
      <c r="B1364" s="3"/>
      <c r="D1364" s="14" t="s">
        <v>356</v>
      </c>
      <c r="E1364" s="975" t="str">
        <f>Translations!$B$1284</f>
        <v>Obliczenie zgodnie z art. 16 ust. 8 FAR:</v>
      </c>
      <c r="F1364" s="975"/>
      <c r="G1364" s="397"/>
      <c r="H1364" s="208"/>
      <c r="I1364" s="15"/>
      <c r="J1364" s="15"/>
      <c r="K1364" s="21"/>
      <c r="L1364" s="398"/>
      <c r="M1364" s="398"/>
      <c r="N1364" s="398"/>
      <c r="O1364" s="20"/>
      <c r="P1364" s="422"/>
      <c r="Q1364" s="422"/>
      <c r="R1364" s="422"/>
      <c r="S1364" s="422"/>
      <c r="T1364" s="422"/>
    </row>
    <row r="1365" spans="1:20" s="575" customFormat="1" ht="39.950000000000003" customHeight="1" x14ac:dyDescent="0.2">
      <c r="A1365" s="422"/>
      <c r="B1365" s="3"/>
      <c r="C1365" s="3"/>
      <c r="D1365" s="16"/>
      <c r="E1365" s="1408" t="str">
        <f>Translations!$B$1285</f>
        <v>Liczby wyświetlane w tym miejscu odzwierciedlają obliczenie ostatecznej całkowitej liczby uprawnień przydzielonych bezpłatnie zgodnie z art. 16 ust. 8 FAR, tj. wartości przydziałów po zastosowaniu – odpowiednio – współczynnika liniowego lub międzysektorowego współczynnika korygującego (tj. wynik w lit. c) powyżej). Wartości tych nie można uznać za wartości ostateczne, gdyż w chwili gromadzenia tych danych międzysektorowy współczynnik korygujący nie jest jeszcze znany.</v>
      </c>
      <c r="F1365" s="1370"/>
      <c r="G1365" s="1370"/>
      <c r="H1365" s="1370"/>
      <c r="I1365" s="1370"/>
      <c r="J1365" s="1370"/>
      <c r="K1365" s="1370"/>
      <c r="L1365" s="1370"/>
      <c r="M1365" s="1370"/>
      <c r="N1365" s="1370"/>
      <c r="O1365" s="20"/>
      <c r="P1365" s="8"/>
      <c r="Q1365" s="422"/>
      <c r="R1365" s="422"/>
      <c r="S1365" s="422"/>
      <c r="T1365" s="422"/>
    </row>
    <row r="1366" spans="1:20" s="575" customFormat="1" ht="5.0999999999999996" customHeight="1" x14ac:dyDescent="0.2">
      <c r="A1366" s="422"/>
      <c r="B1366" s="398"/>
      <c r="C1366" s="398"/>
      <c r="D1366" s="398"/>
      <c r="E1366" s="398"/>
      <c r="F1366" s="398"/>
      <c r="G1366" s="398"/>
      <c r="H1366" s="398"/>
      <c r="I1366" s="398"/>
      <c r="J1366" s="398"/>
      <c r="K1366" s="398"/>
      <c r="L1366" s="398"/>
      <c r="M1366" s="398"/>
      <c r="N1366" s="398"/>
      <c r="O1366" s="20"/>
      <c r="P1366" s="422"/>
      <c r="Q1366" s="422"/>
      <c r="R1366" s="422"/>
      <c r="S1366" s="422"/>
      <c r="T1366" s="422"/>
    </row>
    <row r="1367" spans="1:20" s="575" customFormat="1" ht="12.75" customHeight="1" x14ac:dyDescent="0.2">
      <c r="A1367" s="422"/>
      <c r="B1367" s="398"/>
      <c r="C1367" s="398"/>
      <c r="D1367" s="1904" t="str">
        <f>Translations!$B$614</f>
        <v>Podinstalacja</v>
      </c>
      <c r="E1367" s="1904"/>
      <c r="F1367" s="1904"/>
      <c r="G1367" s="1904"/>
      <c r="H1367" s="1905"/>
      <c r="I1367" s="432">
        <f>I$1397+7</f>
        <v>2021</v>
      </c>
      <c r="J1367" s="432">
        <f>J$1397+7</f>
        <v>2022</v>
      </c>
      <c r="K1367" s="432">
        <f>K$1397+7</f>
        <v>2023</v>
      </c>
      <c r="L1367" s="432">
        <f>L$1397+7</f>
        <v>2024</v>
      </c>
      <c r="M1367" s="432">
        <f>M$1397+7</f>
        <v>2025</v>
      </c>
      <c r="N1367" s="398"/>
      <c r="O1367" s="20"/>
      <c r="P1367" s="422"/>
      <c r="Q1367" s="422"/>
      <c r="R1367" s="422"/>
      <c r="S1367" s="422"/>
      <c r="T1367" s="422"/>
    </row>
    <row r="1368" spans="1:20" s="575" customFormat="1" x14ac:dyDescent="0.2">
      <c r="A1368" s="422"/>
      <c r="B1368" s="398"/>
      <c r="C1368" s="974">
        <v>1</v>
      </c>
      <c r="D1368" s="1957" t="str">
        <f t="shared" ref="D1368:D1384" si="19">D1325</f>
        <v/>
      </c>
      <c r="E1368" s="1957"/>
      <c r="F1368" s="1957"/>
      <c r="G1368" s="1957"/>
      <c r="H1368" s="1957"/>
      <c r="I1368" s="427" t="str">
        <f t="shared" ref="I1368:M1377" si="20">IF(ISNUMBER(I1325),ROUND(I1325*I$1362,0),"")</f>
        <v/>
      </c>
      <c r="J1368" s="427" t="str">
        <f t="shared" si="20"/>
        <v/>
      </c>
      <c r="K1368" s="427" t="str">
        <f t="shared" si="20"/>
        <v/>
      </c>
      <c r="L1368" s="427" t="str">
        <f t="shared" si="20"/>
        <v/>
      </c>
      <c r="M1368" s="427" t="str">
        <f t="shared" si="20"/>
        <v/>
      </c>
      <c r="N1368" s="398"/>
      <c r="O1368" s="20"/>
      <c r="P1368" s="422"/>
      <c r="Q1368" s="422"/>
      <c r="R1368" s="422"/>
      <c r="S1368" s="422"/>
      <c r="T1368" s="422"/>
    </row>
    <row r="1369" spans="1:20" s="575" customFormat="1" x14ac:dyDescent="0.2">
      <c r="A1369" s="422"/>
      <c r="B1369" s="398"/>
      <c r="C1369" s="974">
        <f>C1368+1</f>
        <v>2</v>
      </c>
      <c r="D1369" s="1957" t="str">
        <f t="shared" si="19"/>
        <v/>
      </c>
      <c r="E1369" s="1957"/>
      <c r="F1369" s="1957"/>
      <c r="G1369" s="1957"/>
      <c r="H1369" s="1957"/>
      <c r="I1369" s="427" t="str">
        <f t="shared" si="20"/>
        <v/>
      </c>
      <c r="J1369" s="427" t="str">
        <f t="shared" si="20"/>
        <v/>
      </c>
      <c r="K1369" s="427" t="str">
        <f t="shared" si="20"/>
        <v/>
      </c>
      <c r="L1369" s="427" t="str">
        <f t="shared" si="20"/>
        <v/>
      </c>
      <c r="M1369" s="427" t="str">
        <f t="shared" si="20"/>
        <v/>
      </c>
      <c r="N1369" s="398"/>
      <c r="O1369" s="20"/>
      <c r="P1369" s="422"/>
      <c r="Q1369" s="422"/>
      <c r="R1369" s="422"/>
      <c r="S1369" s="422"/>
      <c r="T1369" s="422"/>
    </row>
    <row r="1370" spans="1:20" s="575" customFormat="1" x14ac:dyDescent="0.2">
      <c r="A1370" s="422"/>
      <c r="B1370" s="398"/>
      <c r="C1370" s="974">
        <f t="shared" ref="C1370:C1383" si="21">C1369+1</f>
        <v>3</v>
      </c>
      <c r="D1370" s="1957" t="str">
        <f t="shared" si="19"/>
        <v/>
      </c>
      <c r="E1370" s="1957"/>
      <c r="F1370" s="1957"/>
      <c r="G1370" s="1957"/>
      <c r="H1370" s="1957"/>
      <c r="I1370" s="427" t="str">
        <f t="shared" si="20"/>
        <v/>
      </c>
      <c r="J1370" s="427" t="str">
        <f t="shared" si="20"/>
        <v/>
      </c>
      <c r="K1370" s="427" t="str">
        <f t="shared" si="20"/>
        <v/>
      </c>
      <c r="L1370" s="427" t="str">
        <f t="shared" si="20"/>
        <v/>
      </c>
      <c r="M1370" s="427" t="str">
        <f t="shared" si="20"/>
        <v/>
      </c>
      <c r="N1370" s="398"/>
      <c r="O1370" s="20"/>
      <c r="P1370" s="422"/>
      <c r="Q1370" s="422"/>
      <c r="R1370" s="422"/>
      <c r="S1370" s="422"/>
      <c r="T1370" s="422"/>
    </row>
    <row r="1371" spans="1:20" s="575" customFormat="1" x14ac:dyDescent="0.2">
      <c r="A1371" s="422"/>
      <c r="B1371" s="398"/>
      <c r="C1371" s="974">
        <f t="shared" si="21"/>
        <v>4</v>
      </c>
      <c r="D1371" s="1957" t="str">
        <f t="shared" si="19"/>
        <v/>
      </c>
      <c r="E1371" s="1957"/>
      <c r="F1371" s="1957"/>
      <c r="G1371" s="1957"/>
      <c r="H1371" s="1957"/>
      <c r="I1371" s="427" t="str">
        <f t="shared" si="20"/>
        <v/>
      </c>
      <c r="J1371" s="427" t="str">
        <f t="shared" si="20"/>
        <v/>
      </c>
      <c r="K1371" s="427" t="str">
        <f t="shared" si="20"/>
        <v/>
      </c>
      <c r="L1371" s="427" t="str">
        <f t="shared" si="20"/>
        <v/>
      </c>
      <c r="M1371" s="427" t="str">
        <f t="shared" si="20"/>
        <v/>
      </c>
      <c r="N1371" s="398"/>
      <c r="O1371" s="20"/>
      <c r="P1371" s="422"/>
      <c r="Q1371" s="422"/>
      <c r="R1371" s="422"/>
      <c r="S1371" s="422"/>
      <c r="T1371" s="422"/>
    </row>
    <row r="1372" spans="1:20" s="575" customFormat="1" x14ac:dyDescent="0.2">
      <c r="A1372" s="422"/>
      <c r="B1372" s="398"/>
      <c r="C1372" s="974">
        <f t="shared" si="21"/>
        <v>5</v>
      </c>
      <c r="D1372" s="1957" t="str">
        <f t="shared" si="19"/>
        <v/>
      </c>
      <c r="E1372" s="1957"/>
      <c r="F1372" s="1957"/>
      <c r="G1372" s="1957"/>
      <c r="H1372" s="1957"/>
      <c r="I1372" s="427" t="str">
        <f t="shared" si="20"/>
        <v/>
      </c>
      <c r="J1372" s="427" t="str">
        <f t="shared" si="20"/>
        <v/>
      </c>
      <c r="K1372" s="427" t="str">
        <f t="shared" si="20"/>
        <v/>
      </c>
      <c r="L1372" s="427" t="str">
        <f t="shared" si="20"/>
        <v/>
      </c>
      <c r="M1372" s="427" t="str">
        <f t="shared" si="20"/>
        <v/>
      </c>
      <c r="N1372" s="398"/>
      <c r="O1372" s="20"/>
      <c r="P1372" s="422"/>
      <c r="Q1372" s="422"/>
      <c r="R1372" s="422"/>
      <c r="S1372" s="422"/>
      <c r="T1372" s="422"/>
    </row>
    <row r="1373" spans="1:20" s="575" customFormat="1" x14ac:dyDescent="0.2">
      <c r="A1373" s="422"/>
      <c r="B1373" s="398"/>
      <c r="C1373" s="974">
        <f t="shared" si="21"/>
        <v>6</v>
      </c>
      <c r="D1373" s="1957" t="str">
        <f t="shared" si="19"/>
        <v/>
      </c>
      <c r="E1373" s="1957"/>
      <c r="F1373" s="1957"/>
      <c r="G1373" s="1957"/>
      <c r="H1373" s="1957"/>
      <c r="I1373" s="427" t="str">
        <f t="shared" si="20"/>
        <v/>
      </c>
      <c r="J1373" s="427" t="str">
        <f t="shared" si="20"/>
        <v/>
      </c>
      <c r="K1373" s="427" t="str">
        <f t="shared" si="20"/>
        <v/>
      </c>
      <c r="L1373" s="427" t="str">
        <f t="shared" si="20"/>
        <v/>
      </c>
      <c r="M1373" s="427" t="str">
        <f t="shared" si="20"/>
        <v/>
      </c>
      <c r="N1373" s="398"/>
      <c r="O1373" s="20"/>
      <c r="P1373" s="422"/>
      <c r="Q1373" s="422"/>
      <c r="R1373" s="422"/>
      <c r="S1373" s="422"/>
      <c r="T1373" s="422"/>
    </row>
    <row r="1374" spans="1:20" s="575" customFormat="1" x14ac:dyDescent="0.2">
      <c r="A1374" s="422"/>
      <c r="B1374" s="398"/>
      <c r="C1374" s="974">
        <f t="shared" si="21"/>
        <v>7</v>
      </c>
      <c r="D1374" s="1957" t="str">
        <f t="shared" si="19"/>
        <v/>
      </c>
      <c r="E1374" s="1957"/>
      <c r="F1374" s="1957"/>
      <c r="G1374" s="1957"/>
      <c r="H1374" s="1957"/>
      <c r="I1374" s="427" t="str">
        <f t="shared" si="20"/>
        <v/>
      </c>
      <c r="J1374" s="427" t="str">
        <f t="shared" si="20"/>
        <v/>
      </c>
      <c r="K1374" s="427" t="str">
        <f t="shared" si="20"/>
        <v/>
      </c>
      <c r="L1374" s="427" t="str">
        <f t="shared" si="20"/>
        <v/>
      </c>
      <c r="M1374" s="427" t="str">
        <f t="shared" si="20"/>
        <v/>
      </c>
      <c r="N1374" s="398"/>
      <c r="O1374" s="20"/>
      <c r="P1374" s="422"/>
      <c r="Q1374" s="422"/>
      <c r="R1374" s="422"/>
      <c r="S1374" s="422"/>
      <c r="T1374" s="422"/>
    </row>
    <row r="1375" spans="1:20" s="575" customFormat="1" x14ac:dyDescent="0.2">
      <c r="A1375" s="422"/>
      <c r="B1375" s="398"/>
      <c r="C1375" s="974">
        <f t="shared" si="21"/>
        <v>8</v>
      </c>
      <c r="D1375" s="1957" t="str">
        <f t="shared" si="19"/>
        <v/>
      </c>
      <c r="E1375" s="1957"/>
      <c r="F1375" s="1957"/>
      <c r="G1375" s="1957"/>
      <c r="H1375" s="1957"/>
      <c r="I1375" s="427" t="str">
        <f t="shared" si="20"/>
        <v/>
      </c>
      <c r="J1375" s="427" t="str">
        <f t="shared" si="20"/>
        <v/>
      </c>
      <c r="K1375" s="427" t="str">
        <f t="shared" si="20"/>
        <v/>
      </c>
      <c r="L1375" s="427" t="str">
        <f t="shared" si="20"/>
        <v/>
      </c>
      <c r="M1375" s="427" t="str">
        <f t="shared" si="20"/>
        <v/>
      </c>
      <c r="N1375" s="398"/>
      <c r="O1375" s="20"/>
      <c r="P1375" s="422"/>
      <c r="Q1375" s="422"/>
      <c r="R1375" s="422"/>
      <c r="S1375" s="422"/>
      <c r="T1375" s="422"/>
    </row>
    <row r="1376" spans="1:20" s="575" customFormat="1" x14ac:dyDescent="0.2">
      <c r="A1376" s="422"/>
      <c r="B1376" s="398"/>
      <c r="C1376" s="974">
        <f t="shared" si="21"/>
        <v>9</v>
      </c>
      <c r="D1376" s="1957" t="str">
        <f t="shared" si="19"/>
        <v/>
      </c>
      <c r="E1376" s="1957"/>
      <c r="F1376" s="1957"/>
      <c r="G1376" s="1957"/>
      <c r="H1376" s="1957"/>
      <c r="I1376" s="427" t="str">
        <f t="shared" si="20"/>
        <v/>
      </c>
      <c r="J1376" s="427" t="str">
        <f t="shared" si="20"/>
        <v/>
      </c>
      <c r="K1376" s="427" t="str">
        <f t="shared" si="20"/>
        <v/>
      </c>
      <c r="L1376" s="427" t="str">
        <f t="shared" si="20"/>
        <v/>
      </c>
      <c r="M1376" s="427" t="str">
        <f t="shared" si="20"/>
        <v/>
      </c>
      <c r="N1376" s="398"/>
      <c r="O1376" s="20"/>
      <c r="P1376" s="422"/>
      <c r="Q1376" s="422"/>
      <c r="R1376" s="422"/>
      <c r="S1376" s="422"/>
      <c r="T1376" s="422"/>
    </row>
    <row r="1377" spans="1:20" s="575" customFormat="1" ht="13.5" thickBot="1" x14ac:dyDescent="0.25">
      <c r="A1377" s="422"/>
      <c r="B1377" s="398"/>
      <c r="C1377" s="977">
        <f t="shared" si="21"/>
        <v>10</v>
      </c>
      <c r="D1377" s="1965" t="str">
        <f t="shared" si="19"/>
        <v/>
      </c>
      <c r="E1377" s="1965"/>
      <c r="F1377" s="1965"/>
      <c r="G1377" s="1965"/>
      <c r="H1377" s="1965"/>
      <c r="I1377" s="978" t="str">
        <f t="shared" si="20"/>
        <v/>
      </c>
      <c r="J1377" s="978" t="str">
        <f t="shared" si="20"/>
        <v/>
      </c>
      <c r="K1377" s="978" t="str">
        <f t="shared" si="20"/>
        <v/>
      </c>
      <c r="L1377" s="978" t="str">
        <f t="shared" si="20"/>
        <v/>
      </c>
      <c r="M1377" s="978" t="str">
        <f t="shared" si="20"/>
        <v/>
      </c>
      <c r="N1377" s="398"/>
      <c r="O1377" s="20"/>
      <c r="P1377" s="422"/>
      <c r="Q1377" s="422"/>
      <c r="R1377" s="422"/>
      <c r="S1377" s="422"/>
      <c r="T1377" s="422"/>
    </row>
    <row r="1378" spans="1:20" s="575" customFormat="1" ht="25.5" customHeight="1" x14ac:dyDescent="0.2">
      <c r="A1378" s="422"/>
      <c r="B1378" s="398"/>
      <c r="C1378" s="974">
        <f t="shared" si="21"/>
        <v>11</v>
      </c>
      <c r="D1378" s="1970" t="str">
        <f t="shared" si="19"/>
        <v>Podinstalacja objęta wskaźnikiem emisyjności opartym na cieple, „CL”</v>
      </c>
      <c r="E1378" s="1970"/>
      <c r="F1378" s="1970"/>
      <c r="G1378" s="1970"/>
      <c r="H1378" s="1970"/>
      <c r="I1378" s="979">
        <f t="shared" ref="I1378:M1384" si="22">IF(ISNUMBER(I1335),ROUND(I1335*I$1362,0),"")</f>
        <v>31540</v>
      </c>
      <c r="J1378" s="979">
        <f t="shared" si="22"/>
        <v>31540</v>
      </c>
      <c r="K1378" s="979">
        <f t="shared" si="22"/>
        <v>31540</v>
      </c>
      <c r="L1378" s="979">
        <f t="shared" si="22"/>
        <v>31540</v>
      </c>
      <c r="M1378" s="979">
        <f t="shared" si="22"/>
        <v>31540</v>
      </c>
      <c r="N1378" s="398"/>
      <c r="O1378" s="20"/>
      <c r="P1378" s="422"/>
      <c r="Q1378" s="422"/>
      <c r="R1378" s="422"/>
      <c r="S1378" s="422"/>
      <c r="T1378" s="422"/>
    </row>
    <row r="1379" spans="1:20" s="575" customFormat="1" ht="25.5" customHeight="1" x14ac:dyDescent="0.2">
      <c r="A1379" s="422"/>
      <c r="B1379" s="398"/>
      <c r="C1379" s="974">
        <f t="shared" si="21"/>
        <v>12</v>
      </c>
      <c r="D1379" s="1957" t="str">
        <f t="shared" si="19"/>
        <v>Podinstalacja objęta wskaźnikiem emisyjności opartym na cieple, „nie-CL”</v>
      </c>
      <c r="E1379" s="1957"/>
      <c r="F1379" s="1957"/>
      <c r="G1379" s="1957"/>
      <c r="H1379" s="1957"/>
      <c r="I1379" s="427">
        <f t="shared" si="22"/>
        <v>9808</v>
      </c>
      <c r="J1379" s="427">
        <f t="shared" si="22"/>
        <v>9808</v>
      </c>
      <c r="K1379" s="427">
        <f t="shared" si="22"/>
        <v>9808</v>
      </c>
      <c r="L1379" s="427">
        <f t="shared" si="22"/>
        <v>9808</v>
      </c>
      <c r="M1379" s="427">
        <f t="shared" si="22"/>
        <v>9808</v>
      </c>
      <c r="N1379" s="398"/>
      <c r="O1379" s="20"/>
      <c r="P1379" s="422"/>
      <c r="Q1379" s="422"/>
      <c r="R1379" s="422"/>
      <c r="S1379" s="422"/>
      <c r="T1379" s="422"/>
    </row>
    <row r="1380" spans="1:20" s="575" customFormat="1" x14ac:dyDescent="0.2">
      <c r="A1380" s="422"/>
      <c r="B1380" s="398"/>
      <c r="C1380" s="974">
        <f t="shared" si="21"/>
        <v>13</v>
      </c>
      <c r="D1380" s="1957" t="str">
        <f t="shared" si="19"/>
        <v>Podinstalacja sieci ciepłowniczej</v>
      </c>
      <c r="E1380" s="1957"/>
      <c r="F1380" s="1957"/>
      <c r="G1380" s="1957"/>
      <c r="H1380" s="1957"/>
      <c r="I1380" s="427">
        <f t="shared" si="22"/>
        <v>9439</v>
      </c>
      <c r="J1380" s="427">
        <f t="shared" si="22"/>
        <v>9439</v>
      </c>
      <c r="K1380" s="427">
        <f t="shared" si="22"/>
        <v>9439</v>
      </c>
      <c r="L1380" s="427">
        <f t="shared" si="22"/>
        <v>9439</v>
      </c>
      <c r="M1380" s="427">
        <f t="shared" si="22"/>
        <v>9439</v>
      </c>
      <c r="N1380" s="398"/>
      <c r="O1380" s="20"/>
      <c r="P1380" s="422"/>
      <c r="Q1380" s="422"/>
      <c r="R1380" s="422"/>
      <c r="S1380" s="422"/>
      <c r="T1380" s="422"/>
    </row>
    <row r="1381" spans="1:20" s="575" customFormat="1" ht="25.5" customHeight="1" x14ac:dyDescent="0.2">
      <c r="A1381" s="422"/>
      <c r="B1381" s="398"/>
      <c r="C1381" s="974">
        <f t="shared" si="21"/>
        <v>14</v>
      </c>
      <c r="D1381" s="1957" t="str">
        <f t="shared" si="19"/>
        <v>Podinstalacja objęta wskaźnikiem emisyjności opartym na paliwie, „CL”</v>
      </c>
      <c r="E1381" s="1957"/>
      <c r="F1381" s="1957"/>
      <c r="G1381" s="1957"/>
      <c r="H1381" s="1957"/>
      <c r="I1381" s="427" t="str">
        <f t="shared" si="22"/>
        <v/>
      </c>
      <c r="J1381" s="427" t="str">
        <f t="shared" si="22"/>
        <v/>
      </c>
      <c r="K1381" s="427" t="str">
        <f t="shared" si="22"/>
        <v/>
      </c>
      <c r="L1381" s="427" t="str">
        <f t="shared" si="22"/>
        <v/>
      </c>
      <c r="M1381" s="427" t="str">
        <f t="shared" si="22"/>
        <v/>
      </c>
      <c r="N1381" s="398"/>
      <c r="O1381" s="20"/>
      <c r="P1381" s="422"/>
      <c r="Q1381" s="422"/>
      <c r="R1381" s="422"/>
      <c r="S1381" s="422"/>
      <c r="T1381" s="422"/>
    </row>
    <row r="1382" spans="1:20" s="575" customFormat="1" ht="25.5" customHeight="1" x14ac:dyDescent="0.2">
      <c r="A1382" s="422"/>
      <c r="B1382" s="398"/>
      <c r="C1382" s="974">
        <f t="shared" si="21"/>
        <v>15</v>
      </c>
      <c r="D1382" s="1957" t="str">
        <f t="shared" si="19"/>
        <v>Podinstalacja objęta wskaźnikiem emisyjności opartym na paliwie, „nie-CL”</v>
      </c>
      <c r="E1382" s="1957"/>
      <c r="F1382" s="1957"/>
      <c r="G1382" s="1957"/>
      <c r="H1382" s="1957"/>
      <c r="I1382" s="427" t="str">
        <f t="shared" si="22"/>
        <v/>
      </c>
      <c r="J1382" s="427" t="str">
        <f t="shared" si="22"/>
        <v/>
      </c>
      <c r="K1382" s="427" t="str">
        <f t="shared" si="22"/>
        <v/>
      </c>
      <c r="L1382" s="427" t="str">
        <f t="shared" si="22"/>
        <v/>
      </c>
      <c r="M1382" s="427" t="str">
        <f t="shared" si="22"/>
        <v/>
      </c>
      <c r="N1382" s="398"/>
      <c r="O1382" s="20"/>
      <c r="P1382" s="422"/>
      <c r="Q1382" s="422"/>
      <c r="R1382" s="422"/>
      <c r="S1382" s="422"/>
      <c r="T1382" s="422"/>
    </row>
    <row r="1383" spans="1:20" s="575" customFormat="1" x14ac:dyDescent="0.2">
      <c r="A1383" s="422"/>
      <c r="B1383" s="398"/>
      <c r="C1383" s="974">
        <f t="shared" si="21"/>
        <v>16</v>
      </c>
      <c r="D1383" s="1957" t="str">
        <f t="shared" si="19"/>
        <v>Podinstalacja wytwarzająca emisje procesowe, „CL”</v>
      </c>
      <c r="E1383" s="1957"/>
      <c r="F1383" s="1957"/>
      <c r="G1383" s="1957"/>
      <c r="H1383" s="1957"/>
      <c r="I1383" s="988" t="str">
        <f t="shared" si="22"/>
        <v/>
      </c>
      <c r="J1383" s="988" t="str">
        <f t="shared" si="22"/>
        <v/>
      </c>
      <c r="K1383" s="988" t="str">
        <f t="shared" si="22"/>
        <v/>
      </c>
      <c r="L1383" s="988" t="str">
        <f t="shared" si="22"/>
        <v/>
      </c>
      <c r="M1383" s="988" t="str">
        <f t="shared" si="22"/>
        <v/>
      </c>
      <c r="N1383" s="398"/>
      <c r="O1383" s="20"/>
      <c r="P1383" s="422"/>
      <c r="Q1383" s="422"/>
      <c r="R1383" s="422"/>
      <c r="S1383" s="422"/>
      <c r="T1383" s="422"/>
    </row>
    <row r="1384" spans="1:20" s="575" customFormat="1" ht="13.5" thickBot="1" x14ac:dyDescent="0.25">
      <c r="A1384" s="422"/>
      <c r="B1384" s="398"/>
      <c r="C1384" s="987">
        <v>17</v>
      </c>
      <c r="D1384" s="1971" t="str">
        <f t="shared" si="19"/>
        <v>Podinstalacja wytwarzająca emisje procesowe, „nie-CL”</v>
      </c>
      <c r="E1384" s="1971"/>
      <c r="F1384" s="1971"/>
      <c r="G1384" s="1971"/>
      <c r="H1384" s="1971"/>
      <c r="I1384" s="978" t="str">
        <f t="shared" si="22"/>
        <v/>
      </c>
      <c r="J1384" s="978" t="str">
        <f t="shared" si="22"/>
        <v/>
      </c>
      <c r="K1384" s="978" t="str">
        <f t="shared" si="22"/>
        <v/>
      </c>
      <c r="L1384" s="978" t="str">
        <f t="shared" si="22"/>
        <v/>
      </c>
      <c r="M1384" s="978" t="str">
        <f t="shared" si="22"/>
        <v/>
      </c>
      <c r="N1384" s="398"/>
      <c r="O1384" s="20"/>
      <c r="P1384" s="422"/>
      <c r="Q1384" s="422"/>
      <c r="R1384" s="422"/>
      <c r="S1384" s="422"/>
      <c r="T1384" s="422"/>
    </row>
    <row r="1385" spans="1:20" s="575" customFormat="1" x14ac:dyDescent="0.2">
      <c r="A1385" s="422"/>
      <c r="B1385" s="398"/>
      <c r="C1385" s="398"/>
      <c r="D1385" s="1973" t="str">
        <f>Translations!$B$1272</f>
        <v>Całkowity wstępny bezpłatny przydział</v>
      </c>
      <c r="E1385" s="1973"/>
      <c r="F1385" s="1973"/>
      <c r="G1385" s="1973"/>
      <c r="H1385" s="1973"/>
      <c r="I1385" s="980">
        <f>IF(COUNT(I1368:I1384)&gt;0,IF(SUM(I1368:I1384)&gt;0,SUM(I1368:I1384),0),"")</f>
        <v>50787</v>
      </c>
      <c r="J1385" s="980">
        <f>IF(COUNT(J1368:J1384)&gt;0,IF(SUM(J1368:J1384)&gt;0,SUM(J1368:J1384),0),"")</f>
        <v>50787</v>
      </c>
      <c r="K1385" s="980">
        <f>IF(COUNT(K1368:K1384)&gt;0,IF(SUM(K1368:K1384)&gt;0,SUM(K1368:K1384),0),"")</f>
        <v>50787</v>
      </c>
      <c r="L1385" s="980">
        <f>IF(COUNT(L1368:L1384)&gt;0,IF(SUM(L1368:L1384)&gt;0,SUM(L1368:L1384),0),"")</f>
        <v>50787</v>
      </c>
      <c r="M1385" s="980">
        <f>IF(COUNT(M1368:M1384)&gt;0,IF(SUM(M1368:M1384)&gt;0,SUM(M1368:M1384),0),"")</f>
        <v>50787</v>
      </c>
      <c r="N1385" s="398"/>
      <c r="O1385" s="20"/>
      <c r="P1385" s="422"/>
      <c r="Q1385" s="422"/>
      <c r="R1385" s="422"/>
      <c r="S1385" s="422"/>
      <c r="T1385" s="422"/>
    </row>
    <row r="1386" spans="1:20" ht="13.5" thickBot="1" x14ac:dyDescent="0.25">
      <c r="B1386" s="20"/>
      <c r="C1386" s="20"/>
      <c r="D1386" s="20"/>
      <c r="E1386" s="20"/>
      <c r="F1386" s="20"/>
      <c r="G1386" s="20"/>
      <c r="H1386" s="20"/>
      <c r="I1386" s="20"/>
      <c r="J1386" s="20"/>
      <c r="K1386" s="20"/>
      <c r="L1386" s="20"/>
      <c r="M1386" s="20"/>
      <c r="N1386" s="20"/>
      <c r="O1386" s="20"/>
    </row>
    <row r="1387" spans="1:20" s="735" customFormat="1" ht="25.5" customHeight="1" thickBot="1" x14ac:dyDescent="0.25">
      <c r="A1387" s="401"/>
      <c r="B1387" s="402"/>
      <c r="C1387" s="402"/>
      <c r="D1387" s="403"/>
      <c r="E1387" s="2008" t="str">
        <f>Translations!$B$1286</f>
        <v>Wyniki wyświetlane w tym miejscu nie są w żadnym wypadku prawnie wiążące.Proszę zapoznać się z treścią zastrzeżenia we wprowadzeniu do niniejszej części.</v>
      </c>
      <c r="F1387" s="2009"/>
      <c r="G1387" s="2009"/>
      <c r="H1387" s="2009"/>
      <c r="I1387" s="2009"/>
      <c r="J1387" s="2009"/>
      <c r="K1387" s="2009"/>
      <c r="L1387" s="2009"/>
      <c r="M1387" s="2009"/>
      <c r="N1387" s="2010"/>
      <c r="O1387" s="20"/>
      <c r="P1387" s="404"/>
      <c r="Q1387" s="401"/>
      <c r="R1387" s="401"/>
      <c r="S1387" s="401"/>
      <c r="T1387" s="401"/>
    </row>
    <row r="1388" spans="1:20" x14ac:dyDescent="0.2">
      <c r="B1388" s="20"/>
      <c r="C1388" s="20"/>
      <c r="D1388" s="20"/>
      <c r="E1388" s="20"/>
      <c r="F1388" s="20"/>
      <c r="G1388" s="20"/>
      <c r="H1388" s="20"/>
      <c r="I1388" s="20"/>
      <c r="J1388" s="20"/>
      <c r="K1388" s="20"/>
      <c r="L1388" s="20"/>
      <c r="M1388" s="20"/>
      <c r="N1388" s="20"/>
      <c r="O1388" s="20"/>
    </row>
    <row r="1389" spans="1:20" hidden="1" x14ac:dyDescent="0.2">
      <c r="A1389" s="2" t="s">
        <v>101</v>
      </c>
      <c r="B1389" s="20"/>
      <c r="C1389" s="20"/>
      <c r="D1389" s="212" t="s">
        <v>247</v>
      </c>
      <c r="E1389" s="197"/>
      <c r="F1389" s="197"/>
      <c r="G1389" s="197"/>
      <c r="H1389" s="197"/>
      <c r="I1389" s="197"/>
      <c r="J1389" s="20"/>
      <c r="K1389" s="20"/>
      <c r="L1389" s="20"/>
      <c r="M1389" s="20"/>
      <c r="N1389" s="20"/>
      <c r="O1389" s="20"/>
    </row>
    <row r="1390" spans="1:20" x14ac:dyDescent="0.2">
      <c r="B1390" s="20"/>
      <c r="C1390" s="20"/>
      <c r="D1390" s="20"/>
      <c r="E1390" s="20"/>
      <c r="F1390" s="20"/>
      <c r="G1390" s="20"/>
      <c r="H1390" s="20"/>
      <c r="I1390" s="20"/>
      <c r="J1390" s="20"/>
      <c r="K1390" s="20"/>
      <c r="L1390" s="20"/>
      <c r="M1390" s="20"/>
      <c r="N1390" s="20"/>
      <c r="O1390" s="20"/>
    </row>
    <row r="1391" spans="1:20" hidden="1" x14ac:dyDescent="0.2">
      <c r="A1391" s="2" t="s">
        <v>101</v>
      </c>
      <c r="B1391" s="2" t="s">
        <v>350</v>
      </c>
      <c r="C1391" s="2" t="s">
        <v>350</v>
      </c>
      <c r="D1391" s="2" t="s">
        <v>350</v>
      </c>
      <c r="E1391" s="2" t="s">
        <v>350</v>
      </c>
      <c r="F1391" s="2" t="s">
        <v>350</v>
      </c>
      <c r="G1391" s="2" t="s">
        <v>350</v>
      </c>
      <c r="H1391" s="2" t="s">
        <v>350</v>
      </c>
      <c r="I1391" s="2" t="s">
        <v>350</v>
      </c>
      <c r="J1391" s="2" t="s">
        <v>350</v>
      </c>
      <c r="K1391" s="2" t="s">
        <v>350</v>
      </c>
      <c r="L1391" s="2" t="s">
        <v>350</v>
      </c>
      <c r="M1391" s="2" t="s">
        <v>350</v>
      </c>
      <c r="N1391" s="2" t="s">
        <v>350</v>
      </c>
      <c r="O1391" s="2" t="s">
        <v>350</v>
      </c>
      <c r="P1391" s="2" t="s">
        <v>350</v>
      </c>
      <c r="Q1391" s="2" t="s">
        <v>350</v>
      </c>
      <c r="R1391" s="2" t="s">
        <v>350</v>
      </c>
      <c r="S1391" s="2" t="s">
        <v>350</v>
      </c>
      <c r="T1391" s="2" t="s">
        <v>350</v>
      </c>
    </row>
    <row r="1392" spans="1:20" hidden="1" x14ac:dyDescent="0.2">
      <c r="A1392" s="2" t="s">
        <v>101</v>
      </c>
    </row>
    <row r="1393" spans="1:15" ht="13.5" hidden="1" thickBot="1" x14ac:dyDescent="0.25">
      <c r="A1393" s="2" t="s">
        <v>101</v>
      </c>
      <c r="D1393" s="1" t="s">
        <v>351</v>
      </c>
    </row>
    <row r="1394" spans="1:15" hidden="1" x14ac:dyDescent="0.2">
      <c r="A1394" s="2" t="s">
        <v>101</v>
      </c>
      <c r="E1394" s="162" t="s">
        <v>236</v>
      </c>
      <c r="F1394" s="66"/>
      <c r="G1394" s="66"/>
      <c r="H1394" s="66"/>
      <c r="I1394" s="66"/>
      <c r="J1394" s="66"/>
      <c r="K1394" s="66"/>
      <c r="L1394" s="66"/>
      <c r="M1394" s="66"/>
      <c r="N1394" s="68"/>
    </row>
    <row r="1395" spans="1:15" hidden="1" x14ac:dyDescent="0.2">
      <c r="A1395" s="2" t="s">
        <v>101</v>
      </c>
      <c r="E1395" s="101" t="s">
        <v>354</v>
      </c>
      <c r="F1395" s="23"/>
      <c r="G1395" s="23"/>
      <c r="H1395" s="23"/>
      <c r="I1395" s="152">
        <v>1</v>
      </c>
      <c r="J1395" s="152">
        <v>2</v>
      </c>
      <c r="K1395" s="152">
        <v>3</v>
      </c>
      <c r="L1395" s="152">
        <v>4</v>
      </c>
      <c r="M1395" s="152">
        <v>5</v>
      </c>
      <c r="N1395" s="155"/>
    </row>
    <row r="1396" spans="1:15" hidden="1" x14ac:dyDescent="0.2">
      <c r="A1396" s="2" t="s">
        <v>101</v>
      </c>
      <c r="E1396" s="156" t="s">
        <v>473</v>
      </c>
      <c r="F1396" s="23"/>
      <c r="G1396" s="23"/>
      <c r="H1396" s="23"/>
      <c r="I1396" s="152">
        <f>INDEX(EUconst_ReportingYears,I1395)</f>
        <v>2014</v>
      </c>
      <c r="J1396" s="152">
        <f>INDEX(EUconst_ReportingYears,J1395)</f>
        <v>2015</v>
      </c>
      <c r="K1396" s="152">
        <f>INDEX(EUconst_ReportingYears,K1395)</f>
        <v>2016</v>
      </c>
      <c r="L1396" s="152">
        <f>INDEX(EUconst_ReportingYears,L1395)</f>
        <v>2017</v>
      </c>
      <c r="M1396" s="152">
        <f>INDEX(EUconst_ReportingYears,M1395)</f>
        <v>2018</v>
      </c>
      <c r="N1396" s="155"/>
    </row>
    <row r="1397" spans="1:15" hidden="1" x14ac:dyDescent="0.2">
      <c r="A1397" s="2" t="s">
        <v>101</v>
      </c>
      <c r="E1397" s="156" t="s">
        <v>472</v>
      </c>
      <c r="F1397" s="153"/>
      <c r="G1397" s="153"/>
      <c r="H1397" s="153"/>
      <c r="I1397" s="154">
        <f>IF(CNTR_BaselinePeriod=EUconst_NA,I1396,INDEX(EUconst_ReportingYears,I1395)+(CNTR_BaselinePeriod-1)*5)</f>
        <v>2014</v>
      </c>
      <c r="J1397" s="154">
        <f>IF(CNTR_BaselinePeriod=EUconst_NA,J1396,INDEX(EUconst_ReportingYears,J1395)+(CNTR_BaselinePeriod-1)*5)</f>
        <v>2015</v>
      </c>
      <c r="K1397" s="154">
        <f>IF(CNTR_BaselinePeriod=EUconst_NA,K1396,INDEX(EUconst_ReportingYears,K1395)+(CNTR_BaselinePeriod-1)*5)</f>
        <v>2016</v>
      </c>
      <c r="L1397" s="154">
        <f>IF(CNTR_BaselinePeriod=EUconst_NA,L1396,INDEX(EUconst_ReportingYears,L1395)+(CNTR_BaselinePeriod-1)*5)</f>
        <v>2017</v>
      </c>
      <c r="M1397" s="154">
        <f>IF(CNTR_BaselinePeriod=EUconst_NA,M1396,INDEX(EUconst_ReportingYears,M1395)+(CNTR_BaselinePeriod-1)*5)</f>
        <v>2018</v>
      </c>
      <c r="N1397" s="157"/>
      <c r="O1397" s="20"/>
    </row>
    <row r="1398" spans="1:15" hidden="1" x14ac:dyDescent="0.2">
      <c r="A1398" s="2" t="s">
        <v>101</v>
      </c>
      <c r="E1398" s="156" t="s">
        <v>235</v>
      </c>
      <c r="F1398" s="153"/>
      <c r="G1398" s="153"/>
      <c r="H1398" s="153"/>
      <c r="I1398" s="154">
        <v>1</v>
      </c>
      <c r="J1398" s="154">
        <v>1</v>
      </c>
      <c r="K1398" s="154">
        <v>1</v>
      </c>
      <c r="L1398" s="154">
        <v>1</v>
      </c>
      <c r="M1398" s="154">
        <v>1</v>
      </c>
      <c r="N1398" s="157"/>
    </row>
    <row r="1399" spans="1:15" hidden="1" x14ac:dyDescent="0.2">
      <c r="A1399" s="2" t="s">
        <v>101</v>
      </c>
      <c r="E1399" s="156" t="s">
        <v>233</v>
      </c>
      <c r="F1399" s="153"/>
      <c r="G1399" s="153"/>
      <c r="H1399" s="153"/>
      <c r="I1399" s="153" t="b">
        <f>(I1398=CNTR_BaselinePeriod)</f>
        <v>1</v>
      </c>
      <c r="J1399" s="153" t="b">
        <f>(J1398=CNTR_BaselinePeriod)</f>
        <v>1</v>
      </c>
      <c r="K1399" s="153" t="b">
        <f>(K1398=CNTR_BaselinePeriod)</f>
        <v>1</v>
      </c>
      <c r="L1399" s="153" t="b">
        <f>(L1398=CNTR_BaselinePeriod)</f>
        <v>1</v>
      </c>
      <c r="M1399" s="153" t="b">
        <f>(M1398=CNTR_BaselinePeriod)</f>
        <v>1</v>
      </c>
      <c r="N1399" s="158"/>
    </row>
    <row r="1400" spans="1:15" ht="13.5" hidden="1" thickBot="1" x14ac:dyDescent="0.25">
      <c r="A1400" s="2" t="s">
        <v>101</v>
      </c>
      <c r="E1400" s="159" t="s">
        <v>234</v>
      </c>
      <c r="F1400" s="160"/>
      <c r="G1400" s="160"/>
      <c r="H1400" s="160"/>
      <c r="I1400" s="160" t="b">
        <f>INDEX(CNTR_BaslineYearRelevant,I1395)</f>
        <v>1</v>
      </c>
      <c r="J1400" s="160" t="b">
        <f>INDEX(CNTR_BaslineYearRelevant,J1395)</f>
        <v>1</v>
      </c>
      <c r="K1400" s="160" t="b">
        <f>INDEX(CNTR_BaslineYearRelevant,K1395)</f>
        <v>1</v>
      </c>
      <c r="L1400" s="160" t="b">
        <f>INDEX(CNTR_BaslineYearRelevant,L1395)</f>
        <v>1</v>
      </c>
      <c r="M1400" s="160" t="b">
        <f>INDEX(CNTR_BaslineYearRelevant,M1395)</f>
        <v>1</v>
      </c>
      <c r="N1400" s="161"/>
    </row>
    <row r="1401" spans="1:15" hidden="1" x14ac:dyDescent="0.2">
      <c r="A1401" s="2" t="s">
        <v>101</v>
      </c>
    </row>
    <row r="1402" spans="1:15" hidden="1" x14ac:dyDescent="0.2">
      <c r="A1402" s="2" t="s">
        <v>101</v>
      </c>
    </row>
    <row r="1403" spans="1:15" hidden="1" x14ac:dyDescent="0.2">
      <c r="A1403" s="2" t="s">
        <v>101</v>
      </c>
    </row>
  </sheetData>
  <sheetProtection sheet="1" objects="1" scenarios="1" formatCells="0" formatColumns="0" formatRows="0"/>
  <mergeCells count="897">
    <mergeCell ref="E1064:G1064"/>
    <mergeCell ref="E1065:G1065"/>
    <mergeCell ref="E1052:G1052"/>
    <mergeCell ref="E1053:G1053"/>
    <mergeCell ref="E1056:G1056"/>
    <mergeCell ref="E1058:G1058"/>
    <mergeCell ref="E1061:G1061"/>
    <mergeCell ref="E1062:G1062"/>
    <mergeCell ref="E341:G341"/>
    <mergeCell ref="E342:G342"/>
    <mergeCell ref="E1046:G1046"/>
    <mergeCell ref="E1047:G1047"/>
    <mergeCell ref="E1048:G1048"/>
    <mergeCell ref="E1049:G1049"/>
    <mergeCell ref="E1038:G1038"/>
    <mergeCell ref="E1004:G1004"/>
    <mergeCell ref="E1005:G1005"/>
    <mergeCell ref="D1009:H1009"/>
    <mergeCell ref="E990:G990"/>
    <mergeCell ref="E991:G991"/>
    <mergeCell ref="E992:G992"/>
    <mergeCell ref="E993:G993"/>
    <mergeCell ref="E996:G996"/>
    <mergeCell ref="E998:G998"/>
    <mergeCell ref="I1009:N1009"/>
    <mergeCell ref="E1025:G1025"/>
    <mergeCell ref="E1044:G1044"/>
    <mergeCell ref="E1039:G1039"/>
    <mergeCell ref="E1041:G1041"/>
    <mergeCell ref="E1042:G1042"/>
    <mergeCell ref="E1055:G1055"/>
    <mergeCell ref="E1045:G1045"/>
    <mergeCell ref="E1027:G1027"/>
    <mergeCell ref="E1028:G1028"/>
    <mergeCell ref="E1030:G1030"/>
    <mergeCell ref="E1031:G1031"/>
    <mergeCell ref="E1032:G1032"/>
    <mergeCell ref="E1033:G1033"/>
    <mergeCell ref="E1035:G1035"/>
    <mergeCell ref="E1036:G1036"/>
    <mergeCell ref="E1050:G1050"/>
    <mergeCell ref="E1051:G1051"/>
    <mergeCell ref="E972:G972"/>
    <mergeCell ref="E973:G973"/>
    <mergeCell ref="E975:G975"/>
    <mergeCell ref="E976:G976"/>
    <mergeCell ref="E978:G978"/>
    <mergeCell ref="E1001:G1001"/>
    <mergeCell ref="E995:G995"/>
    <mergeCell ref="E1002:G1002"/>
    <mergeCell ref="E979:G979"/>
    <mergeCell ref="E981:G981"/>
    <mergeCell ref="E982:G982"/>
    <mergeCell ref="E984:G984"/>
    <mergeCell ref="E985:G985"/>
    <mergeCell ref="E986:G986"/>
    <mergeCell ref="E987:G987"/>
    <mergeCell ref="E988:G988"/>
    <mergeCell ref="E989:G989"/>
    <mergeCell ref="E944:G944"/>
    <mergeCell ref="E945:G945"/>
    <mergeCell ref="D949:H949"/>
    <mergeCell ref="I949:N949"/>
    <mergeCell ref="E965:G965"/>
    <mergeCell ref="E967:G967"/>
    <mergeCell ref="E968:G968"/>
    <mergeCell ref="E970:G970"/>
    <mergeCell ref="E971:G971"/>
    <mergeCell ref="E929:G929"/>
    <mergeCell ref="E930:G930"/>
    <mergeCell ref="E931:G931"/>
    <mergeCell ref="E932:G932"/>
    <mergeCell ref="E933:G933"/>
    <mergeCell ref="E936:G936"/>
    <mergeCell ref="E938:G938"/>
    <mergeCell ref="E941:G941"/>
    <mergeCell ref="E942:G942"/>
    <mergeCell ref="E935:G935"/>
    <mergeCell ref="E918:G918"/>
    <mergeCell ref="E919:G919"/>
    <mergeCell ref="E921:G921"/>
    <mergeCell ref="E922:G922"/>
    <mergeCell ref="E924:G924"/>
    <mergeCell ref="E925:G925"/>
    <mergeCell ref="E926:G926"/>
    <mergeCell ref="E927:G927"/>
    <mergeCell ref="E928:G928"/>
    <mergeCell ref="E905:G905"/>
    <mergeCell ref="E907:G907"/>
    <mergeCell ref="E908:G908"/>
    <mergeCell ref="E910:G910"/>
    <mergeCell ref="E911:G911"/>
    <mergeCell ref="E912:G912"/>
    <mergeCell ref="E913:G913"/>
    <mergeCell ref="E915:G915"/>
    <mergeCell ref="E916:G916"/>
    <mergeCell ref="E876:G876"/>
    <mergeCell ref="E878:G878"/>
    <mergeCell ref="E881:G881"/>
    <mergeCell ref="E882:G882"/>
    <mergeCell ref="E884:G884"/>
    <mergeCell ref="E875:G875"/>
    <mergeCell ref="E885:G885"/>
    <mergeCell ref="D889:H889"/>
    <mergeCell ref="I889:N889"/>
    <mergeCell ref="E865:G865"/>
    <mergeCell ref="E866:G866"/>
    <mergeCell ref="E867:G867"/>
    <mergeCell ref="E868:G868"/>
    <mergeCell ref="E869:G869"/>
    <mergeCell ref="E870:G870"/>
    <mergeCell ref="E871:G871"/>
    <mergeCell ref="E872:G872"/>
    <mergeCell ref="E873:G873"/>
    <mergeCell ref="E852:G852"/>
    <mergeCell ref="E853:G853"/>
    <mergeCell ref="E855:G855"/>
    <mergeCell ref="E856:G856"/>
    <mergeCell ref="E858:G858"/>
    <mergeCell ref="E859:G859"/>
    <mergeCell ref="E861:G861"/>
    <mergeCell ref="E862:G862"/>
    <mergeCell ref="E864:G864"/>
    <mergeCell ref="E824:G824"/>
    <mergeCell ref="E825:G825"/>
    <mergeCell ref="D829:H829"/>
    <mergeCell ref="I829:N829"/>
    <mergeCell ref="E845:G845"/>
    <mergeCell ref="E847:G847"/>
    <mergeCell ref="E848:G848"/>
    <mergeCell ref="E850:G850"/>
    <mergeCell ref="E851:G851"/>
    <mergeCell ref="E810:G810"/>
    <mergeCell ref="E811:G811"/>
    <mergeCell ref="E812:G812"/>
    <mergeCell ref="E813:G813"/>
    <mergeCell ref="E816:G816"/>
    <mergeCell ref="E818:G818"/>
    <mergeCell ref="E821:G821"/>
    <mergeCell ref="E822:G822"/>
    <mergeCell ref="E815:G815"/>
    <mergeCell ref="E799:G799"/>
    <mergeCell ref="E801:G801"/>
    <mergeCell ref="E802:G802"/>
    <mergeCell ref="E804:G804"/>
    <mergeCell ref="E805:G805"/>
    <mergeCell ref="E806:G806"/>
    <mergeCell ref="E807:G807"/>
    <mergeCell ref="E808:G808"/>
    <mergeCell ref="E809:G809"/>
    <mergeCell ref="E787:G787"/>
    <mergeCell ref="E788:G788"/>
    <mergeCell ref="E790:G790"/>
    <mergeCell ref="E791:G791"/>
    <mergeCell ref="E792:G792"/>
    <mergeCell ref="E793:G793"/>
    <mergeCell ref="E795:G795"/>
    <mergeCell ref="E796:G796"/>
    <mergeCell ref="E798:G798"/>
    <mergeCell ref="E756:G756"/>
    <mergeCell ref="E758:G758"/>
    <mergeCell ref="E761:G761"/>
    <mergeCell ref="E762:G762"/>
    <mergeCell ref="E764:G764"/>
    <mergeCell ref="E765:G765"/>
    <mergeCell ref="D769:H769"/>
    <mergeCell ref="I769:N769"/>
    <mergeCell ref="E785:G785"/>
    <mergeCell ref="E745:G745"/>
    <mergeCell ref="E746:G746"/>
    <mergeCell ref="E747:G747"/>
    <mergeCell ref="E748:G748"/>
    <mergeCell ref="E749:G749"/>
    <mergeCell ref="E750:G750"/>
    <mergeCell ref="E751:G751"/>
    <mergeCell ref="E752:G752"/>
    <mergeCell ref="E753:G753"/>
    <mergeCell ref="E732:G732"/>
    <mergeCell ref="E733:G733"/>
    <mergeCell ref="E735:G735"/>
    <mergeCell ref="E736:G736"/>
    <mergeCell ref="E738:G738"/>
    <mergeCell ref="E739:G739"/>
    <mergeCell ref="E741:G741"/>
    <mergeCell ref="E742:G742"/>
    <mergeCell ref="E744:G744"/>
    <mergeCell ref="E704:G704"/>
    <mergeCell ref="E705:G705"/>
    <mergeCell ref="D709:H709"/>
    <mergeCell ref="I709:N709"/>
    <mergeCell ref="E725:G725"/>
    <mergeCell ref="E727:G727"/>
    <mergeCell ref="E728:G728"/>
    <mergeCell ref="E730:G730"/>
    <mergeCell ref="E731:G731"/>
    <mergeCell ref="E689:G689"/>
    <mergeCell ref="E690:G690"/>
    <mergeCell ref="E691:G691"/>
    <mergeCell ref="E692:G692"/>
    <mergeCell ref="E693:G693"/>
    <mergeCell ref="E696:G696"/>
    <mergeCell ref="E698:G698"/>
    <mergeCell ref="E701:G701"/>
    <mergeCell ref="E702:G702"/>
    <mergeCell ref="E678:G678"/>
    <mergeCell ref="E679:G679"/>
    <mergeCell ref="E681:G681"/>
    <mergeCell ref="E682:G682"/>
    <mergeCell ref="E684:G684"/>
    <mergeCell ref="E685:G685"/>
    <mergeCell ref="E686:G686"/>
    <mergeCell ref="E687:G687"/>
    <mergeCell ref="E688:G688"/>
    <mergeCell ref="E665:G665"/>
    <mergeCell ref="E667:G667"/>
    <mergeCell ref="E668:G668"/>
    <mergeCell ref="E670:G670"/>
    <mergeCell ref="E671:G671"/>
    <mergeCell ref="E672:G672"/>
    <mergeCell ref="E673:G673"/>
    <mergeCell ref="E675:G675"/>
    <mergeCell ref="E676:G676"/>
    <mergeCell ref="E633:G633"/>
    <mergeCell ref="E636:G636"/>
    <mergeCell ref="E638:G638"/>
    <mergeCell ref="E641:G641"/>
    <mergeCell ref="E642:G642"/>
    <mergeCell ref="E644:G644"/>
    <mergeCell ref="E645:G645"/>
    <mergeCell ref="D649:H649"/>
    <mergeCell ref="I649:N649"/>
    <mergeCell ref="E624:G624"/>
    <mergeCell ref="E625:G625"/>
    <mergeCell ref="E626:G626"/>
    <mergeCell ref="E627:G627"/>
    <mergeCell ref="E628:G628"/>
    <mergeCell ref="E629:G629"/>
    <mergeCell ref="E630:G630"/>
    <mergeCell ref="E631:G631"/>
    <mergeCell ref="E632:G632"/>
    <mergeCell ref="F463:N463"/>
    <mergeCell ref="F458:N458"/>
    <mergeCell ref="D469:H469"/>
    <mergeCell ref="I469:N469"/>
    <mergeCell ref="E564:G564"/>
    <mergeCell ref="E565:G565"/>
    <mergeCell ref="E566:G566"/>
    <mergeCell ref="E567:G567"/>
    <mergeCell ref="E558:G558"/>
    <mergeCell ref="E559:G559"/>
    <mergeCell ref="E561:G561"/>
    <mergeCell ref="E550:G550"/>
    <mergeCell ref="E552:G552"/>
    <mergeCell ref="D529:H529"/>
    <mergeCell ref="I529:N529"/>
    <mergeCell ref="E545:G545"/>
    <mergeCell ref="E548:G548"/>
    <mergeCell ref="E553:G553"/>
    <mergeCell ref="E556:G556"/>
    <mergeCell ref="E555:G555"/>
    <mergeCell ref="E562:G562"/>
    <mergeCell ref="F464:N464"/>
    <mergeCell ref="D465:E465"/>
    <mergeCell ref="F465:N465"/>
    <mergeCell ref="E509:G509"/>
    <mergeCell ref="E570:G570"/>
    <mergeCell ref="E584:G584"/>
    <mergeCell ref="E568:G568"/>
    <mergeCell ref="D589:H589"/>
    <mergeCell ref="I589:N589"/>
    <mergeCell ref="E605:G605"/>
    <mergeCell ref="E607:G607"/>
    <mergeCell ref="E573:G573"/>
    <mergeCell ref="E576:G576"/>
    <mergeCell ref="E578:G578"/>
    <mergeCell ref="E582:G582"/>
    <mergeCell ref="E585:G585"/>
    <mergeCell ref="E581:G581"/>
    <mergeCell ref="E515:G515"/>
    <mergeCell ref="E522:G522"/>
    <mergeCell ref="E524:G524"/>
    <mergeCell ref="E547:G547"/>
    <mergeCell ref="E1174:G1174"/>
    <mergeCell ref="E1145:G1145"/>
    <mergeCell ref="D1111:H1111"/>
    <mergeCell ref="E1139:G1139"/>
    <mergeCell ref="E569:G569"/>
    <mergeCell ref="M1111:N1111"/>
    <mergeCell ref="E551:G551"/>
    <mergeCell ref="E1129:G1129"/>
    <mergeCell ref="E1186:G1186"/>
    <mergeCell ref="E1131:G1131"/>
    <mergeCell ref="M1151:N1151"/>
    <mergeCell ref="E1132:G1132"/>
    <mergeCell ref="E1142:G1142"/>
    <mergeCell ref="E608:G608"/>
    <mergeCell ref="E610:G610"/>
    <mergeCell ref="E611:G611"/>
    <mergeCell ref="E612:G612"/>
    <mergeCell ref="E613:G613"/>
    <mergeCell ref="E615:G615"/>
    <mergeCell ref="E616:G616"/>
    <mergeCell ref="E618:G618"/>
    <mergeCell ref="E619:G619"/>
    <mergeCell ref="E621:G621"/>
    <mergeCell ref="E622:G622"/>
    <mergeCell ref="E1217:G1217"/>
    <mergeCell ref="E1209:G1209"/>
    <mergeCell ref="M1191:N1191"/>
    <mergeCell ref="E1181:G1181"/>
    <mergeCell ref="E1182:G1182"/>
    <mergeCell ref="E1184:G1184"/>
    <mergeCell ref="E1185:G1185"/>
    <mergeCell ref="E1183:G1183"/>
    <mergeCell ref="I1191:L1191"/>
    <mergeCell ref="E1216:G1216"/>
    <mergeCell ref="E1187:G1187"/>
    <mergeCell ref="D1191:H1191"/>
    <mergeCell ref="D461:E461"/>
    <mergeCell ref="F461:N461"/>
    <mergeCell ref="D454:E454"/>
    <mergeCell ref="F454:N454"/>
    <mergeCell ref="F457:N457"/>
    <mergeCell ref="E440:G440"/>
    <mergeCell ref="D448:N448"/>
    <mergeCell ref="F453:N453"/>
    <mergeCell ref="E1207:G1207"/>
    <mergeCell ref="E1180:G1180"/>
    <mergeCell ref="E1176:G1176"/>
    <mergeCell ref="I1151:L1151"/>
    <mergeCell ref="E1144:G1144"/>
    <mergeCell ref="E1143:G1143"/>
    <mergeCell ref="E1147:G1147"/>
    <mergeCell ref="E1146:G1146"/>
    <mergeCell ref="E1133:G1133"/>
    <mergeCell ref="E1141:G1141"/>
    <mergeCell ref="I1111:L1111"/>
    <mergeCell ref="E1179:G1179"/>
    <mergeCell ref="D1151:H1151"/>
    <mergeCell ref="E1127:G1127"/>
    <mergeCell ref="E1167:G1167"/>
    <mergeCell ref="E1140:G1140"/>
    <mergeCell ref="D446:N446"/>
    <mergeCell ref="D451:E451"/>
    <mergeCell ref="F451:N451"/>
    <mergeCell ref="E435:N435"/>
    <mergeCell ref="F449:N449"/>
    <mergeCell ref="E441:G441"/>
    <mergeCell ref="E439:G439"/>
    <mergeCell ref="F450:N450"/>
    <mergeCell ref="E442:G442"/>
    <mergeCell ref="D449:E449"/>
    <mergeCell ref="E423:G423"/>
    <mergeCell ref="E424:G424"/>
    <mergeCell ref="E425:G425"/>
    <mergeCell ref="E426:G426"/>
    <mergeCell ref="E428:N428"/>
    <mergeCell ref="E429:G429"/>
    <mergeCell ref="E430:G430"/>
    <mergeCell ref="D432:N432"/>
    <mergeCell ref="E434:K434"/>
    <mergeCell ref="L434:M434"/>
    <mergeCell ref="E414:G414"/>
    <mergeCell ref="E415:G415"/>
    <mergeCell ref="E416:G416"/>
    <mergeCell ref="E417:G417"/>
    <mergeCell ref="E418:G418"/>
    <mergeCell ref="E419:G419"/>
    <mergeCell ref="E420:G420"/>
    <mergeCell ref="E421:G421"/>
    <mergeCell ref="E422:G422"/>
    <mergeCell ref="E389:G389"/>
    <mergeCell ref="E390:G390"/>
    <mergeCell ref="E391:G391"/>
    <mergeCell ref="E438:G438"/>
    <mergeCell ref="E392:G392"/>
    <mergeCell ref="E393:G393"/>
    <mergeCell ref="E394:G394"/>
    <mergeCell ref="E395:G395"/>
    <mergeCell ref="E396:G396"/>
    <mergeCell ref="E397:G397"/>
    <mergeCell ref="E398:G398"/>
    <mergeCell ref="E399:G399"/>
    <mergeCell ref="E401:N401"/>
    <mergeCell ref="E402:G402"/>
    <mergeCell ref="E403:G403"/>
    <mergeCell ref="E437:G437"/>
    <mergeCell ref="E404:G404"/>
    <mergeCell ref="E405:G405"/>
    <mergeCell ref="E406:G406"/>
    <mergeCell ref="E407:G407"/>
    <mergeCell ref="E408:G408"/>
    <mergeCell ref="E410:N410"/>
    <mergeCell ref="E411:G411"/>
    <mergeCell ref="E413:N413"/>
    <mergeCell ref="E347:N347"/>
    <mergeCell ref="E348:G348"/>
    <mergeCell ref="E349:G349"/>
    <mergeCell ref="E357:G357"/>
    <mergeCell ref="E367:N367"/>
    <mergeCell ref="E363:G363"/>
    <mergeCell ref="E354:G354"/>
    <mergeCell ref="E355:G355"/>
    <mergeCell ref="E356:G356"/>
    <mergeCell ref="E325:G325"/>
    <mergeCell ref="E323:G323"/>
    <mergeCell ref="E318:N318"/>
    <mergeCell ref="E319:G319"/>
    <mergeCell ref="E320:G320"/>
    <mergeCell ref="E321:G321"/>
    <mergeCell ref="E322:G322"/>
    <mergeCell ref="E379:G379"/>
    <mergeCell ref="E373:G373"/>
    <mergeCell ref="E374:G374"/>
    <mergeCell ref="E327:N327"/>
    <mergeCell ref="D345:N345"/>
    <mergeCell ref="E350:G350"/>
    <mergeCell ref="E375:G375"/>
    <mergeCell ref="E377:N377"/>
    <mergeCell ref="E378:G378"/>
    <mergeCell ref="E364:G364"/>
    <mergeCell ref="E329:G329"/>
    <mergeCell ref="E330:G330"/>
    <mergeCell ref="E332:N332"/>
    <mergeCell ref="E333:G333"/>
    <mergeCell ref="E335:N335"/>
    <mergeCell ref="D339:N339"/>
    <mergeCell ref="E337:G337"/>
    <mergeCell ref="D10:N10"/>
    <mergeCell ref="D31:N31"/>
    <mergeCell ref="E32:H32"/>
    <mergeCell ref="I32:K32"/>
    <mergeCell ref="L32:N32"/>
    <mergeCell ref="H14:L14"/>
    <mergeCell ref="H15:L15"/>
    <mergeCell ref="H12:I12"/>
    <mergeCell ref="M12:N12"/>
    <mergeCell ref="H13:L13"/>
    <mergeCell ref="F24:N24"/>
    <mergeCell ref="F25:N25"/>
    <mergeCell ref="F26:N26"/>
    <mergeCell ref="E33:H33"/>
    <mergeCell ref="I33:K33"/>
    <mergeCell ref="L33:N33"/>
    <mergeCell ref="E34:H34"/>
    <mergeCell ref="I34:K34"/>
    <mergeCell ref="L34:N34"/>
    <mergeCell ref="F27:N27"/>
    <mergeCell ref="F28:N28"/>
    <mergeCell ref="F29:N29"/>
    <mergeCell ref="E37:H37"/>
    <mergeCell ref="I37:K37"/>
    <mergeCell ref="L37:N37"/>
    <mergeCell ref="E38:H38"/>
    <mergeCell ref="I38:K38"/>
    <mergeCell ref="L38:N38"/>
    <mergeCell ref="E35:H35"/>
    <mergeCell ref="I35:K35"/>
    <mergeCell ref="L35:N35"/>
    <mergeCell ref="E36:H36"/>
    <mergeCell ref="I36:K36"/>
    <mergeCell ref="L36:N36"/>
    <mergeCell ref="E71:G71"/>
    <mergeCell ref="L40:N40"/>
    <mergeCell ref="F452:N452"/>
    <mergeCell ref="E248:G248"/>
    <mergeCell ref="E251:G251"/>
    <mergeCell ref="D62:N62"/>
    <mergeCell ref="E64:G64"/>
    <mergeCell ref="D210:N210"/>
    <mergeCell ref="E69:G69"/>
    <mergeCell ref="E70:G70"/>
    <mergeCell ref="E105:G105"/>
    <mergeCell ref="E224:G224"/>
    <mergeCell ref="E123:G123"/>
    <mergeCell ref="E72:G72"/>
    <mergeCell ref="D74:N74"/>
    <mergeCell ref="E122:G122"/>
    <mergeCell ref="D132:N132"/>
    <mergeCell ref="F78:N78"/>
    <mergeCell ref="E124:G124"/>
    <mergeCell ref="E130:G130"/>
    <mergeCell ref="E129:G129"/>
    <mergeCell ref="E232:G232"/>
    <mergeCell ref="E233:G233"/>
    <mergeCell ref="E234:G234"/>
    <mergeCell ref="I2:J2"/>
    <mergeCell ref="E3:F3"/>
    <mergeCell ref="G3:H3"/>
    <mergeCell ref="I39:K39"/>
    <mergeCell ref="L39:N39"/>
    <mergeCell ref="E40:H40"/>
    <mergeCell ref="I40:K40"/>
    <mergeCell ref="E41:H41"/>
    <mergeCell ref="E1387:N1387"/>
    <mergeCell ref="E51:M51"/>
    <mergeCell ref="E52:M52"/>
    <mergeCell ref="E54:L54"/>
    <mergeCell ref="D453:E453"/>
    <mergeCell ref="G4:H4"/>
    <mergeCell ref="I4:J4"/>
    <mergeCell ref="K4:L4"/>
    <mergeCell ref="M4:N4"/>
    <mergeCell ref="D458:E458"/>
    <mergeCell ref="I41:K41"/>
    <mergeCell ref="L41:N41"/>
    <mergeCell ref="E42:H42"/>
    <mergeCell ref="I42:K42"/>
    <mergeCell ref="L42:N42"/>
    <mergeCell ref="F456:N456"/>
    <mergeCell ref="M2:N2"/>
    <mergeCell ref="D450:E450"/>
    <mergeCell ref="D46:N46"/>
    <mergeCell ref="E48:H48"/>
    <mergeCell ref="K48:L48"/>
    <mergeCell ref="E49:H49"/>
    <mergeCell ref="K49:L49"/>
    <mergeCell ref="E68:G68"/>
    <mergeCell ref="E65:G65"/>
    <mergeCell ref="E67:G67"/>
    <mergeCell ref="E76:N76"/>
    <mergeCell ref="E92:G92"/>
    <mergeCell ref="E93:G93"/>
    <mergeCell ref="E77:N77"/>
    <mergeCell ref="M3:N3"/>
    <mergeCell ref="E39:H39"/>
    <mergeCell ref="I3:J3"/>
    <mergeCell ref="K3:L3"/>
    <mergeCell ref="E66:G66"/>
    <mergeCell ref="K2:L2"/>
    <mergeCell ref="E4:F4"/>
    <mergeCell ref="B2:D4"/>
    <mergeCell ref="G2:H2"/>
    <mergeCell ref="E128:G128"/>
    <mergeCell ref="E508:G508"/>
    <mergeCell ref="E1246:G1246"/>
    <mergeCell ref="M1221:N1221"/>
    <mergeCell ref="E1237:G1237"/>
    <mergeCell ref="E1240:G1240"/>
    <mergeCell ref="E1239:G1239"/>
    <mergeCell ref="I1221:L1221"/>
    <mergeCell ref="E525:G525"/>
    <mergeCell ref="E1241:G1241"/>
    <mergeCell ref="E1242:G1242"/>
    <mergeCell ref="E511:G511"/>
    <mergeCell ref="E512:G512"/>
    <mergeCell ref="D1071:H1071"/>
    <mergeCell ref="I1071:L1071"/>
    <mergeCell ref="M1071:N1071"/>
    <mergeCell ref="E518:G518"/>
    <mergeCell ref="E571:G571"/>
    <mergeCell ref="E572:G572"/>
    <mergeCell ref="E1107:G1107"/>
    <mergeCell ref="E1093:G1093"/>
    <mergeCell ref="E1094:G1094"/>
    <mergeCell ref="E1096:G1096"/>
    <mergeCell ref="E1098:G1098"/>
    <mergeCell ref="E521:G521"/>
    <mergeCell ref="E91:N91"/>
    <mergeCell ref="F82:N82"/>
    <mergeCell ref="F83:N83"/>
    <mergeCell ref="F86:N86"/>
    <mergeCell ref="E87:N87"/>
    <mergeCell ref="E90:N90"/>
    <mergeCell ref="F84:N84"/>
    <mergeCell ref="F85:N85"/>
    <mergeCell ref="E247:G247"/>
    <mergeCell ref="E246:G246"/>
    <mergeCell ref="E212:G212"/>
    <mergeCell ref="E213:G213"/>
    <mergeCell ref="E223:G223"/>
    <mergeCell ref="E125:G125"/>
    <mergeCell ref="E235:G235"/>
    <mergeCell ref="E225:G225"/>
    <mergeCell ref="E226:G226"/>
    <mergeCell ref="E227:G227"/>
    <mergeCell ref="E228:G228"/>
    <mergeCell ref="E229:G229"/>
    <mergeCell ref="E96:G96"/>
    <mergeCell ref="E113:G113"/>
    <mergeCell ref="E114:G114"/>
    <mergeCell ref="E107:G107"/>
    <mergeCell ref="E94:G94"/>
    <mergeCell ref="E106:G106"/>
    <mergeCell ref="E101:G101"/>
    <mergeCell ref="E99:G99"/>
    <mergeCell ref="E95:G95"/>
    <mergeCell ref="E103:G103"/>
    <mergeCell ref="E102:G102"/>
    <mergeCell ref="E98:G98"/>
    <mergeCell ref="E97:G97"/>
    <mergeCell ref="E104:G104"/>
    <mergeCell ref="E108:G108"/>
    <mergeCell ref="E115:G115"/>
    <mergeCell ref="E116:G116"/>
    <mergeCell ref="E100:G100"/>
    <mergeCell ref="E270:G270"/>
    <mergeCell ref="E169:G169"/>
    <mergeCell ref="E178:G178"/>
    <mergeCell ref="E173:G173"/>
    <mergeCell ref="E174:G174"/>
    <mergeCell ref="E152:G152"/>
    <mergeCell ref="E164:G164"/>
    <mergeCell ref="E171:G171"/>
    <mergeCell ref="E175:G175"/>
    <mergeCell ref="E161:G161"/>
    <mergeCell ref="E156:G156"/>
    <mergeCell ref="E157:G157"/>
    <mergeCell ref="E153:G153"/>
    <mergeCell ref="E206:G206"/>
    <mergeCell ref="E218:G218"/>
    <mergeCell ref="E182:G182"/>
    <mergeCell ref="E221:G221"/>
    <mergeCell ref="E222:G222"/>
    <mergeCell ref="E205:G205"/>
    <mergeCell ref="E109:G109"/>
    <mergeCell ref="L198:N198"/>
    <mergeCell ref="E215:G215"/>
    <mergeCell ref="E208:H208"/>
    <mergeCell ref="E201:G201"/>
    <mergeCell ref="E272:N272"/>
    <mergeCell ref="E255:G255"/>
    <mergeCell ref="E257:N257"/>
    <mergeCell ref="E258:G258"/>
    <mergeCell ref="E260:N260"/>
    <mergeCell ref="E261:G261"/>
    <mergeCell ref="E263:N263"/>
    <mergeCell ref="E264:G264"/>
    <mergeCell ref="E214:G214"/>
    <mergeCell ref="E241:G241"/>
    <mergeCell ref="E203:G203"/>
    <mergeCell ref="E202:G202"/>
    <mergeCell ref="E216:G216"/>
    <mergeCell ref="E239:N239"/>
    <mergeCell ref="E243:N243"/>
    <mergeCell ref="D237:N237"/>
    <mergeCell ref="E231:G231"/>
    <mergeCell ref="E244:G244"/>
    <mergeCell ref="E245:G245"/>
    <mergeCell ref="E121:G121"/>
    <mergeCell ref="E162:G162"/>
    <mergeCell ref="E134:L134"/>
    <mergeCell ref="E154:G154"/>
    <mergeCell ref="E136:G136"/>
    <mergeCell ref="E137:G137"/>
    <mergeCell ref="E126:G126"/>
    <mergeCell ref="E119:G119"/>
    <mergeCell ref="E149:G149"/>
    <mergeCell ref="E142:G142"/>
    <mergeCell ref="E143:G143"/>
    <mergeCell ref="E144:G144"/>
    <mergeCell ref="E120:G120"/>
    <mergeCell ref="E117:G117"/>
    <mergeCell ref="E118:G118"/>
    <mergeCell ref="E110:G110"/>
    <mergeCell ref="D464:E464"/>
    <mergeCell ref="E252:G252"/>
    <mergeCell ref="E127:G127"/>
    <mergeCell ref="E168:G168"/>
    <mergeCell ref="E138:G138"/>
    <mergeCell ref="E163:G163"/>
    <mergeCell ref="D457:E457"/>
    <mergeCell ref="D460:E460"/>
    <mergeCell ref="F460:N460"/>
    <mergeCell ref="D456:E456"/>
    <mergeCell ref="D455:E455"/>
    <mergeCell ref="F455:N455"/>
    <mergeCell ref="D452:E452"/>
    <mergeCell ref="E358:G358"/>
    <mergeCell ref="E359:G359"/>
    <mergeCell ref="E361:N361"/>
    <mergeCell ref="E362:G362"/>
    <mergeCell ref="E268:G268"/>
    <mergeCell ref="E269:G269"/>
    <mergeCell ref="E280:G280"/>
    <mergeCell ref="H187:N187"/>
    <mergeCell ref="L186:N186"/>
    <mergeCell ref="E186:K186"/>
    <mergeCell ref="E190:G190"/>
    <mergeCell ref="D467:N467"/>
    <mergeCell ref="E493:G493"/>
    <mergeCell ref="F459:N459"/>
    <mergeCell ref="D184:N184"/>
    <mergeCell ref="E187:G187"/>
    <mergeCell ref="E198:K198"/>
    <mergeCell ref="E196:H196"/>
    <mergeCell ref="E189:G189"/>
    <mergeCell ref="E254:G254"/>
    <mergeCell ref="E230:G230"/>
    <mergeCell ref="E250:N250"/>
    <mergeCell ref="E217:G217"/>
    <mergeCell ref="E253:G253"/>
    <mergeCell ref="F462:N462"/>
    <mergeCell ref="D462:E462"/>
    <mergeCell ref="E492:G492"/>
    <mergeCell ref="E490:G490"/>
    <mergeCell ref="E488:G488"/>
    <mergeCell ref="D459:E459"/>
    <mergeCell ref="E191:G191"/>
    <mergeCell ref="E281:G281"/>
    <mergeCell ref="E370:N370"/>
    <mergeCell ref="E266:N266"/>
    <mergeCell ref="E279:G279"/>
    <mergeCell ref="E282:G282"/>
    <mergeCell ref="E283:G283"/>
    <mergeCell ref="E284:G284"/>
    <mergeCell ref="E286:N286"/>
    <mergeCell ref="E287:G287"/>
    <mergeCell ref="E289:N289"/>
    <mergeCell ref="E290:G290"/>
    <mergeCell ref="E353:G353"/>
    <mergeCell ref="E299:G299"/>
    <mergeCell ref="E300:G300"/>
    <mergeCell ref="E301:G301"/>
    <mergeCell ref="E302:G302"/>
    <mergeCell ref="E310:G310"/>
    <mergeCell ref="E312:N312"/>
    <mergeCell ref="E297:G297"/>
    <mergeCell ref="E298:G298"/>
    <mergeCell ref="E316:G316"/>
    <mergeCell ref="E304:N304"/>
    <mergeCell ref="E307:G307"/>
    <mergeCell ref="E309:G309"/>
    <mergeCell ref="E324:G324"/>
    <mergeCell ref="E380:G380"/>
    <mergeCell ref="E381:G381"/>
    <mergeCell ref="E382:G382"/>
    <mergeCell ref="E384:N384"/>
    <mergeCell ref="E385:G385"/>
    <mergeCell ref="E274:G274"/>
    <mergeCell ref="E275:G275"/>
    <mergeCell ref="E388:G388"/>
    <mergeCell ref="E365:G365"/>
    <mergeCell ref="E387:N387"/>
    <mergeCell ref="E276:G276"/>
    <mergeCell ref="E277:G277"/>
    <mergeCell ref="E278:G278"/>
    <mergeCell ref="E371:G371"/>
    <mergeCell ref="E372:G372"/>
    <mergeCell ref="E368:G368"/>
    <mergeCell ref="E313:G313"/>
    <mergeCell ref="E315:N315"/>
    <mergeCell ref="E292:N292"/>
    <mergeCell ref="E293:G293"/>
    <mergeCell ref="E295:N295"/>
    <mergeCell ref="E296:G296"/>
    <mergeCell ref="E351:G351"/>
    <mergeCell ref="E352:G352"/>
    <mergeCell ref="F79:N79"/>
    <mergeCell ref="F80:N80"/>
    <mergeCell ref="F81:N81"/>
    <mergeCell ref="F88:N88"/>
    <mergeCell ref="F89:N89"/>
    <mergeCell ref="E204:G204"/>
    <mergeCell ref="E141:G141"/>
    <mergeCell ref="E192:G192"/>
    <mergeCell ref="E199:G199"/>
    <mergeCell ref="H199:N199"/>
    <mergeCell ref="E139:G139"/>
    <mergeCell ref="E179:G179"/>
    <mergeCell ref="E166:G166"/>
    <mergeCell ref="E167:G167"/>
    <mergeCell ref="E172:G172"/>
    <mergeCell ref="E194:G194"/>
    <mergeCell ref="E193:G193"/>
    <mergeCell ref="E146:G146"/>
    <mergeCell ref="E147:G147"/>
    <mergeCell ref="E148:G148"/>
    <mergeCell ref="E150:G150"/>
    <mergeCell ref="E181:G181"/>
    <mergeCell ref="E177:G177"/>
    <mergeCell ref="E159:L159"/>
    <mergeCell ref="D1385:H1385"/>
    <mergeCell ref="E485:G485"/>
    <mergeCell ref="E487:G487"/>
    <mergeCell ref="E498:G498"/>
    <mergeCell ref="E491:G491"/>
    <mergeCell ref="E504:G504"/>
    <mergeCell ref="E505:G505"/>
    <mergeCell ref="D1372:H1372"/>
    <mergeCell ref="E499:G499"/>
    <mergeCell ref="D1336:H1336"/>
    <mergeCell ref="D1384:H1384"/>
    <mergeCell ref="D1337:H1337"/>
    <mergeCell ref="D1368:H1368"/>
    <mergeCell ref="D1369:H1369"/>
    <mergeCell ref="D1370:H1370"/>
    <mergeCell ref="E510:G510"/>
    <mergeCell ref="E495:G495"/>
    <mergeCell ref="E507:G507"/>
    <mergeCell ref="E502:G502"/>
    <mergeCell ref="E506:G506"/>
    <mergeCell ref="E496:G496"/>
    <mergeCell ref="E501:G501"/>
    <mergeCell ref="E516:G516"/>
    <mergeCell ref="E513:G513"/>
    <mergeCell ref="D1334:H1334"/>
    <mergeCell ref="D1342:H1342"/>
    <mergeCell ref="F1295:N1295"/>
    <mergeCell ref="D1378:H1378"/>
    <mergeCell ref="D1339:H1339"/>
    <mergeCell ref="D1340:H1340"/>
    <mergeCell ref="D1341:H1341"/>
    <mergeCell ref="E1353:N1353"/>
    <mergeCell ref="E1365:N1365"/>
    <mergeCell ref="E1360:N1360"/>
    <mergeCell ref="E1349:H1349"/>
    <mergeCell ref="D1373:H1373"/>
    <mergeCell ref="D1374:H1374"/>
    <mergeCell ref="D1333:H1333"/>
    <mergeCell ref="D1331:H1331"/>
    <mergeCell ref="D1335:H1335"/>
    <mergeCell ref="E1320:N1320"/>
    <mergeCell ref="D1328:H1328"/>
    <mergeCell ref="D1325:H1325"/>
    <mergeCell ref="E1319:H1319"/>
    <mergeCell ref="E1100:G1100"/>
    <mergeCell ref="E1101:G1101"/>
    <mergeCell ref="E1102:G1102"/>
    <mergeCell ref="E1103:G1103"/>
    <mergeCell ref="E1104:G1104"/>
    <mergeCell ref="E1105:G1105"/>
    <mergeCell ref="D1383:H1383"/>
    <mergeCell ref="D1367:H1367"/>
    <mergeCell ref="E1352:N1352"/>
    <mergeCell ref="E1359:N1359"/>
    <mergeCell ref="E1362:H1362"/>
    <mergeCell ref="D1377:H1377"/>
    <mergeCell ref="D1382:H1382"/>
    <mergeCell ref="D1379:H1379"/>
    <mergeCell ref="D1380:H1380"/>
    <mergeCell ref="D1381:H1381"/>
    <mergeCell ref="D1375:H1375"/>
    <mergeCell ref="D1376:H1376"/>
    <mergeCell ref="D1371:H1371"/>
    <mergeCell ref="E1356:H1356"/>
    <mergeCell ref="E1318:H1318"/>
    <mergeCell ref="E1355:H1355"/>
    <mergeCell ref="E1314:N1314"/>
    <mergeCell ref="D1305:N1305"/>
    <mergeCell ref="D1271:H1271"/>
    <mergeCell ref="I1271:L1271"/>
    <mergeCell ref="E1287:G1287"/>
    <mergeCell ref="F1299:N1299"/>
    <mergeCell ref="F1300:N1300"/>
    <mergeCell ref="F1301:N1301"/>
    <mergeCell ref="E1312:N1312"/>
    <mergeCell ref="E1311:K1311"/>
    <mergeCell ref="E1313:N1313"/>
    <mergeCell ref="E1247:G1247"/>
    <mergeCell ref="D1338:H1338"/>
    <mergeCell ref="D1326:H1326"/>
    <mergeCell ref="D1327:H1327"/>
    <mergeCell ref="F1303:N1303"/>
    <mergeCell ref="E1308:N1308"/>
    <mergeCell ref="D1332:H1332"/>
    <mergeCell ref="D1329:H1329"/>
    <mergeCell ref="D1330:H1330"/>
    <mergeCell ref="F1298:N1298"/>
    <mergeCell ref="D1251:H1251"/>
    <mergeCell ref="I1251:L1251"/>
    <mergeCell ref="E1296:N1296"/>
    <mergeCell ref="F1297:N1297"/>
    <mergeCell ref="E1309:N1309"/>
    <mergeCell ref="D1324:H1324"/>
    <mergeCell ref="F1302:N1302"/>
    <mergeCell ref="M1251:N1251"/>
    <mergeCell ref="E1267:G1267"/>
    <mergeCell ref="D1307:N1307"/>
    <mergeCell ref="F1293:N1293"/>
    <mergeCell ref="F1294:N1294"/>
    <mergeCell ref="E1292:N1292"/>
    <mergeCell ref="M1271:N1271"/>
    <mergeCell ref="E1244:G1244"/>
    <mergeCell ref="E575:G575"/>
    <mergeCell ref="E635:G635"/>
    <mergeCell ref="E695:G695"/>
    <mergeCell ref="E755:G755"/>
    <mergeCell ref="E1089:G1089"/>
    <mergeCell ref="E1091:G1091"/>
    <mergeCell ref="E1092:G1092"/>
    <mergeCell ref="E1087:G1087"/>
    <mergeCell ref="E1106:G1106"/>
    <mergeCell ref="E1211:G1211"/>
    <mergeCell ref="E1134:G1134"/>
    <mergeCell ref="E1136:G1136"/>
    <mergeCell ref="E1138:G1138"/>
    <mergeCell ref="E1169:G1169"/>
    <mergeCell ref="E1171:G1171"/>
    <mergeCell ref="E1172:G1172"/>
    <mergeCell ref="E1212:G1212"/>
    <mergeCell ref="E1214:G1214"/>
    <mergeCell ref="D1221:H1221"/>
    <mergeCell ref="E1173:G1173"/>
    <mergeCell ref="E1178:G1178"/>
    <mergeCell ref="E1210:G1210"/>
    <mergeCell ref="E1099:G1099"/>
  </mergeCells>
  <phoneticPr fontId="35" type="noConversion"/>
  <conditionalFormatting sqref="E51">
    <cfRule type="cellIs" dxfId="105" priority="195" stopIfTrue="1" operator="equal">
      <formula>EUconst_ERR_Mandatory_ef</formula>
    </cfRule>
  </conditionalFormatting>
  <conditionalFormatting sqref="E52">
    <cfRule type="cellIs" dxfId="104" priority="196" stopIfTrue="1" operator="equal">
      <formula>EUconst_ERR_Mandatory_g</formula>
    </cfRule>
  </conditionalFormatting>
  <conditionalFormatting sqref="I93:M110 I113:M130">
    <cfRule type="expression" dxfId="103" priority="186" stopIfTrue="1">
      <formula>I93=EUconst_NA</formula>
    </cfRule>
  </conditionalFormatting>
  <conditionalFormatting sqref="I487:M514 I1215:M1216 I516:M518">
    <cfRule type="expression" dxfId="102" priority="180" stopIfTrue="1">
      <formula>I487=0</formula>
    </cfRule>
  </conditionalFormatting>
  <conditionalFormatting sqref="I521:M521">
    <cfRule type="expression" dxfId="101" priority="167" stopIfTrue="1">
      <formula>I521=0</formula>
    </cfRule>
  </conditionalFormatting>
  <conditionalFormatting sqref="I522:M522 I524:M525">
    <cfRule type="expression" dxfId="100" priority="166" stopIfTrue="1">
      <formula>I522=0</formula>
    </cfRule>
  </conditionalFormatting>
  <conditionalFormatting sqref="I485:M485">
    <cfRule type="expression" dxfId="99" priority="163" stopIfTrue="1">
      <formula>I485=EUconst_NA</formula>
    </cfRule>
  </conditionalFormatting>
  <conditionalFormatting sqref="I1095:M1096">
    <cfRule type="expression" dxfId="98" priority="158" stopIfTrue="1">
      <formula>I1095=0</formula>
    </cfRule>
  </conditionalFormatting>
  <conditionalFormatting sqref="I1091:M1092">
    <cfRule type="expression" dxfId="97" priority="157" stopIfTrue="1">
      <formula>I1091=0</formula>
    </cfRule>
  </conditionalFormatting>
  <conditionalFormatting sqref="I1089:M1089">
    <cfRule type="expression" dxfId="96" priority="155" stopIfTrue="1">
      <formula>I1089=EUconst_NA</formula>
    </cfRule>
    <cfRule type="expression" dxfId="95" priority="156" stopIfTrue="1">
      <formula>I1089=0</formula>
    </cfRule>
  </conditionalFormatting>
  <conditionalFormatting sqref="I1097:M1107">
    <cfRule type="expression" dxfId="94" priority="154" stopIfTrue="1">
      <formula>I1097=0</formula>
    </cfRule>
  </conditionalFormatting>
  <conditionalFormatting sqref="I1093:M1094">
    <cfRule type="expression" dxfId="93" priority="153" stopIfTrue="1">
      <formula>I1093=0</formula>
    </cfRule>
  </conditionalFormatting>
  <conditionalFormatting sqref="I1135:M1136">
    <cfRule type="expression" dxfId="92" priority="152" stopIfTrue="1">
      <formula>I1135=0</formula>
    </cfRule>
  </conditionalFormatting>
  <conditionalFormatting sqref="I1131:M1132">
    <cfRule type="expression" dxfId="91" priority="151" stopIfTrue="1">
      <formula>I1131=0</formula>
    </cfRule>
  </conditionalFormatting>
  <conditionalFormatting sqref="I1129:M1129">
    <cfRule type="expression" dxfId="90" priority="149" stopIfTrue="1">
      <formula>I1129=EUconst_NA</formula>
    </cfRule>
    <cfRule type="expression" dxfId="89" priority="150" stopIfTrue="1">
      <formula>I1129=0</formula>
    </cfRule>
  </conditionalFormatting>
  <conditionalFormatting sqref="I1137:M1147">
    <cfRule type="expression" dxfId="88" priority="148" stopIfTrue="1">
      <formula>I1137=0</formula>
    </cfRule>
  </conditionalFormatting>
  <conditionalFormatting sqref="I1133:M1134">
    <cfRule type="expression" dxfId="87" priority="147" stopIfTrue="1">
      <formula>I1133=0</formula>
    </cfRule>
  </conditionalFormatting>
  <conditionalFormatting sqref="I1175:M1176">
    <cfRule type="expression" dxfId="86" priority="146" stopIfTrue="1">
      <formula>I1175=0</formula>
    </cfRule>
  </conditionalFormatting>
  <conditionalFormatting sqref="I1171:M1172">
    <cfRule type="expression" dxfId="85" priority="145" stopIfTrue="1">
      <formula>I1171=0</formula>
    </cfRule>
  </conditionalFormatting>
  <conditionalFormatting sqref="I1169:M1169">
    <cfRule type="expression" dxfId="84" priority="143" stopIfTrue="1">
      <formula>I1169=EUconst_NA</formula>
    </cfRule>
    <cfRule type="expression" dxfId="83" priority="144" stopIfTrue="1">
      <formula>I1169=0</formula>
    </cfRule>
  </conditionalFormatting>
  <conditionalFormatting sqref="I1177:M1187">
    <cfRule type="expression" dxfId="82" priority="142" stopIfTrue="1">
      <formula>I1177=0</formula>
    </cfRule>
  </conditionalFormatting>
  <conditionalFormatting sqref="I1173:M1174">
    <cfRule type="expression" dxfId="81" priority="141" stopIfTrue="1">
      <formula>I1173=0</formula>
    </cfRule>
  </conditionalFormatting>
  <conditionalFormatting sqref="I1213:M1214">
    <cfRule type="expression" dxfId="80" priority="140" stopIfTrue="1">
      <formula>I1213=0</formula>
    </cfRule>
  </conditionalFormatting>
  <conditionalFormatting sqref="I1209:M1210">
    <cfRule type="expression" dxfId="79" priority="139" stopIfTrue="1">
      <formula>I1209=0</formula>
    </cfRule>
  </conditionalFormatting>
  <conditionalFormatting sqref="I1207:M1207">
    <cfRule type="expression" dxfId="78" priority="137" stopIfTrue="1">
      <formula>I1207=EUconst_NA</formula>
    </cfRule>
    <cfRule type="expression" dxfId="77" priority="138" stopIfTrue="1">
      <formula>I1207=0</formula>
    </cfRule>
  </conditionalFormatting>
  <conditionalFormatting sqref="I1211:M1212">
    <cfRule type="expression" dxfId="76" priority="135" stopIfTrue="1">
      <formula>I1211=0</formula>
    </cfRule>
  </conditionalFormatting>
  <conditionalFormatting sqref="I1245:M1246">
    <cfRule type="expression" dxfId="75" priority="134" stopIfTrue="1">
      <formula>I1245=0</formula>
    </cfRule>
  </conditionalFormatting>
  <conditionalFormatting sqref="I1243:M1244">
    <cfRule type="expression" dxfId="74" priority="133" stopIfTrue="1">
      <formula>I1243=0</formula>
    </cfRule>
  </conditionalFormatting>
  <conditionalFormatting sqref="I1239:M1240">
    <cfRule type="expression" dxfId="73" priority="132" stopIfTrue="1">
      <formula>I1239=0</formula>
    </cfRule>
  </conditionalFormatting>
  <conditionalFormatting sqref="I1237:M1237">
    <cfRule type="expression" dxfId="72" priority="130" stopIfTrue="1">
      <formula>I1237=EUconst_NA</formula>
    </cfRule>
    <cfRule type="expression" dxfId="71" priority="131" stopIfTrue="1">
      <formula>I1237=0</formula>
    </cfRule>
  </conditionalFormatting>
  <conditionalFormatting sqref="I1241:M1242">
    <cfRule type="expression" dxfId="70" priority="129" stopIfTrue="1">
      <formula>I1241=0</formula>
    </cfRule>
  </conditionalFormatting>
  <conditionalFormatting sqref="I1267:M1267">
    <cfRule type="expression" dxfId="69" priority="124" stopIfTrue="1">
      <formula>I1267=EUconst_NA</formula>
    </cfRule>
    <cfRule type="expression" dxfId="68" priority="125" stopIfTrue="1">
      <formula>I1267=0</formula>
    </cfRule>
  </conditionalFormatting>
  <conditionalFormatting sqref="I1287:M1287">
    <cfRule type="expression" dxfId="67" priority="121" stopIfTrue="1">
      <formula>I1287=EUconst_NA</formula>
    </cfRule>
    <cfRule type="expression" dxfId="66" priority="122" stopIfTrue="1">
      <formula>I1287=0</formula>
    </cfRule>
  </conditionalFormatting>
  <conditionalFormatting sqref="I1355:M1355">
    <cfRule type="expression" dxfId="65" priority="120" stopIfTrue="1">
      <formula>NOT(ISBLANK(I1355))</formula>
    </cfRule>
  </conditionalFormatting>
  <conditionalFormatting sqref="I1087:M1087">
    <cfRule type="expression" dxfId="64" priority="119" stopIfTrue="1">
      <formula>I1087=0</formula>
    </cfRule>
  </conditionalFormatting>
  <conditionalFormatting sqref="I1088:M1088">
    <cfRule type="expression" dxfId="63" priority="118" stopIfTrue="1">
      <formula>I1088=0</formula>
    </cfRule>
  </conditionalFormatting>
  <conditionalFormatting sqref="I1127:M1127">
    <cfRule type="expression" dxfId="62" priority="117" stopIfTrue="1">
      <formula>I1127=0</formula>
    </cfRule>
  </conditionalFormatting>
  <conditionalFormatting sqref="I1128:M1128">
    <cfRule type="expression" dxfId="61" priority="116" stopIfTrue="1">
      <formula>I1128=0</formula>
    </cfRule>
  </conditionalFormatting>
  <conditionalFormatting sqref="I1167:M1167">
    <cfRule type="expression" dxfId="60" priority="115" stopIfTrue="1">
      <formula>I1167=0</formula>
    </cfRule>
  </conditionalFormatting>
  <conditionalFormatting sqref="I1168:M1168">
    <cfRule type="expression" dxfId="59" priority="114" stopIfTrue="1">
      <formula>I1168=0</formula>
    </cfRule>
  </conditionalFormatting>
  <conditionalFormatting sqref="I221:M235">
    <cfRule type="expression" dxfId="58" priority="113" stopIfTrue="1">
      <formula>I221=0</formula>
    </cfRule>
  </conditionalFormatting>
  <conditionalFormatting sqref="I515:M515">
    <cfRule type="expression" dxfId="57" priority="67" stopIfTrue="1">
      <formula>I515=0</formula>
    </cfRule>
  </conditionalFormatting>
  <conditionalFormatting sqref="I1217:M1217">
    <cfRule type="expression" dxfId="56" priority="57" stopIfTrue="1">
      <formula>I1217=0</formula>
    </cfRule>
  </conditionalFormatting>
  <conditionalFormatting sqref="I1247:M1247">
    <cfRule type="expression" dxfId="55" priority="56" stopIfTrue="1">
      <formula>I1247=0</formula>
    </cfRule>
  </conditionalFormatting>
  <conditionalFormatting sqref="I485:M525">
    <cfRule type="expression" dxfId="54" priority="55" stopIfTrue="1">
      <formula>I485=0</formula>
    </cfRule>
  </conditionalFormatting>
  <conditionalFormatting sqref="I547:M574 I576:M578">
    <cfRule type="expression" dxfId="53" priority="54" stopIfTrue="1">
      <formula>I547=0</formula>
    </cfRule>
  </conditionalFormatting>
  <conditionalFormatting sqref="I581:M581">
    <cfRule type="expression" dxfId="52" priority="53" stopIfTrue="1">
      <formula>I581=0</formula>
    </cfRule>
  </conditionalFormatting>
  <conditionalFormatting sqref="I582:M582 I584:M585">
    <cfRule type="expression" dxfId="51" priority="52" stopIfTrue="1">
      <formula>I582=0</formula>
    </cfRule>
  </conditionalFormatting>
  <conditionalFormatting sqref="I545:M545">
    <cfRule type="expression" dxfId="50" priority="51" stopIfTrue="1">
      <formula>I545=EUconst_NA</formula>
    </cfRule>
  </conditionalFormatting>
  <conditionalFormatting sqref="I575:M575">
    <cfRule type="expression" dxfId="49" priority="50" stopIfTrue="1">
      <formula>I575=0</formula>
    </cfRule>
  </conditionalFormatting>
  <conditionalFormatting sqref="I545:M585">
    <cfRule type="expression" dxfId="48" priority="49" stopIfTrue="1">
      <formula>I545=0</formula>
    </cfRule>
  </conditionalFormatting>
  <conditionalFormatting sqref="I607:M634 I636:M638">
    <cfRule type="expression" dxfId="47" priority="48" stopIfTrue="1">
      <formula>I607=0</formula>
    </cfRule>
  </conditionalFormatting>
  <conditionalFormatting sqref="I641:M641">
    <cfRule type="expression" dxfId="46" priority="47" stopIfTrue="1">
      <formula>I641=0</formula>
    </cfRule>
  </conditionalFormatting>
  <conditionalFormatting sqref="I642:M642 I644:M645">
    <cfRule type="expression" dxfId="45" priority="46" stopIfTrue="1">
      <formula>I642=0</formula>
    </cfRule>
  </conditionalFormatting>
  <conditionalFormatting sqref="I605:M605">
    <cfRule type="expression" dxfId="44" priority="45" stopIfTrue="1">
      <formula>I605=EUconst_NA</formula>
    </cfRule>
  </conditionalFormatting>
  <conditionalFormatting sqref="I635:M635">
    <cfRule type="expression" dxfId="43" priority="44" stopIfTrue="1">
      <formula>I635=0</formula>
    </cfRule>
  </conditionalFormatting>
  <conditionalFormatting sqref="I605:M645">
    <cfRule type="expression" dxfId="42" priority="43" stopIfTrue="1">
      <formula>I605=0</formula>
    </cfRule>
  </conditionalFormatting>
  <conditionalFormatting sqref="I667:M694 I696:M698">
    <cfRule type="expression" dxfId="41" priority="42" stopIfTrue="1">
      <formula>I667=0</formula>
    </cfRule>
  </conditionalFormatting>
  <conditionalFormatting sqref="I701:M701">
    <cfRule type="expression" dxfId="40" priority="41" stopIfTrue="1">
      <formula>I701=0</formula>
    </cfRule>
  </conditionalFormatting>
  <conditionalFormatting sqref="I702:M702 I704:M705">
    <cfRule type="expression" dxfId="39" priority="40" stopIfTrue="1">
      <formula>I702=0</formula>
    </cfRule>
  </conditionalFormatting>
  <conditionalFormatting sqref="I665:M665">
    <cfRule type="expression" dxfId="38" priority="39" stopIfTrue="1">
      <formula>I665=EUconst_NA</formula>
    </cfRule>
  </conditionalFormatting>
  <conditionalFormatting sqref="I695:M695">
    <cfRule type="expression" dxfId="37" priority="38" stopIfTrue="1">
      <formula>I695=0</formula>
    </cfRule>
  </conditionalFormatting>
  <conditionalFormatting sqref="I665:M705">
    <cfRule type="expression" dxfId="36" priority="37" stopIfTrue="1">
      <formula>I665=0</formula>
    </cfRule>
  </conditionalFormatting>
  <conditionalFormatting sqref="I727:M754 I756:M758">
    <cfRule type="expression" dxfId="35" priority="36" stopIfTrue="1">
      <formula>I727=0</formula>
    </cfRule>
  </conditionalFormatting>
  <conditionalFormatting sqref="I761:M761">
    <cfRule type="expression" dxfId="34" priority="35" stopIfTrue="1">
      <formula>I761=0</formula>
    </cfRule>
  </conditionalFormatting>
  <conditionalFormatting sqref="I762:M762 I764:M765">
    <cfRule type="expression" dxfId="33" priority="34" stopIfTrue="1">
      <formula>I762=0</formula>
    </cfRule>
  </conditionalFormatting>
  <conditionalFormatting sqref="I725:M725">
    <cfRule type="expression" dxfId="32" priority="33" stopIfTrue="1">
      <formula>I725=EUconst_NA</formula>
    </cfRule>
  </conditionalFormatting>
  <conditionalFormatting sqref="I755:M755">
    <cfRule type="expression" dxfId="31" priority="32" stopIfTrue="1">
      <formula>I755=0</formula>
    </cfRule>
  </conditionalFormatting>
  <conditionalFormatting sqref="I725:M765">
    <cfRule type="expression" dxfId="30" priority="31" stopIfTrue="1">
      <formula>I725=0</formula>
    </cfRule>
  </conditionalFormatting>
  <conditionalFormatting sqref="I787:M814 I816:M818">
    <cfRule type="expression" dxfId="29" priority="30" stopIfTrue="1">
      <formula>I787=0</formula>
    </cfRule>
  </conditionalFormatting>
  <conditionalFormatting sqref="I821:M821">
    <cfRule type="expression" dxfId="28" priority="29" stopIfTrue="1">
      <formula>I821=0</formula>
    </cfRule>
  </conditionalFormatting>
  <conditionalFormatting sqref="I822:M822 I824:M825">
    <cfRule type="expression" dxfId="27" priority="28" stopIfTrue="1">
      <formula>I822=0</formula>
    </cfRule>
  </conditionalFormatting>
  <conditionalFormatting sqref="I785:M785">
    <cfRule type="expression" dxfId="26" priority="27" stopIfTrue="1">
      <formula>I785=EUconst_NA</formula>
    </cfRule>
  </conditionalFormatting>
  <conditionalFormatting sqref="I815:M815">
    <cfRule type="expression" dxfId="25" priority="26" stopIfTrue="1">
      <formula>I815=0</formula>
    </cfRule>
  </conditionalFormatting>
  <conditionalFormatting sqref="I785:M825">
    <cfRule type="expression" dxfId="24" priority="25" stopIfTrue="1">
      <formula>I785=0</formula>
    </cfRule>
  </conditionalFormatting>
  <conditionalFormatting sqref="I847:M874 I876:M878">
    <cfRule type="expression" dxfId="23" priority="24" stopIfTrue="1">
      <formula>I847=0</formula>
    </cfRule>
  </conditionalFormatting>
  <conditionalFormatting sqref="I881:M881">
    <cfRule type="expression" dxfId="22" priority="23" stopIfTrue="1">
      <formula>I881=0</formula>
    </cfRule>
  </conditionalFormatting>
  <conditionalFormatting sqref="I882:M882 I884:M885">
    <cfRule type="expression" dxfId="21" priority="22" stopIfTrue="1">
      <formula>I882=0</formula>
    </cfRule>
  </conditionalFormatting>
  <conditionalFormatting sqref="I845:M845">
    <cfRule type="expression" dxfId="20" priority="21" stopIfTrue="1">
      <formula>I845=EUconst_NA</formula>
    </cfRule>
  </conditionalFormatting>
  <conditionalFormatting sqref="I875:M875">
    <cfRule type="expression" dxfId="19" priority="20" stopIfTrue="1">
      <formula>I875=0</formula>
    </cfRule>
  </conditionalFormatting>
  <conditionalFormatting sqref="I845:M885">
    <cfRule type="expression" dxfId="18" priority="19" stopIfTrue="1">
      <formula>I845=0</formula>
    </cfRule>
  </conditionalFormatting>
  <conditionalFormatting sqref="I907:M934 I936:M938">
    <cfRule type="expression" dxfId="17" priority="18" stopIfTrue="1">
      <formula>I907=0</formula>
    </cfRule>
  </conditionalFormatting>
  <conditionalFormatting sqref="I941:M941">
    <cfRule type="expression" dxfId="16" priority="17" stopIfTrue="1">
      <formula>I941=0</formula>
    </cfRule>
  </conditionalFormatting>
  <conditionalFormatting sqref="I942:M942 I944:M945">
    <cfRule type="expression" dxfId="15" priority="16" stopIfTrue="1">
      <formula>I942=0</formula>
    </cfRule>
  </conditionalFormatting>
  <conditionalFormatting sqref="I905:M905">
    <cfRule type="expression" dxfId="14" priority="15" stopIfTrue="1">
      <formula>I905=EUconst_NA</formula>
    </cfRule>
  </conditionalFormatting>
  <conditionalFormatting sqref="I935:M935">
    <cfRule type="expression" dxfId="13" priority="14" stopIfTrue="1">
      <formula>I935=0</formula>
    </cfRule>
  </conditionalFormatting>
  <conditionalFormatting sqref="I905:M945">
    <cfRule type="expression" dxfId="12" priority="13" stopIfTrue="1">
      <formula>I905=0</formula>
    </cfRule>
  </conditionalFormatting>
  <conditionalFormatting sqref="I967:M994 I996:M998">
    <cfRule type="expression" dxfId="11" priority="12" stopIfTrue="1">
      <formula>I967=0</formula>
    </cfRule>
  </conditionalFormatting>
  <conditionalFormatting sqref="I1001:M1001">
    <cfRule type="expression" dxfId="10" priority="11" stopIfTrue="1">
      <formula>I1001=0</formula>
    </cfRule>
  </conditionalFormatting>
  <conditionalFormatting sqref="I1002:M1002 I1004:M1005">
    <cfRule type="expression" dxfId="9" priority="10" stopIfTrue="1">
      <formula>I1002=0</formula>
    </cfRule>
  </conditionalFormatting>
  <conditionalFormatting sqref="I965:M965">
    <cfRule type="expression" dxfId="8" priority="9" stopIfTrue="1">
      <formula>I965=EUconst_NA</formula>
    </cfRule>
  </conditionalFormatting>
  <conditionalFormatting sqref="I995:M995">
    <cfRule type="expression" dxfId="7" priority="8" stopIfTrue="1">
      <formula>I995=0</formula>
    </cfRule>
  </conditionalFormatting>
  <conditionalFormatting sqref="I965:M1005">
    <cfRule type="expression" dxfId="6" priority="7" stopIfTrue="1">
      <formula>I965=0</formula>
    </cfRule>
  </conditionalFormatting>
  <conditionalFormatting sqref="I1027:M1054 I1056:M1058">
    <cfRule type="expression" dxfId="5" priority="6" stopIfTrue="1">
      <formula>I1027=0</formula>
    </cfRule>
  </conditionalFormatting>
  <conditionalFormatting sqref="I1061:M1061">
    <cfRule type="expression" dxfId="4" priority="5" stopIfTrue="1">
      <formula>I1061=0</formula>
    </cfRule>
  </conditionalFormatting>
  <conditionalFormatting sqref="I1062:M1062 I1064:M1065">
    <cfRule type="expression" dxfId="3" priority="4" stopIfTrue="1">
      <formula>I1062=0</formula>
    </cfRule>
  </conditionalFormatting>
  <conditionalFormatting sqref="I1025:M1025">
    <cfRule type="expression" dxfId="2" priority="3" stopIfTrue="1">
      <formula>I1025=EUconst_NA</formula>
    </cfRule>
  </conditionalFormatting>
  <conditionalFormatting sqref="I1055:M1055">
    <cfRule type="expression" dxfId="1" priority="2" stopIfTrue="1">
      <formula>I1055=0</formula>
    </cfRule>
  </conditionalFormatting>
  <conditionalFormatting sqref="I1025:M1065">
    <cfRule type="expression" dxfId="0" priority="1" stopIfTrue="1">
      <formula>I1025=0</formula>
    </cfRule>
  </conditionalFormatting>
  <dataValidations count="2">
    <dataValidation type="decimal" allowBlank="1" showInputMessage="1" showErrorMessage="1" errorTitle="Incorrect Value" error="0 &lt; CCF &lt; 1_x000a_The value of the cross-sectoral correction factor must be between 0 and 100%." sqref="I1355:M1355">
      <formula1>0</formula1>
      <formula2>1</formula2>
    </dataValidation>
    <dataValidation type="list" allowBlank="1" showInputMessage="1" showErrorMessage="1" sqref="L1311">
      <formula1>EUconst_MinOrMaxOrActual</formula1>
    </dataValidation>
  </dataValidations>
  <hyperlinks>
    <hyperlink ref="G2:H2" location="JUMP_TOC_Home" display="Table of contents"/>
    <hyperlink ref="I2:J2" location="JUMP_J_Top" display="Previous sheet"/>
    <hyperlink ref="E4:F4" location="JUMP_K_Bottom" display="End of sheet"/>
    <hyperlink ref="E3:F3" location="JUMP_K_Top" display="Top of sheet"/>
    <hyperlink ref="E1387:N1387" location="JUMP_K_V_Disclaimer" display="The results displayed here are by no means legally binding. Please see disclaimer in the introduction of this section."/>
    <hyperlink ref="G3:H3" location="JUMP_K_I" display="Installation data"/>
    <hyperlink ref="I3:J3" location="JUMP_K_II" display="Baseline Period &amp; Eligibility"/>
    <hyperlink ref="K3:L3" location="JUMP_K_III" display="Emissions &amp; Energy Flows"/>
    <hyperlink ref="M3:N3" location="JUMP_K_IV" display="Sub-installation Data"/>
    <hyperlink ref="G4:H4" location="JUMP_K_V" display="Preliminary allocation"/>
  </hyperlinks>
  <pageMargins left="0.78740157480314965" right="0.78740157480314965" top="0.78740157480314965" bottom="0.78740157480314965" header="0.51181102362204722" footer="0.51181102362204722"/>
  <pageSetup paperSize="9" scale="64" fitToHeight="30" orientation="portrait" r:id="rId1"/>
  <headerFooter alignWithMargins="0">
    <oddHeader>&amp;L&amp;F; &amp;A&amp;R&amp;D; &amp;T</oddHeader>
    <oddFooter>&amp;C&amp;P / &amp;N</oddFooter>
  </headerFooter>
  <rowBreaks count="19" manualBreakCount="19">
    <brk id="59" min="2" max="13" man="1"/>
    <brk id="130" min="2" max="13" man="1"/>
    <brk id="209" min="2" max="13" man="1"/>
    <brk id="303" min="2" max="13" man="1"/>
    <brk id="399" min="2" max="13" man="1"/>
    <brk id="443" min="2" max="13" man="1"/>
    <brk id="527" min="2" max="13" man="1"/>
    <brk id="587" min="2" max="13" man="1"/>
    <brk id="647" min="2" max="13" man="1"/>
    <brk id="707" min="2" max="13" man="1"/>
    <brk id="767" min="2" max="13" man="1"/>
    <brk id="827" min="2" max="13" man="1"/>
    <brk id="887" min="2" max="13" man="1"/>
    <brk id="947" min="2" max="13" man="1"/>
    <brk id="1007" min="2" max="13" man="1"/>
    <brk id="1069" min="2" max="13" man="1"/>
    <brk id="1149" min="2" max="13" man="1"/>
    <brk id="1289" min="2" max="13" man="1"/>
    <brk id="1356" min="2" max="1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3">
    <tabColor indexed="12"/>
    <pageSetUpPr fitToPage="1"/>
  </sheetPr>
  <dimension ref="A1:AF263"/>
  <sheetViews>
    <sheetView workbookViewId="0">
      <selection activeCell="D4" sqref="D4"/>
    </sheetView>
  </sheetViews>
  <sheetFormatPr defaultColWidth="11.42578125" defaultRowHeight="12.75" x14ac:dyDescent="0.2"/>
  <cols>
    <col min="1" max="1" width="34.42578125" style="196" customWidth="1"/>
    <col min="2" max="16384" width="11.42578125" style="196"/>
  </cols>
  <sheetData>
    <row r="1" spans="1:18" x14ac:dyDescent="0.2">
      <c r="A1" s="240" t="str">
        <f>Translations!$B$340</f>
        <v>Nazwa</v>
      </c>
      <c r="B1" s="240" t="str">
        <f>Translations!$B$1287</f>
        <v>Stała</v>
      </c>
      <c r="C1" s="240" t="str">
        <f>Translations!$B$1288</f>
        <v>Dalsze stałe</v>
      </c>
      <c r="D1" s="241"/>
      <c r="E1" s="241"/>
      <c r="F1" s="241"/>
      <c r="G1" s="241"/>
      <c r="H1" s="241"/>
    </row>
    <row r="2" spans="1:18" x14ac:dyDescent="0.2">
      <c r="A2" s="423" t="s">
        <v>582</v>
      </c>
      <c r="B2" s="1080" t="b">
        <v>0</v>
      </c>
    </row>
    <row r="3" spans="1:18" x14ac:dyDescent="0.2">
      <c r="A3" s="196" t="s">
        <v>349</v>
      </c>
      <c r="B3" s="242">
        <v>2014</v>
      </c>
      <c r="C3" s="242">
        <v>2015</v>
      </c>
      <c r="D3" s="242">
        <v>2016</v>
      </c>
      <c r="E3" s="242">
        <v>2017</v>
      </c>
      <c r="F3" s="242">
        <v>2018</v>
      </c>
    </row>
    <row r="4" spans="1:18" x14ac:dyDescent="0.2">
      <c r="A4" s="568" t="s">
        <v>495</v>
      </c>
      <c r="B4" s="242">
        <v>2014</v>
      </c>
      <c r="C4" s="242">
        <v>2015</v>
      </c>
      <c r="D4" s="242">
        <v>2016</v>
      </c>
      <c r="E4" s="242">
        <v>2017</v>
      </c>
      <c r="F4" s="242">
        <v>2018</v>
      </c>
      <c r="G4" s="242">
        <v>2019</v>
      </c>
      <c r="H4" s="242">
        <v>2020</v>
      </c>
      <c r="I4" s="242">
        <v>2021</v>
      </c>
      <c r="J4" s="242">
        <v>2022</v>
      </c>
      <c r="K4" s="242">
        <v>2023</v>
      </c>
      <c r="L4" s="242">
        <v>2024</v>
      </c>
      <c r="M4" s="242">
        <v>2025</v>
      </c>
      <c r="N4" s="242">
        <v>2026</v>
      </c>
      <c r="O4" s="242">
        <v>2027</v>
      </c>
      <c r="P4" s="242">
        <v>2028</v>
      </c>
      <c r="Q4" s="242">
        <v>2029</v>
      </c>
      <c r="R4" s="242">
        <v>2030</v>
      </c>
    </row>
    <row r="5" spans="1:18" x14ac:dyDescent="0.2">
      <c r="A5" s="196" t="s">
        <v>373</v>
      </c>
      <c r="B5" s="242" t="s">
        <v>467</v>
      </c>
      <c r="C5" s="242" t="s">
        <v>468</v>
      </c>
      <c r="D5" s="197"/>
      <c r="E5" s="197"/>
      <c r="F5" s="197"/>
      <c r="G5" s="197"/>
    </row>
    <row r="6" spans="1:18" x14ac:dyDescent="0.2">
      <c r="A6" s="196" t="s">
        <v>405</v>
      </c>
      <c r="B6" s="242" t="b">
        <v>1</v>
      </c>
      <c r="C6" s="242" t="b">
        <v>0</v>
      </c>
    </row>
    <row r="7" spans="1:18" x14ac:dyDescent="0.2">
      <c r="A7" s="196" t="s">
        <v>406</v>
      </c>
      <c r="B7" s="242" t="b">
        <v>1</v>
      </c>
      <c r="C7" s="242" t="b">
        <v>0</v>
      </c>
      <c r="D7" s="243" t="str">
        <f>EUconst_NA</f>
        <v>Nie dotyczy</v>
      </c>
    </row>
    <row r="8" spans="1:18" x14ac:dyDescent="0.2">
      <c r="A8" s="196" t="s">
        <v>10</v>
      </c>
      <c r="B8" s="242" t="str">
        <f>Translations!$B$1289</f>
        <v>Wartości bezwzględne</v>
      </c>
      <c r="C8" s="242" t="str">
        <f>Translations!$B$1290</f>
        <v>Wartości procentowe</v>
      </c>
    </row>
    <row r="9" spans="1:18" x14ac:dyDescent="0.2">
      <c r="A9" s="196" t="s">
        <v>90</v>
      </c>
      <c r="B9" s="242" t="str">
        <f>Translations!$B$1291</f>
        <v>Nie dotyczy</v>
      </c>
    </row>
    <row r="10" spans="1:18" x14ac:dyDescent="0.2">
      <c r="A10" s="196" t="s">
        <v>19</v>
      </c>
      <c r="B10" s="242" t="str">
        <f>Translations!$B$1292</f>
        <v>Uprawnienia do emisji ogólnych</v>
      </c>
    </row>
    <row r="11" spans="1:18" x14ac:dyDescent="0.2">
      <c r="A11" s="196" t="s">
        <v>206</v>
      </c>
      <c r="B11" s="242" t="str">
        <f>Translations!$B$1196</f>
        <v>Jednostka</v>
      </c>
    </row>
    <row r="12" spans="1:18" x14ac:dyDescent="0.2">
      <c r="A12" s="196" t="s">
        <v>202</v>
      </c>
      <c r="B12" s="242" t="str">
        <f>Translations!$B$1293</f>
        <v>Miesiąc</v>
      </c>
    </row>
    <row r="13" spans="1:18" x14ac:dyDescent="0.2">
      <c r="A13" s="196" t="s">
        <v>371</v>
      </c>
      <c r="B13" s="242" t="str">
        <f>Translations!$B$1294</f>
        <v>Paliwo</v>
      </c>
    </row>
    <row r="14" spans="1:18" x14ac:dyDescent="0.2">
      <c r="A14" s="196" t="s">
        <v>39</v>
      </c>
      <c r="B14" s="242" t="str">
        <f>Translations!$B$1295</f>
        <v>Wskaźnik emisyjności</v>
      </c>
    </row>
    <row r="15" spans="1:18" x14ac:dyDescent="0.2">
      <c r="A15" s="196" t="s">
        <v>203</v>
      </c>
      <c r="B15" s="242" t="str">
        <f>Translations!$B$1296</f>
        <v>Podinstalacja i wskaźnik emisyjności dla produktów</v>
      </c>
    </row>
    <row r="16" spans="1:18" x14ac:dyDescent="0.2">
      <c r="A16" s="196" t="s">
        <v>28</v>
      </c>
      <c r="B16" s="242" t="str">
        <f>Translations!$B$1297</f>
        <v>Podinstalacja, dla której wprowadzono rozwiązania rezerwowe (fall-back)</v>
      </c>
    </row>
    <row r="17" spans="1:7" x14ac:dyDescent="0.2">
      <c r="A17" s="200" t="s">
        <v>330</v>
      </c>
      <c r="B17" s="242" t="str">
        <f>Translations!$B$1298</f>
        <v>rok</v>
      </c>
    </row>
    <row r="18" spans="1:7" x14ac:dyDescent="0.2">
      <c r="A18" s="200" t="s">
        <v>332</v>
      </c>
      <c r="B18" s="242" t="str">
        <f>Translations!$B$1299</f>
        <v>tony</v>
      </c>
    </row>
    <row r="19" spans="1:7" x14ac:dyDescent="0.2">
      <c r="A19" s="200" t="s">
        <v>95</v>
      </c>
      <c r="B19" s="242" t="s">
        <v>93</v>
      </c>
    </row>
    <row r="20" spans="1:7" x14ac:dyDescent="0.2">
      <c r="A20" s="200" t="s">
        <v>207</v>
      </c>
      <c r="B20" s="242" t="s">
        <v>208</v>
      </c>
    </row>
    <row r="21" spans="1:7" x14ac:dyDescent="0.2">
      <c r="A21" s="200" t="s">
        <v>96</v>
      </c>
      <c r="B21" s="242" t="s">
        <v>94</v>
      </c>
      <c r="C21" s="200"/>
      <c r="D21" s="200"/>
      <c r="E21" s="200"/>
      <c r="F21" s="200"/>
      <c r="G21" s="200"/>
    </row>
    <row r="22" spans="1:7" x14ac:dyDescent="0.2">
      <c r="A22" s="200" t="s">
        <v>213</v>
      </c>
      <c r="B22" s="242" t="s">
        <v>214</v>
      </c>
      <c r="C22" s="200"/>
      <c r="D22" s="200"/>
      <c r="E22" s="200"/>
      <c r="F22" s="200"/>
      <c r="G22" s="200"/>
    </row>
    <row r="23" spans="1:7" x14ac:dyDescent="0.2">
      <c r="A23" s="200" t="s">
        <v>215</v>
      </c>
      <c r="B23" s="242" t="s">
        <v>216</v>
      </c>
      <c r="C23" s="200"/>
      <c r="D23" s="200"/>
      <c r="E23" s="200"/>
      <c r="F23" s="200"/>
      <c r="G23" s="200"/>
    </row>
    <row r="24" spans="1:7" x14ac:dyDescent="0.2">
      <c r="A24" s="200" t="s">
        <v>46</v>
      </c>
      <c r="B24" s="242" t="str">
        <f>EUconst_TJ&amp;" / "&amp;EUconst_Year</f>
        <v>TJ / rok</v>
      </c>
    </row>
    <row r="25" spans="1:7" x14ac:dyDescent="0.2">
      <c r="A25" s="200" t="s">
        <v>209</v>
      </c>
      <c r="B25" s="242" t="s">
        <v>210</v>
      </c>
    </row>
    <row r="26" spans="1:7" x14ac:dyDescent="0.2">
      <c r="A26" s="200" t="s">
        <v>40</v>
      </c>
      <c r="B26" s="242" t="str">
        <f>EUconst_MWh&amp;" / "&amp;EUconst_Year</f>
        <v>MWh / rok</v>
      </c>
    </row>
    <row r="27" spans="1:7" x14ac:dyDescent="0.2">
      <c r="A27" s="200" t="s">
        <v>211</v>
      </c>
      <c r="B27" s="242" t="s">
        <v>212</v>
      </c>
    </row>
    <row r="28" spans="1:7" x14ac:dyDescent="0.2">
      <c r="A28" s="200" t="s">
        <v>41</v>
      </c>
      <c r="B28" s="242" t="str">
        <f>EUconst_t&amp;" / "&amp;EUconst_Year</f>
        <v>t / rok</v>
      </c>
    </row>
    <row r="29" spans="1:7" x14ac:dyDescent="0.2">
      <c r="A29" s="200" t="s">
        <v>20</v>
      </c>
      <c r="B29" s="242" t="str">
        <f>EUconst_EUA&amp;" / "&amp;EUconst_Year</f>
        <v>Uprawnienia do emisji ogólnych / rok</v>
      </c>
    </row>
    <row r="30" spans="1:7" x14ac:dyDescent="0.2">
      <c r="A30" s="200" t="s">
        <v>21</v>
      </c>
      <c r="B30" s="242" t="str">
        <f>EUconst_EUA&amp;" / "&amp;EUconst_t</f>
        <v>Uprawnienia do emisji ogólnych / t</v>
      </c>
    </row>
    <row r="31" spans="1:7" x14ac:dyDescent="0.2">
      <c r="A31" s="200" t="s">
        <v>42</v>
      </c>
      <c r="B31" s="242" t="str">
        <f>EUconst_GJ&amp;" / "&amp;EUconst_t</f>
        <v>GJ / t</v>
      </c>
    </row>
    <row r="32" spans="1:7" x14ac:dyDescent="0.2">
      <c r="A32" s="200" t="s">
        <v>372</v>
      </c>
      <c r="B32" s="242" t="str">
        <f>EUconst_GJ&amp;" / "&amp;EUconst_Year</f>
        <v>GJ / rok</v>
      </c>
    </row>
    <row r="33" spans="1:8" x14ac:dyDescent="0.2">
      <c r="A33" s="200" t="s">
        <v>43</v>
      </c>
      <c r="B33" s="242" t="str">
        <f>EUconst_tCO2&amp;" / "&amp;EUconst_TJ</f>
        <v>t CO2 / TJ</v>
      </c>
    </row>
    <row r="34" spans="1:8" x14ac:dyDescent="0.2">
      <c r="A34" s="200" t="s">
        <v>44</v>
      </c>
      <c r="B34" s="242" t="str">
        <f>EUconst_tCO2&amp;" / "&amp;EUconst_Year</f>
        <v>t CO2 / rok</v>
      </c>
    </row>
    <row r="35" spans="1:8" x14ac:dyDescent="0.2">
      <c r="A35" s="200" t="s">
        <v>45</v>
      </c>
      <c r="B35" s="242" t="str">
        <f>EUconst_tCO2&amp;" / "&amp;EUconst_t</f>
        <v>t CO2 / t</v>
      </c>
    </row>
    <row r="36" spans="1:8" x14ac:dyDescent="0.2">
      <c r="A36" s="200" t="s">
        <v>47</v>
      </c>
      <c r="B36" s="242" t="str">
        <f>EUconst_tN2O&amp;" / "&amp;EUconst_Year</f>
        <v>t N2O / rok</v>
      </c>
    </row>
    <row r="37" spans="1:8" x14ac:dyDescent="0.2">
      <c r="A37" s="200" t="s">
        <v>48</v>
      </c>
      <c r="B37" s="242" t="s">
        <v>384</v>
      </c>
    </row>
    <row r="38" spans="1:8" x14ac:dyDescent="0.2">
      <c r="A38" s="200" t="s">
        <v>49</v>
      </c>
      <c r="B38" s="242" t="str">
        <f>EUconst_tCO2e&amp;"/"&amp;EUconst_Year</f>
        <v>t CO2e/rok</v>
      </c>
    </row>
    <row r="39" spans="1:8" x14ac:dyDescent="0.2">
      <c r="A39" s="200" t="s">
        <v>50</v>
      </c>
      <c r="B39" s="242" t="str">
        <f>EUconst_tCO2e&amp;"/"&amp;EUconst_t</f>
        <v>t CO2e/t</v>
      </c>
    </row>
    <row r="40" spans="1:8" x14ac:dyDescent="0.2">
      <c r="A40" s="200" t="s">
        <v>217</v>
      </c>
      <c r="B40" s="242" t="str">
        <f>Translations!$B$1300</f>
        <v>lub</v>
      </c>
    </row>
    <row r="41" spans="1:8" x14ac:dyDescent="0.2">
      <c r="A41" s="200" t="s">
        <v>51</v>
      </c>
      <c r="B41" s="242" t="str">
        <f>"% "&amp;EUconst_Or&amp;" "&amp;EUconst_TJpa</f>
        <v>% lub TJ / rok</v>
      </c>
    </row>
    <row r="42" spans="1:8" x14ac:dyDescent="0.2">
      <c r="A42" s="200" t="s">
        <v>52</v>
      </c>
      <c r="B42" s="242" t="str">
        <f>"% "&amp;EUconst_Or&amp;" "&amp;EUconst_MWhpa</f>
        <v>% lub MWh / rok</v>
      </c>
    </row>
    <row r="43" spans="1:8" x14ac:dyDescent="0.2">
      <c r="A43" s="200" t="s">
        <v>53</v>
      </c>
      <c r="B43" s="242" t="str">
        <f>"% "&amp;EUconst_Or&amp;" "&amp;EUconst_tCO2pa</f>
        <v>% lub t CO2 / rok</v>
      </c>
    </row>
    <row r="44" spans="1:8" x14ac:dyDescent="0.2">
      <c r="A44" s="200" t="s">
        <v>231</v>
      </c>
      <c r="B44" s="242" t="str">
        <f>Translations!$B$240</f>
        <v>Instalacja objęta ETS</v>
      </c>
      <c r="C44" s="242" t="str">
        <f>Translations!$B$241</f>
        <v>Instalacja nieobjęta ETS</v>
      </c>
      <c r="D44" s="242" t="str">
        <f>Translations!$B$242</f>
        <v>Instalacja produkująca kwas azotowy</v>
      </c>
      <c r="E44" s="242" t="str">
        <f>Translations!$B$243</f>
        <v>Sieć dystrybucji ciepła</v>
      </c>
      <c r="F44" s="200"/>
      <c r="G44" s="200"/>
      <c r="H44" s="200"/>
    </row>
    <row r="45" spans="1:8" x14ac:dyDescent="0.2">
      <c r="A45" s="200" t="s">
        <v>232</v>
      </c>
      <c r="B45" s="242" t="str">
        <f>Translations!$B$249</f>
        <v>Mierzalne ciepło</v>
      </c>
      <c r="C45" s="242" t="str">
        <f>Translations!$B$250</f>
        <v>Gazy odlotowe</v>
      </c>
      <c r="D45" s="580" t="str">
        <f>Translations!$B$1301</f>
        <v>Przenoszony CO2</v>
      </c>
      <c r="E45" s="580" t="str">
        <f>Translations!$B$1302</f>
        <v>Produkty pośrednie</v>
      </c>
      <c r="F45" s="200"/>
      <c r="G45" s="200"/>
    </row>
    <row r="46" spans="1:8" x14ac:dyDescent="0.2">
      <c r="A46" s="200" t="s">
        <v>428</v>
      </c>
      <c r="B46" s="242" t="str">
        <f>Translations!$B$1303</f>
        <v>Ciepło</v>
      </c>
      <c r="C46" s="242" t="str">
        <f>Translations!$B$250</f>
        <v>Gazy odlotowe</v>
      </c>
      <c r="D46" s="242" t="s">
        <v>429</v>
      </c>
      <c r="E46" s="200"/>
      <c r="F46" s="200"/>
      <c r="G46" s="200"/>
    </row>
    <row r="47" spans="1:8" x14ac:dyDescent="0.2">
      <c r="A47" s="200" t="s">
        <v>427</v>
      </c>
      <c r="B47" s="2" t="str">
        <f>Translations!$B$1304</f>
        <v>Wprowadzanie</v>
      </c>
      <c r="C47" s="2" t="str">
        <f>Translations!$B$1305</f>
        <v>Wyprowadzanie</v>
      </c>
      <c r="D47" s="200"/>
      <c r="E47" s="200"/>
      <c r="F47" s="200"/>
      <c r="G47" s="200"/>
    </row>
    <row r="48" spans="1:8" x14ac:dyDescent="0.2">
      <c r="A48" s="200" t="s">
        <v>222</v>
      </c>
      <c r="B48" s="242" t="str">
        <f>Translations!$B$1306</f>
        <v>W instalacji</v>
      </c>
      <c r="C48" s="200"/>
      <c r="D48" s="200"/>
      <c r="E48" s="200"/>
      <c r="F48" s="200"/>
      <c r="G48" s="200"/>
    </row>
    <row r="49" spans="1:10" x14ac:dyDescent="0.2">
      <c r="A49" s="200" t="s">
        <v>223</v>
      </c>
      <c r="B49" s="242" t="str">
        <f>Translations!$B$1307</f>
        <v>Wytwarzanie produktów</v>
      </c>
      <c r="C49" s="242" t="str">
        <f>Translations!$B$1308</f>
        <v>energia mechaniczna</v>
      </c>
      <c r="D49" s="242" t="str">
        <f>Translations!$B$1309</f>
        <v>ogrzewanie</v>
      </c>
      <c r="E49" s="242" t="str">
        <f>Translations!$B$1310</f>
        <v>chłodzenie</v>
      </c>
      <c r="F49" s="242" t="str">
        <f>Translations!$B$1311</f>
        <v>nieznane</v>
      </c>
      <c r="G49" s="200"/>
    </row>
    <row r="50" spans="1:10" x14ac:dyDescent="0.2">
      <c r="A50" s="200" t="s">
        <v>7</v>
      </c>
      <c r="B50" s="242" t="str">
        <f>Translations!$B$1307</f>
        <v>Wytwarzanie produktów</v>
      </c>
      <c r="C50" s="242" t="str">
        <f>Translations!$B$1308</f>
        <v>energia mechaniczna</v>
      </c>
      <c r="D50" s="242" t="str">
        <f>Translations!$B$1309</f>
        <v>ogrzewanie</v>
      </c>
      <c r="E50" s="242" t="str">
        <f>Translations!$B$1310</f>
        <v>chłodzenie</v>
      </c>
      <c r="F50" s="200"/>
    </row>
    <row r="51" spans="1:10" x14ac:dyDescent="0.2">
      <c r="A51" s="200" t="s">
        <v>387</v>
      </c>
      <c r="B51" s="2" t="s">
        <v>388</v>
      </c>
      <c r="C51" s="2" t="str">
        <f>Translations!$B$1312</f>
        <v>PFC</v>
      </c>
      <c r="D51" s="580" t="str">
        <f>Translations!$B$1313</f>
        <v>CO2 (skorygowany gaz odlotowy)</v>
      </c>
      <c r="E51" s="242" t="str">
        <f>Translations!$B$1314</f>
        <v>zmniejszenie ilości związków metalu</v>
      </c>
      <c r="F51" s="242" t="str">
        <f>Translations!$B$1315</f>
        <v>usuwanie zanieczyszczeń</v>
      </c>
      <c r="G51" s="242" t="str">
        <f>Translations!$B$1316</f>
        <v>rozpad węglanów</v>
      </c>
      <c r="H51" s="242" t="str">
        <f>Translations!$B$1317</f>
        <v>synteza chemiczna</v>
      </c>
      <c r="I51" s="242" t="str">
        <f>Translations!$B$1318</f>
        <v>materiały zawierające węgiel</v>
      </c>
      <c r="J51" s="242" t="str">
        <f>Translations!$B$1319</f>
        <v>zmniejszenie ilości tlenków metali lub tlenków niemetali</v>
      </c>
    </row>
    <row r="52" spans="1:10" x14ac:dyDescent="0.2">
      <c r="A52" s="200" t="s">
        <v>375</v>
      </c>
      <c r="B52" s="881">
        <f>S256</f>
        <v>52.954999999999998</v>
      </c>
      <c r="C52" s="1"/>
      <c r="D52" s="200"/>
      <c r="E52" s="200"/>
      <c r="F52" s="200"/>
      <c r="G52" s="200"/>
    </row>
    <row r="53" spans="1:10" x14ac:dyDescent="0.2">
      <c r="A53" s="200" t="s">
        <v>376</v>
      </c>
      <c r="B53" s="2">
        <v>0.376</v>
      </c>
      <c r="C53" s="1"/>
      <c r="D53" s="200"/>
      <c r="E53" s="200"/>
      <c r="F53" s="200"/>
      <c r="G53" s="200"/>
    </row>
    <row r="54" spans="1:10" x14ac:dyDescent="0.2">
      <c r="A54" s="200" t="s">
        <v>385</v>
      </c>
      <c r="B54" s="881">
        <f>S259</f>
        <v>47.685000000000002</v>
      </c>
      <c r="C54" s="1"/>
      <c r="D54" s="200"/>
      <c r="E54" s="200"/>
      <c r="F54" s="200"/>
      <c r="G54" s="200"/>
    </row>
    <row r="55" spans="1:10" x14ac:dyDescent="0.2">
      <c r="A55" s="200" t="s">
        <v>569</v>
      </c>
      <c r="B55" s="811">
        <v>2E-3</v>
      </c>
      <c r="C55" s="811">
        <v>1.6E-2</v>
      </c>
      <c r="D55" s="200"/>
      <c r="E55" s="200"/>
      <c r="F55" s="200"/>
      <c r="G55" s="200"/>
    </row>
    <row r="56" spans="1:10" x14ac:dyDescent="0.2">
      <c r="A56" s="200" t="s">
        <v>254</v>
      </c>
      <c r="B56" s="2" t="str">
        <f>Translations!$B$1320</f>
        <v>dotyczy</v>
      </c>
      <c r="C56" s="1"/>
      <c r="D56" s="200"/>
      <c r="E56" s="200"/>
      <c r="F56" s="200"/>
      <c r="G56" s="200"/>
    </row>
    <row r="57" spans="1:10" x14ac:dyDescent="0.2">
      <c r="A57" s="200" t="s">
        <v>255</v>
      </c>
      <c r="B57" s="2" t="str">
        <f>Translations!$B$1321</f>
        <v>nie dotyczy</v>
      </c>
      <c r="C57" s="1"/>
      <c r="D57" s="200"/>
      <c r="E57" s="200"/>
      <c r="F57" s="200"/>
      <c r="G57" s="200"/>
    </row>
    <row r="58" spans="1:10" x14ac:dyDescent="0.2">
      <c r="A58" s="200" t="s">
        <v>425</v>
      </c>
      <c r="B58" s="2" t="str">
        <f>EUconst_Relevant</f>
        <v>dotyczy</v>
      </c>
      <c r="C58" s="2" t="str">
        <f>EUconst_NotRelevant</f>
        <v>nie dotyczy</v>
      </c>
      <c r="D58" s="200"/>
      <c r="E58" s="200"/>
      <c r="F58" s="200"/>
      <c r="G58" s="200"/>
    </row>
    <row r="59" spans="1:10" x14ac:dyDescent="0.2">
      <c r="A59" s="200" t="s">
        <v>426</v>
      </c>
      <c r="B59" s="2" t="str">
        <f>Translations!$B$1322</f>
        <v>Ucieczka emisji</v>
      </c>
      <c r="C59" s="2" t="str">
        <f>Translations!$B$1323</f>
        <v>brak narażenia na ryzyko ucieczki emisji</v>
      </c>
      <c r="D59" s="200"/>
      <c r="E59" s="200"/>
      <c r="F59" s="200"/>
      <c r="G59" s="200"/>
    </row>
    <row r="60" spans="1:10" x14ac:dyDescent="0.2">
      <c r="A60" s="200" t="s">
        <v>256</v>
      </c>
      <c r="B60" s="2" t="str">
        <f>"1000Nm3/"&amp;EUconst_Year</f>
        <v>1000Nm3/rok</v>
      </c>
      <c r="C60" s="1"/>
      <c r="D60" s="200"/>
      <c r="E60" s="200"/>
      <c r="F60" s="200"/>
      <c r="G60" s="200"/>
    </row>
    <row r="61" spans="1:10" x14ac:dyDescent="0.2">
      <c r="A61" s="200" t="s">
        <v>257</v>
      </c>
      <c r="B61" s="2" t="str">
        <f>EUconst_tpa</f>
        <v>t / rok</v>
      </c>
      <c r="C61" s="2" t="str">
        <f>B60</f>
        <v>1000Nm3/rok</v>
      </c>
      <c r="D61" s="200"/>
      <c r="E61" s="200"/>
      <c r="F61" s="200"/>
      <c r="G61" s="200"/>
    </row>
    <row r="62" spans="1:10" x14ac:dyDescent="0.2">
      <c r="A62" s="200" t="s">
        <v>259</v>
      </c>
      <c r="B62" s="2" t="str">
        <f>EUconst_GJpt</f>
        <v>GJ / t</v>
      </c>
      <c r="C62" s="2" t="str">
        <f>Translations!$B$1324</f>
        <v>GJ/1000Nm3</v>
      </c>
      <c r="D62" s="200"/>
      <c r="E62" s="200"/>
      <c r="F62" s="200"/>
      <c r="G62" s="200"/>
    </row>
    <row r="63" spans="1:10" x14ac:dyDescent="0.2">
      <c r="A63" s="200" t="s">
        <v>9</v>
      </c>
      <c r="B63" s="2" t="str">
        <f>EUconst_tCO2pTJ</f>
        <v>t CO2 / TJ</v>
      </c>
      <c r="C63" s="2" t="str">
        <f>B64</f>
        <v>t CO2/1000Nm3</v>
      </c>
      <c r="D63" s="242" t="str">
        <f>EUconst_tCO2pt</f>
        <v>t CO2 / t</v>
      </c>
      <c r="G63" s="200"/>
      <c r="H63" s="200"/>
    </row>
    <row r="64" spans="1:10" x14ac:dyDescent="0.2">
      <c r="A64" s="200" t="s">
        <v>398</v>
      </c>
      <c r="B64" s="2" t="str">
        <f>EUconst_tCO2 &amp; "/1000Nm3"</f>
        <v>t CO2/1000Nm3</v>
      </c>
      <c r="C64" s="2"/>
      <c r="D64" s="242"/>
      <c r="G64" s="200"/>
      <c r="H64" s="200"/>
    </row>
    <row r="65" spans="1:7" x14ac:dyDescent="0.2">
      <c r="A65" s="200" t="s">
        <v>261</v>
      </c>
      <c r="B65" s="2" t="str">
        <f>EUconst_GJ&amp;" / "&amp;EUconst_Unit</f>
        <v>GJ / Jednostka</v>
      </c>
      <c r="C65" s="1"/>
      <c r="D65" s="200"/>
      <c r="E65" s="200"/>
      <c r="F65" s="200"/>
      <c r="G65" s="200"/>
    </row>
    <row r="66" spans="1:7" x14ac:dyDescent="0.2">
      <c r="A66" s="200" t="s">
        <v>337</v>
      </c>
      <c r="B66" s="2" t="str">
        <f>"MNm3/"&amp;EUconst_Year</f>
        <v>MNm3/rok</v>
      </c>
      <c r="C66" s="1"/>
      <c r="D66" s="200"/>
      <c r="E66" s="200"/>
      <c r="F66" s="200"/>
      <c r="G66" s="200"/>
    </row>
    <row r="67" spans="1:7" x14ac:dyDescent="0.2">
      <c r="A67" s="200" t="s">
        <v>195</v>
      </c>
      <c r="B67" s="2" t="str">
        <f>"CWT / "&amp;EUconst_Year</f>
        <v>CWT / rok</v>
      </c>
      <c r="C67" s="1"/>
      <c r="D67" s="200"/>
      <c r="E67" s="200"/>
      <c r="F67" s="200"/>
      <c r="G67" s="200"/>
    </row>
    <row r="68" spans="1:7" x14ac:dyDescent="0.2">
      <c r="A68" s="200" t="s">
        <v>76</v>
      </c>
      <c r="B68" s="2" t="str">
        <f>Translations!$B$1325</f>
        <v>uprawnienia</v>
      </c>
      <c r="C68" s="1"/>
      <c r="D68" s="200"/>
      <c r="E68" s="200"/>
      <c r="F68" s="200"/>
      <c r="G68" s="200"/>
    </row>
    <row r="69" spans="1:7" x14ac:dyDescent="0.2">
      <c r="A69" s="200" t="s">
        <v>430</v>
      </c>
      <c r="B69" s="2" t="str">
        <f>Translations!$B$1326</f>
        <v>Prowadzący tę instalację potwierdza, że instalacja nie kwalifikuje się do przydziału bezpłatnych uprawnień na mocy art. 10a dyrektywy w sprawie EU ETS jako instalacja dotychczas działająca.</v>
      </c>
      <c r="C69" s="200"/>
      <c r="D69" s="200"/>
      <c r="E69" s="200"/>
      <c r="F69" s="200"/>
    </row>
    <row r="70" spans="1:7" x14ac:dyDescent="0.2">
      <c r="A70" s="200" t="s">
        <v>431</v>
      </c>
      <c r="B70" s="2" t="str">
        <f>Translations!$B$1327</f>
        <v>Prowadzący tę instalację potwierdza, że niniejszym zostaje złożony wniosek o przydział bezpłatnych uprawnień na mocy art. 10a dyrektywy w sprawie EU ETS.</v>
      </c>
      <c r="C70" s="200"/>
      <c r="D70" s="200"/>
      <c r="E70" s="200"/>
      <c r="F70" s="200"/>
    </row>
    <row r="71" spans="1:7" x14ac:dyDescent="0.2">
      <c r="A71" s="200" t="s">
        <v>100</v>
      </c>
      <c r="B71" s="2" t="str">
        <f>Translations!$B$1328</f>
        <v>Prowadzący tę instalację potwierdza, że niniejsze sprawozdanie może być wykorzystywane przez właściwy organ oraz Komisję Europejską.</v>
      </c>
      <c r="C71" s="200"/>
      <c r="D71" s="200"/>
      <c r="E71" s="200"/>
      <c r="F71" s="200"/>
    </row>
    <row r="72" spans="1:7" x14ac:dyDescent="0.2">
      <c r="A72" s="200" t="s">
        <v>160</v>
      </c>
      <c r="B72" s="2" t="s">
        <v>157</v>
      </c>
      <c r="C72" s="1"/>
      <c r="D72" s="200"/>
      <c r="E72" s="200"/>
      <c r="F72" s="200"/>
      <c r="G72" s="200"/>
    </row>
    <row r="73" spans="1:7" x14ac:dyDescent="0.2">
      <c r="A73" s="576" t="s">
        <v>527</v>
      </c>
      <c r="B73" s="422" t="s">
        <v>528</v>
      </c>
      <c r="C73" s="1"/>
      <c r="D73" s="200"/>
      <c r="E73" s="200"/>
      <c r="F73" s="200"/>
      <c r="G73" s="200"/>
    </row>
    <row r="74" spans="1:7" x14ac:dyDescent="0.2">
      <c r="A74" s="200" t="s">
        <v>161</v>
      </c>
      <c r="B74" s="2" t="s">
        <v>158</v>
      </c>
      <c r="C74" s="1"/>
      <c r="D74" s="200"/>
      <c r="E74" s="200"/>
      <c r="F74" s="200"/>
      <c r="G74" s="200"/>
    </row>
    <row r="75" spans="1:7" x14ac:dyDescent="0.2">
      <c r="A75" s="200" t="s">
        <v>162</v>
      </c>
      <c r="B75" s="2" t="s">
        <v>159</v>
      </c>
      <c r="C75" s="1"/>
      <c r="D75" s="200"/>
      <c r="E75" s="200"/>
      <c r="F75" s="200"/>
      <c r="G75" s="200"/>
    </row>
    <row r="76" spans="1:7" x14ac:dyDescent="0.2">
      <c r="A76" s="200" t="s">
        <v>163</v>
      </c>
      <c r="B76" s="2" t="s">
        <v>165</v>
      </c>
      <c r="C76" s="1"/>
      <c r="D76" s="200"/>
      <c r="E76" s="200"/>
      <c r="F76" s="200"/>
      <c r="G76" s="200"/>
    </row>
    <row r="77" spans="1:7" x14ac:dyDescent="0.2">
      <c r="A77" s="200" t="s">
        <v>164</v>
      </c>
      <c r="B77" s="2" t="s">
        <v>166</v>
      </c>
      <c r="C77" s="1"/>
      <c r="D77" s="200"/>
      <c r="E77" s="200"/>
      <c r="F77" s="200"/>
      <c r="G77" s="200"/>
    </row>
    <row r="78" spans="1:7" x14ac:dyDescent="0.2">
      <c r="A78" s="200" t="s">
        <v>239</v>
      </c>
      <c r="B78" s="2" t="s">
        <v>240</v>
      </c>
      <c r="C78" s="1"/>
      <c r="D78" s="200"/>
      <c r="E78" s="200"/>
      <c r="F78" s="200"/>
      <c r="G78" s="200"/>
    </row>
    <row r="79" spans="1:7" x14ac:dyDescent="0.2">
      <c r="A79" s="200" t="s">
        <v>37</v>
      </c>
      <c r="B79" s="2" t="s">
        <v>36</v>
      </c>
      <c r="C79" s="1"/>
      <c r="D79" s="200"/>
      <c r="E79" s="200"/>
      <c r="F79" s="200"/>
      <c r="G79" s="200"/>
    </row>
    <row r="80" spans="1:7" x14ac:dyDescent="0.2">
      <c r="A80" s="200" t="s">
        <v>241</v>
      </c>
      <c r="B80" s="2" t="s">
        <v>242</v>
      </c>
      <c r="C80" s="1"/>
      <c r="D80" s="200"/>
      <c r="E80" s="200"/>
      <c r="F80" s="200"/>
      <c r="G80" s="200"/>
    </row>
    <row r="81" spans="1:32" x14ac:dyDescent="0.2">
      <c r="A81" s="576" t="s">
        <v>578</v>
      </c>
      <c r="B81" s="422" t="s">
        <v>580</v>
      </c>
      <c r="C81" s="1"/>
      <c r="D81" s="200"/>
      <c r="E81" s="200"/>
      <c r="F81" s="200"/>
      <c r="G81" s="200"/>
    </row>
    <row r="82" spans="1:32" x14ac:dyDescent="0.2">
      <c r="A82" s="576" t="s">
        <v>579</v>
      </c>
      <c r="B82" s="422" t="s">
        <v>581</v>
      </c>
      <c r="C82" s="1"/>
      <c r="D82" s="200"/>
      <c r="E82" s="200"/>
      <c r="F82" s="200"/>
      <c r="G82" s="200"/>
    </row>
    <row r="83" spans="1:32" x14ac:dyDescent="0.2">
      <c r="A83" s="200" t="s">
        <v>69</v>
      </c>
      <c r="B83" s="2" t="s">
        <v>70</v>
      </c>
      <c r="C83" s="1"/>
      <c r="D83" s="200"/>
      <c r="E83" s="200"/>
      <c r="F83" s="200"/>
      <c r="G83" s="200"/>
    </row>
    <row r="84" spans="1:32" x14ac:dyDescent="0.2">
      <c r="A84" s="200" t="s">
        <v>71</v>
      </c>
      <c r="B84" s="2" t="s">
        <v>72</v>
      </c>
      <c r="C84" s="1"/>
      <c r="D84" s="200"/>
      <c r="E84" s="200"/>
      <c r="F84" s="200"/>
      <c r="G84" s="200"/>
    </row>
    <row r="85" spans="1:32" x14ac:dyDescent="0.2">
      <c r="A85" s="200" t="s">
        <v>73</v>
      </c>
      <c r="B85" s="2" t="s">
        <v>74</v>
      </c>
      <c r="C85" s="1"/>
      <c r="D85" s="200"/>
      <c r="E85" s="200"/>
      <c r="F85" s="200"/>
      <c r="G85" s="200"/>
    </row>
    <row r="86" spans="1:32" x14ac:dyDescent="0.2">
      <c r="A86" s="200" t="s">
        <v>23</v>
      </c>
      <c r="B86" s="2" t="s">
        <v>24</v>
      </c>
      <c r="C86" s="1"/>
      <c r="D86" s="200"/>
      <c r="E86" s="200"/>
      <c r="F86" s="200"/>
      <c r="G86" s="200"/>
    </row>
    <row r="87" spans="1:32" x14ac:dyDescent="0.2">
      <c r="A87" s="200" t="s">
        <v>411</v>
      </c>
      <c r="B87" s="2" t="s">
        <v>412</v>
      </c>
      <c r="C87" s="1"/>
      <c r="D87" s="200"/>
      <c r="E87" s="200"/>
      <c r="F87" s="200"/>
      <c r="G87" s="200"/>
    </row>
    <row r="88" spans="1:32" x14ac:dyDescent="0.2">
      <c r="A88" s="200" t="s">
        <v>509</v>
      </c>
      <c r="B88" s="422" t="s">
        <v>510</v>
      </c>
      <c r="C88" s="1"/>
      <c r="D88" s="200"/>
      <c r="E88" s="200"/>
      <c r="F88" s="200"/>
      <c r="G88" s="200"/>
    </row>
    <row r="89" spans="1:32" x14ac:dyDescent="0.2">
      <c r="A89" s="200" t="s">
        <v>270</v>
      </c>
      <c r="B89" s="2" t="str">
        <f>Translations!$B$1329</f>
        <v>wpis niekompletny!</v>
      </c>
      <c r="C89" s="1"/>
      <c r="D89" s="200"/>
      <c r="E89" s="200"/>
      <c r="F89" s="200"/>
      <c r="G89" s="200"/>
    </row>
    <row r="90" spans="1:32" x14ac:dyDescent="0.2">
      <c r="A90" s="200" t="s">
        <v>156</v>
      </c>
      <c r="B90" s="2" t="str">
        <f>Translations!$B$1330</f>
        <v>wartość ujemna!</v>
      </c>
      <c r="C90" s="1"/>
      <c r="D90" s="200"/>
      <c r="E90" s="200"/>
      <c r="F90" s="200"/>
      <c r="G90" s="200"/>
    </row>
    <row r="91" spans="1:32" x14ac:dyDescent="0.2">
      <c r="A91" s="200" t="s">
        <v>397</v>
      </c>
      <c r="B91" s="2" t="str">
        <f>Translations!$B$1331</f>
        <v>niezgodność!</v>
      </c>
      <c r="C91" s="1"/>
      <c r="D91" s="200"/>
      <c r="E91" s="200"/>
      <c r="F91" s="200"/>
      <c r="G91" s="200"/>
    </row>
    <row r="92" spans="1:32" x14ac:dyDescent="0.2">
      <c r="A92" s="196" t="s">
        <v>273</v>
      </c>
      <c r="B92" s="242" t="str">
        <f>Translations!$B$1332</f>
        <v>OK</v>
      </c>
    </row>
    <row r="93" spans="1:32" x14ac:dyDescent="0.2">
      <c r="A93" s="196" t="s">
        <v>205</v>
      </c>
      <c r="B93" s="242" t="str">
        <f>Translations!$B$1333</f>
        <v>Brak daty!</v>
      </c>
    </row>
    <row r="94" spans="1:32" x14ac:dyDescent="0.2">
      <c r="A94" s="196" t="s">
        <v>245</v>
      </c>
      <c r="B94" s="580" t="s">
        <v>638</v>
      </c>
    </row>
    <row r="95" spans="1:32" x14ac:dyDescent="0.2">
      <c r="A95" s="200" t="s">
        <v>303</v>
      </c>
      <c r="B95" s="2" t="str">
        <f>Translations!$B$1334</f>
        <v>mierzalne ciepło nieobjęte systemem EU ETS</v>
      </c>
      <c r="C95" s="1"/>
      <c r="D95" s="200"/>
      <c r="E95" s="200"/>
      <c r="F95" s="200"/>
      <c r="G95" s="200"/>
    </row>
    <row r="96" spans="1:32" x14ac:dyDescent="0.2">
      <c r="A96" s="200" t="s">
        <v>314</v>
      </c>
      <c r="B96" s="2" t="str">
        <f>Translations!$B$1335</f>
        <v>Austria</v>
      </c>
      <c r="C96" s="2" t="str">
        <f>Translations!$B$1336</f>
        <v>Belgia</v>
      </c>
      <c r="D96" s="242" t="str">
        <f>Translations!$B$1337</f>
        <v>Bułgaria</v>
      </c>
      <c r="E96" s="242" t="str">
        <f>Translations!$B$1338</f>
        <v>Cypr</v>
      </c>
      <c r="F96" s="509" t="str">
        <f>Translations!$B$1339</f>
        <v>Chorwacja</v>
      </c>
      <c r="G96" s="242" t="str">
        <f>Translations!$B$1340</f>
        <v>Republika Czeska</v>
      </c>
      <c r="H96" s="242" t="str">
        <f>Translations!$B$1341</f>
        <v>Dania</v>
      </c>
      <c r="I96" s="242" t="str">
        <f>Translations!$B$1342</f>
        <v>Estonia</v>
      </c>
      <c r="J96" s="242" t="str">
        <f>Translations!$B$1343</f>
        <v>Finlandia</v>
      </c>
      <c r="K96" s="242" t="str">
        <f>Translations!$B$1344</f>
        <v>Francja</v>
      </c>
      <c r="L96" s="242" t="str">
        <f>Translations!$B$1345</f>
        <v>Niemcy</v>
      </c>
      <c r="M96" s="242" t="str">
        <f>Translations!$B$1346</f>
        <v>Grecja</v>
      </c>
      <c r="N96" s="242" t="str">
        <f>Translations!$B$1347</f>
        <v>Węgry</v>
      </c>
      <c r="O96" s="242" t="str">
        <f>Translations!$B$1348</f>
        <v>Islandia</v>
      </c>
      <c r="P96" s="242" t="str">
        <f>Translations!$B$1349</f>
        <v>Irlandia</v>
      </c>
      <c r="Q96" s="242" t="str">
        <f>Translations!$B$1350</f>
        <v>Włochy</v>
      </c>
      <c r="R96" s="242" t="str">
        <f>Translations!$B$1351</f>
        <v>Łotwa</v>
      </c>
      <c r="S96" s="242" t="str">
        <f>Translations!$B$1352</f>
        <v>Liechtenstein</v>
      </c>
      <c r="T96" s="242" t="str">
        <f>Translations!$B$1353</f>
        <v>Litwa</v>
      </c>
      <c r="U96" s="242" t="str">
        <f>Translations!$B$1354</f>
        <v>Luksemburg</v>
      </c>
      <c r="V96" s="242" t="str">
        <f>Translations!$B$1355</f>
        <v>Malta</v>
      </c>
      <c r="W96" s="242" t="str">
        <f>Translations!$B$1356</f>
        <v>Niderlandy</v>
      </c>
      <c r="X96" s="242" t="str">
        <f>Translations!$B$1357</f>
        <v>Norwegia</v>
      </c>
      <c r="Y96" s="242" t="str">
        <f>Translations!$B$1358</f>
        <v>Polska</v>
      </c>
      <c r="Z96" s="242" t="str">
        <f>Translations!$B$1359</f>
        <v>Portugalia</v>
      </c>
      <c r="AA96" s="242" t="str">
        <f>Translations!$B$1360</f>
        <v>Rumunia</v>
      </c>
      <c r="AB96" s="242" t="str">
        <f>Translations!$B$1361</f>
        <v>Słowacja</v>
      </c>
      <c r="AC96" s="242" t="str">
        <f>Translations!$B$1362</f>
        <v>Słowenia</v>
      </c>
      <c r="AD96" s="242" t="str">
        <f>Translations!$B$1363</f>
        <v>Hiszpania</v>
      </c>
      <c r="AE96" s="242" t="str">
        <f>Translations!$B$1364</f>
        <v>Szwecja</v>
      </c>
      <c r="AF96" s="242" t="str">
        <f>Translations!$B$1365</f>
        <v>Zjednoczone Królestwo</v>
      </c>
    </row>
    <row r="97" spans="1:32" x14ac:dyDescent="0.2">
      <c r="A97" s="200" t="s">
        <v>315</v>
      </c>
      <c r="B97" s="2" t="str">
        <f>Translations!$B$1366</f>
        <v>AT</v>
      </c>
      <c r="C97" s="2" t="str">
        <f>Translations!$B$1367</f>
        <v>BE</v>
      </c>
      <c r="D97" s="242" t="str">
        <f>Translations!$B$1368</f>
        <v>BG</v>
      </c>
      <c r="E97" s="242" t="str">
        <f>Translations!$B$1369</f>
        <v>CY</v>
      </c>
      <c r="F97" s="509" t="str">
        <f>Translations!$B$1370</f>
        <v>HR</v>
      </c>
      <c r="G97" s="242" t="str">
        <f>Translations!$B$1371</f>
        <v>CZ</v>
      </c>
      <c r="H97" s="242" t="str">
        <f>Translations!$B$1372</f>
        <v>DK</v>
      </c>
      <c r="I97" s="242" t="str">
        <f>Translations!$B$1373</f>
        <v>EE</v>
      </c>
      <c r="J97" s="242" t="str">
        <f>Translations!$B$1374</f>
        <v>FI</v>
      </c>
      <c r="K97" s="242" t="str">
        <f>Translations!$B$1375</f>
        <v>FR</v>
      </c>
      <c r="L97" s="242" t="str">
        <f>Translations!$B$1376</f>
        <v>DE</v>
      </c>
      <c r="M97" s="242" t="str">
        <f>Translations!$B$1377</f>
        <v>EL</v>
      </c>
      <c r="N97" s="242" t="str">
        <f>Translations!$B$1378</f>
        <v>HU</v>
      </c>
      <c r="O97" s="242" t="str">
        <f>Translations!$B$1379</f>
        <v>IS</v>
      </c>
      <c r="P97" s="242" t="str">
        <f>Translations!$B$1380</f>
        <v>IE</v>
      </c>
      <c r="Q97" s="242" t="str">
        <f>Translations!$B$1381</f>
        <v>IT</v>
      </c>
      <c r="R97" s="242" t="str">
        <f>Translations!$B$1382</f>
        <v>LV</v>
      </c>
      <c r="S97" s="242" t="str">
        <f>Translations!$B$1383</f>
        <v>LI</v>
      </c>
      <c r="T97" s="242" t="str">
        <f>Translations!$B$1384</f>
        <v>LT</v>
      </c>
      <c r="U97" s="242" t="str">
        <f>Translations!$B$1385</f>
        <v>LU</v>
      </c>
      <c r="V97" s="242" t="str">
        <f>Translations!$B$1386</f>
        <v>MT</v>
      </c>
      <c r="W97" s="242" t="str">
        <f>Translations!$B$1387</f>
        <v>NL</v>
      </c>
      <c r="X97" s="242" t="str">
        <f>Translations!$B$1388</f>
        <v>NO</v>
      </c>
      <c r="Y97" s="242" t="str">
        <f>Translations!$B$1389</f>
        <v>PL</v>
      </c>
      <c r="Z97" s="242" t="str">
        <f>Translations!$B$1390</f>
        <v>PT</v>
      </c>
      <c r="AA97" s="242" t="str">
        <f>Translations!$B$1391</f>
        <v>RO</v>
      </c>
      <c r="AB97" s="242" t="str">
        <f>Translations!$B$1392</f>
        <v>SK</v>
      </c>
      <c r="AC97" s="242" t="str">
        <f>Translations!$B$1393</f>
        <v>SI</v>
      </c>
      <c r="AD97" s="242" t="str">
        <f>Translations!$B$1394</f>
        <v>ES</v>
      </c>
      <c r="AE97" s="242" t="str">
        <f>Translations!$B$1395</f>
        <v>SE</v>
      </c>
      <c r="AF97" s="242" t="str">
        <f>Translations!$B$1396</f>
        <v>UK</v>
      </c>
    </row>
    <row r="98" spans="1:32" x14ac:dyDescent="0.2">
      <c r="A98" s="579" t="s">
        <v>538</v>
      </c>
      <c r="B98" s="2" t="str">
        <f>Translations!$B$1366</f>
        <v>AT</v>
      </c>
      <c r="C98" s="2" t="str">
        <f>Translations!$B$1367</f>
        <v>BE</v>
      </c>
      <c r="D98" s="2" t="str">
        <f>Translations!$B$1368</f>
        <v>BG</v>
      </c>
      <c r="E98" s="2" t="str">
        <f>Translations!$B$1369</f>
        <v>CY</v>
      </c>
      <c r="F98" s="2" t="str">
        <f>Translations!$B$1370</f>
        <v>HR</v>
      </c>
      <c r="G98" s="2" t="str">
        <f>Translations!$B$1371</f>
        <v>CZ</v>
      </c>
      <c r="H98" s="2" t="str">
        <f>Translations!$B$1372</f>
        <v>DK</v>
      </c>
      <c r="I98" s="2" t="str">
        <f>Translations!$B$1373</f>
        <v>EE</v>
      </c>
      <c r="J98" s="2" t="str">
        <f>Translations!$B$1374</f>
        <v>FI</v>
      </c>
      <c r="K98" s="2" t="str">
        <f>Translations!$B$1375</f>
        <v>FR</v>
      </c>
      <c r="L98" s="2" t="str">
        <f>Translations!$B$1376</f>
        <v>DE</v>
      </c>
      <c r="M98" s="2" t="str">
        <f>Translations!$B$1397</f>
        <v>GR</v>
      </c>
      <c r="N98" s="2" t="str">
        <f>Translations!$B$1378</f>
        <v>HU</v>
      </c>
      <c r="O98" s="2" t="str">
        <f>Translations!$B$1379</f>
        <v>IS</v>
      </c>
      <c r="P98" s="2" t="str">
        <f>Translations!$B$1380</f>
        <v>IE</v>
      </c>
      <c r="Q98" s="2" t="str">
        <f>Translations!$B$1381</f>
        <v>IT</v>
      </c>
      <c r="R98" s="2" t="str">
        <f>Translations!$B$1382</f>
        <v>LV</v>
      </c>
      <c r="S98" s="2" t="str">
        <f>Translations!$B$1383</f>
        <v>LI</v>
      </c>
      <c r="T98" s="2" t="str">
        <f>Translations!$B$1384</f>
        <v>LT</v>
      </c>
      <c r="U98" s="2" t="str">
        <f>Translations!$B$1385</f>
        <v>LU</v>
      </c>
      <c r="V98" s="2" t="str">
        <f>Translations!$B$1386</f>
        <v>MT</v>
      </c>
      <c r="W98" s="2" t="str">
        <f>Translations!$B$1387</f>
        <v>NL</v>
      </c>
      <c r="X98" s="2" t="str">
        <f>Translations!$B$1388</f>
        <v>NO</v>
      </c>
      <c r="Y98" s="2" t="str">
        <f>Translations!$B$1389</f>
        <v>PL</v>
      </c>
      <c r="Z98" s="2" t="str">
        <f>Translations!$B$1390</f>
        <v>PT</v>
      </c>
      <c r="AA98" s="2" t="str">
        <f>Translations!$B$1391</f>
        <v>RO</v>
      </c>
      <c r="AB98" s="2" t="str">
        <f>Translations!$B$1392</f>
        <v>SK</v>
      </c>
      <c r="AC98" s="2" t="str">
        <f>Translations!$B$1393</f>
        <v>SI</v>
      </c>
      <c r="AD98" s="2" t="str">
        <f>Translations!$B$1394</f>
        <v>ES</v>
      </c>
      <c r="AE98" s="2" t="str">
        <f>Translations!$B$1395</f>
        <v>SE</v>
      </c>
      <c r="AF98" s="2" t="str">
        <f>Translations!$B$1398</f>
        <v>GB</v>
      </c>
    </row>
    <row r="99" spans="1:32" x14ac:dyDescent="0.2">
      <c r="A99" s="200" t="s">
        <v>360</v>
      </c>
      <c r="B99" s="422" t="str">
        <f>Translations!$B$1399</f>
        <v>Odpowiedź na pytania a), b) i d) jest obowiązkowa!</v>
      </c>
      <c r="C99" s="1"/>
      <c r="D99" s="200"/>
      <c r="E99" s="200"/>
      <c r="F99" s="200"/>
      <c r="G99" s="200"/>
    </row>
    <row r="100" spans="1:32" x14ac:dyDescent="0.2">
      <c r="A100" s="200" t="s">
        <v>271</v>
      </c>
      <c r="B100" s="422" t="str">
        <f>Translations!$B$1400</f>
        <v>W pkt. A.II.1 odpowiedź na jedno z pytań – e) lub f) – jest obowiązkowa!</v>
      </c>
      <c r="C100" s="1"/>
      <c r="D100" s="200"/>
      <c r="E100" s="200"/>
      <c r="F100" s="200"/>
      <c r="G100" s="200"/>
    </row>
    <row r="101" spans="1:32" x14ac:dyDescent="0.2">
      <c r="A101" s="200" t="s">
        <v>359</v>
      </c>
      <c r="B101" s="422" t="str">
        <f>Translations!$B$1401</f>
        <v>Odpowiedź na pytanie A.II.1 lit. g) jest obowiązkowa!</v>
      </c>
      <c r="C101" s="1"/>
      <c r="D101" s="200"/>
      <c r="E101" s="200"/>
      <c r="F101" s="200"/>
      <c r="G101" s="200"/>
    </row>
    <row r="102" spans="1:32" x14ac:dyDescent="0.2">
      <c r="A102" s="200" t="s">
        <v>363</v>
      </c>
      <c r="B102" s="2" t="str">
        <f>Translations!$B$1402</f>
        <v>Co najmniej jedna nazwa podinstalacji została wprowadzona więcej niż jeden raz. Proszę poprawić ten błąd!</v>
      </c>
      <c r="C102" s="1"/>
      <c r="D102" s="200"/>
      <c r="E102" s="200"/>
      <c r="F102" s="200"/>
      <c r="G102" s="200"/>
    </row>
    <row r="103" spans="1:32" x14ac:dyDescent="0.2">
      <c r="A103" s="200" t="s">
        <v>364</v>
      </c>
      <c r="B103" s="2" t="str">
        <f>Translations!$B$1403</f>
        <v>W części III.1 lub III.2 należy wybrać przynajmniej jedną podinstalację!</v>
      </c>
      <c r="C103" s="1"/>
      <c r="D103" s="200"/>
      <c r="E103" s="200"/>
      <c r="F103" s="200"/>
      <c r="G103" s="200"/>
    </row>
    <row r="104" spans="1:32" x14ac:dyDescent="0.2">
      <c r="A104" s="200" t="s">
        <v>365</v>
      </c>
      <c r="B104" s="2" t="str">
        <f>Translations!$B$1404</f>
        <v>Dla każdej podinstalacji należy określić, czy jest to istotne czy nie!</v>
      </c>
      <c r="C104" s="1"/>
      <c r="D104" s="200"/>
      <c r="E104" s="200"/>
      <c r="F104" s="200"/>
      <c r="G104" s="200"/>
    </row>
    <row r="105" spans="1:32" x14ac:dyDescent="0.2">
      <c r="A105" s="200" t="s">
        <v>368</v>
      </c>
      <c r="B105" s="2" t="str">
        <f>Translations!$B$1405</f>
        <v>Proszę podać informacje w lit. b) i c) powyżej!</v>
      </c>
      <c r="C105" s="1"/>
      <c r="D105" s="200"/>
      <c r="E105" s="200"/>
      <c r="F105" s="200"/>
      <c r="G105" s="200"/>
    </row>
    <row r="106" spans="1:32" x14ac:dyDescent="0.2">
      <c r="A106" s="200" t="s">
        <v>369</v>
      </c>
      <c r="B106" s="2" t="str">
        <f>Translations!$B$1406</f>
        <v>Proszę podać szczegółowe dane dotyczące strumienia materiałów wsadowych, zaczynając od części II poniżej!</v>
      </c>
      <c r="C106" s="1"/>
      <c r="D106" s="200"/>
      <c r="E106" s="200"/>
      <c r="F106" s="200"/>
      <c r="G106" s="200"/>
    </row>
    <row r="107" spans="1:32" x14ac:dyDescent="0.2">
      <c r="A107" s="576" t="s">
        <v>370</v>
      </c>
      <c r="B107" s="2" t="str">
        <f>Translations!$B$1407</f>
        <v>Proszę kontynuować podawanie całkowitych emisji w części D.I.2 w arkuszu „D_Emissions”!</v>
      </c>
      <c r="C107" s="1"/>
      <c r="D107" s="200"/>
      <c r="E107" s="200"/>
      <c r="F107" s="200"/>
      <c r="G107" s="200"/>
    </row>
    <row r="108" spans="1:32" x14ac:dyDescent="0.2">
      <c r="A108" s="200" t="s">
        <v>197</v>
      </c>
      <c r="B108" s="2" t="str">
        <f>Translations!$B$1408</f>
        <v>Proszę także podać dane w części E.II.4!</v>
      </c>
      <c r="C108" s="1"/>
      <c r="D108" s="200"/>
      <c r="E108" s="200"/>
      <c r="F108" s="200"/>
      <c r="G108" s="200"/>
    </row>
    <row r="109" spans="1:32" x14ac:dyDescent="0.2">
      <c r="A109" s="200" t="s">
        <v>196</v>
      </c>
      <c r="B109" s="2" t="str">
        <f>Translations!$B$1409</f>
        <v>Proszę także podać dane w części D.II.3. lit. a)!</v>
      </c>
      <c r="C109" s="1"/>
      <c r="D109" s="200"/>
      <c r="E109" s="200"/>
      <c r="F109" s="200"/>
      <c r="G109" s="200"/>
    </row>
    <row r="110" spans="1:32" x14ac:dyDescent="0.2">
      <c r="A110" s="423" t="s">
        <v>575</v>
      </c>
      <c r="B110" s="422" t="str">
        <f>Translations!$B$1410</f>
        <v>ERR_AttrEmBM_ </v>
      </c>
      <c r="C110" s="1"/>
      <c r="D110" s="200"/>
      <c r="E110" s="200"/>
      <c r="F110" s="200"/>
      <c r="G110" s="200"/>
    </row>
    <row r="111" spans="1:32" x14ac:dyDescent="0.2">
      <c r="A111" s="200" t="s">
        <v>393</v>
      </c>
      <c r="B111" s="2" t="str">
        <f>Translations!$B$1411</f>
        <v xml:space="preserve">Szczegółowe instrukcje dotyczące wprowadzania danych w tym narzędziu znajdują się w pierwszej kopii tego narzędzia. </v>
      </c>
      <c r="C111" s="1"/>
      <c r="D111" s="200"/>
      <c r="E111" s="200"/>
      <c r="F111" s="200"/>
      <c r="G111" s="200"/>
    </row>
    <row r="112" spans="1:32" x14ac:dyDescent="0.2">
      <c r="A112" s="423" t="s">
        <v>585</v>
      </c>
      <c r="B112" s="422" t="str">
        <f>Translations!$B$1412</f>
        <v>Informacje dotyczące przypisania emisji do podinstalacji znajdują się w arkuszu podsumowania.</v>
      </c>
      <c r="C112" s="1"/>
      <c r="D112" s="200"/>
      <c r="E112" s="200"/>
      <c r="F112" s="200"/>
      <c r="G112" s="200"/>
    </row>
    <row r="113" spans="1:16" x14ac:dyDescent="0.2">
      <c r="A113" s="200" t="s">
        <v>394</v>
      </c>
      <c r="B113" s="2" t="str">
        <f>Translations!$B$1413</f>
        <v>Proszę przejść do arkusza „F_ProductBM”!</v>
      </c>
      <c r="C113" s="1"/>
      <c r="D113" s="200"/>
      <c r="E113" s="200"/>
      <c r="F113" s="200"/>
      <c r="G113" s="200"/>
    </row>
    <row r="114" spans="1:16" x14ac:dyDescent="0.2">
      <c r="A114" s="200" t="s">
        <v>395</v>
      </c>
      <c r="B114" s="2" t="str">
        <f>Translations!$B$1414</f>
        <v>Proszę przejść do części E.II.2</v>
      </c>
      <c r="C114" s="1"/>
      <c r="D114" s="200"/>
      <c r="E114" s="200"/>
      <c r="F114" s="200"/>
      <c r="G114" s="200"/>
    </row>
    <row r="115" spans="1:16" x14ac:dyDescent="0.2">
      <c r="A115" s="200" t="s">
        <v>396</v>
      </c>
      <c r="B115" s="2" t="str">
        <f>Translations!$B$1415</f>
        <v>Proszę przejść do kolejnych punktów poniżej</v>
      </c>
      <c r="C115" s="1"/>
      <c r="D115" s="200"/>
      <c r="E115" s="200"/>
      <c r="F115" s="200"/>
      <c r="G115" s="200"/>
    </row>
    <row r="116" spans="1:16" x14ac:dyDescent="0.2">
      <c r="A116" s="200" t="s">
        <v>198</v>
      </c>
      <c r="B116" s="2" t="str">
        <f>Translations!$B$1416</f>
        <v>Proszę użyć poniższego narzędzia dotyczącego zamienności energii elektrycznej.</v>
      </c>
      <c r="C116" s="1"/>
      <c r="D116" s="200"/>
      <c r="E116" s="200"/>
      <c r="F116" s="200"/>
      <c r="G116" s="200"/>
    </row>
    <row r="117" spans="1:16" x14ac:dyDescent="0.2">
      <c r="A117" s="200" t="s">
        <v>200</v>
      </c>
      <c r="B117" s="2" t="str">
        <f>Translations!$B$1417</f>
        <v>Proszę przejść do lit. d) poniżej.</v>
      </c>
      <c r="C117" s="1"/>
      <c r="D117" s="200"/>
      <c r="E117" s="200"/>
      <c r="F117" s="200"/>
      <c r="G117" s="200"/>
    </row>
    <row r="118" spans="1:16" x14ac:dyDescent="0.2">
      <c r="A118" s="200" t="s">
        <v>201</v>
      </c>
      <c r="B118" s="2" t="str">
        <f>Translations!$B$1418</f>
        <v>Jeśli nie dotyczy on Państwa instalacji, proszę przejść do kolejnych punktów.</v>
      </c>
      <c r="C118" s="1"/>
      <c r="D118" s="200"/>
      <c r="E118" s="200"/>
      <c r="F118" s="200"/>
      <c r="G118" s="200"/>
    </row>
    <row r="119" spans="1:16" x14ac:dyDescent="0.2">
      <c r="A119" s="200" t="s">
        <v>204</v>
      </c>
      <c r="B119" s="2" t="str">
        <f>Translations!$B$1419</f>
        <v>Daty powinny być posortowane rosnąco!</v>
      </c>
      <c r="C119" s="1"/>
      <c r="D119" s="200"/>
      <c r="E119" s="200"/>
      <c r="F119" s="200"/>
      <c r="G119" s="200"/>
    </row>
    <row r="120" spans="1:16" x14ac:dyDescent="0.2">
      <c r="A120" s="200" t="s">
        <v>311</v>
      </c>
      <c r="B120" s="2" t="str">
        <f>Translations!$B$1420</f>
        <v>Brak działania (A.I.4 lit. a))!</v>
      </c>
      <c r="C120" s="1"/>
      <c r="D120" s="200"/>
      <c r="E120" s="200"/>
      <c r="F120" s="200"/>
      <c r="G120" s="200"/>
    </row>
    <row r="121" spans="1:16" x14ac:dyDescent="0.2">
      <c r="A121" s="576" t="s">
        <v>29</v>
      </c>
      <c r="B121" s="2" t="str">
        <f>Translations!$B$1421</f>
        <v>Proszę podać dane w tej części!</v>
      </c>
      <c r="C121" s="1"/>
      <c r="D121" s="200"/>
      <c r="E121" s="200"/>
      <c r="F121" s="200"/>
      <c r="G121" s="200"/>
    </row>
    <row r="122" spans="1:16" x14ac:dyDescent="0.2">
      <c r="A122" s="200" t="s">
        <v>30</v>
      </c>
      <c r="B122" s="2" t="str">
        <f>Translations!$B$1422</f>
        <v>Proszę przejść do kolejnej podinstalacji!</v>
      </c>
      <c r="C122" s="1"/>
      <c r="D122" s="200"/>
      <c r="E122" s="200"/>
      <c r="F122" s="200"/>
      <c r="G122" s="200"/>
    </row>
    <row r="123" spans="1:16" x14ac:dyDescent="0.2">
      <c r="A123" s="200" t="s">
        <v>35</v>
      </c>
      <c r="B123" s="2" t="str">
        <f>Translations!$B$1423</f>
        <v>Proszę kliknąć tutaj, aby wrócić do arkusza „F_ProductBM”.</v>
      </c>
      <c r="C123" s="1"/>
      <c r="D123" s="200"/>
      <c r="E123" s="200"/>
      <c r="F123" s="200"/>
      <c r="G123" s="200"/>
    </row>
    <row r="124" spans="1:16" x14ac:dyDescent="0.2">
      <c r="A124" s="200" t="s">
        <v>55</v>
      </c>
      <c r="B124" s="2" t="str">
        <f>Translations!$B$1424</f>
        <v>Proszę kontynuować wprowadzanie danych w lit. c) i d)!</v>
      </c>
      <c r="C124" s="1"/>
      <c r="D124" s="200"/>
      <c r="E124" s="200"/>
      <c r="F124" s="200"/>
      <c r="G124" s="200"/>
    </row>
    <row r="125" spans="1:16" x14ac:dyDescent="0.2">
      <c r="A125" s="200" t="s">
        <v>56</v>
      </c>
      <c r="B125" s="2" t="str">
        <f>Translations!$B$1425</f>
        <v>Proszę przejść do lit. e)!</v>
      </c>
      <c r="C125" s="1"/>
      <c r="D125" s="200"/>
      <c r="E125" s="200"/>
      <c r="F125" s="200"/>
      <c r="G125" s="200"/>
    </row>
    <row r="126" spans="1:16" x14ac:dyDescent="0.2">
      <c r="A126" s="423" t="s">
        <v>439</v>
      </c>
      <c r="B126" s="422" t="s">
        <v>438</v>
      </c>
      <c r="C126" s="2"/>
      <c r="D126" s="2"/>
      <c r="E126" s="2"/>
      <c r="F126" s="2"/>
      <c r="G126" s="2"/>
      <c r="H126" s="2"/>
      <c r="I126" s="2"/>
      <c r="J126" s="2"/>
      <c r="K126" s="2"/>
      <c r="L126" s="2"/>
      <c r="M126" s="2"/>
      <c r="N126" s="2"/>
      <c r="O126" s="2"/>
      <c r="P126" s="2"/>
    </row>
    <row r="127" spans="1:16" x14ac:dyDescent="0.2">
      <c r="A127" s="423" t="s">
        <v>586</v>
      </c>
      <c r="B127" s="422" t="s">
        <v>587</v>
      </c>
      <c r="C127" s="2"/>
      <c r="D127" s="2"/>
      <c r="E127" s="2"/>
      <c r="F127" s="2"/>
      <c r="G127" s="2"/>
      <c r="H127" s="2"/>
      <c r="I127" s="2"/>
      <c r="J127" s="2"/>
      <c r="K127" s="2"/>
      <c r="L127" s="2"/>
      <c r="M127" s="2"/>
      <c r="N127" s="2"/>
      <c r="O127" s="2"/>
      <c r="P127" s="2"/>
    </row>
    <row r="128" spans="1:16" x14ac:dyDescent="0.2">
      <c r="A128" s="423" t="s">
        <v>627</v>
      </c>
      <c r="B128" s="422" t="s">
        <v>628</v>
      </c>
      <c r="C128" s="1"/>
      <c r="D128" s="200"/>
      <c r="E128" s="200"/>
      <c r="F128" s="200"/>
      <c r="G128" s="200"/>
    </row>
    <row r="129" spans="1:7" x14ac:dyDescent="0.2">
      <c r="A129" s="423" t="s">
        <v>435</v>
      </c>
      <c r="B129" s="422" t="s">
        <v>433</v>
      </c>
      <c r="C129" s="1"/>
      <c r="D129" s="200"/>
      <c r="E129" s="200"/>
      <c r="F129" s="200"/>
      <c r="G129" s="200"/>
    </row>
    <row r="130" spans="1:7" x14ac:dyDescent="0.2">
      <c r="A130" s="423" t="s">
        <v>443</v>
      </c>
      <c r="B130" s="422" t="s">
        <v>442</v>
      </c>
      <c r="C130" s="1"/>
      <c r="D130" s="200"/>
      <c r="E130" s="200"/>
      <c r="F130" s="200"/>
      <c r="G130" s="200"/>
    </row>
    <row r="131" spans="1:7" x14ac:dyDescent="0.2">
      <c r="A131" s="423" t="s">
        <v>539</v>
      </c>
      <c r="B131" s="422" t="s">
        <v>540</v>
      </c>
      <c r="C131" s="1"/>
      <c r="D131" s="200"/>
      <c r="E131" s="200"/>
      <c r="F131" s="200"/>
      <c r="G131" s="200"/>
    </row>
    <row r="132" spans="1:7" x14ac:dyDescent="0.2">
      <c r="A132" s="423" t="s">
        <v>589</v>
      </c>
      <c r="B132" s="422" t="s">
        <v>590</v>
      </c>
      <c r="C132" s="1"/>
      <c r="D132" s="200"/>
      <c r="E132" s="200"/>
      <c r="F132" s="200"/>
      <c r="G132" s="200"/>
    </row>
    <row r="133" spans="1:7" x14ac:dyDescent="0.2">
      <c r="A133" s="423" t="s">
        <v>543</v>
      </c>
      <c r="B133" s="422" t="s">
        <v>544</v>
      </c>
      <c r="C133" s="1"/>
      <c r="D133" s="200"/>
      <c r="E133" s="200"/>
      <c r="F133" s="200"/>
      <c r="G133" s="200"/>
    </row>
    <row r="134" spans="1:7" x14ac:dyDescent="0.2">
      <c r="A134" s="423" t="s">
        <v>591</v>
      </c>
      <c r="B134" s="422" t="s">
        <v>592</v>
      </c>
      <c r="C134" s="1"/>
      <c r="D134" s="200"/>
      <c r="E134" s="200"/>
      <c r="F134" s="200"/>
      <c r="G134" s="200"/>
    </row>
    <row r="135" spans="1:7" x14ac:dyDescent="0.2">
      <c r="A135" s="423" t="s">
        <v>541</v>
      </c>
      <c r="B135" s="422" t="s">
        <v>542</v>
      </c>
      <c r="C135" s="1"/>
      <c r="D135" s="200"/>
      <c r="E135" s="200"/>
      <c r="F135" s="200"/>
      <c r="G135" s="200"/>
    </row>
    <row r="136" spans="1:7" x14ac:dyDescent="0.2">
      <c r="A136" s="423" t="s">
        <v>593</v>
      </c>
      <c r="B136" s="422" t="s">
        <v>594</v>
      </c>
      <c r="C136" s="1"/>
      <c r="D136" s="200"/>
      <c r="E136" s="200"/>
      <c r="F136" s="200"/>
      <c r="G136" s="200"/>
    </row>
    <row r="137" spans="1:7" x14ac:dyDescent="0.2">
      <c r="A137" s="423" t="s">
        <v>450</v>
      </c>
      <c r="B137" s="422" t="s">
        <v>453</v>
      </c>
      <c r="C137" s="1"/>
      <c r="D137" s="200"/>
      <c r="E137" s="200"/>
      <c r="F137" s="200"/>
      <c r="G137" s="200"/>
    </row>
    <row r="138" spans="1:7" x14ac:dyDescent="0.2">
      <c r="A138" s="423" t="s">
        <v>451</v>
      </c>
      <c r="B138" s="422" t="s">
        <v>452</v>
      </c>
      <c r="C138" s="1"/>
      <c r="D138" s="200"/>
      <c r="E138" s="200"/>
      <c r="F138" s="200"/>
      <c r="G138" s="200"/>
    </row>
    <row r="139" spans="1:7" x14ac:dyDescent="0.2">
      <c r="A139" s="423" t="s">
        <v>436</v>
      </c>
      <c r="B139" s="422" t="s">
        <v>434</v>
      </c>
      <c r="C139" s="1"/>
      <c r="D139" s="200"/>
      <c r="E139" s="200"/>
      <c r="F139" s="200"/>
      <c r="G139" s="200"/>
    </row>
    <row r="140" spans="1:7" x14ac:dyDescent="0.2">
      <c r="A140" s="423" t="s">
        <v>440</v>
      </c>
      <c r="B140" s="422" t="s">
        <v>441</v>
      </c>
      <c r="C140" s="1"/>
      <c r="D140" s="200"/>
      <c r="E140" s="200"/>
      <c r="F140" s="200"/>
      <c r="G140" s="200"/>
    </row>
    <row r="141" spans="1:7" x14ac:dyDescent="0.2">
      <c r="A141" s="423" t="s">
        <v>444</v>
      </c>
      <c r="B141" s="422" t="s">
        <v>445</v>
      </c>
      <c r="C141" s="1"/>
      <c r="D141" s="200"/>
      <c r="E141" s="200"/>
      <c r="F141" s="200"/>
      <c r="G141" s="200"/>
    </row>
    <row r="142" spans="1:7" x14ac:dyDescent="0.2">
      <c r="A142" s="423" t="s">
        <v>446</v>
      </c>
      <c r="B142" s="422" t="s">
        <v>447</v>
      </c>
      <c r="C142" s="1"/>
      <c r="D142" s="200"/>
      <c r="E142" s="200"/>
      <c r="F142" s="200"/>
      <c r="G142" s="200"/>
    </row>
    <row r="143" spans="1:7" x14ac:dyDescent="0.2">
      <c r="A143" s="423" t="s">
        <v>490</v>
      </c>
      <c r="B143" s="422" t="s">
        <v>491</v>
      </c>
      <c r="C143" s="1"/>
      <c r="D143" s="200"/>
      <c r="E143" s="200"/>
      <c r="F143" s="200"/>
      <c r="G143" s="200"/>
    </row>
    <row r="144" spans="1:7" x14ac:dyDescent="0.2">
      <c r="A144" s="423" t="s">
        <v>492</v>
      </c>
      <c r="B144" s="422" t="s">
        <v>493</v>
      </c>
      <c r="C144" s="1"/>
      <c r="D144" s="200"/>
      <c r="E144" s="200"/>
      <c r="F144" s="200"/>
      <c r="G144" s="200"/>
    </row>
    <row r="145" spans="1:7" x14ac:dyDescent="0.2">
      <c r="A145" s="423" t="s">
        <v>448</v>
      </c>
      <c r="B145" s="422" t="s">
        <v>449</v>
      </c>
      <c r="C145" s="1"/>
      <c r="D145" s="200"/>
      <c r="E145" s="200"/>
      <c r="F145" s="200"/>
      <c r="G145" s="200"/>
    </row>
    <row r="146" spans="1:7" x14ac:dyDescent="0.2">
      <c r="A146" s="423" t="s">
        <v>555</v>
      </c>
      <c r="B146" s="422" t="s">
        <v>556</v>
      </c>
      <c r="C146" s="1"/>
      <c r="D146" s="200"/>
      <c r="E146" s="200"/>
      <c r="F146" s="200"/>
      <c r="G146" s="200"/>
    </row>
    <row r="147" spans="1:7" x14ac:dyDescent="0.2">
      <c r="A147" s="423" t="s">
        <v>465</v>
      </c>
      <c r="B147" s="422" t="s">
        <v>588</v>
      </c>
      <c r="C147" s="1"/>
      <c r="D147" s="200"/>
      <c r="E147" s="200"/>
      <c r="F147" s="200"/>
      <c r="G147" s="200"/>
    </row>
    <row r="148" spans="1:7" x14ac:dyDescent="0.2">
      <c r="A148" s="423" t="s">
        <v>608</v>
      </c>
      <c r="B148" s="422" t="s">
        <v>611</v>
      </c>
      <c r="C148" s="1"/>
      <c r="D148" s="200"/>
      <c r="E148" s="200"/>
      <c r="F148" s="200"/>
      <c r="G148" s="200"/>
    </row>
    <row r="149" spans="1:7" x14ac:dyDescent="0.2">
      <c r="A149" s="423" t="s">
        <v>609</v>
      </c>
      <c r="B149" s="422" t="s">
        <v>612</v>
      </c>
      <c r="C149" s="1"/>
      <c r="D149" s="200"/>
      <c r="E149" s="200"/>
      <c r="F149" s="200"/>
      <c r="G149" s="200"/>
    </row>
    <row r="150" spans="1:7" x14ac:dyDescent="0.2">
      <c r="A150" s="423" t="s">
        <v>610</v>
      </c>
      <c r="B150" s="422" t="s">
        <v>613</v>
      </c>
      <c r="C150" s="1"/>
      <c r="D150" s="200"/>
      <c r="E150" s="200"/>
      <c r="F150" s="200"/>
      <c r="G150" s="200"/>
    </row>
    <row r="151" spans="1:7" x14ac:dyDescent="0.2">
      <c r="A151" s="423" t="s">
        <v>616</v>
      </c>
      <c r="B151" s="422" t="s">
        <v>614</v>
      </c>
      <c r="C151" s="1"/>
      <c r="D151" s="200"/>
      <c r="E151" s="200"/>
      <c r="F151" s="200"/>
      <c r="G151" s="200"/>
    </row>
    <row r="152" spans="1:7" x14ac:dyDescent="0.2">
      <c r="A152" s="423" t="s">
        <v>617</v>
      </c>
      <c r="B152" s="422" t="s">
        <v>615</v>
      </c>
      <c r="C152" s="1"/>
      <c r="D152" s="200"/>
      <c r="E152" s="200"/>
      <c r="F152" s="200"/>
      <c r="G152" s="200"/>
    </row>
    <row r="153" spans="1:7" x14ac:dyDescent="0.2">
      <c r="A153" s="423" t="s">
        <v>523</v>
      </c>
      <c r="B153" s="422" t="s">
        <v>521</v>
      </c>
      <c r="C153" s="1"/>
      <c r="D153" s="200"/>
      <c r="E153" s="200"/>
      <c r="F153" s="200"/>
      <c r="G153" s="200"/>
    </row>
    <row r="154" spans="1:7" x14ac:dyDescent="0.2">
      <c r="A154" s="423" t="s">
        <v>524</v>
      </c>
      <c r="B154" s="422" t="s">
        <v>522</v>
      </c>
      <c r="C154" s="1"/>
      <c r="D154" s="200"/>
      <c r="E154" s="200"/>
      <c r="F154" s="200"/>
      <c r="G154" s="200"/>
    </row>
    <row r="155" spans="1:7" x14ac:dyDescent="0.2">
      <c r="A155" s="423" t="s">
        <v>599</v>
      </c>
      <c r="B155" s="422" t="s">
        <v>601</v>
      </c>
      <c r="C155" s="1"/>
      <c r="D155" s="200"/>
      <c r="E155" s="200"/>
      <c r="F155" s="200"/>
      <c r="G155" s="200"/>
    </row>
    <row r="156" spans="1:7" x14ac:dyDescent="0.2">
      <c r="A156" s="423" t="s">
        <v>600</v>
      </c>
      <c r="B156" s="422" t="s">
        <v>602</v>
      </c>
      <c r="C156" s="1"/>
      <c r="D156" s="200"/>
      <c r="E156" s="200"/>
      <c r="F156" s="200"/>
      <c r="G156" s="200"/>
    </row>
    <row r="157" spans="1:7" x14ac:dyDescent="0.2">
      <c r="A157" s="423" t="s">
        <v>525</v>
      </c>
      <c r="B157" s="422" t="s">
        <v>526</v>
      </c>
      <c r="C157" s="1"/>
      <c r="D157" s="200"/>
      <c r="E157" s="200"/>
      <c r="F157" s="200"/>
      <c r="G157" s="200"/>
    </row>
    <row r="158" spans="1:7" x14ac:dyDescent="0.2">
      <c r="A158" s="423" t="s">
        <v>559</v>
      </c>
      <c r="B158" s="422" t="s">
        <v>560</v>
      </c>
      <c r="C158" s="1"/>
      <c r="D158" s="200"/>
      <c r="E158" s="200"/>
      <c r="F158" s="200"/>
      <c r="G158" s="200"/>
    </row>
    <row r="159" spans="1:7" x14ac:dyDescent="0.2">
      <c r="A159" s="423" t="s">
        <v>469</v>
      </c>
      <c r="B159" s="242" t="str">
        <f>EUconst_tCO2&amp;" / "&amp;EUconst_MWh</f>
        <v>t CO2 / MWh</v>
      </c>
      <c r="C159" s="1"/>
      <c r="D159" s="200"/>
      <c r="E159" s="200"/>
      <c r="F159" s="200"/>
      <c r="G159" s="200"/>
    </row>
    <row r="160" spans="1:7" x14ac:dyDescent="0.2">
      <c r="A160" s="423" t="s">
        <v>470</v>
      </c>
      <c r="B160" s="2">
        <v>56.1</v>
      </c>
      <c r="C160" s="1"/>
      <c r="D160" s="200"/>
      <c r="E160" s="200"/>
      <c r="F160" s="200"/>
      <c r="G160" s="200"/>
    </row>
    <row r="161" spans="1:13" x14ac:dyDescent="0.2">
      <c r="A161" s="423" t="s">
        <v>554</v>
      </c>
      <c r="B161" s="2">
        <v>0.66700000000000004</v>
      </c>
      <c r="C161" s="1"/>
      <c r="D161" s="200"/>
      <c r="E161" s="200"/>
      <c r="F161" s="200"/>
      <c r="G161" s="200"/>
    </row>
    <row r="162" spans="1:13" x14ac:dyDescent="0.2">
      <c r="A162" s="423" t="s">
        <v>499</v>
      </c>
      <c r="B162" s="577">
        <v>0.3</v>
      </c>
      <c r="C162" s="577">
        <v>0.3</v>
      </c>
      <c r="D162" s="577">
        <v>0.3</v>
      </c>
      <c r="E162" s="577">
        <v>0.3</v>
      </c>
      <c r="F162" s="577">
        <v>0.3</v>
      </c>
      <c r="G162" s="577">
        <v>0.3</v>
      </c>
      <c r="H162" s="577">
        <f>G162-25%*$G$163</f>
        <v>0.22499999999999998</v>
      </c>
      <c r="I162" s="577">
        <f>H162-25%*$G$163</f>
        <v>0.14999999999999997</v>
      </c>
      <c r="J162" s="577">
        <f>I162-25%*$G$163</f>
        <v>7.4999999999999969E-2</v>
      </c>
      <c r="K162" s="577">
        <f>J162-25%*$G$163</f>
        <v>0</v>
      </c>
    </row>
    <row r="163" spans="1:13" x14ac:dyDescent="0.2">
      <c r="A163" s="423" t="s">
        <v>500</v>
      </c>
      <c r="B163" s="577">
        <v>0.3</v>
      </c>
      <c r="C163" s="577">
        <v>0.3</v>
      </c>
      <c r="D163" s="577">
        <v>0.3</v>
      </c>
      <c r="E163" s="577">
        <v>0.3</v>
      </c>
      <c r="F163" s="577">
        <v>0.3</v>
      </c>
      <c r="G163" s="577">
        <v>0.3</v>
      </c>
      <c r="H163" s="577">
        <v>0.3</v>
      </c>
      <c r="I163" s="577">
        <v>0.3</v>
      </c>
      <c r="J163" s="577">
        <v>0.3</v>
      </c>
      <c r="K163" s="577">
        <v>0.3</v>
      </c>
    </row>
    <row r="164" spans="1:13" x14ac:dyDescent="0.2">
      <c r="A164" s="423" t="s">
        <v>634</v>
      </c>
      <c r="B164" s="580" t="str">
        <f>Translations!$B$1426</f>
        <v>Wartość minimalna</v>
      </c>
      <c r="C164" s="580" t="str">
        <f>Translations!$B$178</f>
        <v>Wartość maksymalna</v>
      </c>
      <c r="D164" s="580" t="str">
        <f>Translations!$B$1427</f>
        <v>Wartość faktyczna</v>
      </c>
      <c r="E164" s="577"/>
      <c r="F164" s="577"/>
      <c r="G164" s="577"/>
      <c r="H164" s="577"/>
      <c r="I164" s="577"/>
      <c r="J164" s="577"/>
      <c r="K164" s="577"/>
    </row>
    <row r="165" spans="1:13" x14ac:dyDescent="0.2">
      <c r="A165" s="423"/>
      <c r="B165" s="577"/>
      <c r="C165" s="577"/>
      <c r="D165" s="577"/>
      <c r="E165" s="577"/>
      <c r="F165" s="577"/>
      <c r="G165" s="577"/>
      <c r="H165" s="577"/>
      <c r="I165" s="577"/>
      <c r="J165" s="577"/>
      <c r="K165" s="577"/>
    </row>
    <row r="166" spans="1:13" x14ac:dyDescent="0.2">
      <c r="A166" s="200"/>
      <c r="B166" s="200"/>
      <c r="C166" s="200"/>
      <c r="D166" s="200"/>
      <c r="E166" s="200"/>
      <c r="F166" s="200"/>
      <c r="G166" s="200"/>
    </row>
    <row r="167" spans="1:13" x14ac:dyDescent="0.2">
      <c r="A167" s="200"/>
      <c r="B167" s="200"/>
      <c r="C167" s="200"/>
      <c r="D167" s="200"/>
      <c r="E167" s="200"/>
      <c r="F167" s="200"/>
      <c r="G167" s="200"/>
    </row>
    <row r="168" spans="1:13" s="244" customFormat="1" x14ac:dyDescent="0.2">
      <c r="A168" s="244" t="str">
        <f>Translations!$B$1428</f>
        <v>Wykaz działań</v>
      </c>
      <c r="B168" s="1100" t="s">
        <v>648</v>
      </c>
      <c r="C168" s="1100"/>
      <c r="D168" s="1100"/>
      <c r="E168" s="1100"/>
      <c r="F168" s="1100"/>
      <c r="G168" s="1100"/>
      <c r="H168" s="1100" t="s">
        <v>649</v>
      </c>
    </row>
    <row r="169" spans="1:13" s="205" customFormat="1" x14ac:dyDescent="0.2">
      <c r="A169" s="245" t="str">
        <f>Translations!$B$1429</f>
        <v>Numer działania</v>
      </c>
      <c r="B169" s="245" t="str">
        <f>Translations!$B$1430</f>
        <v>Działanie (załącznik I do dyrektywy w sprawie EU ETS)</v>
      </c>
      <c r="C169" s="245"/>
      <c r="D169" s="245"/>
      <c r="E169" s="245"/>
      <c r="F169" s="245"/>
      <c r="G169" s="245"/>
      <c r="H169" s="245"/>
      <c r="I169" s="245"/>
      <c r="J169" s="245"/>
      <c r="K169" s="245"/>
      <c r="L169" s="245"/>
      <c r="M169" s="245"/>
    </row>
    <row r="170" spans="1:13" s="202" customFormat="1" x14ac:dyDescent="0.2">
      <c r="A170" s="202">
        <v>1</v>
      </c>
      <c r="B170" s="245" t="str">
        <f>IF(LEN(H170)&gt;250,LEFT(H170,250),H170)</f>
        <v>Spalanie paliw w instalacjach o całkowitej nominalnej mocy cieplnej przekraczającej 20 MW (z wyjątkiem instalacji spalania odpadów niebezpiecznych lub komunalnych)</v>
      </c>
      <c r="D170" s="205"/>
      <c r="H170" s="245" t="str">
        <f>Translations!$B$1431</f>
        <v>Spalanie paliw w instalacjach o całkowitej nominalnej mocy cieplnej przekraczającej 20 MW (z wyjątkiem instalacji spalania odpadów niebezpiecznych lub komunalnych)</v>
      </c>
    </row>
    <row r="171" spans="1:13" s="205" customFormat="1" x14ac:dyDescent="0.2">
      <c r="A171" s="205">
        <v>2</v>
      </c>
      <c r="B171" s="245" t="str">
        <f t="shared" ref="B171:B197" si="0">IF(LEN(H171)&gt;250,LEFT(H171,250),H171)</f>
        <v xml:space="preserve">Rafinowanie olejów mineralnych </v>
      </c>
      <c r="H171" s="246" t="str">
        <f>Translations!$B$1432</f>
        <v xml:space="preserve">Rafinowanie olejów mineralnych </v>
      </c>
    </row>
    <row r="172" spans="1:13" s="205" customFormat="1" x14ac:dyDescent="0.2">
      <c r="A172" s="205">
        <v>3</v>
      </c>
      <c r="B172" s="245" t="str">
        <f t="shared" si="0"/>
        <v xml:space="preserve">Produkcja koksu </v>
      </c>
      <c r="H172" s="246" t="str">
        <f>Translations!$B$1433</f>
        <v xml:space="preserve">Produkcja koksu </v>
      </c>
    </row>
    <row r="173" spans="1:13" s="205" customFormat="1" x14ac:dyDescent="0.2">
      <c r="A173" s="205">
        <v>4</v>
      </c>
      <c r="B173" s="245" t="str">
        <f t="shared" si="0"/>
        <v xml:space="preserve">Instalacje prażenia lub spiekania rud metali (łącznie z rudą siarczkową) </v>
      </c>
      <c r="H173" s="246" t="str">
        <f>Translations!$B$1434</f>
        <v xml:space="preserve">Instalacje prażenia lub spiekania rud metali (łącznie z rudą siarczkową) </v>
      </c>
    </row>
    <row r="174" spans="1:13" s="205" customFormat="1" x14ac:dyDescent="0.2">
      <c r="A174" s="205">
        <v>5</v>
      </c>
      <c r="B174" s="245" t="str">
        <f t="shared" si="0"/>
        <v xml:space="preserve">Produkcja surówki odlewniczej lub stali (pierwotny i wtórny wytop), łącznie z odlewaniem stałym, z wydajnością powyżej 2,5 tony na godzinę </v>
      </c>
      <c r="H174" s="246" t="str">
        <f>Translations!$B$1435</f>
        <v xml:space="preserve">Produkcja surówki odlewniczej lub stali (pierwotny i wtórny wytop), łącznie z odlewaniem stałym, z wydajnością powyżej 2,5 tony na godzinę </v>
      </c>
    </row>
    <row r="175" spans="1:13" s="205" customFormat="1" x14ac:dyDescent="0.2">
      <c r="A175" s="205">
        <v>6</v>
      </c>
      <c r="B175" s="245" t="str">
        <f t="shared" si="0"/>
        <v xml:space="preserve">Produkcja lub obróbka metali żelaznych (w tym stopów żelaznych), w której wykorzystywane są jednostki spalania o całkowitej nominalnej mocy cieplnej przekraczającej 20 MW Obróbka obejmuje między innymi walcownie, piece do ponownego ogrzewania, piece </v>
      </c>
      <c r="H175" s="246" t="str">
        <f>Translations!$B$1436</f>
        <v>Produkcja lub obróbka metali żelaznych (w tym stopów żelaznych), w której wykorzystywane są jednostki spalania o całkowitej nominalnej mocy cieplnej przekraczającej 20 MW Obróbka obejmuje między innymi walcownie, piece do ponownego ogrzewania, piece do wyżarzania, kuźnie, odlewnie oraz instalacje służące do powlekania i wytrawiania metali</v>
      </c>
    </row>
    <row r="176" spans="1:13" s="205" customFormat="1" x14ac:dyDescent="0.2">
      <c r="A176" s="205">
        <v>7</v>
      </c>
      <c r="B176" s="245" t="str">
        <f t="shared" si="0"/>
        <v xml:space="preserve">Produkcja pierwotnego aluminium </v>
      </c>
      <c r="H176" s="246" t="str">
        <f>Translations!$B$1437</f>
        <v xml:space="preserve">Produkcja pierwotnego aluminium </v>
      </c>
    </row>
    <row r="177" spans="1:8" s="205" customFormat="1" x14ac:dyDescent="0.2">
      <c r="A177" s="205">
        <v>8</v>
      </c>
      <c r="B177" s="245" t="str">
        <f t="shared" si="0"/>
        <v>Produkcja wtórnego aluminium, w której wykorzystywane są jednostki spalania o całkowitej nominalnej mocy cieplnej przekraczającej 20 MW</v>
      </c>
      <c r="H177" s="246" t="str">
        <f>Translations!$B$1438</f>
        <v>Produkcja wtórnego aluminium, w której wykorzystywane są jednostki spalania o całkowitej nominalnej mocy cieplnej przekraczającej 20 MW</v>
      </c>
    </row>
    <row r="178" spans="1:8" s="205" customFormat="1" x14ac:dyDescent="0.2">
      <c r="A178" s="205">
        <v>9</v>
      </c>
      <c r="B178" s="245" t="str">
        <f t="shared" si="0"/>
        <v>Produkcja lub obróbka metali nieżelaznych, w tym produkcja stopów, rafinacja, odlewnictwo itp., w której wykorzystywane są jednostki spalania o całkowitej nominalnej mocy cieplnej (w tym paliwa wykorzystywane jako czynniki redukujące) przekraczającej</v>
      </c>
      <c r="H178" s="246" t="str">
        <f>Translations!$B$1439</f>
        <v>Produkcja lub obróbka metali nieżelaznych, w tym produkcja stopów, rafinacja, odlewnictwo itp., w której wykorzystywane są jednostki spalania o całkowitej nominalnej mocy cieplnej (w tym paliwa wykorzystywane jako czynniki redukujące) przekraczającej 20 MW.</v>
      </c>
    </row>
    <row r="179" spans="1:8" s="205" customFormat="1" x14ac:dyDescent="0.2">
      <c r="A179" s="205">
        <v>10</v>
      </c>
      <c r="B179" s="245" t="str">
        <f t="shared" si="0"/>
        <v xml:space="preserve">Produkcja klinkieru cementowego w piecach obrotowych o zdolności produkcyjnej przekraczającej 500 ton dziennie lub innych piecach o zdolności produkcyjnej powyżej 50 ton dziennie </v>
      </c>
      <c r="H179" s="246" t="str">
        <f>Translations!$B$1440</f>
        <v xml:space="preserve">Produkcja klinkieru cementowego w piecach obrotowych o zdolności produkcyjnej przekraczającej 500 ton dziennie lub innych piecach o zdolności produkcyjnej powyżej 50 ton dziennie </v>
      </c>
    </row>
    <row r="180" spans="1:8" s="205" customFormat="1" x14ac:dyDescent="0.2">
      <c r="A180" s="205">
        <v>11</v>
      </c>
      <c r="B180" s="245" t="str">
        <f t="shared" si="0"/>
        <v xml:space="preserve">Produkcja wapna lub kalcynacja dolomitu lub magnezytu w piecach obrotowych lub innych piecach o zdolności produkcyjnej przekraczającej 50 ton dziennie </v>
      </c>
      <c r="H180" s="246" t="str">
        <f>Translations!$B$1441</f>
        <v xml:space="preserve">Produkcja wapna lub kalcynacja dolomitu lub magnezytu w piecach obrotowych lub innych piecach o zdolności produkcyjnej przekraczającej 50 ton dziennie </v>
      </c>
    </row>
    <row r="181" spans="1:8" s="205" customFormat="1" x14ac:dyDescent="0.2">
      <c r="A181" s="205">
        <v>12</v>
      </c>
      <c r="B181" s="245" t="str">
        <f t="shared" si="0"/>
        <v xml:space="preserve">Wytwarzanie szkła, łącznie z włóknem szklanym, z wydajnością przetopu przekraczającą 20 ton dziennie </v>
      </c>
      <c r="H181" s="246" t="str">
        <f>Translations!$B$1442</f>
        <v xml:space="preserve">Wytwarzanie szkła, łącznie z włóknem szklanym, z wydajnością przetopu przekraczającą 20 ton dziennie </v>
      </c>
    </row>
    <row r="182" spans="1:8" s="205" customFormat="1" x14ac:dyDescent="0.2">
      <c r="A182" s="205">
        <v>13</v>
      </c>
      <c r="B182" s="245" t="str">
        <f t="shared" si="0"/>
        <v xml:space="preserve">Produkcja wyrobów ceramicznych przez wypalanie, w szczególności produkcja dachówek, cegieł, cegieł ognioodpornych, kafelków, wyrobów kamionkowych i porcelany, o wydajności powyżej 75 ton dziennie </v>
      </c>
      <c r="H182" s="246" t="str">
        <f>Translations!$B$1443</f>
        <v xml:space="preserve">Produkcja wyrobów ceramicznych przez wypalanie, w szczególności produkcja dachówek, cegieł, cegieł ognioodpornych, kafelków, wyrobów kamionkowych i porcelany, o wydajności powyżej 75 ton dziennie </v>
      </c>
    </row>
    <row r="183" spans="1:8" s="205" customFormat="1" x14ac:dyDescent="0.2">
      <c r="A183" s="205">
        <v>14</v>
      </c>
      <c r="B183" s="245" t="str">
        <f t="shared" si="0"/>
        <v xml:space="preserve">Wytwarzanie materiałów izolacyjnych z wełny mineralnej z wykorzystaniem szkła, surowców skalnych lub żużlu przy użyciu zdolności produkcyjnej przekraczającej 20 ton dziennie </v>
      </c>
      <c r="H183" s="246" t="str">
        <f>Translations!$B$1444</f>
        <v xml:space="preserve">Wytwarzanie materiałów izolacyjnych z wełny mineralnej z wykorzystaniem szkła, surowców skalnych lub żużlu przy użyciu zdolności produkcyjnej przekraczającej 20 ton dziennie </v>
      </c>
    </row>
    <row r="184" spans="1:8" s="205" customFormat="1" x14ac:dyDescent="0.2">
      <c r="A184" s="205">
        <v>15</v>
      </c>
      <c r="B184" s="245" t="str">
        <f t="shared" si="0"/>
        <v xml:space="preserve">Osuszanie lub kalcynacja gipsu lub produkcja płyt gipsowo-kartonowych i innych wyrobów gipsowych, jeżeli wykorzystywane są instalacje spalania o łącznej nominalnej mocy cieplnej przekraczającej 20 MW </v>
      </c>
      <c r="H184" s="246" t="str">
        <f>Translations!$B$1445</f>
        <v xml:space="preserve">Osuszanie lub kalcynacja gipsu lub produkcja płyt gipsowo-kartonowych i innych wyrobów gipsowych, jeżeli wykorzystywane są instalacje spalania o łącznej nominalnej mocy cieplnej przekraczającej 20 MW </v>
      </c>
    </row>
    <row r="185" spans="1:8" s="205" customFormat="1" x14ac:dyDescent="0.2">
      <c r="A185" s="205">
        <v>16</v>
      </c>
      <c r="B185" s="245" t="str">
        <f t="shared" si="0"/>
        <v xml:space="preserve">Produkcja pulpy drzewnej lub innych materiałów włóknistych </v>
      </c>
      <c r="H185" s="246" t="str">
        <f>Translations!$B$1446</f>
        <v xml:space="preserve">Produkcja pulpy drzewnej lub innych materiałów włóknistych </v>
      </c>
    </row>
    <row r="186" spans="1:8" s="205" customFormat="1" x14ac:dyDescent="0.2">
      <c r="A186" s="205">
        <v>17</v>
      </c>
      <c r="B186" s="245" t="str">
        <f t="shared" si="0"/>
        <v xml:space="preserve">Produkcja papieru lub tektury o wydajności przekraczającej 20 ton dziennie </v>
      </c>
      <c r="H186" s="246" t="str">
        <f>Translations!$B$1447</f>
        <v xml:space="preserve">Produkcja papieru lub tektury o wydajności przekraczającej 20 ton dziennie </v>
      </c>
    </row>
    <row r="187" spans="1:8" s="205" customFormat="1" x14ac:dyDescent="0.2">
      <c r="A187" s="205">
        <v>18</v>
      </c>
      <c r="B187" s="245" t="str">
        <f t="shared" si="0"/>
        <v xml:space="preserve">Produkcja sadzy, w tym karbonizacja substancji organicznych takich jak oleje mineralne, smoły, pozostałości krakowania i destylacji, jeżeli wykorzystywane są jednostki spalania o całkowitej nominalnej mocy cieplnej przekraczającej 20 MW </v>
      </c>
      <c r="H187" s="246" t="str">
        <f>Translations!$B$1448</f>
        <v xml:space="preserve">Produkcja sadzy, w tym karbonizacja substancji organicznych takich jak oleje mineralne, smoły, pozostałości krakowania i destylacji, jeżeli wykorzystywane są jednostki spalania o całkowitej nominalnej mocy cieplnej przekraczającej 20 MW </v>
      </c>
    </row>
    <row r="188" spans="1:8" s="205" customFormat="1" x14ac:dyDescent="0.2">
      <c r="A188" s="205">
        <v>19</v>
      </c>
      <c r="B188" s="245" t="str">
        <f t="shared" si="0"/>
        <v xml:space="preserve">Produkcja kwasu azotowego </v>
      </c>
      <c r="H188" s="246" t="str">
        <f>Translations!$B$1449</f>
        <v xml:space="preserve">Produkcja kwasu azotowego </v>
      </c>
    </row>
    <row r="189" spans="1:8" s="205" customFormat="1" x14ac:dyDescent="0.2">
      <c r="A189" s="205">
        <v>20</v>
      </c>
      <c r="B189" s="245" t="str">
        <f t="shared" si="0"/>
        <v xml:space="preserve">Produkcja kwasu adypinowego </v>
      </c>
      <c r="H189" s="246" t="str">
        <f>Translations!$B$1450</f>
        <v xml:space="preserve">Produkcja kwasu adypinowego </v>
      </c>
    </row>
    <row r="190" spans="1:8" s="205" customFormat="1" x14ac:dyDescent="0.2">
      <c r="A190" s="205">
        <v>21</v>
      </c>
      <c r="B190" s="245" t="str">
        <f t="shared" si="0"/>
        <v>Produkcja kwasu glioksalowego i glioksylowego</v>
      </c>
      <c r="H190" s="246" t="str">
        <f>Translations!$B$1451</f>
        <v>Produkcja kwasu glioksalowego i glioksylowego</v>
      </c>
    </row>
    <row r="191" spans="1:8" s="205" customFormat="1" x14ac:dyDescent="0.2">
      <c r="A191" s="205">
        <v>22</v>
      </c>
      <c r="B191" s="245" t="str">
        <f t="shared" si="0"/>
        <v xml:space="preserve">Produkcja amoniaku </v>
      </c>
      <c r="H191" s="246" t="str">
        <f>Translations!$B$1452</f>
        <v xml:space="preserve">Produkcja amoniaku </v>
      </c>
    </row>
    <row r="192" spans="1:8" s="205" customFormat="1" x14ac:dyDescent="0.2">
      <c r="A192" s="205">
        <v>23</v>
      </c>
      <c r="B192" s="245" t="str">
        <f t="shared" si="0"/>
        <v xml:space="preserve">Produkcja chemikaliów organicznych luzem poprzez krakowanie, reformowanie, częściowe lub pełne utlenianie albo poprzez podobne procesy, przy zdolności produkcyjnej przekraczającej 100 ton dziennie </v>
      </c>
      <c r="H192" s="246" t="str">
        <f>Translations!$B$1453</f>
        <v xml:space="preserve">Produkcja chemikaliów organicznych luzem poprzez krakowanie, reformowanie, częściowe lub pełne utlenianie albo poprzez podobne procesy, przy zdolności produkcyjnej przekraczającej 100 ton dziennie </v>
      </c>
    </row>
    <row r="193" spans="1:19" s="205" customFormat="1" x14ac:dyDescent="0.2">
      <c r="A193" s="205">
        <v>24</v>
      </c>
      <c r="B193" s="245" t="str">
        <f t="shared" si="0"/>
        <v xml:space="preserve">Produkcja wodoru (H2) i gazu do syntezy w drodze reformowania lub częściowego utleniania, przy zdolności produkcyjnej przekraczającej 25 ton dziennie </v>
      </c>
      <c r="H193" s="246" t="str">
        <f>Translations!$B$1454</f>
        <v xml:space="preserve">Produkcja wodoru (H2) i gazu do syntezy w drodze reformowania lub częściowego utleniania, przy zdolności produkcyjnej przekraczającej 25 ton dziennie </v>
      </c>
    </row>
    <row r="194" spans="1:19" s="205" customFormat="1" x14ac:dyDescent="0.2">
      <c r="A194" s="205">
        <v>25</v>
      </c>
      <c r="B194" s="245" t="str">
        <f t="shared" si="0"/>
        <v xml:space="preserve">Produkcja węglanu sodowego (Na2CO3) oraz wodorowęglanu sodu (NaHCO3) </v>
      </c>
      <c r="H194" s="246" t="str">
        <f>Translations!$B$1455</f>
        <v xml:space="preserve">Produkcja węglanu sodowego (Na2CO3) oraz wodorowęglanu sodu (NaHCO3) </v>
      </c>
    </row>
    <row r="195" spans="1:19" s="205" customFormat="1" x14ac:dyDescent="0.2">
      <c r="A195" s="205">
        <v>26</v>
      </c>
      <c r="B195" s="245" t="str">
        <f t="shared" si="0"/>
        <v>Wychwytywanie gazów cieplarnianych z instalacji objętych niniejszą dyrektywą celem ich transportu i geologicznego składowania w składowisku dopuszczonym na mocy dyrektywy 2009/31/WE</v>
      </c>
      <c r="H195" s="246" t="str">
        <f>Translations!$B$1456</f>
        <v>Wychwytywanie gazów cieplarnianych z instalacji objętych niniejszą dyrektywą celem ich transportu i geologicznego składowania w składowisku dopuszczonym na mocy dyrektywy 2009/31/WE</v>
      </c>
    </row>
    <row r="196" spans="1:19" s="205" customFormat="1" x14ac:dyDescent="0.2">
      <c r="A196" s="205">
        <v>27</v>
      </c>
      <c r="B196" s="245" t="str">
        <f t="shared" si="0"/>
        <v>Transport gazów cieplarnianych rurociągami w celu ich geologicznego składowania w składowisku dopuszczonym na mocy dyrektywy 2009/31/WE</v>
      </c>
      <c r="H196" s="246" t="str">
        <f>Translations!$B$1457</f>
        <v>Transport gazów cieplarnianych rurociągami w celu ich geologicznego składowania w składowisku dopuszczonym na mocy dyrektywy 2009/31/WE</v>
      </c>
    </row>
    <row r="197" spans="1:19" s="205" customFormat="1" x14ac:dyDescent="0.2">
      <c r="A197" s="205">
        <v>28</v>
      </c>
      <c r="B197" s="245" t="str">
        <f t="shared" si="0"/>
        <v>Geologiczne składowanie gazów cieplarnianych w składowisku dopuszczonym na mocy dyrektywy 2009/31/WE</v>
      </c>
      <c r="H197" s="246" t="str">
        <f>Translations!$B$1458</f>
        <v>Geologiczne składowanie gazów cieplarnianych w składowisku dopuszczonym na mocy dyrektywy 2009/31/WE</v>
      </c>
    </row>
    <row r="198" spans="1:19" s="205" customFormat="1" x14ac:dyDescent="0.2"/>
    <row r="199" spans="1:19" s="244" customFormat="1" x14ac:dyDescent="0.2">
      <c r="A199" s="244" t="str">
        <f>Translations!$B$1459</f>
        <v>Wykaz wskaźników emisyjności</v>
      </c>
    </row>
    <row r="200" spans="1:19" s="211" customFormat="1" ht="51.75" thickBot="1" x14ac:dyDescent="0.25">
      <c r="A200" s="475" t="str">
        <f>Translations!$B$1430</f>
        <v>Działanie (załącznik I do dyrektywy w sprawie EU ETS)</v>
      </c>
      <c r="B200" s="475" t="str">
        <f>Translations!$B$1429</f>
        <v>Numer działania</v>
      </c>
      <c r="C200" s="475" t="str">
        <f>Translations!$B$1206</f>
        <v>Nr wskaźnika</v>
      </c>
      <c r="D200" s="475" t="str">
        <f>Translations!$B$1460</f>
        <v>alternatywny numer wskaźnika</v>
      </c>
      <c r="E200" s="475" t="str">
        <f>Translations!$B$1461</f>
        <v>Wskaźnik emisyjności dla produktów</v>
      </c>
      <c r="F200" s="475" t="str">
        <f>Translations!$B$1196</f>
        <v>Jednostka</v>
      </c>
      <c r="G200" s="475" t="str">
        <f>Translations!$B$1462</f>
        <v>Ucieczka emisji?</v>
      </c>
      <c r="H200" s="475" t="str">
        <f>Translations!$B$1463</f>
        <v>Zamienność energii elektrycznej</v>
      </c>
      <c r="I200" s="475" t="str">
        <f>Translations!$B$1464</f>
        <v>Komunikat dotyczący raportów specjalnych</v>
      </c>
      <c r="J200" s="476" t="str">
        <f>Translations!$B$1465</f>
        <v>Pomiń wskaźnik</v>
      </c>
      <c r="K200" s="474" t="str">
        <f>Translations!$B$1466</f>
        <v>Inne niż CWT?</v>
      </c>
      <c r="L200" s="474" t="str">
        <f>Translations!$B$1467</f>
        <v>Masa celulozowa</v>
      </c>
      <c r="M200" s="474" t="str">
        <f>Translations!$B$1468</f>
        <v>Wartość wskaźnika (2013–2020)</v>
      </c>
      <c r="N200" s="474" t="s">
        <v>570</v>
      </c>
      <c r="O200" s="474" t="s">
        <v>571</v>
      </c>
      <c r="P200" s="1086" t="s">
        <v>584</v>
      </c>
      <c r="Q200" s="817" t="str">
        <f>Translations!$B$1469</f>
        <v>Wartość wskaźnika (EUA/t, maks.)</v>
      </c>
      <c r="R200" s="817" t="str">
        <f>Translations!$B$1470</f>
        <v>Wartość wskaźnika (EUA/t, min.)</v>
      </c>
      <c r="S200" s="817" t="str">
        <f>Translations!$B$1471</f>
        <v>Wartość wskaźnika (EUA/t, faktyczne)</v>
      </c>
    </row>
    <row r="201" spans="1:19" x14ac:dyDescent="0.2">
      <c r="A201" s="477" t="str">
        <f>VLOOKUP(B201,$A$170:$B$197,2,0)</f>
        <v xml:space="preserve">Rafinowanie olejów mineralnych </v>
      </c>
      <c r="B201" s="478">
        <v>2</v>
      </c>
      <c r="C201" s="478">
        <v>1</v>
      </c>
      <c r="D201" s="479" t="str">
        <f t="shared" ref="D201:D232" si="1">CONCATENATE(TEXT(B201,"00"),".",TEXT(C201,"00"))</f>
        <v>02.01</v>
      </c>
      <c r="E201" s="478" t="str">
        <f>Translations!$B$1472</f>
        <v>Produkty rafineryjne</v>
      </c>
      <c r="F201" s="478" t="str">
        <f>Translations!$B$1473</f>
        <v>CWT</v>
      </c>
      <c r="G201" s="478" t="b">
        <v>1</v>
      </c>
      <c r="H201" s="478" t="b">
        <v>1</v>
      </c>
      <c r="I201" s="478" t="str">
        <f>Translations!$B$1474</f>
        <v>Proszę użyć narzędzia dotyczącego CWT w arkuszu „SpecialBM” do obliczenia historycznych poziomów działalności.</v>
      </c>
      <c r="J201" s="480" t="str">
        <f>"#JUMP_H_I"</f>
        <v>#JUMP_H_I</v>
      </c>
      <c r="K201" s="478" t="b">
        <v>0</v>
      </c>
      <c r="L201" s="478" t="b">
        <v>0</v>
      </c>
      <c r="M201" s="484">
        <v>2.9499999999999998E-2</v>
      </c>
      <c r="N201" s="485">
        <f t="shared" ref="N201:N232" si="2">INDEX(EUconst_BM_ARR_Range,1)</f>
        <v>2E-3</v>
      </c>
      <c r="O201" s="1084">
        <f t="shared" ref="O201:O232" si="3">IF(AND(C201=4,CNTR_BaselinePeriod=1),INDEX(EUconst_BM_ARR_Range,1),INDEX(EUconst_BM_ARR_Range,2))</f>
        <v>1.6E-2</v>
      </c>
      <c r="P201" s="1087">
        <v>0.01</v>
      </c>
      <c r="Q201" s="1085">
        <f t="shared" ref="Q201:Q232" si="4">$M201*(1-N201*(15+(IF(CNTR_BaselinePeriod=EUconst_NA,1,CNTR_BaselinePeriod)-1)*5))</f>
        <v>2.8614999999999998E-2</v>
      </c>
      <c r="R201" s="510">
        <f t="shared" ref="R201:R232" si="5">$M201*(1-O201*(15+(IF(CNTR_BaselinePeriod=EUconst_NA,1,CNTR_BaselinePeriod)-1)*5))</f>
        <v>2.2419999999999999E-2</v>
      </c>
      <c r="S201" s="510">
        <f t="shared" ref="S201:S232" si="6">ROUND(M201*(1-P201*(15+(IF(CNTR_BaselinePeriod=EUconst_NA,1,CNTR_BaselinePeriod)-1)*5)),3)</f>
        <v>2.5000000000000001E-2</v>
      </c>
    </row>
    <row r="202" spans="1:19" x14ac:dyDescent="0.2">
      <c r="A202" s="477" t="str">
        <f t="shared" ref="A202:A252" si="7">VLOOKUP(B202,$A$170:$B$197,2,0)</f>
        <v xml:space="preserve">Produkcja koksu </v>
      </c>
      <c r="B202" s="478">
        <v>3</v>
      </c>
      <c r="C202" s="478">
        <f>C201+1</f>
        <v>2</v>
      </c>
      <c r="D202" s="479" t="str">
        <f t="shared" si="1"/>
        <v>03.02</v>
      </c>
      <c r="E202" s="478" t="str">
        <f>Translations!$B$1475</f>
        <v>Koks</v>
      </c>
      <c r="F202" s="478" t="str">
        <f t="shared" ref="F202:F226" si="8">EUconst_Tons</f>
        <v>tony</v>
      </c>
      <c r="G202" s="478" t="b">
        <v>1</v>
      </c>
      <c r="H202" s="478" t="b">
        <v>0</v>
      </c>
      <c r="I202" s="478" t="str">
        <f>""</f>
        <v/>
      </c>
      <c r="J202" s="480" t="str">
        <f>""</f>
        <v/>
      </c>
      <c r="K202" s="478" t="b">
        <v>1</v>
      </c>
      <c r="L202" s="478" t="b">
        <v>0</v>
      </c>
      <c r="M202" s="484">
        <v>0.28599999999999998</v>
      </c>
      <c r="N202" s="485">
        <f t="shared" si="2"/>
        <v>2E-3</v>
      </c>
      <c r="O202" s="1084">
        <f t="shared" si="3"/>
        <v>1.6E-2</v>
      </c>
      <c r="P202" s="1088">
        <v>0.01</v>
      </c>
      <c r="Q202" s="1085">
        <f t="shared" si="4"/>
        <v>0.27741999999999994</v>
      </c>
      <c r="R202" s="510">
        <f t="shared" si="5"/>
        <v>0.21736</v>
      </c>
      <c r="S202" s="510">
        <f t="shared" si="6"/>
        <v>0.24299999999999999</v>
      </c>
    </row>
    <row r="203" spans="1:19" x14ac:dyDescent="0.2">
      <c r="A203" s="477" t="str">
        <f t="shared" si="7"/>
        <v xml:space="preserve">Instalacje prażenia lub spiekania rud metali (łącznie z rudą siarczkową) </v>
      </c>
      <c r="B203" s="478">
        <v>4</v>
      </c>
      <c r="C203" s="478">
        <f t="shared" ref="C203:C252" si="9">C202+1</f>
        <v>3</v>
      </c>
      <c r="D203" s="479" t="str">
        <f t="shared" si="1"/>
        <v>04.03</v>
      </c>
      <c r="E203" s="478" t="str">
        <f>Translations!$B$1476</f>
        <v>Ruda spiekana</v>
      </c>
      <c r="F203" s="478" t="str">
        <f t="shared" si="8"/>
        <v>tony</v>
      </c>
      <c r="G203" s="478" t="b">
        <v>1</v>
      </c>
      <c r="H203" s="478" t="b">
        <v>0</v>
      </c>
      <c r="I203" s="478" t="str">
        <f>""</f>
        <v/>
      </c>
      <c r="J203" s="480" t="str">
        <f>""</f>
        <v/>
      </c>
      <c r="K203" s="478" t="b">
        <v>1</v>
      </c>
      <c r="L203" s="478" t="b">
        <v>0</v>
      </c>
      <c r="M203" s="484">
        <v>0.17100000000000001</v>
      </c>
      <c r="N203" s="485">
        <f t="shared" si="2"/>
        <v>2E-3</v>
      </c>
      <c r="O203" s="1084">
        <f t="shared" si="3"/>
        <v>1.6E-2</v>
      </c>
      <c r="P203" s="1088">
        <v>0.01</v>
      </c>
      <c r="Q203" s="1085">
        <f t="shared" si="4"/>
        <v>0.16587000000000002</v>
      </c>
      <c r="R203" s="510">
        <f t="shared" si="5"/>
        <v>0.12996000000000002</v>
      </c>
      <c r="S203" s="510">
        <f t="shared" si="6"/>
        <v>0.14499999999999999</v>
      </c>
    </row>
    <row r="204" spans="1:19" x14ac:dyDescent="0.2">
      <c r="A204" s="477" t="str">
        <f t="shared" si="7"/>
        <v xml:space="preserve">Produkcja surówki odlewniczej lub stali (pierwotny i wtórny wytop), łącznie z odlewaniem stałym, z wydajnością powyżej 2,5 tony na godzinę </v>
      </c>
      <c r="B204" s="478">
        <v>5</v>
      </c>
      <c r="C204" s="478">
        <f t="shared" si="9"/>
        <v>4</v>
      </c>
      <c r="D204" s="479" t="str">
        <f t="shared" si="1"/>
        <v>05.04</v>
      </c>
      <c r="E204" s="478" t="str">
        <f>Translations!$B$1477</f>
        <v>Ciekły metal</v>
      </c>
      <c r="F204" s="478" t="str">
        <f t="shared" si="8"/>
        <v>tony</v>
      </c>
      <c r="G204" s="478" t="b">
        <v>1</v>
      </c>
      <c r="H204" s="478" t="b">
        <v>0</v>
      </c>
      <c r="I204" s="478" t="str">
        <f>""</f>
        <v/>
      </c>
      <c r="J204" s="480" t="str">
        <f>""</f>
        <v/>
      </c>
      <c r="K204" s="478" t="b">
        <v>1</v>
      </c>
      <c r="L204" s="478" t="b">
        <v>0</v>
      </c>
      <c r="M204" s="484">
        <v>1.3280000000000001</v>
      </c>
      <c r="N204" s="485">
        <f t="shared" si="2"/>
        <v>2E-3</v>
      </c>
      <c r="O204" s="1084">
        <f t="shared" si="3"/>
        <v>2E-3</v>
      </c>
      <c r="P204" s="1088">
        <v>0.01</v>
      </c>
      <c r="Q204" s="1085">
        <f t="shared" si="4"/>
        <v>1.28816</v>
      </c>
      <c r="R204" s="510">
        <f t="shared" si="5"/>
        <v>1.28816</v>
      </c>
      <c r="S204" s="510">
        <f t="shared" si="6"/>
        <v>1.129</v>
      </c>
    </row>
    <row r="205" spans="1:19" x14ac:dyDescent="0.2">
      <c r="A205" s="477" t="str">
        <f t="shared" si="7"/>
        <v xml:space="preserve">Produkcja surówki odlewniczej lub stali (pierwotny i wtórny wytop), łącznie z odlewaniem stałym, z wydajnością powyżej 2,5 tony na godzinę </v>
      </c>
      <c r="B205" s="478">
        <v>5</v>
      </c>
      <c r="C205" s="478">
        <f t="shared" si="9"/>
        <v>5</v>
      </c>
      <c r="D205" s="479" t="str">
        <f t="shared" si="1"/>
        <v>05.05</v>
      </c>
      <c r="E205" s="478" t="str">
        <f>Translations!$B$1478</f>
        <v>Stal węglowa z pieca łukowego</v>
      </c>
      <c r="F205" s="478" t="str">
        <f t="shared" si="8"/>
        <v>tony</v>
      </c>
      <c r="G205" s="478" t="b">
        <v>1</v>
      </c>
      <c r="H205" s="478" t="b">
        <v>1</v>
      </c>
      <c r="I205" s="478" t="str">
        <f>""</f>
        <v/>
      </c>
      <c r="J205" s="480" t="str">
        <f>""</f>
        <v/>
      </c>
      <c r="K205" s="478" t="b">
        <v>1</v>
      </c>
      <c r="L205" s="478" t="b">
        <v>0</v>
      </c>
      <c r="M205" s="484">
        <v>0.28299999999999997</v>
      </c>
      <c r="N205" s="485">
        <f t="shared" si="2"/>
        <v>2E-3</v>
      </c>
      <c r="O205" s="1084">
        <f t="shared" si="3"/>
        <v>1.6E-2</v>
      </c>
      <c r="P205" s="1088">
        <v>0.01</v>
      </c>
      <c r="Q205" s="1085">
        <f t="shared" si="4"/>
        <v>0.27450999999999998</v>
      </c>
      <c r="R205" s="510">
        <f t="shared" si="5"/>
        <v>0.21507999999999999</v>
      </c>
      <c r="S205" s="510">
        <f t="shared" si="6"/>
        <v>0.24099999999999999</v>
      </c>
    </row>
    <row r="206" spans="1:19" x14ac:dyDescent="0.2">
      <c r="A206" s="477" t="str">
        <f t="shared" si="7"/>
        <v xml:space="preserve">Produkcja surówki odlewniczej lub stali (pierwotny i wtórny wytop), łącznie z odlewaniem stałym, z wydajnością powyżej 2,5 tony na godzinę </v>
      </c>
      <c r="B206" s="478">
        <v>5</v>
      </c>
      <c r="C206" s="478">
        <f t="shared" si="9"/>
        <v>6</v>
      </c>
      <c r="D206" s="479" t="str">
        <f t="shared" si="1"/>
        <v>05.06</v>
      </c>
      <c r="E206" s="478" t="str">
        <f>Translations!$B$1479</f>
        <v>Stal wysokostopowa z pieca łukowego</v>
      </c>
      <c r="F206" s="478" t="str">
        <f t="shared" si="8"/>
        <v>tony</v>
      </c>
      <c r="G206" s="478" t="b">
        <v>1</v>
      </c>
      <c r="H206" s="478" t="b">
        <v>1</v>
      </c>
      <c r="I206" s="478" t="str">
        <f>""</f>
        <v/>
      </c>
      <c r="J206" s="480" t="str">
        <f>""</f>
        <v/>
      </c>
      <c r="K206" s="478" t="b">
        <v>1</v>
      </c>
      <c r="L206" s="478" t="b">
        <v>0</v>
      </c>
      <c r="M206" s="484">
        <v>0.35199999999999998</v>
      </c>
      <c r="N206" s="485">
        <f t="shared" si="2"/>
        <v>2E-3</v>
      </c>
      <c r="O206" s="1084">
        <f t="shared" si="3"/>
        <v>1.6E-2</v>
      </c>
      <c r="P206" s="1088">
        <v>0.01</v>
      </c>
      <c r="Q206" s="1085">
        <f t="shared" si="4"/>
        <v>0.34143999999999997</v>
      </c>
      <c r="R206" s="510">
        <f t="shared" si="5"/>
        <v>0.26751999999999998</v>
      </c>
      <c r="S206" s="510">
        <f t="shared" si="6"/>
        <v>0.29899999999999999</v>
      </c>
    </row>
    <row r="207" spans="1:19" x14ac:dyDescent="0.2">
      <c r="A207" s="477" t="str">
        <f t="shared" si="7"/>
        <v xml:space="preserve">Produkcja lub obróbka metali żelaznych (w tym stopów żelaznych), w której wykorzystywane są jednostki spalania o całkowitej nominalnej mocy cieplnej przekraczającej 20 MW Obróbka obejmuje między innymi walcownie, piece do ponownego ogrzewania, piece </v>
      </c>
      <c r="B207" s="478">
        <v>6</v>
      </c>
      <c r="C207" s="478">
        <f t="shared" si="9"/>
        <v>7</v>
      </c>
      <c r="D207" s="479" t="str">
        <f t="shared" si="1"/>
        <v>06.07</v>
      </c>
      <c r="E207" s="478" t="str">
        <f>Translations!$B$1480</f>
        <v>Odlew żeliwny</v>
      </c>
      <c r="F207" s="478" t="str">
        <f t="shared" si="8"/>
        <v>tony</v>
      </c>
      <c r="G207" s="478" t="b">
        <v>1</v>
      </c>
      <c r="H207" s="478" t="b">
        <v>1</v>
      </c>
      <c r="I207" s="478" t="str">
        <f>""</f>
        <v/>
      </c>
      <c r="J207" s="480" t="str">
        <f>""</f>
        <v/>
      </c>
      <c r="K207" s="478" t="b">
        <v>1</v>
      </c>
      <c r="L207" s="478" t="b">
        <v>0</v>
      </c>
      <c r="M207" s="484">
        <v>0.32500000000000001</v>
      </c>
      <c r="N207" s="485">
        <f t="shared" si="2"/>
        <v>2E-3</v>
      </c>
      <c r="O207" s="1084">
        <f t="shared" si="3"/>
        <v>1.6E-2</v>
      </c>
      <c r="P207" s="1088">
        <v>0.01</v>
      </c>
      <c r="Q207" s="1085">
        <f t="shared" si="4"/>
        <v>0.31524999999999997</v>
      </c>
      <c r="R207" s="510">
        <f t="shared" si="5"/>
        <v>0.24700000000000003</v>
      </c>
      <c r="S207" s="510">
        <f t="shared" si="6"/>
        <v>0.27600000000000002</v>
      </c>
    </row>
    <row r="208" spans="1:19" x14ac:dyDescent="0.2">
      <c r="A208" s="477" t="str">
        <f t="shared" si="7"/>
        <v xml:space="preserve">Produkcja pierwotnego aluminium </v>
      </c>
      <c r="B208" s="478">
        <v>7</v>
      </c>
      <c r="C208" s="478">
        <f t="shared" si="9"/>
        <v>8</v>
      </c>
      <c r="D208" s="479" t="str">
        <f t="shared" si="1"/>
        <v>07.08</v>
      </c>
      <c r="E208" s="478" t="str">
        <f>Translations!$B$1481</f>
        <v>Wstępnie spieczona anoda</v>
      </c>
      <c r="F208" s="478" t="str">
        <f t="shared" si="8"/>
        <v>tony</v>
      </c>
      <c r="G208" s="478" t="b">
        <v>1</v>
      </c>
      <c r="H208" s="478" t="b">
        <v>0</v>
      </c>
      <c r="I208" s="478" t="str">
        <f>""</f>
        <v/>
      </c>
      <c r="J208" s="480" t="str">
        <f>""</f>
        <v/>
      </c>
      <c r="K208" s="478" t="b">
        <v>1</v>
      </c>
      <c r="L208" s="478" t="b">
        <v>0</v>
      </c>
      <c r="M208" s="484">
        <v>0.32400000000000001</v>
      </c>
      <c r="N208" s="485">
        <f t="shared" si="2"/>
        <v>2E-3</v>
      </c>
      <c r="O208" s="1084">
        <f t="shared" si="3"/>
        <v>1.6E-2</v>
      </c>
      <c r="P208" s="1088">
        <v>0.01</v>
      </c>
      <c r="Q208" s="1085">
        <f t="shared" si="4"/>
        <v>0.31428</v>
      </c>
      <c r="R208" s="510">
        <f t="shared" si="5"/>
        <v>0.24624000000000001</v>
      </c>
      <c r="S208" s="510">
        <f t="shared" si="6"/>
        <v>0.27500000000000002</v>
      </c>
    </row>
    <row r="209" spans="1:19" x14ac:dyDescent="0.2">
      <c r="A209" s="477" t="str">
        <f t="shared" si="7"/>
        <v xml:space="preserve">Produkcja pierwotnego aluminium </v>
      </c>
      <c r="B209" s="478">
        <v>7</v>
      </c>
      <c r="C209" s="478">
        <f t="shared" si="9"/>
        <v>9</v>
      </c>
      <c r="D209" s="479" t="str">
        <f t="shared" si="1"/>
        <v>07.09</v>
      </c>
      <c r="E209" s="478" t="str">
        <f>Translations!$B$1482</f>
        <v>[Pierwotne] aluminium</v>
      </c>
      <c r="F209" s="478" t="str">
        <f t="shared" si="8"/>
        <v>tony</v>
      </c>
      <c r="G209" s="478" t="b">
        <v>1</v>
      </c>
      <c r="H209" s="478" t="b">
        <v>0</v>
      </c>
      <c r="I209" s="478" t="str">
        <f>""</f>
        <v/>
      </c>
      <c r="J209" s="480" t="str">
        <f>""</f>
        <v/>
      </c>
      <c r="K209" s="478" t="b">
        <v>1</v>
      </c>
      <c r="L209" s="478" t="b">
        <v>0</v>
      </c>
      <c r="M209" s="484">
        <v>1.514</v>
      </c>
      <c r="N209" s="485">
        <f t="shared" si="2"/>
        <v>2E-3</v>
      </c>
      <c r="O209" s="1084">
        <f t="shared" si="3"/>
        <v>1.6E-2</v>
      </c>
      <c r="P209" s="1088">
        <v>0.01</v>
      </c>
      <c r="Q209" s="1085">
        <f t="shared" si="4"/>
        <v>1.46858</v>
      </c>
      <c r="R209" s="510">
        <f t="shared" si="5"/>
        <v>1.1506400000000001</v>
      </c>
      <c r="S209" s="510">
        <f t="shared" si="6"/>
        <v>1.2869999999999999</v>
      </c>
    </row>
    <row r="210" spans="1:19" x14ac:dyDescent="0.2">
      <c r="A210" s="477" t="str">
        <f t="shared" si="7"/>
        <v xml:space="preserve">Produkcja klinkieru cementowego w piecach obrotowych o zdolności produkcyjnej przekraczającej 500 ton dziennie lub innych piecach o zdolności produkcyjnej powyżej 50 ton dziennie </v>
      </c>
      <c r="B210" s="478">
        <v>10</v>
      </c>
      <c r="C210" s="478">
        <f t="shared" si="9"/>
        <v>10</v>
      </c>
      <c r="D210" s="479" t="str">
        <f t="shared" si="1"/>
        <v>10.10</v>
      </c>
      <c r="E210" s="478" t="str">
        <f>Translations!$B$1483</f>
        <v>Szary klinkier cementowy</v>
      </c>
      <c r="F210" s="478" t="str">
        <f t="shared" si="8"/>
        <v>tony</v>
      </c>
      <c r="G210" s="478" t="b">
        <v>1</v>
      </c>
      <c r="H210" s="478" t="b">
        <v>0</v>
      </c>
      <c r="I210" s="478" t="str">
        <f>""</f>
        <v/>
      </c>
      <c r="J210" s="480" t="str">
        <f>""</f>
        <v/>
      </c>
      <c r="K210" s="478" t="b">
        <v>1</v>
      </c>
      <c r="L210" s="478" t="b">
        <v>0</v>
      </c>
      <c r="M210" s="484">
        <v>0.76600000000000001</v>
      </c>
      <c r="N210" s="485">
        <f t="shared" si="2"/>
        <v>2E-3</v>
      </c>
      <c r="O210" s="1084">
        <f t="shared" si="3"/>
        <v>1.6E-2</v>
      </c>
      <c r="P210" s="1088">
        <v>0.01</v>
      </c>
      <c r="Q210" s="1085">
        <f t="shared" si="4"/>
        <v>0.74302000000000001</v>
      </c>
      <c r="R210" s="510">
        <f t="shared" si="5"/>
        <v>0.58216000000000001</v>
      </c>
      <c r="S210" s="510">
        <f t="shared" si="6"/>
        <v>0.65100000000000002</v>
      </c>
    </row>
    <row r="211" spans="1:19" x14ac:dyDescent="0.2">
      <c r="A211" s="477" t="str">
        <f t="shared" si="7"/>
        <v xml:space="preserve">Produkcja klinkieru cementowego w piecach obrotowych o zdolności produkcyjnej przekraczającej 500 ton dziennie lub innych piecach o zdolności produkcyjnej powyżej 50 ton dziennie </v>
      </c>
      <c r="B211" s="478">
        <v>10</v>
      </c>
      <c r="C211" s="478">
        <f t="shared" si="9"/>
        <v>11</v>
      </c>
      <c r="D211" s="479" t="str">
        <f t="shared" si="1"/>
        <v>10.11</v>
      </c>
      <c r="E211" s="478" t="str">
        <f>Translations!$B$1484</f>
        <v>Biały klinkier cementowy</v>
      </c>
      <c r="F211" s="478" t="str">
        <f t="shared" si="8"/>
        <v>tony</v>
      </c>
      <c r="G211" s="478" t="b">
        <v>1</v>
      </c>
      <c r="H211" s="478" t="b">
        <v>0</v>
      </c>
      <c r="I211" s="478" t="str">
        <f>""</f>
        <v/>
      </c>
      <c r="J211" s="480" t="str">
        <f>""</f>
        <v/>
      </c>
      <c r="K211" s="478" t="b">
        <v>1</v>
      </c>
      <c r="L211" s="478" t="b">
        <v>0</v>
      </c>
      <c r="M211" s="484">
        <v>0.98699999999999999</v>
      </c>
      <c r="N211" s="485">
        <f t="shared" si="2"/>
        <v>2E-3</v>
      </c>
      <c r="O211" s="1084">
        <f t="shared" si="3"/>
        <v>1.6E-2</v>
      </c>
      <c r="P211" s="1088">
        <v>0.01</v>
      </c>
      <c r="Q211" s="1085">
        <f t="shared" si="4"/>
        <v>0.95738999999999996</v>
      </c>
      <c r="R211" s="510">
        <f t="shared" si="5"/>
        <v>0.75012000000000001</v>
      </c>
      <c r="S211" s="510">
        <f t="shared" si="6"/>
        <v>0.83899999999999997</v>
      </c>
    </row>
    <row r="212" spans="1:19" x14ac:dyDescent="0.2">
      <c r="A212" s="477" t="str">
        <f t="shared" si="7"/>
        <v xml:space="preserve">Produkcja wapna lub kalcynacja dolomitu lub magnezytu w piecach obrotowych lub innych piecach o zdolności produkcyjnej przekraczającej 50 ton dziennie </v>
      </c>
      <c r="B212" s="478">
        <v>11</v>
      </c>
      <c r="C212" s="478">
        <f t="shared" si="9"/>
        <v>12</v>
      </c>
      <c r="D212" s="479" t="str">
        <f t="shared" si="1"/>
        <v>11.12</v>
      </c>
      <c r="E212" s="478" t="str">
        <f>Translations!$B$984</f>
        <v>Wapno</v>
      </c>
      <c r="F212" s="478" t="str">
        <f t="shared" si="8"/>
        <v>tony</v>
      </c>
      <c r="G212" s="478" t="b">
        <v>1</v>
      </c>
      <c r="H212" s="478" t="b">
        <v>0</v>
      </c>
      <c r="I212" s="478" t="str">
        <f>Translations!$B$1485</f>
        <v>Proszę użyć narzędzia dotyczącego wapna w arkuszu „SpecialBM” do obliczenia historycznych poziomów działalności.</v>
      </c>
      <c r="J212" s="480" t="str">
        <f>"#JUMP_H_II"</f>
        <v>#JUMP_H_II</v>
      </c>
      <c r="K212" s="478" t="b">
        <v>1</v>
      </c>
      <c r="L212" s="478" t="b">
        <v>0</v>
      </c>
      <c r="M212" s="484">
        <v>0.95399999999999996</v>
      </c>
      <c r="N212" s="485">
        <f t="shared" si="2"/>
        <v>2E-3</v>
      </c>
      <c r="O212" s="1084">
        <f t="shared" si="3"/>
        <v>1.6E-2</v>
      </c>
      <c r="P212" s="1088">
        <v>0.01</v>
      </c>
      <c r="Q212" s="1085">
        <f t="shared" si="4"/>
        <v>0.92537999999999998</v>
      </c>
      <c r="R212" s="510">
        <f t="shared" si="5"/>
        <v>0.72504000000000002</v>
      </c>
      <c r="S212" s="510">
        <f t="shared" si="6"/>
        <v>0.81100000000000005</v>
      </c>
    </row>
    <row r="213" spans="1:19" x14ac:dyDescent="0.2">
      <c r="A213" s="477" t="str">
        <f t="shared" si="7"/>
        <v xml:space="preserve">Produkcja wapna lub kalcynacja dolomitu lub magnezytu w piecach obrotowych lub innych piecach o zdolności produkcyjnej przekraczającej 50 ton dziennie </v>
      </c>
      <c r="B213" s="478">
        <v>11</v>
      </c>
      <c r="C213" s="478">
        <f t="shared" si="9"/>
        <v>13</v>
      </c>
      <c r="D213" s="479" t="str">
        <f t="shared" si="1"/>
        <v>11.13</v>
      </c>
      <c r="E213" s="478" t="str">
        <f>Translations!$B$1001</f>
        <v>Dolomit kalcynowany</v>
      </c>
      <c r="F213" s="478" t="str">
        <f t="shared" si="8"/>
        <v>tony</v>
      </c>
      <c r="G213" s="478" t="b">
        <v>1</v>
      </c>
      <c r="H213" s="478" t="b">
        <v>0</v>
      </c>
      <c r="I213" s="478" t="str">
        <f>Translations!$B$1486</f>
        <v>Proszę użyć narzędzia dotyczącego dolomitu kalcynowanego w arkuszu „SpecialBM” do obliczenia historycznych poziomów działalności.</v>
      </c>
      <c r="J213" s="480" t="str">
        <f>"#JUMP_H_III"</f>
        <v>#JUMP_H_III</v>
      </c>
      <c r="K213" s="478" t="b">
        <v>1</v>
      </c>
      <c r="L213" s="478" t="b">
        <v>0</v>
      </c>
      <c r="M213" s="484">
        <v>1.0720000000000001</v>
      </c>
      <c r="N213" s="485">
        <f t="shared" si="2"/>
        <v>2E-3</v>
      </c>
      <c r="O213" s="1084">
        <f t="shared" si="3"/>
        <v>1.6E-2</v>
      </c>
      <c r="P213" s="1088">
        <v>0.01</v>
      </c>
      <c r="Q213" s="1085">
        <f t="shared" si="4"/>
        <v>1.0398400000000001</v>
      </c>
      <c r="R213" s="510">
        <f t="shared" si="5"/>
        <v>0.81472000000000011</v>
      </c>
      <c r="S213" s="510">
        <f t="shared" si="6"/>
        <v>0.91100000000000003</v>
      </c>
    </row>
    <row r="214" spans="1:19" x14ac:dyDescent="0.2">
      <c r="A214" s="477" t="str">
        <f t="shared" si="7"/>
        <v xml:space="preserve">Produkcja wapna lub kalcynacja dolomitu lub magnezytu w piecach obrotowych lub innych piecach o zdolności produkcyjnej przekraczającej 50 ton dziennie </v>
      </c>
      <c r="B214" s="478">
        <v>11</v>
      </c>
      <c r="C214" s="478">
        <f t="shared" si="9"/>
        <v>14</v>
      </c>
      <c r="D214" s="479" t="str">
        <f t="shared" si="1"/>
        <v>11.14</v>
      </c>
      <c r="E214" s="478" t="str">
        <f>Translations!$B$1487</f>
        <v>Dolomit spiekany</v>
      </c>
      <c r="F214" s="478" t="str">
        <f t="shared" si="8"/>
        <v>tony</v>
      </c>
      <c r="G214" s="478" t="b">
        <v>1</v>
      </c>
      <c r="H214" s="478" t="b">
        <v>0</v>
      </c>
      <c r="I214" s="478" t="str">
        <f>""</f>
        <v/>
      </c>
      <c r="J214" s="480" t="str">
        <f>""</f>
        <v/>
      </c>
      <c r="K214" s="478" t="b">
        <v>1</v>
      </c>
      <c r="L214" s="478" t="b">
        <v>0</v>
      </c>
      <c r="M214" s="484">
        <v>1.4490000000000001</v>
      </c>
      <c r="N214" s="485">
        <f t="shared" si="2"/>
        <v>2E-3</v>
      </c>
      <c r="O214" s="1084">
        <f t="shared" si="3"/>
        <v>1.6E-2</v>
      </c>
      <c r="P214" s="1088">
        <v>0.01</v>
      </c>
      <c r="Q214" s="1085">
        <f t="shared" si="4"/>
        <v>1.4055299999999999</v>
      </c>
      <c r="R214" s="510">
        <f t="shared" si="5"/>
        <v>1.10124</v>
      </c>
      <c r="S214" s="510">
        <f t="shared" si="6"/>
        <v>1.232</v>
      </c>
    </row>
    <row r="215" spans="1:19" x14ac:dyDescent="0.2">
      <c r="A215" s="477" t="str">
        <f t="shared" si="7"/>
        <v xml:space="preserve">Wytwarzanie szkła, łącznie z włóknem szklanym, z wydajnością przetopu przekraczającą 20 ton dziennie </v>
      </c>
      <c r="B215" s="478">
        <v>12</v>
      </c>
      <c r="C215" s="478">
        <f t="shared" si="9"/>
        <v>15</v>
      </c>
      <c r="D215" s="479" t="str">
        <f t="shared" si="1"/>
        <v>12.15</v>
      </c>
      <c r="E215" s="478" t="str">
        <f>Translations!$B$1488</f>
        <v>Szkło typu float</v>
      </c>
      <c r="F215" s="478" t="str">
        <f t="shared" si="8"/>
        <v>tony</v>
      </c>
      <c r="G215" s="478" t="b">
        <v>1</v>
      </c>
      <c r="H215" s="478" t="b">
        <v>0</v>
      </c>
      <c r="I215" s="478" t="str">
        <f>""</f>
        <v/>
      </c>
      <c r="J215" s="480" t="str">
        <f>""</f>
        <v/>
      </c>
      <c r="K215" s="478" t="b">
        <v>1</v>
      </c>
      <c r="L215" s="478" t="b">
        <v>0</v>
      </c>
      <c r="M215" s="484">
        <v>0.45300000000000001</v>
      </c>
      <c r="N215" s="485">
        <f t="shared" si="2"/>
        <v>2E-3</v>
      </c>
      <c r="O215" s="1084">
        <f t="shared" si="3"/>
        <v>1.6E-2</v>
      </c>
      <c r="P215" s="1088">
        <v>0.01</v>
      </c>
      <c r="Q215" s="1085">
        <f t="shared" si="4"/>
        <v>0.43941000000000002</v>
      </c>
      <c r="R215" s="510">
        <f t="shared" si="5"/>
        <v>0.34428000000000003</v>
      </c>
      <c r="S215" s="510">
        <f t="shared" si="6"/>
        <v>0.38500000000000001</v>
      </c>
    </row>
    <row r="216" spans="1:19" x14ac:dyDescent="0.2">
      <c r="A216" s="477" t="str">
        <f t="shared" si="7"/>
        <v xml:space="preserve">Wytwarzanie szkła, łącznie z włóknem szklanym, z wydajnością przetopu przekraczającą 20 ton dziennie </v>
      </c>
      <c r="B216" s="478">
        <v>12</v>
      </c>
      <c r="C216" s="478">
        <f t="shared" si="9"/>
        <v>16</v>
      </c>
      <c r="D216" s="479" t="str">
        <f t="shared" si="1"/>
        <v>12.16</v>
      </c>
      <c r="E216" s="478" t="str">
        <f>Translations!$B$1489</f>
        <v>Butle i słoiki ze szkła bezbarwnego</v>
      </c>
      <c r="F216" s="478" t="str">
        <f t="shared" si="8"/>
        <v>tony</v>
      </c>
      <c r="G216" s="478" t="b">
        <v>1</v>
      </c>
      <c r="H216" s="478" t="b">
        <v>0</v>
      </c>
      <c r="I216" s="478" t="str">
        <f>""</f>
        <v/>
      </c>
      <c r="J216" s="480" t="str">
        <f>""</f>
        <v/>
      </c>
      <c r="K216" s="478" t="b">
        <v>1</v>
      </c>
      <c r="L216" s="478" t="b">
        <v>0</v>
      </c>
      <c r="M216" s="484">
        <v>0.38200000000000001</v>
      </c>
      <c r="N216" s="485">
        <f t="shared" si="2"/>
        <v>2E-3</v>
      </c>
      <c r="O216" s="1084">
        <f t="shared" si="3"/>
        <v>1.6E-2</v>
      </c>
      <c r="P216" s="1088">
        <v>0.01</v>
      </c>
      <c r="Q216" s="1085">
        <f t="shared" si="4"/>
        <v>0.37053999999999998</v>
      </c>
      <c r="R216" s="510">
        <f t="shared" si="5"/>
        <v>0.29032000000000002</v>
      </c>
      <c r="S216" s="510">
        <f t="shared" si="6"/>
        <v>0.32500000000000001</v>
      </c>
    </row>
    <row r="217" spans="1:19" x14ac:dyDescent="0.2">
      <c r="A217" s="477" t="str">
        <f t="shared" si="7"/>
        <v xml:space="preserve">Wytwarzanie szkła, łącznie z włóknem szklanym, z wydajnością przetopu przekraczającą 20 ton dziennie </v>
      </c>
      <c r="B217" s="478">
        <v>12</v>
      </c>
      <c r="C217" s="478">
        <f t="shared" si="9"/>
        <v>17</v>
      </c>
      <c r="D217" s="479" t="str">
        <f t="shared" si="1"/>
        <v>12.17</v>
      </c>
      <c r="E217" s="478" t="str">
        <f>Translations!$B$1490</f>
        <v>Butle i słoiki ze szkła barwnego</v>
      </c>
      <c r="F217" s="478" t="str">
        <f t="shared" si="8"/>
        <v>tony</v>
      </c>
      <c r="G217" s="478" t="b">
        <v>1</v>
      </c>
      <c r="H217" s="478" t="b">
        <v>0</v>
      </c>
      <c r="I217" s="478" t="str">
        <f>""</f>
        <v/>
      </c>
      <c r="J217" s="480" t="str">
        <f>""</f>
        <v/>
      </c>
      <c r="K217" s="478" t="b">
        <v>1</v>
      </c>
      <c r="L217" s="478" t="b">
        <v>0</v>
      </c>
      <c r="M217" s="484">
        <v>0.30599999999999999</v>
      </c>
      <c r="N217" s="485">
        <f t="shared" si="2"/>
        <v>2E-3</v>
      </c>
      <c r="O217" s="1084">
        <f t="shared" si="3"/>
        <v>1.6E-2</v>
      </c>
      <c r="P217" s="1088">
        <v>0.01</v>
      </c>
      <c r="Q217" s="1085">
        <f t="shared" si="4"/>
        <v>0.29681999999999997</v>
      </c>
      <c r="R217" s="510">
        <f t="shared" si="5"/>
        <v>0.23255999999999999</v>
      </c>
      <c r="S217" s="510">
        <f t="shared" si="6"/>
        <v>0.26</v>
      </c>
    </row>
    <row r="218" spans="1:19" x14ac:dyDescent="0.2">
      <c r="A218" s="477" t="str">
        <f t="shared" si="7"/>
        <v xml:space="preserve">Wytwarzanie szkła, łącznie z włóknem szklanym, z wydajnością przetopu przekraczającą 20 ton dziennie </v>
      </c>
      <c r="B218" s="478">
        <v>12</v>
      </c>
      <c r="C218" s="478">
        <f t="shared" si="9"/>
        <v>18</v>
      </c>
      <c r="D218" s="479" t="str">
        <f t="shared" si="1"/>
        <v>12.18</v>
      </c>
      <c r="E218" s="478" t="str">
        <f>Translations!$B$1491</f>
        <v>Produkty z włókien szklanych ciągłych</v>
      </c>
      <c r="F218" s="478" t="str">
        <f t="shared" si="8"/>
        <v>tony</v>
      </c>
      <c r="G218" s="478" t="b">
        <v>1</v>
      </c>
      <c r="H218" s="478" t="b">
        <v>0</v>
      </c>
      <c r="I218" s="478" t="str">
        <f>""</f>
        <v/>
      </c>
      <c r="J218" s="480" t="str">
        <f>""</f>
        <v/>
      </c>
      <c r="K218" s="478" t="b">
        <v>1</v>
      </c>
      <c r="L218" s="478" t="b">
        <v>0</v>
      </c>
      <c r="M218" s="484">
        <v>0.40600000000000003</v>
      </c>
      <c r="N218" s="485">
        <f t="shared" si="2"/>
        <v>2E-3</v>
      </c>
      <c r="O218" s="1084">
        <f t="shared" si="3"/>
        <v>1.6E-2</v>
      </c>
      <c r="P218" s="1088">
        <v>0.01</v>
      </c>
      <c r="Q218" s="1085">
        <f t="shared" si="4"/>
        <v>0.39382</v>
      </c>
      <c r="R218" s="510">
        <f t="shared" si="5"/>
        <v>0.30856</v>
      </c>
      <c r="S218" s="510">
        <f t="shared" si="6"/>
        <v>0.34499999999999997</v>
      </c>
    </row>
    <row r="219" spans="1:19" x14ac:dyDescent="0.2">
      <c r="A219" s="477" t="str">
        <f t="shared" si="7"/>
        <v xml:space="preserve">Produkcja wyrobów ceramicznych przez wypalanie, w szczególności produkcja dachówek, cegieł, cegieł ognioodpornych, kafelków, wyrobów kamionkowych i porcelany, o wydajności powyżej 75 ton dziennie </v>
      </c>
      <c r="B219" s="478">
        <v>13</v>
      </c>
      <c r="C219" s="478">
        <f t="shared" si="9"/>
        <v>19</v>
      </c>
      <c r="D219" s="479" t="str">
        <f t="shared" si="1"/>
        <v>13.19</v>
      </c>
      <c r="E219" s="478" t="str">
        <f>Translations!$B$1492</f>
        <v>Cegły licówki</v>
      </c>
      <c r="F219" s="478" t="str">
        <f t="shared" si="8"/>
        <v>tony</v>
      </c>
      <c r="G219" s="478" t="b">
        <v>1</v>
      </c>
      <c r="H219" s="478" t="b">
        <v>0</v>
      </c>
      <c r="I219" s="478" t="str">
        <f>""</f>
        <v/>
      </c>
      <c r="J219" s="480" t="str">
        <f>""</f>
        <v/>
      </c>
      <c r="K219" s="478" t="b">
        <v>1</v>
      </c>
      <c r="L219" s="478" t="b">
        <v>0</v>
      </c>
      <c r="M219" s="484">
        <v>0.13900000000000001</v>
      </c>
      <c r="N219" s="485">
        <f t="shared" si="2"/>
        <v>2E-3</v>
      </c>
      <c r="O219" s="1084">
        <f t="shared" si="3"/>
        <v>1.6E-2</v>
      </c>
      <c r="P219" s="1088">
        <v>0.01</v>
      </c>
      <c r="Q219" s="1085">
        <f t="shared" si="4"/>
        <v>0.13483000000000001</v>
      </c>
      <c r="R219" s="510">
        <f t="shared" si="5"/>
        <v>0.10564000000000001</v>
      </c>
      <c r="S219" s="510">
        <f t="shared" si="6"/>
        <v>0.11799999999999999</v>
      </c>
    </row>
    <row r="220" spans="1:19" x14ac:dyDescent="0.2">
      <c r="A220" s="477" t="str">
        <f t="shared" si="7"/>
        <v xml:space="preserve">Produkcja wyrobów ceramicznych przez wypalanie, w szczególności produkcja dachówek, cegieł, cegieł ognioodpornych, kafelków, wyrobów kamionkowych i porcelany, o wydajności powyżej 75 ton dziennie </v>
      </c>
      <c r="B220" s="478">
        <v>13</v>
      </c>
      <c r="C220" s="478">
        <f t="shared" si="9"/>
        <v>20</v>
      </c>
      <c r="D220" s="479" t="str">
        <f t="shared" si="1"/>
        <v>13.20</v>
      </c>
      <c r="E220" s="478" t="str">
        <f>Translations!$B$1493</f>
        <v>Kostki brukowe</v>
      </c>
      <c r="F220" s="478" t="str">
        <f t="shared" si="8"/>
        <v>tony</v>
      </c>
      <c r="G220" s="478" t="b">
        <v>1</v>
      </c>
      <c r="H220" s="478" t="b">
        <v>0</v>
      </c>
      <c r="I220" s="478" t="str">
        <f>""</f>
        <v/>
      </c>
      <c r="J220" s="480" t="str">
        <f>""</f>
        <v/>
      </c>
      <c r="K220" s="478" t="b">
        <v>1</v>
      </c>
      <c r="L220" s="478" t="b">
        <v>0</v>
      </c>
      <c r="M220" s="484">
        <v>0.192</v>
      </c>
      <c r="N220" s="485">
        <f t="shared" si="2"/>
        <v>2E-3</v>
      </c>
      <c r="O220" s="1084">
        <f t="shared" si="3"/>
        <v>1.6E-2</v>
      </c>
      <c r="P220" s="1088">
        <v>0.01</v>
      </c>
      <c r="Q220" s="1085">
        <f t="shared" si="4"/>
        <v>0.18623999999999999</v>
      </c>
      <c r="R220" s="510">
        <f t="shared" si="5"/>
        <v>0.14591999999999999</v>
      </c>
      <c r="S220" s="510">
        <f t="shared" si="6"/>
        <v>0.16300000000000001</v>
      </c>
    </row>
    <row r="221" spans="1:19" x14ac:dyDescent="0.2">
      <c r="A221" s="477" t="str">
        <f t="shared" si="7"/>
        <v xml:space="preserve">Produkcja wyrobów ceramicznych przez wypalanie, w szczególności produkcja dachówek, cegieł, cegieł ognioodpornych, kafelków, wyrobów kamionkowych i porcelany, o wydajności powyżej 75 ton dziennie </v>
      </c>
      <c r="B221" s="478">
        <v>13</v>
      </c>
      <c r="C221" s="478">
        <f t="shared" si="9"/>
        <v>21</v>
      </c>
      <c r="D221" s="479" t="str">
        <f t="shared" si="1"/>
        <v>13.21</v>
      </c>
      <c r="E221" s="478" t="str">
        <f>Translations!$B$1494</f>
        <v>Dachówki</v>
      </c>
      <c r="F221" s="478" t="str">
        <f t="shared" si="8"/>
        <v>tony</v>
      </c>
      <c r="G221" s="478" t="b">
        <v>1</v>
      </c>
      <c r="H221" s="478" t="b">
        <v>0</v>
      </c>
      <c r="I221" s="478" t="str">
        <f>""</f>
        <v/>
      </c>
      <c r="J221" s="480" t="str">
        <f>""</f>
        <v/>
      </c>
      <c r="K221" s="478" t="b">
        <v>1</v>
      </c>
      <c r="L221" s="478" t="b">
        <v>0</v>
      </c>
      <c r="M221" s="484">
        <v>0.14399999999999999</v>
      </c>
      <c r="N221" s="485">
        <f t="shared" si="2"/>
        <v>2E-3</v>
      </c>
      <c r="O221" s="1084">
        <f t="shared" si="3"/>
        <v>1.6E-2</v>
      </c>
      <c r="P221" s="1088">
        <v>0.01</v>
      </c>
      <c r="Q221" s="1085">
        <f t="shared" si="4"/>
        <v>0.13968</v>
      </c>
      <c r="R221" s="510">
        <f t="shared" si="5"/>
        <v>0.10944</v>
      </c>
      <c r="S221" s="510">
        <f t="shared" si="6"/>
        <v>0.122</v>
      </c>
    </row>
    <row r="222" spans="1:19" x14ac:dyDescent="0.2">
      <c r="A222" s="477" t="str">
        <f t="shared" si="7"/>
        <v xml:space="preserve">Produkcja wyrobów ceramicznych przez wypalanie, w szczególności produkcja dachówek, cegieł, cegieł ognioodpornych, kafelków, wyrobów kamionkowych i porcelany, o wydajności powyżej 75 ton dziennie </v>
      </c>
      <c r="B222" s="478">
        <v>13</v>
      </c>
      <c r="C222" s="478">
        <f t="shared" si="9"/>
        <v>22</v>
      </c>
      <c r="D222" s="479" t="str">
        <f t="shared" si="1"/>
        <v>13.22</v>
      </c>
      <c r="E222" s="478" t="str">
        <f>Translations!$B$1495</f>
        <v>Proszek uzyskany metodą suszenia rozpryskowego</v>
      </c>
      <c r="F222" s="478" t="str">
        <f t="shared" si="8"/>
        <v>tony</v>
      </c>
      <c r="G222" s="478" t="b">
        <v>1</v>
      </c>
      <c r="H222" s="478" t="b">
        <v>0</v>
      </c>
      <c r="I222" s="478" t="str">
        <f>""</f>
        <v/>
      </c>
      <c r="J222" s="480" t="str">
        <f>""</f>
        <v/>
      </c>
      <c r="K222" s="478" t="b">
        <v>1</v>
      </c>
      <c r="L222" s="478" t="b">
        <v>0</v>
      </c>
      <c r="M222" s="484">
        <v>7.5999999999999998E-2</v>
      </c>
      <c r="N222" s="485">
        <f t="shared" si="2"/>
        <v>2E-3</v>
      </c>
      <c r="O222" s="1084">
        <f t="shared" si="3"/>
        <v>1.6E-2</v>
      </c>
      <c r="P222" s="1088">
        <v>0.01</v>
      </c>
      <c r="Q222" s="1085">
        <f t="shared" si="4"/>
        <v>7.3719999999999994E-2</v>
      </c>
      <c r="R222" s="510">
        <f t="shared" si="5"/>
        <v>5.7759999999999999E-2</v>
      </c>
      <c r="S222" s="510">
        <f t="shared" si="6"/>
        <v>6.5000000000000002E-2</v>
      </c>
    </row>
    <row r="223" spans="1:19" x14ac:dyDescent="0.2">
      <c r="A223" s="477" t="str">
        <f t="shared" si="7"/>
        <v xml:space="preserve">Wytwarzanie materiałów izolacyjnych z wełny mineralnej z wykorzystaniem szkła, surowców skalnych lub żużlu przy użyciu zdolności produkcyjnej przekraczającej 20 ton dziennie </v>
      </c>
      <c r="B223" s="478">
        <v>14</v>
      </c>
      <c r="C223" s="478">
        <f t="shared" si="9"/>
        <v>23</v>
      </c>
      <c r="D223" s="479" t="str">
        <f t="shared" si="1"/>
        <v>14.23</v>
      </c>
      <c r="E223" s="478" t="str">
        <f>Translations!$B$1496</f>
        <v>Wełna mineralna</v>
      </c>
      <c r="F223" s="478" t="str">
        <f t="shared" si="8"/>
        <v>tony</v>
      </c>
      <c r="G223" s="478" t="b">
        <v>1</v>
      </c>
      <c r="H223" s="478" t="b">
        <v>1</v>
      </c>
      <c r="I223" s="478" t="str">
        <f>""</f>
        <v/>
      </c>
      <c r="J223" s="480" t="str">
        <f>""</f>
        <v/>
      </c>
      <c r="K223" s="478" t="b">
        <v>1</v>
      </c>
      <c r="L223" s="478" t="b">
        <v>0</v>
      </c>
      <c r="M223" s="484">
        <v>0.68200000000000005</v>
      </c>
      <c r="N223" s="485">
        <f t="shared" si="2"/>
        <v>2E-3</v>
      </c>
      <c r="O223" s="1084">
        <f t="shared" si="3"/>
        <v>1.6E-2</v>
      </c>
      <c r="P223" s="1088">
        <v>0.01</v>
      </c>
      <c r="Q223" s="1085">
        <f t="shared" si="4"/>
        <v>0.66154000000000002</v>
      </c>
      <c r="R223" s="510">
        <f t="shared" si="5"/>
        <v>0.51832</v>
      </c>
      <c r="S223" s="510">
        <f t="shared" si="6"/>
        <v>0.57999999999999996</v>
      </c>
    </row>
    <row r="224" spans="1:19" x14ac:dyDescent="0.2">
      <c r="A224" s="477" t="str">
        <f t="shared" si="7"/>
        <v xml:space="preserve">Osuszanie lub kalcynacja gipsu lub produkcja płyt gipsowo-kartonowych i innych wyrobów gipsowych, jeżeli wykorzystywane są instalacje spalania o łącznej nominalnej mocy cieplnej przekraczającej 20 MW </v>
      </c>
      <c r="B224" s="478">
        <v>15</v>
      </c>
      <c r="C224" s="478">
        <f t="shared" si="9"/>
        <v>24</v>
      </c>
      <c r="D224" s="479" t="str">
        <f t="shared" si="1"/>
        <v>15.24</v>
      </c>
      <c r="E224" s="478" t="str">
        <f>Translations!$B$1497</f>
        <v>Gips</v>
      </c>
      <c r="F224" s="478" t="str">
        <f t="shared" si="8"/>
        <v>tony</v>
      </c>
      <c r="G224" s="478" t="b">
        <v>1</v>
      </c>
      <c r="H224" s="478" t="b">
        <v>0</v>
      </c>
      <c r="I224" s="478" t="str">
        <f>""</f>
        <v/>
      </c>
      <c r="J224" s="480" t="str">
        <f>""</f>
        <v/>
      </c>
      <c r="K224" s="478" t="b">
        <v>1</v>
      </c>
      <c r="L224" s="478" t="b">
        <v>0</v>
      </c>
      <c r="M224" s="484">
        <v>4.8000000000000001E-2</v>
      </c>
      <c r="N224" s="485">
        <f t="shared" si="2"/>
        <v>2E-3</v>
      </c>
      <c r="O224" s="1084">
        <f t="shared" si="3"/>
        <v>1.6E-2</v>
      </c>
      <c r="P224" s="1088">
        <v>0.01</v>
      </c>
      <c r="Q224" s="1085">
        <f t="shared" si="4"/>
        <v>4.6559999999999997E-2</v>
      </c>
      <c r="R224" s="510">
        <f t="shared" si="5"/>
        <v>3.6479999999999999E-2</v>
      </c>
      <c r="S224" s="510">
        <f t="shared" si="6"/>
        <v>4.1000000000000002E-2</v>
      </c>
    </row>
    <row r="225" spans="1:19" x14ac:dyDescent="0.2">
      <c r="A225" s="477" t="str">
        <f t="shared" si="7"/>
        <v xml:space="preserve">Osuszanie lub kalcynacja gipsu lub produkcja płyt gipsowo-kartonowych i innych wyrobów gipsowych, jeżeli wykorzystywane są instalacje spalania o łącznej nominalnej mocy cieplnej przekraczającej 20 MW </v>
      </c>
      <c r="B225" s="478">
        <v>15</v>
      </c>
      <c r="C225" s="478">
        <f t="shared" si="9"/>
        <v>25</v>
      </c>
      <c r="D225" s="479" t="str">
        <f t="shared" si="1"/>
        <v>15.25</v>
      </c>
      <c r="E225" s="478" t="str">
        <f>Translations!$B$1498</f>
        <v>Suszony gips wtórny</v>
      </c>
      <c r="F225" s="478" t="str">
        <f t="shared" si="8"/>
        <v>tony</v>
      </c>
      <c r="G225" s="478" t="b">
        <v>1</v>
      </c>
      <c r="H225" s="478" t="b">
        <v>0</v>
      </c>
      <c r="I225" s="478" t="str">
        <f>""</f>
        <v/>
      </c>
      <c r="J225" s="480" t="str">
        <f>""</f>
        <v/>
      </c>
      <c r="K225" s="478" t="b">
        <v>1</v>
      </c>
      <c r="L225" s="478" t="b">
        <v>0</v>
      </c>
      <c r="M225" s="484">
        <v>1.7000000000000001E-2</v>
      </c>
      <c r="N225" s="485">
        <f t="shared" si="2"/>
        <v>2E-3</v>
      </c>
      <c r="O225" s="1084">
        <f t="shared" si="3"/>
        <v>1.6E-2</v>
      </c>
      <c r="P225" s="1088">
        <v>0.01</v>
      </c>
      <c r="Q225" s="1085">
        <f t="shared" si="4"/>
        <v>1.6490000000000001E-2</v>
      </c>
      <c r="R225" s="510">
        <f t="shared" si="5"/>
        <v>1.2920000000000001E-2</v>
      </c>
      <c r="S225" s="510">
        <f t="shared" si="6"/>
        <v>1.4E-2</v>
      </c>
    </row>
    <row r="226" spans="1:19" x14ac:dyDescent="0.2">
      <c r="A226" s="477" t="str">
        <f t="shared" si="7"/>
        <v xml:space="preserve">Osuszanie lub kalcynacja gipsu lub produkcja płyt gipsowo-kartonowych i innych wyrobów gipsowych, jeżeli wykorzystywane są instalacje spalania o łącznej nominalnej mocy cieplnej przekraczającej 20 MW </v>
      </c>
      <c r="B226" s="478">
        <v>15</v>
      </c>
      <c r="C226" s="478">
        <f t="shared" si="9"/>
        <v>26</v>
      </c>
      <c r="D226" s="479" t="str">
        <f t="shared" si="1"/>
        <v>15.26</v>
      </c>
      <c r="E226" s="478" t="str">
        <f>Translations!$B$1499</f>
        <v>Płyta gipsowa</v>
      </c>
      <c r="F226" s="478" t="str">
        <f t="shared" si="8"/>
        <v>tony</v>
      </c>
      <c r="G226" s="478" t="b">
        <v>0</v>
      </c>
      <c r="H226" s="478" t="b">
        <v>1</v>
      </c>
      <c r="I226" s="478" t="str">
        <f>""</f>
        <v/>
      </c>
      <c r="J226" s="480" t="str">
        <f>""</f>
        <v/>
      </c>
      <c r="K226" s="478" t="b">
        <v>1</v>
      </c>
      <c r="L226" s="478" t="b">
        <v>0</v>
      </c>
      <c r="M226" s="484">
        <v>0.13100000000000001</v>
      </c>
      <c r="N226" s="485">
        <f t="shared" si="2"/>
        <v>2E-3</v>
      </c>
      <c r="O226" s="1084">
        <f t="shared" si="3"/>
        <v>1.6E-2</v>
      </c>
      <c r="P226" s="1088">
        <v>0.01</v>
      </c>
      <c r="Q226" s="1085">
        <f t="shared" si="4"/>
        <v>0.12706999999999999</v>
      </c>
      <c r="R226" s="510">
        <f t="shared" si="5"/>
        <v>9.956000000000001E-2</v>
      </c>
      <c r="S226" s="510">
        <f t="shared" si="6"/>
        <v>0.111</v>
      </c>
    </row>
    <row r="227" spans="1:19" x14ac:dyDescent="0.2">
      <c r="A227" s="477" t="str">
        <f t="shared" si="7"/>
        <v xml:space="preserve">Produkcja pulpy drzewnej lub innych materiałów włóknistych </v>
      </c>
      <c r="B227" s="478">
        <v>16</v>
      </c>
      <c r="C227" s="478">
        <f t="shared" si="9"/>
        <v>27</v>
      </c>
      <c r="D227" s="479" t="str">
        <f t="shared" si="1"/>
        <v>16.27</v>
      </c>
      <c r="E227" s="478" t="str">
        <f>Translations!$B$1500</f>
        <v>Krótkowłóknista masa celulozowa siarczanowa</v>
      </c>
      <c r="F227" s="478" t="str">
        <f>Translations!$B$1501</f>
        <v>Tona powietrznie suchej masy</v>
      </c>
      <c r="G227" s="478" t="b">
        <v>1</v>
      </c>
      <c r="H227" s="478" t="b">
        <v>0</v>
      </c>
      <c r="I227" s="481" t="str">
        <f>Translations!$B$1502</f>
        <v>Proszę zwrócić uwagę, że w odniesieniu do zintegrowanej produkcji masy celulozowej i papieru zastosowanie mają szczególne zasady przydziału (art. 16 ust. 6 FAR).</v>
      </c>
      <c r="J227" s="480" t="str">
        <f>""</f>
        <v/>
      </c>
      <c r="K227" s="478" t="b">
        <v>1</v>
      </c>
      <c r="L227" s="478" t="b">
        <v>1</v>
      </c>
      <c r="M227" s="484">
        <v>0.12</v>
      </c>
      <c r="N227" s="485">
        <f t="shared" si="2"/>
        <v>2E-3</v>
      </c>
      <c r="O227" s="1084">
        <f t="shared" si="3"/>
        <v>1.6E-2</v>
      </c>
      <c r="P227" s="1088">
        <v>0.01</v>
      </c>
      <c r="Q227" s="1085">
        <f t="shared" si="4"/>
        <v>0.11639999999999999</v>
      </c>
      <c r="R227" s="510">
        <f t="shared" si="5"/>
        <v>9.1200000000000003E-2</v>
      </c>
      <c r="S227" s="510">
        <f t="shared" si="6"/>
        <v>0.10199999999999999</v>
      </c>
    </row>
    <row r="228" spans="1:19" x14ac:dyDescent="0.2">
      <c r="A228" s="477" t="str">
        <f t="shared" si="7"/>
        <v xml:space="preserve">Produkcja pulpy drzewnej lub innych materiałów włóknistych </v>
      </c>
      <c r="B228" s="478">
        <v>16</v>
      </c>
      <c r="C228" s="478">
        <f t="shared" si="9"/>
        <v>28</v>
      </c>
      <c r="D228" s="479" t="str">
        <f t="shared" si="1"/>
        <v>16.28</v>
      </c>
      <c r="E228" s="478" t="str">
        <f>Translations!$B$1503</f>
        <v>Długowłóknista masa celulozowa siarczanowa</v>
      </c>
      <c r="F228" s="478" t="str">
        <f>Translations!$B$1501</f>
        <v>Tona powietrznie suchej masy</v>
      </c>
      <c r="G228" s="478" t="b">
        <v>1</v>
      </c>
      <c r="H228" s="478" t="b">
        <v>0</v>
      </c>
      <c r="I228" s="481" t="str">
        <f>Translations!$B$1502</f>
        <v>Proszę zwrócić uwagę, że w odniesieniu do zintegrowanej produkcji masy celulozowej i papieru zastosowanie mają szczególne zasady przydziału (art. 16 ust. 6 FAR).</v>
      </c>
      <c r="J228" s="480" t="str">
        <f>""</f>
        <v/>
      </c>
      <c r="K228" s="478" t="b">
        <v>1</v>
      </c>
      <c r="L228" s="478" t="b">
        <v>1</v>
      </c>
      <c r="M228" s="484">
        <v>0.06</v>
      </c>
      <c r="N228" s="485">
        <f t="shared" si="2"/>
        <v>2E-3</v>
      </c>
      <c r="O228" s="1084">
        <f t="shared" si="3"/>
        <v>1.6E-2</v>
      </c>
      <c r="P228" s="1088">
        <v>0.01</v>
      </c>
      <c r="Q228" s="1085">
        <f t="shared" si="4"/>
        <v>5.8199999999999995E-2</v>
      </c>
      <c r="R228" s="510">
        <f t="shared" si="5"/>
        <v>4.5600000000000002E-2</v>
      </c>
      <c r="S228" s="510">
        <f t="shared" si="6"/>
        <v>5.0999999999999997E-2</v>
      </c>
    </row>
    <row r="229" spans="1:19" x14ac:dyDescent="0.2">
      <c r="A229" s="477" t="str">
        <f t="shared" si="7"/>
        <v xml:space="preserve">Produkcja pulpy drzewnej lub innych materiałów włóknistych </v>
      </c>
      <c r="B229" s="478">
        <v>16</v>
      </c>
      <c r="C229" s="478">
        <f t="shared" si="9"/>
        <v>29</v>
      </c>
      <c r="D229" s="479" t="str">
        <f t="shared" si="1"/>
        <v>16.29</v>
      </c>
      <c r="E229" s="478" t="str">
        <f>Translations!$B$1504</f>
        <v>Masa celulozowa siarczynowa, masa termomechaniczna i masa mechaniczna</v>
      </c>
      <c r="F229" s="478" t="str">
        <f>Translations!$B$1501</f>
        <v>Tona powietrznie suchej masy</v>
      </c>
      <c r="G229" s="478" t="b">
        <v>1</v>
      </c>
      <c r="H229" s="478" t="b">
        <v>0</v>
      </c>
      <c r="I229" s="481" t="str">
        <f>Translations!$B$1502</f>
        <v>Proszę zwrócić uwagę, że w odniesieniu do zintegrowanej produkcji masy celulozowej i papieru zastosowanie mają szczególne zasady przydziału (art. 16 ust. 6 FAR).</v>
      </c>
      <c r="J229" s="480" t="str">
        <f>""</f>
        <v/>
      </c>
      <c r="K229" s="478" t="b">
        <v>1</v>
      </c>
      <c r="L229" s="478" t="b">
        <v>1</v>
      </c>
      <c r="M229" s="484">
        <v>0.02</v>
      </c>
      <c r="N229" s="485">
        <f t="shared" si="2"/>
        <v>2E-3</v>
      </c>
      <c r="O229" s="1084">
        <f t="shared" si="3"/>
        <v>1.6E-2</v>
      </c>
      <c r="P229" s="1088">
        <v>0.01</v>
      </c>
      <c r="Q229" s="1085">
        <f t="shared" si="4"/>
        <v>1.9400000000000001E-2</v>
      </c>
      <c r="R229" s="510">
        <f t="shared" si="5"/>
        <v>1.52E-2</v>
      </c>
      <c r="S229" s="510">
        <f t="shared" si="6"/>
        <v>1.7000000000000001E-2</v>
      </c>
    </row>
    <row r="230" spans="1:19" x14ac:dyDescent="0.2">
      <c r="A230" s="477" t="str">
        <f t="shared" si="7"/>
        <v xml:space="preserve">Produkcja pulpy drzewnej lub innych materiałów włóknistych </v>
      </c>
      <c r="B230" s="478">
        <v>16</v>
      </c>
      <c r="C230" s="478">
        <f t="shared" si="9"/>
        <v>30</v>
      </c>
      <c r="D230" s="479" t="str">
        <f t="shared" si="1"/>
        <v>16.30</v>
      </c>
      <c r="E230" s="478" t="str">
        <f>Translations!$B$1505</f>
        <v>Masa makulaturowa</v>
      </c>
      <c r="F230" s="478" t="str">
        <f>Translations!$B$1501</f>
        <v>Tona powietrznie suchej masy</v>
      </c>
      <c r="G230" s="478" t="b">
        <v>1</v>
      </c>
      <c r="H230" s="478" t="b">
        <v>0</v>
      </c>
      <c r="I230" s="478" t="str">
        <f>""</f>
        <v/>
      </c>
      <c r="J230" s="480" t="str">
        <f>""</f>
        <v/>
      </c>
      <c r="K230" s="478" t="b">
        <v>1</v>
      </c>
      <c r="L230" s="478" t="b">
        <v>0</v>
      </c>
      <c r="M230" s="484">
        <v>3.9E-2</v>
      </c>
      <c r="N230" s="485">
        <f t="shared" si="2"/>
        <v>2E-3</v>
      </c>
      <c r="O230" s="1084">
        <f t="shared" si="3"/>
        <v>1.6E-2</v>
      </c>
      <c r="P230" s="1088">
        <v>0.01</v>
      </c>
      <c r="Q230" s="1085">
        <f t="shared" si="4"/>
        <v>3.7829999999999996E-2</v>
      </c>
      <c r="R230" s="510">
        <f t="shared" si="5"/>
        <v>2.964E-2</v>
      </c>
      <c r="S230" s="510">
        <f t="shared" si="6"/>
        <v>3.3000000000000002E-2</v>
      </c>
    </row>
    <row r="231" spans="1:19" x14ac:dyDescent="0.2">
      <c r="A231" s="477" t="str">
        <f t="shared" si="7"/>
        <v xml:space="preserve">Produkcja papieru lub tektury o wydajności przekraczającej 20 ton dziennie </v>
      </c>
      <c r="B231" s="478">
        <v>17</v>
      </c>
      <c r="C231" s="478">
        <f t="shared" si="9"/>
        <v>31</v>
      </c>
      <c r="D231" s="479" t="str">
        <f t="shared" si="1"/>
        <v>17.31</v>
      </c>
      <c r="E231" s="478" t="str">
        <f>Translations!$B$1506</f>
        <v>Papier gazetowy</v>
      </c>
      <c r="F231" s="478" t="str">
        <f>Translations!$B$1501</f>
        <v>Tona powietrznie suchej masy</v>
      </c>
      <c r="G231" s="478" t="b">
        <v>1</v>
      </c>
      <c r="H231" s="478" t="b">
        <v>0</v>
      </c>
      <c r="I231" s="478" t="str">
        <f>""</f>
        <v/>
      </c>
      <c r="J231" s="480" t="str">
        <f>""</f>
        <v/>
      </c>
      <c r="K231" s="478" t="b">
        <v>1</v>
      </c>
      <c r="L231" s="478" t="b">
        <v>0</v>
      </c>
      <c r="M231" s="484">
        <v>0.29799999999999999</v>
      </c>
      <c r="N231" s="485">
        <f t="shared" si="2"/>
        <v>2E-3</v>
      </c>
      <c r="O231" s="1084">
        <f t="shared" si="3"/>
        <v>1.6E-2</v>
      </c>
      <c r="P231" s="1088">
        <v>0.01</v>
      </c>
      <c r="Q231" s="1085">
        <f t="shared" si="4"/>
        <v>0.28905999999999998</v>
      </c>
      <c r="R231" s="510">
        <f t="shared" si="5"/>
        <v>0.22647999999999999</v>
      </c>
      <c r="S231" s="510">
        <f t="shared" si="6"/>
        <v>0.253</v>
      </c>
    </row>
    <row r="232" spans="1:19" x14ac:dyDescent="0.2">
      <c r="A232" s="477" t="str">
        <f t="shared" si="7"/>
        <v xml:space="preserve">Produkcja papieru lub tektury o wydajności przekraczającej 20 ton dziennie </v>
      </c>
      <c r="B232" s="478">
        <v>17</v>
      </c>
      <c r="C232" s="478">
        <f t="shared" si="9"/>
        <v>32</v>
      </c>
      <c r="D232" s="479" t="str">
        <f t="shared" si="1"/>
        <v>17.32</v>
      </c>
      <c r="E232" s="478" t="str">
        <f>Translations!$B$1507</f>
        <v>Wysokogatunkowy papier niepowlekany</v>
      </c>
      <c r="F232" s="478" t="str">
        <f>Translations!$B$1501</f>
        <v>Tona powietrznie suchej masy</v>
      </c>
      <c r="G232" s="478" t="b">
        <v>1</v>
      </c>
      <c r="H232" s="478" t="b">
        <v>0</v>
      </c>
      <c r="I232" s="478" t="str">
        <f>""</f>
        <v/>
      </c>
      <c r="J232" s="480" t="str">
        <f>""</f>
        <v/>
      </c>
      <c r="K232" s="478" t="b">
        <v>1</v>
      </c>
      <c r="L232" s="478" t="b">
        <v>0</v>
      </c>
      <c r="M232" s="484">
        <v>0.318</v>
      </c>
      <c r="N232" s="485">
        <f t="shared" si="2"/>
        <v>2E-3</v>
      </c>
      <c r="O232" s="1084">
        <f t="shared" si="3"/>
        <v>1.6E-2</v>
      </c>
      <c r="P232" s="1088">
        <v>0.01</v>
      </c>
      <c r="Q232" s="1085">
        <f t="shared" si="4"/>
        <v>0.30846000000000001</v>
      </c>
      <c r="R232" s="510">
        <f t="shared" si="5"/>
        <v>0.24168000000000001</v>
      </c>
      <c r="S232" s="510">
        <f t="shared" si="6"/>
        <v>0.27</v>
      </c>
    </row>
    <row r="233" spans="1:19" x14ac:dyDescent="0.2">
      <c r="A233" s="477" t="str">
        <f t="shared" si="7"/>
        <v xml:space="preserve">Produkcja papieru lub tektury o wydajności przekraczającej 20 ton dziennie </v>
      </c>
      <c r="B233" s="478">
        <v>17</v>
      </c>
      <c r="C233" s="478">
        <f t="shared" si="9"/>
        <v>33</v>
      </c>
      <c r="D233" s="479" t="str">
        <f t="shared" ref="D233:D252" si="10">CONCATENATE(TEXT(B233,"00"),".",TEXT(C233,"00"))</f>
        <v>17.33</v>
      </c>
      <c r="E233" s="478" t="str">
        <f>Translations!$B$1508</f>
        <v>Wysokogatunkowy papier powlekany</v>
      </c>
      <c r="F233" s="478" t="str">
        <f>Translations!$B$1501</f>
        <v>Tona powietrznie suchej masy</v>
      </c>
      <c r="G233" s="478" t="b">
        <v>1</v>
      </c>
      <c r="H233" s="478" t="b">
        <v>0</v>
      </c>
      <c r="I233" s="478" t="str">
        <f>""</f>
        <v/>
      </c>
      <c r="J233" s="480" t="str">
        <f>""</f>
        <v/>
      </c>
      <c r="K233" s="478" t="b">
        <v>1</v>
      </c>
      <c r="L233" s="478" t="b">
        <v>0</v>
      </c>
      <c r="M233" s="484">
        <v>0.318</v>
      </c>
      <c r="N233" s="485">
        <f t="shared" ref="N233:N252" si="11">INDEX(EUconst_BM_ARR_Range,1)</f>
        <v>2E-3</v>
      </c>
      <c r="O233" s="1084">
        <f t="shared" ref="O233:O252" si="12">IF(AND(C233=4,CNTR_BaselinePeriod=1),INDEX(EUconst_BM_ARR_Range,1),INDEX(EUconst_BM_ARR_Range,2))</f>
        <v>1.6E-2</v>
      </c>
      <c r="P233" s="1088">
        <v>0.01</v>
      </c>
      <c r="Q233" s="1085">
        <f t="shared" ref="Q233:Q252" si="13">$M233*(1-N233*(15+(IF(CNTR_BaselinePeriod=EUconst_NA,1,CNTR_BaselinePeriod)-1)*5))</f>
        <v>0.30846000000000001</v>
      </c>
      <c r="R233" s="510">
        <f t="shared" ref="R233:R252" si="14">$M233*(1-O233*(15+(IF(CNTR_BaselinePeriod=EUconst_NA,1,CNTR_BaselinePeriod)-1)*5))</f>
        <v>0.24168000000000001</v>
      </c>
      <c r="S233" s="510">
        <f t="shared" ref="S233:S252" si="15">ROUND(M233*(1-P233*(15+(IF(CNTR_BaselinePeriod=EUconst_NA,1,CNTR_BaselinePeriod)-1)*5)),3)</f>
        <v>0.27</v>
      </c>
    </row>
    <row r="234" spans="1:19" x14ac:dyDescent="0.2">
      <c r="A234" s="477" t="str">
        <f t="shared" si="7"/>
        <v xml:space="preserve">Produkcja papieru lub tektury o wydajności przekraczającej 20 ton dziennie </v>
      </c>
      <c r="B234" s="478">
        <v>17</v>
      </c>
      <c r="C234" s="478">
        <f t="shared" si="9"/>
        <v>34</v>
      </c>
      <c r="D234" s="479" t="str">
        <f t="shared" si="10"/>
        <v>17.34</v>
      </c>
      <c r="E234" s="478" t="str">
        <f>Translations!$B$1509</f>
        <v>Bibułka higieniczna</v>
      </c>
      <c r="F234" s="478" t="str">
        <f>EUconst_Tons</f>
        <v>tony</v>
      </c>
      <c r="G234" s="478" t="b">
        <v>1</v>
      </c>
      <c r="H234" s="478" t="b">
        <v>0</v>
      </c>
      <c r="I234" s="478" t="str">
        <f>""</f>
        <v/>
      </c>
      <c r="J234" s="480" t="str">
        <f>""</f>
        <v/>
      </c>
      <c r="K234" s="478" t="b">
        <v>1</v>
      </c>
      <c r="L234" s="478" t="b">
        <v>0</v>
      </c>
      <c r="M234" s="484">
        <v>0.33400000000000002</v>
      </c>
      <c r="N234" s="485">
        <f t="shared" si="11"/>
        <v>2E-3</v>
      </c>
      <c r="O234" s="1084">
        <f t="shared" si="12"/>
        <v>1.6E-2</v>
      </c>
      <c r="P234" s="1088">
        <v>0.01</v>
      </c>
      <c r="Q234" s="1085">
        <f t="shared" si="13"/>
        <v>0.32397999999999999</v>
      </c>
      <c r="R234" s="510">
        <f t="shared" si="14"/>
        <v>0.25384000000000001</v>
      </c>
      <c r="S234" s="510">
        <f t="shared" si="15"/>
        <v>0.28399999999999997</v>
      </c>
    </row>
    <row r="235" spans="1:19" x14ac:dyDescent="0.2">
      <c r="A235" s="477" t="str">
        <f t="shared" si="7"/>
        <v xml:space="preserve">Produkcja papieru lub tektury o wydajności przekraczającej 20 ton dziennie </v>
      </c>
      <c r="B235" s="478">
        <v>17</v>
      </c>
      <c r="C235" s="478">
        <f t="shared" si="9"/>
        <v>35</v>
      </c>
      <c r="D235" s="479" t="str">
        <f t="shared" si="10"/>
        <v>17.35</v>
      </c>
      <c r="E235" s="478" t="str">
        <f>Translations!$B$1510</f>
        <v>Testliner i fluting</v>
      </c>
      <c r="F235" s="478" t="str">
        <f>Translations!$B$1501</f>
        <v>Tona powietrznie suchej masy</v>
      </c>
      <c r="G235" s="478" t="b">
        <v>1</v>
      </c>
      <c r="H235" s="478" t="b">
        <v>0</v>
      </c>
      <c r="I235" s="478" t="str">
        <f>""</f>
        <v/>
      </c>
      <c r="J235" s="480" t="str">
        <f>""</f>
        <v/>
      </c>
      <c r="K235" s="478" t="b">
        <v>1</v>
      </c>
      <c r="L235" s="478" t="b">
        <v>0</v>
      </c>
      <c r="M235" s="484">
        <v>0.248</v>
      </c>
      <c r="N235" s="485">
        <f t="shared" si="11"/>
        <v>2E-3</v>
      </c>
      <c r="O235" s="1084">
        <f t="shared" si="12"/>
        <v>1.6E-2</v>
      </c>
      <c r="P235" s="1088">
        <v>0.01</v>
      </c>
      <c r="Q235" s="1085">
        <f t="shared" si="13"/>
        <v>0.24056</v>
      </c>
      <c r="R235" s="510">
        <f t="shared" si="14"/>
        <v>0.18848000000000001</v>
      </c>
      <c r="S235" s="510">
        <f t="shared" si="15"/>
        <v>0.21099999999999999</v>
      </c>
    </row>
    <row r="236" spans="1:19" x14ac:dyDescent="0.2">
      <c r="A236" s="477" t="str">
        <f t="shared" si="7"/>
        <v xml:space="preserve">Produkcja papieru lub tektury o wydajności przekraczającej 20 ton dziennie </v>
      </c>
      <c r="B236" s="478">
        <v>17</v>
      </c>
      <c r="C236" s="478">
        <f t="shared" si="9"/>
        <v>36</v>
      </c>
      <c r="D236" s="479" t="str">
        <f t="shared" si="10"/>
        <v>17.36</v>
      </c>
      <c r="E236" s="478" t="str">
        <f>Translations!$B$1511</f>
        <v>Tektura niepowlekana</v>
      </c>
      <c r="F236" s="478" t="str">
        <f>Translations!$B$1501</f>
        <v>Tona powietrznie suchej masy</v>
      </c>
      <c r="G236" s="478" t="b">
        <v>1</v>
      </c>
      <c r="H236" s="478" t="b">
        <v>0</v>
      </c>
      <c r="I236" s="478" t="str">
        <f>""</f>
        <v/>
      </c>
      <c r="J236" s="480" t="str">
        <f>""</f>
        <v/>
      </c>
      <c r="K236" s="478" t="b">
        <v>1</v>
      </c>
      <c r="L236" s="478" t="b">
        <v>0</v>
      </c>
      <c r="M236" s="484">
        <v>0.23699999999999999</v>
      </c>
      <c r="N236" s="485">
        <f t="shared" si="11"/>
        <v>2E-3</v>
      </c>
      <c r="O236" s="1084">
        <f t="shared" si="12"/>
        <v>1.6E-2</v>
      </c>
      <c r="P236" s="1088">
        <v>0.01</v>
      </c>
      <c r="Q236" s="1085">
        <f t="shared" si="13"/>
        <v>0.22988999999999998</v>
      </c>
      <c r="R236" s="510">
        <f t="shared" si="14"/>
        <v>0.18012</v>
      </c>
      <c r="S236" s="510">
        <f t="shared" si="15"/>
        <v>0.20100000000000001</v>
      </c>
    </row>
    <row r="237" spans="1:19" x14ac:dyDescent="0.2">
      <c r="A237" s="477" t="str">
        <f t="shared" si="7"/>
        <v xml:space="preserve">Produkcja papieru lub tektury o wydajności przekraczającej 20 ton dziennie </v>
      </c>
      <c r="B237" s="478">
        <v>17</v>
      </c>
      <c r="C237" s="478">
        <f t="shared" si="9"/>
        <v>37</v>
      </c>
      <c r="D237" s="479" t="str">
        <f t="shared" si="10"/>
        <v>17.37</v>
      </c>
      <c r="E237" s="478" t="str">
        <f>Translations!$B$1512</f>
        <v>Tektura powlekana</v>
      </c>
      <c r="F237" s="478" t="str">
        <f>Translations!$B$1501</f>
        <v>Tona powietrznie suchej masy</v>
      </c>
      <c r="G237" s="478" t="b">
        <v>1</v>
      </c>
      <c r="H237" s="478" t="b">
        <v>0</v>
      </c>
      <c r="I237" s="478" t="str">
        <f>""</f>
        <v/>
      </c>
      <c r="J237" s="480" t="str">
        <f>""</f>
        <v/>
      </c>
      <c r="K237" s="478" t="b">
        <v>1</v>
      </c>
      <c r="L237" s="478" t="b">
        <v>0</v>
      </c>
      <c r="M237" s="484">
        <v>0.27300000000000002</v>
      </c>
      <c r="N237" s="485">
        <f t="shared" si="11"/>
        <v>2E-3</v>
      </c>
      <c r="O237" s="1084">
        <f t="shared" si="12"/>
        <v>1.6E-2</v>
      </c>
      <c r="P237" s="1088">
        <v>0.01</v>
      </c>
      <c r="Q237" s="1085">
        <f t="shared" si="13"/>
        <v>0.26480999999999999</v>
      </c>
      <c r="R237" s="510">
        <f t="shared" si="14"/>
        <v>0.20748000000000003</v>
      </c>
      <c r="S237" s="510">
        <f t="shared" si="15"/>
        <v>0.23200000000000001</v>
      </c>
    </row>
    <row r="238" spans="1:19" x14ac:dyDescent="0.2">
      <c r="A238" s="477" t="str">
        <f t="shared" si="7"/>
        <v xml:space="preserve">Produkcja sadzy, w tym karbonizacja substancji organicznych takich jak oleje mineralne, smoły, pozostałości krakowania i destylacji, jeżeli wykorzystywane są jednostki spalania o całkowitej nominalnej mocy cieplnej przekraczającej 20 MW </v>
      </c>
      <c r="B238" s="478">
        <v>18</v>
      </c>
      <c r="C238" s="478">
        <f t="shared" si="9"/>
        <v>38</v>
      </c>
      <c r="D238" s="479" t="str">
        <f t="shared" si="10"/>
        <v>18.38</v>
      </c>
      <c r="E238" s="478" t="str">
        <f>Translations!$B$1513</f>
        <v>Sadza</v>
      </c>
      <c r="F238" s="478" t="str">
        <f>EUconst_Tons</f>
        <v>tony</v>
      </c>
      <c r="G238" s="478" t="b">
        <v>1</v>
      </c>
      <c r="H238" s="478" t="b">
        <v>1</v>
      </c>
      <c r="I238" s="478" t="str">
        <f>""</f>
        <v/>
      </c>
      <c r="J238" s="480" t="str">
        <f>""</f>
        <v/>
      </c>
      <c r="K238" s="478" t="b">
        <v>1</v>
      </c>
      <c r="L238" s="478" t="b">
        <v>0</v>
      </c>
      <c r="M238" s="484">
        <v>1.954</v>
      </c>
      <c r="N238" s="485">
        <f t="shared" si="11"/>
        <v>2E-3</v>
      </c>
      <c r="O238" s="1084">
        <f t="shared" si="12"/>
        <v>1.6E-2</v>
      </c>
      <c r="P238" s="1088">
        <v>0.01</v>
      </c>
      <c r="Q238" s="1085">
        <f t="shared" si="13"/>
        <v>1.8953799999999998</v>
      </c>
      <c r="R238" s="510">
        <f t="shared" si="14"/>
        <v>1.4850399999999999</v>
      </c>
      <c r="S238" s="510">
        <f t="shared" si="15"/>
        <v>1.661</v>
      </c>
    </row>
    <row r="239" spans="1:19" x14ac:dyDescent="0.2">
      <c r="A239" s="477" t="str">
        <f t="shared" si="7"/>
        <v xml:space="preserve">Produkcja kwasu azotowego </v>
      </c>
      <c r="B239" s="478">
        <v>19</v>
      </c>
      <c r="C239" s="478">
        <f t="shared" si="9"/>
        <v>39</v>
      </c>
      <c r="D239" s="479" t="str">
        <f t="shared" si="10"/>
        <v>19.39</v>
      </c>
      <c r="E239" s="478" t="str">
        <f>Translations!$B$1514</f>
        <v>Kwas azotowy</v>
      </c>
      <c r="F239" s="478" t="str">
        <f>EUconst_Tons</f>
        <v>tony</v>
      </c>
      <c r="G239" s="478" t="b">
        <v>1</v>
      </c>
      <c r="H239" s="478" t="b">
        <v>0</v>
      </c>
      <c r="I239" s="481" t="str">
        <f>Translations!$B$1515</f>
        <v>Mierzalne ciepło dostarczane do innych podinstalacji należy traktować jak ciepło ze źródeł nieobjętych systemem EU ETS.</v>
      </c>
      <c r="J239" s="480" t="str">
        <f>""</f>
        <v/>
      </c>
      <c r="K239" s="478" t="b">
        <v>1</v>
      </c>
      <c r="L239" s="478" t="b">
        <v>0</v>
      </c>
      <c r="M239" s="484">
        <v>0.30199999999999999</v>
      </c>
      <c r="N239" s="485">
        <f t="shared" si="11"/>
        <v>2E-3</v>
      </c>
      <c r="O239" s="1084">
        <f t="shared" si="12"/>
        <v>1.6E-2</v>
      </c>
      <c r="P239" s="1088">
        <v>0.01</v>
      </c>
      <c r="Q239" s="1085">
        <f t="shared" si="13"/>
        <v>0.29293999999999998</v>
      </c>
      <c r="R239" s="510">
        <f t="shared" si="14"/>
        <v>0.22952</v>
      </c>
      <c r="S239" s="510">
        <f t="shared" si="15"/>
        <v>0.25700000000000001</v>
      </c>
    </row>
    <row r="240" spans="1:19" x14ac:dyDescent="0.2">
      <c r="A240" s="477" t="str">
        <f t="shared" si="7"/>
        <v xml:space="preserve">Produkcja kwasu adypinowego </v>
      </c>
      <c r="B240" s="478">
        <v>20</v>
      </c>
      <c r="C240" s="478">
        <f t="shared" si="9"/>
        <v>40</v>
      </c>
      <c r="D240" s="479" t="str">
        <f t="shared" si="10"/>
        <v>20.40</v>
      </c>
      <c r="E240" s="478" t="str">
        <f>Translations!$B$1516</f>
        <v>Kwas adypinowy</v>
      </c>
      <c r="F240" s="478" t="str">
        <f>EUconst_Tons</f>
        <v>tony</v>
      </c>
      <c r="G240" s="478" t="b">
        <v>1</v>
      </c>
      <c r="H240" s="478" t="b">
        <v>0</v>
      </c>
      <c r="I240" s="478" t="str">
        <f>""</f>
        <v/>
      </c>
      <c r="J240" s="480" t="str">
        <f>""</f>
        <v/>
      </c>
      <c r="K240" s="478" t="b">
        <v>1</v>
      </c>
      <c r="L240" s="478" t="b">
        <v>0</v>
      </c>
      <c r="M240" s="484">
        <v>2.79</v>
      </c>
      <c r="N240" s="485">
        <f t="shared" si="11"/>
        <v>2E-3</v>
      </c>
      <c r="O240" s="1084">
        <f t="shared" si="12"/>
        <v>1.6E-2</v>
      </c>
      <c r="P240" s="1088">
        <v>0.01</v>
      </c>
      <c r="Q240" s="1085">
        <f t="shared" si="13"/>
        <v>2.7063000000000001</v>
      </c>
      <c r="R240" s="510">
        <f t="shared" si="14"/>
        <v>2.1204000000000001</v>
      </c>
      <c r="S240" s="510">
        <f t="shared" si="15"/>
        <v>2.3719999999999999</v>
      </c>
    </row>
    <row r="241" spans="1:19" x14ac:dyDescent="0.2">
      <c r="A241" s="477" t="str">
        <f t="shared" si="7"/>
        <v xml:space="preserve">Produkcja amoniaku </v>
      </c>
      <c r="B241" s="478">
        <v>22</v>
      </c>
      <c r="C241" s="478">
        <f t="shared" si="9"/>
        <v>41</v>
      </c>
      <c r="D241" s="479" t="str">
        <f t="shared" si="10"/>
        <v>22.41</v>
      </c>
      <c r="E241" s="478" t="str">
        <f>Translations!$B$1517</f>
        <v>Amoniak</v>
      </c>
      <c r="F241" s="478" t="str">
        <f>EUconst_Tons</f>
        <v>tony</v>
      </c>
      <c r="G241" s="478" t="b">
        <v>1</v>
      </c>
      <c r="H241" s="478" t="b">
        <v>1</v>
      </c>
      <c r="I241" s="478" t="str">
        <f>""</f>
        <v/>
      </c>
      <c r="J241" s="480" t="str">
        <f>""</f>
        <v/>
      </c>
      <c r="K241" s="478" t="b">
        <v>1</v>
      </c>
      <c r="L241" s="478" t="b">
        <v>0</v>
      </c>
      <c r="M241" s="484">
        <v>1.619</v>
      </c>
      <c r="N241" s="485">
        <f t="shared" si="11"/>
        <v>2E-3</v>
      </c>
      <c r="O241" s="1084">
        <f t="shared" si="12"/>
        <v>1.6E-2</v>
      </c>
      <c r="P241" s="1088">
        <v>0.01</v>
      </c>
      <c r="Q241" s="1085">
        <f t="shared" si="13"/>
        <v>1.57043</v>
      </c>
      <c r="R241" s="510">
        <f t="shared" si="14"/>
        <v>1.23044</v>
      </c>
      <c r="S241" s="510">
        <f t="shared" si="15"/>
        <v>1.3759999999999999</v>
      </c>
    </row>
    <row r="242" spans="1:19" x14ac:dyDescent="0.2">
      <c r="A242" s="477" t="str">
        <f t="shared" si="7"/>
        <v xml:space="preserve">Produkcja chemikaliów organicznych luzem poprzez krakowanie, reformowanie, częściowe lub pełne utlenianie albo poprzez podobne procesy, przy zdolności produkcyjnej przekraczającej 100 ton dziennie </v>
      </c>
      <c r="B242" s="478">
        <v>23</v>
      </c>
      <c r="C242" s="478">
        <f t="shared" si="9"/>
        <v>42</v>
      </c>
      <c r="D242" s="479" t="str">
        <f t="shared" si="10"/>
        <v>23.42</v>
      </c>
      <c r="E242" s="478" t="str">
        <f>Translations!$B$1015</f>
        <v>Kraking parowy</v>
      </c>
      <c r="F242" s="478" t="str">
        <f>EUconst_Tons</f>
        <v>tony</v>
      </c>
      <c r="G242" s="478" t="b">
        <v>1</v>
      </c>
      <c r="H242" s="478" t="b">
        <v>1</v>
      </c>
      <c r="I242" s="478" t="str">
        <f>Translations!$B$1518</f>
        <v>Proszę użyć narzędzia dotyczącego krakingu parowego w arkuszu „SpecialBM” do obliczenia historycznych poziomów działalności i wstępnego przydziału.</v>
      </c>
      <c r="J242" s="480" t="str">
        <f>"#JUMP_H_IV"</f>
        <v>#JUMP_H_IV</v>
      </c>
      <c r="K242" s="478" t="b">
        <v>1</v>
      </c>
      <c r="L242" s="478" t="b">
        <v>0</v>
      </c>
      <c r="M242" s="484">
        <v>0.70199999999999996</v>
      </c>
      <c r="N242" s="485">
        <f t="shared" si="11"/>
        <v>2E-3</v>
      </c>
      <c r="O242" s="1084">
        <f t="shared" si="12"/>
        <v>1.6E-2</v>
      </c>
      <c r="P242" s="1088">
        <v>0.01</v>
      </c>
      <c r="Q242" s="1085">
        <f t="shared" si="13"/>
        <v>0.68093999999999999</v>
      </c>
      <c r="R242" s="510">
        <f t="shared" si="14"/>
        <v>0.53351999999999999</v>
      </c>
      <c r="S242" s="510">
        <f t="shared" si="15"/>
        <v>0.59699999999999998</v>
      </c>
    </row>
    <row r="243" spans="1:19" x14ac:dyDescent="0.2">
      <c r="A243" s="477" t="str">
        <f t="shared" si="7"/>
        <v xml:space="preserve">Produkcja chemikaliów organicznych luzem poprzez krakowanie, reformowanie, częściowe lub pełne utlenianie albo poprzez podobne procesy, przy zdolności produkcyjnej przekraczającej 100 ton dziennie </v>
      </c>
      <c r="B243" s="478">
        <v>23</v>
      </c>
      <c r="C243" s="478">
        <f t="shared" si="9"/>
        <v>43</v>
      </c>
      <c r="D243" s="479" t="str">
        <f t="shared" si="10"/>
        <v>23.43</v>
      </c>
      <c r="E243" s="478" t="str">
        <f>Translations!$B$1519</f>
        <v>Związki aromatyczne</v>
      </c>
      <c r="F243" s="478" t="str">
        <f>Translations!$B$1473</f>
        <v>CWT</v>
      </c>
      <c r="G243" s="478" t="b">
        <v>1</v>
      </c>
      <c r="H243" s="478" t="b">
        <v>1</v>
      </c>
      <c r="I243" s="478" t="str">
        <f>Translations!$B$1474</f>
        <v>Proszę użyć narzędzia dotyczącego CWT w arkuszu „SpecialBM” do obliczenia historycznych poziomów działalności.</v>
      </c>
      <c r="J243" s="480" t="str">
        <f>"#JUMP_H_V"</f>
        <v>#JUMP_H_V</v>
      </c>
      <c r="K243" s="478" t="b">
        <v>0</v>
      </c>
      <c r="L243" s="478" t="b">
        <v>0</v>
      </c>
      <c r="M243" s="484">
        <v>2.9499999999999998E-2</v>
      </c>
      <c r="N243" s="485">
        <f t="shared" si="11"/>
        <v>2E-3</v>
      </c>
      <c r="O243" s="1084">
        <f t="shared" si="12"/>
        <v>1.6E-2</v>
      </c>
      <c r="P243" s="1088">
        <v>0.01</v>
      </c>
      <c r="Q243" s="1085">
        <f t="shared" si="13"/>
        <v>2.8614999999999998E-2</v>
      </c>
      <c r="R243" s="510">
        <f t="shared" si="14"/>
        <v>2.2419999999999999E-2</v>
      </c>
      <c r="S243" s="510">
        <f t="shared" si="15"/>
        <v>2.5000000000000001E-2</v>
      </c>
    </row>
    <row r="244" spans="1:19" x14ac:dyDescent="0.2">
      <c r="A244" s="477" t="str">
        <f t="shared" si="7"/>
        <v xml:space="preserve">Produkcja chemikaliów organicznych luzem poprzez krakowanie, reformowanie, częściowe lub pełne utlenianie albo poprzez podobne procesy, przy zdolności produkcyjnej przekraczającej 100 ton dziennie </v>
      </c>
      <c r="B244" s="478">
        <v>23</v>
      </c>
      <c r="C244" s="478">
        <f t="shared" si="9"/>
        <v>44</v>
      </c>
      <c r="D244" s="479" t="str">
        <f t="shared" si="10"/>
        <v>23.44</v>
      </c>
      <c r="E244" s="478" t="str">
        <f>Translations!$B$1520</f>
        <v>Styren</v>
      </c>
      <c r="F244" s="478" t="str">
        <f t="shared" ref="F244:F252" si="16">EUconst_Tons</f>
        <v>tony</v>
      </c>
      <c r="G244" s="478" t="b">
        <v>1</v>
      </c>
      <c r="H244" s="478" t="b">
        <v>1</v>
      </c>
      <c r="I244" s="478" t="str">
        <f>""</f>
        <v/>
      </c>
      <c r="J244" s="480" t="str">
        <f>""</f>
        <v/>
      </c>
      <c r="K244" s="478" t="b">
        <v>1</v>
      </c>
      <c r="L244" s="478" t="b">
        <v>0</v>
      </c>
      <c r="M244" s="484">
        <v>0.52700000000000002</v>
      </c>
      <c r="N244" s="485">
        <f t="shared" si="11"/>
        <v>2E-3</v>
      </c>
      <c r="O244" s="1084">
        <f t="shared" si="12"/>
        <v>1.6E-2</v>
      </c>
      <c r="P244" s="1088">
        <v>0.01</v>
      </c>
      <c r="Q244" s="1085">
        <f t="shared" si="13"/>
        <v>0.51119000000000003</v>
      </c>
      <c r="R244" s="510">
        <f t="shared" si="14"/>
        <v>0.40052000000000004</v>
      </c>
      <c r="S244" s="510">
        <f t="shared" si="15"/>
        <v>0.44800000000000001</v>
      </c>
    </row>
    <row r="245" spans="1:19" x14ac:dyDescent="0.2">
      <c r="A245" s="477" t="str">
        <f t="shared" si="7"/>
        <v xml:space="preserve">Produkcja chemikaliów organicznych luzem poprzez krakowanie, reformowanie, częściowe lub pełne utlenianie albo poprzez podobne procesy, przy zdolności produkcyjnej przekraczającej 100 ton dziennie </v>
      </c>
      <c r="B245" s="478">
        <v>23</v>
      </c>
      <c r="C245" s="478">
        <f t="shared" si="9"/>
        <v>45</v>
      </c>
      <c r="D245" s="479" t="str">
        <f t="shared" si="10"/>
        <v>23.45</v>
      </c>
      <c r="E245" s="478" t="str">
        <f>Translations!$B$1521</f>
        <v>Fenol/aceton</v>
      </c>
      <c r="F245" s="478" t="str">
        <f t="shared" si="16"/>
        <v>tony</v>
      </c>
      <c r="G245" s="478" t="b">
        <v>1</v>
      </c>
      <c r="H245" s="478" t="b">
        <v>0</v>
      </c>
      <c r="I245" s="478" t="str">
        <f>""</f>
        <v/>
      </c>
      <c r="J245" s="480" t="str">
        <f>""</f>
        <v/>
      </c>
      <c r="K245" s="478" t="b">
        <v>1</v>
      </c>
      <c r="L245" s="478" t="b">
        <v>0</v>
      </c>
      <c r="M245" s="484">
        <v>0.26600000000000001</v>
      </c>
      <c r="N245" s="485">
        <f t="shared" si="11"/>
        <v>2E-3</v>
      </c>
      <c r="O245" s="1084">
        <f t="shared" si="12"/>
        <v>1.6E-2</v>
      </c>
      <c r="P245" s="1088">
        <v>0.01</v>
      </c>
      <c r="Q245" s="1085">
        <f t="shared" si="13"/>
        <v>0.25802000000000003</v>
      </c>
      <c r="R245" s="510">
        <f t="shared" si="14"/>
        <v>0.20216000000000001</v>
      </c>
      <c r="S245" s="510">
        <f t="shared" si="15"/>
        <v>0.22600000000000001</v>
      </c>
    </row>
    <row r="246" spans="1:19" x14ac:dyDescent="0.2">
      <c r="A246" s="477" t="str">
        <f t="shared" si="7"/>
        <v xml:space="preserve">Produkcja chemikaliów organicznych luzem poprzez krakowanie, reformowanie, częściowe lub pełne utlenianie albo poprzez podobne procesy, przy zdolności produkcyjnej przekraczającej 100 ton dziennie </v>
      </c>
      <c r="B246" s="478">
        <v>23</v>
      </c>
      <c r="C246" s="478">
        <f t="shared" si="9"/>
        <v>46</v>
      </c>
      <c r="D246" s="479" t="str">
        <f t="shared" si="10"/>
        <v>23.46</v>
      </c>
      <c r="E246" s="478" t="str">
        <f>Translations!$B$1522</f>
        <v>Tlenek etylenu / glikole etylenowe</v>
      </c>
      <c r="F246" s="478" t="str">
        <f t="shared" si="16"/>
        <v>tony</v>
      </c>
      <c r="G246" s="478" t="b">
        <v>1</v>
      </c>
      <c r="H246" s="478" t="b">
        <v>1</v>
      </c>
      <c r="I246" s="478" t="str">
        <f>Translations!$B$1523</f>
        <v>Proszę użyć narzędzia dotyczącego tlenku etylenu / glikoli etylenowych w arkuszu „SpecialBM” do obliczenia historycznych poziomów działalności.</v>
      </c>
      <c r="J246" s="480" t="str">
        <f>"#JUMP_H_VIII"</f>
        <v>#JUMP_H_VIII</v>
      </c>
      <c r="K246" s="478" t="b">
        <v>1</v>
      </c>
      <c r="L246" s="478" t="b">
        <v>0</v>
      </c>
      <c r="M246" s="484">
        <v>0.51200000000000001</v>
      </c>
      <c r="N246" s="485">
        <f t="shared" si="11"/>
        <v>2E-3</v>
      </c>
      <c r="O246" s="1084">
        <f t="shared" si="12"/>
        <v>1.6E-2</v>
      </c>
      <c r="P246" s="1088">
        <v>0.01</v>
      </c>
      <c r="Q246" s="1085">
        <f t="shared" si="13"/>
        <v>0.49663999999999997</v>
      </c>
      <c r="R246" s="510">
        <f t="shared" si="14"/>
        <v>0.38912000000000002</v>
      </c>
      <c r="S246" s="510">
        <f t="shared" si="15"/>
        <v>0.435</v>
      </c>
    </row>
    <row r="247" spans="1:19" x14ac:dyDescent="0.2">
      <c r="A247" s="477" t="str">
        <f t="shared" si="7"/>
        <v xml:space="preserve">Produkcja chemikaliów organicznych luzem poprzez krakowanie, reformowanie, częściowe lub pełne utlenianie albo poprzez podobne procesy, przy zdolności produkcyjnej przekraczającej 100 ton dziennie </v>
      </c>
      <c r="B247" s="478">
        <v>23</v>
      </c>
      <c r="C247" s="478">
        <f t="shared" si="9"/>
        <v>47</v>
      </c>
      <c r="D247" s="479" t="str">
        <f t="shared" si="10"/>
        <v>23.47</v>
      </c>
      <c r="E247" s="478" t="str">
        <f>Translations!$B$1524</f>
        <v>Monomer chlorku winylu</v>
      </c>
      <c r="F247" s="478" t="str">
        <f t="shared" si="16"/>
        <v>tony</v>
      </c>
      <c r="G247" s="478" t="b">
        <v>1</v>
      </c>
      <c r="H247" s="478" t="b">
        <v>0</v>
      </c>
      <c r="I247" s="478" t="str">
        <f>Translations!$B$1525</f>
        <v>Proszę użyć narzędzia dotyczącego VCM w arkuszu „SpecialBM” do obliczenia wstępnego przydziału.</v>
      </c>
      <c r="J247" s="480" t="str">
        <f>"#JUMP_H_IX"</f>
        <v>#JUMP_H_IX</v>
      </c>
      <c r="K247" s="478" t="b">
        <v>1</v>
      </c>
      <c r="L247" s="478" t="b">
        <v>0</v>
      </c>
      <c r="M247" s="484">
        <v>0.20399999999999999</v>
      </c>
      <c r="N247" s="485">
        <f t="shared" si="11"/>
        <v>2E-3</v>
      </c>
      <c r="O247" s="1084">
        <f t="shared" si="12"/>
        <v>1.6E-2</v>
      </c>
      <c r="P247" s="1088">
        <v>0.01</v>
      </c>
      <c r="Q247" s="1085">
        <f t="shared" si="13"/>
        <v>0.19787999999999997</v>
      </c>
      <c r="R247" s="510">
        <f t="shared" si="14"/>
        <v>0.15503999999999998</v>
      </c>
      <c r="S247" s="510">
        <f t="shared" si="15"/>
        <v>0.17299999999999999</v>
      </c>
    </row>
    <row r="248" spans="1:19" x14ac:dyDescent="0.2">
      <c r="A248" s="477" t="str">
        <f t="shared" si="7"/>
        <v xml:space="preserve">Produkcja chemikaliów organicznych luzem poprzez krakowanie, reformowanie, częściowe lub pełne utlenianie albo poprzez podobne procesy, przy zdolności produkcyjnej przekraczającej 100 ton dziennie </v>
      </c>
      <c r="B248" s="478">
        <v>23</v>
      </c>
      <c r="C248" s="478">
        <f t="shared" si="9"/>
        <v>48</v>
      </c>
      <c r="D248" s="479" t="str">
        <f t="shared" si="10"/>
        <v>23.48</v>
      </c>
      <c r="E248" s="478" t="str">
        <f>Translations!$B$1526</f>
        <v>PVC-S</v>
      </c>
      <c r="F248" s="478" t="str">
        <f t="shared" si="16"/>
        <v>tony</v>
      </c>
      <c r="G248" s="478" t="b">
        <v>1</v>
      </c>
      <c r="H248" s="478" t="b">
        <v>0</v>
      </c>
      <c r="I248" s="478" t="str">
        <f>""</f>
        <v/>
      </c>
      <c r="J248" s="480" t="str">
        <f>""</f>
        <v/>
      </c>
      <c r="K248" s="478" t="b">
        <v>1</v>
      </c>
      <c r="L248" s="478" t="b">
        <v>0</v>
      </c>
      <c r="M248" s="484">
        <v>8.5000000000000006E-2</v>
      </c>
      <c r="N248" s="485">
        <f t="shared" si="11"/>
        <v>2E-3</v>
      </c>
      <c r="O248" s="1084">
        <f t="shared" si="12"/>
        <v>1.6E-2</v>
      </c>
      <c r="P248" s="1088">
        <v>0.01</v>
      </c>
      <c r="Q248" s="1085">
        <f t="shared" si="13"/>
        <v>8.2450000000000009E-2</v>
      </c>
      <c r="R248" s="510">
        <f t="shared" si="14"/>
        <v>6.4600000000000005E-2</v>
      </c>
      <c r="S248" s="510">
        <f t="shared" si="15"/>
        <v>7.1999999999999995E-2</v>
      </c>
    </row>
    <row r="249" spans="1:19" x14ac:dyDescent="0.2">
      <c r="A249" s="477" t="str">
        <f t="shared" si="7"/>
        <v xml:space="preserve">Produkcja chemikaliów organicznych luzem poprzez krakowanie, reformowanie, częściowe lub pełne utlenianie albo poprzez podobne procesy, przy zdolności produkcyjnej przekraczającej 100 ton dziennie </v>
      </c>
      <c r="B249" s="478">
        <v>23</v>
      </c>
      <c r="C249" s="478">
        <f t="shared" si="9"/>
        <v>49</v>
      </c>
      <c r="D249" s="479" t="str">
        <f t="shared" si="10"/>
        <v>23.49</v>
      </c>
      <c r="E249" s="478" t="str">
        <f>Translations!$B$1527</f>
        <v>PVC-E</v>
      </c>
      <c r="F249" s="478" t="str">
        <f t="shared" si="16"/>
        <v>tony</v>
      </c>
      <c r="G249" s="478" t="b">
        <v>1</v>
      </c>
      <c r="H249" s="478" t="b">
        <v>0</v>
      </c>
      <c r="I249" s="478" t="str">
        <f>""</f>
        <v/>
      </c>
      <c r="J249" s="480" t="str">
        <f>""</f>
        <v/>
      </c>
      <c r="K249" s="478" t="b">
        <v>1</v>
      </c>
      <c r="L249" s="478" t="b">
        <v>0</v>
      </c>
      <c r="M249" s="484">
        <v>0.23799999999999999</v>
      </c>
      <c r="N249" s="485">
        <f t="shared" si="11"/>
        <v>2E-3</v>
      </c>
      <c r="O249" s="1084">
        <f t="shared" si="12"/>
        <v>1.6E-2</v>
      </c>
      <c r="P249" s="1088">
        <v>0.01</v>
      </c>
      <c r="Q249" s="1085">
        <f t="shared" si="13"/>
        <v>0.23085999999999998</v>
      </c>
      <c r="R249" s="510">
        <f t="shared" si="14"/>
        <v>0.18087999999999999</v>
      </c>
      <c r="S249" s="510">
        <f t="shared" si="15"/>
        <v>0.20200000000000001</v>
      </c>
    </row>
    <row r="250" spans="1:19" x14ac:dyDescent="0.2">
      <c r="A250" s="477" t="str">
        <f t="shared" si="7"/>
        <v xml:space="preserve">Produkcja wodoru (H2) i gazu do syntezy w drodze reformowania lub częściowego utleniania, przy zdolności produkcyjnej przekraczającej 25 ton dziennie </v>
      </c>
      <c r="B250" s="478">
        <v>24</v>
      </c>
      <c r="C250" s="478">
        <f t="shared" si="9"/>
        <v>50</v>
      </c>
      <c r="D250" s="479" t="str">
        <f t="shared" si="10"/>
        <v>24.50</v>
      </c>
      <c r="E250" s="478" t="str">
        <f>Translations!$B$1027</f>
        <v>Wodór</v>
      </c>
      <c r="F250" s="478" t="str">
        <f t="shared" si="16"/>
        <v>tony</v>
      </c>
      <c r="G250" s="478" t="b">
        <v>1</v>
      </c>
      <c r="H250" s="478" t="b">
        <v>1</v>
      </c>
      <c r="I250" s="478" t="str">
        <f>Translations!$B$1528</f>
        <v>Proszę użyć narzędzia dotyczącego wodoru w arkuszu „SpecialBM” do obliczenia historycznych poziomów działalności.</v>
      </c>
      <c r="J250" s="480" t="str">
        <f>"#JUMP_H_VI"</f>
        <v>#JUMP_H_VI</v>
      </c>
      <c r="K250" s="478" t="b">
        <v>1</v>
      </c>
      <c r="L250" s="478" t="b">
        <v>0</v>
      </c>
      <c r="M250" s="484">
        <v>8.85</v>
      </c>
      <c r="N250" s="485">
        <f t="shared" si="11"/>
        <v>2E-3</v>
      </c>
      <c r="O250" s="1084">
        <f t="shared" si="12"/>
        <v>1.6E-2</v>
      </c>
      <c r="P250" s="1088">
        <v>0.01</v>
      </c>
      <c r="Q250" s="1085">
        <f t="shared" si="13"/>
        <v>8.5845000000000002</v>
      </c>
      <c r="R250" s="510">
        <f t="shared" si="14"/>
        <v>6.726</v>
      </c>
      <c r="S250" s="510">
        <f t="shared" si="15"/>
        <v>7.5229999999999997</v>
      </c>
    </row>
    <row r="251" spans="1:19" x14ac:dyDescent="0.2">
      <c r="A251" s="477" t="str">
        <f t="shared" si="7"/>
        <v xml:space="preserve">Produkcja wodoru (H2) i gazu do syntezy w drodze reformowania lub częściowego utleniania, przy zdolności produkcyjnej przekraczającej 25 ton dziennie </v>
      </c>
      <c r="B251" s="478">
        <v>24</v>
      </c>
      <c r="C251" s="478">
        <f t="shared" si="9"/>
        <v>51</v>
      </c>
      <c r="D251" s="479" t="str">
        <f t="shared" si="10"/>
        <v>24.51</v>
      </c>
      <c r="E251" s="478" t="str">
        <f>Translations!$B$1070</f>
        <v>Gaz syntezowy</v>
      </c>
      <c r="F251" s="478" t="str">
        <f t="shared" si="16"/>
        <v>tony</v>
      </c>
      <c r="G251" s="478" t="b">
        <v>1</v>
      </c>
      <c r="H251" s="478" t="b">
        <v>1</v>
      </c>
      <c r="I251" s="478" t="str">
        <f>Translations!$B$1529</f>
        <v>Proszę użyć narzędzia dotyczącego gazu syntezowego w arkuszu „SpecialBM” do obliczenia historycznych poziomów działalności.</v>
      </c>
      <c r="J251" s="480" t="str">
        <f>"#JUMP_H_VII"</f>
        <v>#JUMP_H_VII</v>
      </c>
      <c r="K251" s="478" t="b">
        <v>1</v>
      </c>
      <c r="L251" s="478" t="b">
        <v>0</v>
      </c>
      <c r="M251" s="484">
        <v>0.24199999999999999</v>
      </c>
      <c r="N251" s="485">
        <f t="shared" si="11"/>
        <v>2E-3</v>
      </c>
      <c r="O251" s="1084">
        <f t="shared" si="12"/>
        <v>1.6E-2</v>
      </c>
      <c r="P251" s="1088">
        <v>0.01</v>
      </c>
      <c r="Q251" s="1085">
        <f t="shared" si="13"/>
        <v>0.23473999999999998</v>
      </c>
      <c r="R251" s="510">
        <f t="shared" si="14"/>
        <v>0.18392</v>
      </c>
      <c r="S251" s="510">
        <f t="shared" si="15"/>
        <v>0.20599999999999999</v>
      </c>
    </row>
    <row r="252" spans="1:19" ht="13.5" thickBot="1" x14ac:dyDescent="0.25">
      <c r="A252" s="477" t="str">
        <f t="shared" si="7"/>
        <v xml:space="preserve">Produkcja węglanu sodowego (Na2CO3) oraz wodorowęglanu sodu (NaHCO3) </v>
      </c>
      <c r="B252" s="478">
        <v>25</v>
      </c>
      <c r="C252" s="478">
        <f t="shared" si="9"/>
        <v>52</v>
      </c>
      <c r="D252" s="479" t="str">
        <f t="shared" si="10"/>
        <v>25.52</v>
      </c>
      <c r="E252" s="478" t="str">
        <f>Translations!$B$1530</f>
        <v>Soda kalcynowana</v>
      </c>
      <c r="F252" s="478" t="str">
        <f t="shared" si="16"/>
        <v>tony</v>
      </c>
      <c r="G252" s="478" t="b">
        <v>1</v>
      </c>
      <c r="H252" s="478" t="b">
        <v>0</v>
      </c>
      <c r="I252" s="478" t="str">
        <f>""</f>
        <v/>
      </c>
      <c r="J252" s="480" t="str">
        <f>""</f>
        <v/>
      </c>
      <c r="K252" s="478" t="b">
        <v>1</v>
      </c>
      <c r="L252" s="478" t="b">
        <v>0</v>
      </c>
      <c r="M252" s="484">
        <v>0.84299999999999997</v>
      </c>
      <c r="N252" s="485">
        <f t="shared" si="11"/>
        <v>2E-3</v>
      </c>
      <c r="O252" s="1084">
        <f t="shared" si="12"/>
        <v>1.6E-2</v>
      </c>
      <c r="P252" s="1089">
        <v>0.01</v>
      </c>
      <c r="Q252" s="1085">
        <f t="shared" si="13"/>
        <v>0.81770999999999994</v>
      </c>
      <c r="R252" s="510">
        <f t="shared" si="14"/>
        <v>0.64068000000000003</v>
      </c>
      <c r="S252" s="510">
        <f t="shared" si="15"/>
        <v>0.71699999999999997</v>
      </c>
    </row>
    <row r="253" spans="1:19" x14ac:dyDescent="0.2">
      <c r="A253" s="247" t="s">
        <v>329</v>
      </c>
      <c r="B253" s="248" t="s">
        <v>329</v>
      </c>
      <c r="C253" s="248" t="s">
        <v>329</v>
      </c>
      <c r="D253" s="248" t="s">
        <v>329</v>
      </c>
      <c r="E253" s="248" t="s">
        <v>329</v>
      </c>
      <c r="F253" s="248" t="s">
        <v>329</v>
      </c>
      <c r="G253" s="248" t="s">
        <v>329</v>
      </c>
      <c r="H253" s="248" t="s">
        <v>329</v>
      </c>
      <c r="I253" s="248" t="s">
        <v>329</v>
      </c>
      <c r="J253" s="248" t="s">
        <v>329</v>
      </c>
      <c r="K253" s="248" t="s">
        <v>329</v>
      </c>
    </row>
    <row r="254" spans="1:19" s="244" customFormat="1" x14ac:dyDescent="0.2">
      <c r="A254" s="244" t="str">
        <f>Translations!$B$1531</f>
        <v>Wykaz podinstalacji, dla których wprowadzono rozwiązania rezerwowe (fall-back)</v>
      </c>
    </row>
    <row r="255" spans="1:19" ht="51.75" thickBot="1" x14ac:dyDescent="0.25">
      <c r="B255" s="478"/>
      <c r="C255" s="478" t="str">
        <f>Translations!$B$1206</f>
        <v>Nr wskaźnika</v>
      </c>
      <c r="D255" s="478" t="str">
        <f>Translations!$B$1460</f>
        <v>alternatywny numer wskaźnika</v>
      </c>
      <c r="E255" s="478" t="str">
        <f>Translations!$B$1532</f>
        <v>Podinstalacja</v>
      </c>
      <c r="F255" s="478" t="str">
        <f>Translations!$B$1196</f>
        <v>Jednostka</v>
      </c>
      <c r="G255" s="478" t="str">
        <f>Translations!$B$1462</f>
        <v>Ucieczka emisji?</v>
      </c>
      <c r="H255" s="478" t="str">
        <f>Translations!$B$1463</f>
        <v>Zamienność energii elektrycznej</v>
      </c>
      <c r="I255" s="478" t="str">
        <f>Translations!$B$1533</f>
        <v>Komunikat o błędzie</v>
      </c>
      <c r="J255" s="249"/>
      <c r="M255" s="474" t="str">
        <f>Translations!$B$1468</f>
        <v>Wartość wskaźnika (2013–2020)</v>
      </c>
      <c r="N255" s="474" t="s">
        <v>570</v>
      </c>
      <c r="O255" s="474" t="s">
        <v>571</v>
      </c>
      <c r="P255" s="1092" t="s">
        <v>471</v>
      </c>
      <c r="Q255" s="475" t="str">
        <f>Translations!$B$1470</f>
        <v>Wartość wskaźnika (EUA/t, min.)</v>
      </c>
      <c r="R255" s="475" t="str">
        <f>Translations!$B$1469</f>
        <v>Wartość wskaźnika (EUA/t, maks.)</v>
      </c>
      <c r="S255" s="573" t="str">
        <f>Translations!$B$1471</f>
        <v>Wartość wskaźnika (EUA/t, faktyczne)</v>
      </c>
    </row>
    <row r="256" spans="1:19" s="249" customFormat="1" x14ac:dyDescent="0.2">
      <c r="A256" s="196"/>
      <c r="B256" s="478">
        <v>90</v>
      </c>
      <c r="C256" s="478">
        <v>91</v>
      </c>
      <c r="D256" s="479" t="str">
        <f t="shared" ref="D256:D262" si="17">CONCATENATE(TEXT(B256,"00"),".",TEXT(C256,"00"))</f>
        <v>90.91</v>
      </c>
      <c r="E256" s="482" t="str">
        <f>Translations!$B$1534</f>
        <v>Podinstalacja objęta wskaźnikiem emisyjności opartym na cieple, „CL”</v>
      </c>
      <c r="F256" s="438" t="str">
        <f>EUconst_TJ</f>
        <v>TJ</v>
      </c>
      <c r="G256" s="483" t="b">
        <v>1</v>
      </c>
      <c r="H256" s="478"/>
      <c r="I256" s="573" t="s">
        <v>549</v>
      </c>
      <c r="M256" s="484">
        <v>62.3</v>
      </c>
      <c r="N256" s="485">
        <f>INDEX(EUconst_BM_ARR_Range,1)</f>
        <v>2E-3</v>
      </c>
      <c r="O256" s="1084">
        <f>IF(AND(C256=4,CNTR_BaselinePeriod=1),INDEX(EUconst_BM_ARR_Range,1),INDEX(EUconst_BM_ARR_Range,2))</f>
        <v>1.6E-2</v>
      </c>
      <c r="P256" s="1087">
        <v>0.01</v>
      </c>
      <c r="Q256" s="1085">
        <f t="shared" ref="Q256:R262" si="18">$M256*(1-N256*(15+(IF(CNTR_BaselinePeriod=EUconst_NA,1,CNTR_BaselinePeriod)-1)*5))</f>
        <v>60.430999999999997</v>
      </c>
      <c r="R256" s="510">
        <f t="shared" si="18"/>
        <v>47.347999999999999</v>
      </c>
      <c r="S256" s="510">
        <f t="shared" ref="S256:S262" si="19">ROUND(M256*(1-P256*(15+(IF(CNTR_BaselinePeriod=EUconst_NA,1,CNTR_BaselinePeriod)-1)*5)),3)</f>
        <v>52.954999999999998</v>
      </c>
    </row>
    <row r="257" spans="1:19" s="249" customFormat="1" x14ac:dyDescent="0.2">
      <c r="A257" s="196"/>
      <c r="B257" s="478">
        <v>90</v>
      </c>
      <c r="C257" s="478">
        <v>92</v>
      </c>
      <c r="D257" s="479" t="str">
        <f t="shared" si="17"/>
        <v>90.92</v>
      </c>
      <c r="E257" s="482" t="str">
        <f>Translations!$B$1535</f>
        <v>Podinstalacja objęta wskaźnikiem emisyjności opartym na cieple, „nie-CL”</v>
      </c>
      <c r="F257" s="438" t="str">
        <f>EUconst_TJ</f>
        <v>TJ</v>
      </c>
      <c r="G257" s="483" t="b">
        <v>0</v>
      </c>
      <c r="H257" s="478"/>
      <c r="I257" s="573" t="s">
        <v>549</v>
      </c>
      <c r="M257" s="484">
        <v>62.3</v>
      </c>
      <c r="N257" s="485">
        <f>INDEX(EUconst_BM_ARR_Range,1)</f>
        <v>2E-3</v>
      </c>
      <c r="O257" s="1084">
        <f>IF(AND(C257=4,CNTR_BaselinePeriod=1),INDEX(EUconst_BM_ARR_Range,1),INDEX(EUconst_BM_ARR_Range,2))</f>
        <v>1.6E-2</v>
      </c>
      <c r="P257" s="1088">
        <v>0.01</v>
      </c>
      <c r="Q257" s="1085">
        <f t="shared" si="18"/>
        <v>60.430999999999997</v>
      </c>
      <c r="R257" s="510">
        <f t="shared" si="18"/>
        <v>47.347999999999999</v>
      </c>
      <c r="S257" s="510">
        <f t="shared" si="19"/>
        <v>52.954999999999998</v>
      </c>
    </row>
    <row r="258" spans="1:19" s="249" customFormat="1" x14ac:dyDescent="0.2">
      <c r="A258" s="196"/>
      <c r="B258" s="478">
        <v>90</v>
      </c>
      <c r="C258" s="478">
        <v>97</v>
      </c>
      <c r="D258" s="479" t="str">
        <f>CONCATENATE(TEXT(B258,"00"),".",TEXT(C258,"00"))</f>
        <v>90.97</v>
      </c>
      <c r="E258" s="539" t="str">
        <f>Translations!$B$1536</f>
        <v>Podinstalacja sieci ciepłowniczej</v>
      </c>
      <c r="F258" s="438" t="str">
        <f>EUconst_TJ</f>
        <v>TJ</v>
      </c>
      <c r="G258" s="483" t="b">
        <v>0</v>
      </c>
      <c r="H258" s="478"/>
      <c r="I258" s="573" t="s">
        <v>549</v>
      </c>
      <c r="M258" s="484">
        <v>62.3</v>
      </c>
      <c r="N258" s="485">
        <f>INDEX(EUconst_BM_ARR_Range,1)</f>
        <v>2E-3</v>
      </c>
      <c r="O258" s="1084">
        <f>IF(AND(C258=4,CNTR_BaselinePeriod=1),INDEX(EUconst_BM_ARR_Range,1),INDEX(EUconst_BM_ARR_Range,2))</f>
        <v>1.6E-2</v>
      </c>
      <c r="P258" s="1088">
        <v>0.01</v>
      </c>
      <c r="Q258" s="1085">
        <f t="shared" si="18"/>
        <v>60.430999999999997</v>
      </c>
      <c r="R258" s="510">
        <f t="shared" si="18"/>
        <v>47.347999999999999</v>
      </c>
      <c r="S258" s="510">
        <f t="shared" si="19"/>
        <v>52.954999999999998</v>
      </c>
    </row>
    <row r="259" spans="1:19" s="249" customFormat="1" x14ac:dyDescent="0.2">
      <c r="A259" s="196"/>
      <c r="B259" s="478">
        <v>90</v>
      </c>
      <c r="C259" s="478">
        <v>93</v>
      </c>
      <c r="D259" s="479" t="str">
        <f t="shared" si="17"/>
        <v>90.93</v>
      </c>
      <c r="E259" s="482" t="str">
        <f>Translations!$B$1537</f>
        <v>Podinstalacja objęta wskaźnikiem emisyjności opartym na paliwie, „CL”</v>
      </c>
      <c r="F259" s="438" t="str">
        <f>EUconst_TJ</f>
        <v>TJ</v>
      </c>
      <c r="G259" s="483" t="b">
        <v>1</v>
      </c>
      <c r="H259" s="478"/>
      <c r="I259" s="573" t="s">
        <v>553</v>
      </c>
      <c r="M259" s="484">
        <v>56.1</v>
      </c>
      <c r="N259" s="485">
        <f>INDEX(EUconst_BM_ARR_Range,1)</f>
        <v>2E-3</v>
      </c>
      <c r="O259" s="1084">
        <f>IF(AND(C259=4,CNTR_BaselinePeriod=1),INDEX(EUconst_BM_ARR_Range,1),INDEX(EUconst_BM_ARR_Range,2))</f>
        <v>1.6E-2</v>
      </c>
      <c r="P259" s="1088">
        <v>0.01</v>
      </c>
      <c r="Q259" s="1085">
        <f t="shared" si="18"/>
        <v>54.417000000000002</v>
      </c>
      <c r="R259" s="510">
        <f t="shared" si="18"/>
        <v>42.636000000000003</v>
      </c>
      <c r="S259" s="510">
        <f t="shared" si="19"/>
        <v>47.685000000000002</v>
      </c>
    </row>
    <row r="260" spans="1:19" s="249" customFormat="1" x14ac:dyDescent="0.2">
      <c r="A260" s="196"/>
      <c r="B260" s="478">
        <v>90</v>
      </c>
      <c r="C260" s="478">
        <v>94</v>
      </c>
      <c r="D260" s="479" t="str">
        <f t="shared" si="17"/>
        <v>90.94</v>
      </c>
      <c r="E260" s="482" t="str">
        <f>Translations!$B$1538</f>
        <v>Podinstalacja objęta wskaźnikiem emisyjności opartym na paliwie, „nie-CL”</v>
      </c>
      <c r="F260" s="438" t="str">
        <f>EUconst_TJ</f>
        <v>TJ</v>
      </c>
      <c r="G260" s="483" t="b">
        <v>0</v>
      </c>
      <c r="H260" s="478"/>
      <c r="I260" s="573" t="s">
        <v>553</v>
      </c>
      <c r="M260" s="484">
        <v>56.1</v>
      </c>
      <c r="N260" s="485">
        <f>INDEX(EUconst_BM_ARR_Range,1)</f>
        <v>2E-3</v>
      </c>
      <c r="O260" s="1084">
        <f>IF(AND(C260=4,CNTR_BaselinePeriod=1),INDEX(EUconst_BM_ARR_Range,1),INDEX(EUconst_BM_ARR_Range,2))</f>
        <v>1.6E-2</v>
      </c>
      <c r="P260" s="1088">
        <v>0.01</v>
      </c>
      <c r="Q260" s="1085">
        <f t="shared" si="18"/>
        <v>54.417000000000002</v>
      </c>
      <c r="R260" s="510">
        <f t="shared" si="18"/>
        <v>42.636000000000003</v>
      </c>
      <c r="S260" s="510">
        <f t="shared" si="19"/>
        <v>47.685000000000002</v>
      </c>
    </row>
    <row r="261" spans="1:19" s="249" customFormat="1" x14ac:dyDescent="0.2">
      <c r="A261" s="196"/>
      <c r="B261" s="478">
        <v>90</v>
      </c>
      <c r="C261" s="478">
        <v>95</v>
      </c>
      <c r="D261" s="479" t="str">
        <f t="shared" si="17"/>
        <v>90.95</v>
      </c>
      <c r="E261" s="482" t="str">
        <f>Translations!$B$1539</f>
        <v>Podinstalacja wytwarzająca emisje procesowe, „CL”</v>
      </c>
      <c r="F261" s="438" t="str">
        <f>EUconst_tCO2e</f>
        <v>t CO2e</v>
      </c>
      <c r="G261" s="483" t="b">
        <v>1</v>
      </c>
      <c r="H261" s="478"/>
      <c r="I261" s="573" t="s">
        <v>497</v>
      </c>
      <c r="M261" s="484">
        <v>0.97</v>
      </c>
      <c r="N261" s="812">
        <v>0</v>
      </c>
      <c r="O261" s="1091">
        <v>0</v>
      </c>
      <c r="P261" s="1093">
        <v>0</v>
      </c>
      <c r="Q261" s="1085">
        <f t="shared" si="18"/>
        <v>0.97</v>
      </c>
      <c r="R261" s="510">
        <f t="shared" si="18"/>
        <v>0.97</v>
      </c>
      <c r="S261" s="510">
        <f t="shared" si="19"/>
        <v>0.97</v>
      </c>
    </row>
    <row r="262" spans="1:19" s="249" customFormat="1" ht="13.5" thickBot="1" x14ac:dyDescent="0.25">
      <c r="A262" s="196"/>
      <c r="B262" s="478">
        <v>90</v>
      </c>
      <c r="C262" s="478">
        <v>96</v>
      </c>
      <c r="D262" s="479" t="str">
        <f t="shared" si="17"/>
        <v>90.96</v>
      </c>
      <c r="E262" s="482" t="str">
        <f>Translations!$B$1540</f>
        <v>Podinstalacja wytwarzająca emisje procesowe, „nie-CL”</v>
      </c>
      <c r="F262" s="438" t="str">
        <f>EUconst_tCO2e</f>
        <v>t CO2e</v>
      </c>
      <c r="G262" s="483" t="b">
        <v>0</v>
      </c>
      <c r="H262" s="478"/>
      <c r="I262" s="573" t="s">
        <v>497</v>
      </c>
      <c r="M262" s="484">
        <v>0.97</v>
      </c>
      <c r="N262" s="812">
        <v>0</v>
      </c>
      <c r="O262" s="1091">
        <v>0</v>
      </c>
      <c r="P262" s="1094">
        <v>0</v>
      </c>
      <c r="Q262" s="1085">
        <f t="shared" si="18"/>
        <v>0.97</v>
      </c>
      <c r="R262" s="510">
        <f t="shared" si="18"/>
        <v>0.97</v>
      </c>
      <c r="S262" s="510">
        <f t="shared" si="19"/>
        <v>0.97</v>
      </c>
    </row>
    <row r="263" spans="1:19" x14ac:dyDescent="0.2">
      <c r="A263" s="247" t="s">
        <v>329</v>
      </c>
      <c r="B263" s="248" t="s">
        <v>329</v>
      </c>
      <c r="C263" s="248" t="s">
        <v>329</v>
      </c>
      <c r="D263" s="248" t="s">
        <v>329</v>
      </c>
      <c r="E263" s="248" t="s">
        <v>329</v>
      </c>
      <c r="F263" s="248" t="s">
        <v>329</v>
      </c>
      <c r="G263" s="248" t="s">
        <v>329</v>
      </c>
      <c r="H263" s="248" t="s">
        <v>329</v>
      </c>
      <c r="I263" s="248" t="s">
        <v>329</v>
      </c>
      <c r="J263" s="248" t="s">
        <v>329</v>
      </c>
      <c r="K263" s="248" t="s">
        <v>329</v>
      </c>
      <c r="L263" s="248" t="s">
        <v>329</v>
      </c>
      <c r="M263" s="248" t="s">
        <v>329</v>
      </c>
      <c r="N263" s="248" t="s">
        <v>329</v>
      </c>
      <c r="O263" s="248" t="s">
        <v>329</v>
      </c>
    </row>
  </sheetData>
  <sheetProtection sheet="1" objects="1" scenarios="1" formatCells="0" formatColumns="0" formatRows="0"/>
  <phoneticPr fontId="35" type="noConversion"/>
  <dataValidations count="1">
    <dataValidation type="list" allowBlank="1" showInputMessage="1" showErrorMessage="1" sqref="B2">
      <formula1>Euconst_TrueFalse</formula1>
    </dataValidation>
  </dataValidations>
  <pageMargins left="0.78740157499999996" right="0.78740157499999996" top="0.984251969" bottom="0.984251969" header="0.4921259845" footer="0.4921259845"/>
  <pageSetup paperSize="9" scale="22" fitToHeight="4" orientation="portrait" r:id="rId1"/>
  <headerFooter alignWithMargins="0">
    <oddHeader>&amp;L&amp;F; &amp;A&amp;R&amp;D ;&amp;T</oddHeader>
    <oddFooter>&amp;C&amp;P / &amp;N</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indexed="12"/>
    <pageSetUpPr fitToPage="1"/>
  </sheetPr>
  <dimension ref="A1:G5"/>
  <sheetViews>
    <sheetView workbookViewId="0">
      <selection activeCell="A5" sqref="A5"/>
    </sheetView>
  </sheetViews>
  <sheetFormatPr defaultColWidth="11.42578125" defaultRowHeight="12.75" x14ac:dyDescent="0.2"/>
  <cols>
    <col min="1" max="1" width="50.85546875" style="196" customWidth="1"/>
    <col min="2" max="16384" width="11.42578125" style="196"/>
  </cols>
  <sheetData>
    <row r="1" spans="1:7" x14ac:dyDescent="0.2">
      <c r="A1" s="240" t="s">
        <v>344</v>
      </c>
      <c r="B1" s="240" t="s">
        <v>347</v>
      </c>
      <c r="C1" s="240" t="s">
        <v>348</v>
      </c>
      <c r="D1" s="241"/>
      <c r="E1" s="241" t="s">
        <v>22</v>
      </c>
      <c r="F1" s="241"/>
      <c r="G1" s="241"/>
    </row>
    <row r="2" spans="1:7" x14ac:dyDescent="0.2">
      <c r="A2" s="196" t="s">
        <v>641</v>
      </c>
      <c r="B2" s="206" t="b">
        <v>1</v>
      </c>
      <c r="E2" s="395" t="b">
        <v>1</v>
      </c>
    </row>
    <row r="3" spans="1:7" x14ac:dyDescent="0.2">
      <c r="A3" s="196" t="s">
        <v>623</v>
      </c>
      <c r="B3" s="206" t="b">
        <v>1</v>
      </c>
      <c r="C3" s="264"/>
      <c r="D3" s="249"/>
      <c r="E3" s="395" t="b">
        <v>1</v>
      </c>
      <c r="F3" s="249"/>
      <c r="G3" s="249"/>
    </row>
    <row r="4" spans="1:7" x14ac:dyDescent="0.2">
      <c r="A4" s="568" t="s">
        <v>624</v>
      </c>
      <c r="B4" s="206" t="b">
        <v>1</v>
      </c>
      <c r="C4" s="264"/>
      <c r="D4" s="249"/>
      <c r="E4" s="395" t="b">
        <v>1</v>
      </c>
      <c r="F4" s="249"/>
      <c r="G4" s="249"/>
    </row>
    <row r="5" spans="1:7" x14ac:dyDescent="0.2">
      <c r="A5" s="196" t="s">
        <v>404</v>
      </c>
      <c r="B5" s="206" t="b">
        <v>0</v>
      </c>
      <c r="E5" s="395" t="b">
        <v>0</v>
      </c>
    </row>
  </sheetData>
  <sheetProtection sheet="1" objects="1" scenarios="1" formatCells="0" formatColumns="0" formatRows="0"/>
  <phoneticPr fontId="35" type="noConversion"/>
  <dataValidations count="1">
    <dataValidation type="list" allowBlank="1" showInputMessage="1" showErrorMessage="1" sqref="E2:E5 B2:B5">
      <formula1>Euconst_TrueFalse</formula1>
    </dataValidation>
  </dataValidations>
  <pageMargins left="0.78740157499999996" right="0.78740157499999996" top="0.984251969" bottom="0.984251969" header="0.4921259845" footer="0.4921259845"/>
  <pageSetup paperSize="9" scale="72" fitToHeight="4" orientation="portrait" r:id="rId1"/>
  <headerFooter alignWithMargins="0">
    <oddHeader>&amp;L&amp;F; &amp;A&amp;R&amp;D; &amp;T</oddHeader>
    <oddFooter>&amp;C&amp;P /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indexed="17"/>
    <pageSetUpPr fitToPage="1"/>
  </sheetPr>
  <dimension ref="A1:D1541"/>
  <sheetViews>
    <sheetView zoomScaleNormal="100" workbookViewId="0">
      <pane xSplit="1" ySplit="1" topLeftCell="B204" activePane="bottomRight" state="frozen"/>
      <selection pane="topRight" activeCell="B1" sqref="B1"/>
      <selection pane="bottomLeft" activeCell="A2" sqref="A2"/>
      <selection pane="bottomRight" activeCell="B217" sqref="B217"/>
    </sheetView>
  </sheetViews>
  <sheetFormatPr defaultColWidth="11.42578125" defaultRowHeight="15" x14ac:dyDescent="0.25"/>
  <cols>
    <col min="1" max="1" width="9.42578125" style="1199" customWidth="1"/>
    <col min="2" max="2" width="70.7109375" style="1199" customWidth="1"/>
    <col min="3" max="3" width="70.7109375" style="251" customWidth="1"/>
    <col min="4" max="4" width="33" style="251" customWidth="1"/>
    <col min="5" max="16384" width="11.42578125" style="251"/>
  </cols>
  <sheetData>
    <row r="1" spans="1:4" s="250" customFormat="1" ht="15.75" thickBot="1" x14ac:dyDescent="0.3">
      <c r="A1" s="1198" t="s">
        <v>650</v>
      </c>
      <c r="B1" s="1198" t="s">
        <v>345</v>
      </c>
      <c r="C1" s="250" t="s">
        <v>346</v>
      </c>
    </row>
    <row r="2" spans="1:4" ht="15.75" thickBot="1" x14ac:dyDescent="0.3">
      <c r="A2" s="1199">
        <v>1</v>
      </c>
      <c r="B2" s="1200" t="s">
        <v>2193</v>
      </c>
      <c r="D2" s="1126" t="s">
        <v>1727</v>
      </c>
    </row>
    <row r="3" spans="1:4" x14ac:dyDescent="0.25">
      <c r="A3" s="1199">
        <v>2</v>
      </c>
      <c r="B3" s="1249" t="s">
        <v>2194</v>
      </c>
      <c r="D3" s="1126" t="s">
        <v>1702</v>
      </c>
    </row>
    <row r="4" spans="1:4" x14ac:dyDescent="0.25">
      <c r="A4" s="1199">
        <v>3</v>
      </c>
      <c r="B4" s="1249" t="s">
        <v>2195</v>
      </c>
      <c r="D4" s="1126" t="s">
        <v>1703</v>
      </c>
    </row>
    <row r="5" spans="1:4" x14ac:dyDescent="0.25">
      <c r="A5" s="1199">
        <v>4</v>
      </c>
      <c r="B5" s="1249" t="s">
        <v>2196</v>
      </c>
      <c r="D5" s="1126" t="s">
        <v>1730</v>
      </c>
    </row>
    <row r="6" spans="1:4" x14ac:dyDescent="0.25">
      <c r="A6" s="1199">
        <v>5</v>
      </c>
      <c r="B6" s="1249" t="s">
        <v>2197</v>
      </c>
      <c r="D6" s="1126" t="s">
        <v>1734</v>
      </c>
    </row>
    <row r="7" spans="1:4" ht="26.25" x14ac:dyDescent="0.25">
      <c r="A7" s="1199">
        <v>6</v>
      </c>
      <c r="B7" s="1201" t="s">
        <v>2198</v>
      </c>
      <c r="D7" s="1126" t="s">
        <v>651</v>
      </c>
    </row>
    <row r="8" spans="1:4" ht="18.75" thickBot="1" x14ac:dyDescent="0.3">
      <c r="A8" s="1199">
        <v>7</v>
      </c>
      <c r="B8" s="1127" t="s">
        <v>2199</v>
      </c>
      <c r="D8" s="1126" t="s">
        <v>652</v>
      </c>
    </row>
    <row r="9" spans="1:4" x14ac:dyDescent="0.25">
      <c r="A9" s="1199">
        <v>8</v>
      </c>
      <c r="B9" s="1128" t="s">
        <v>2200</v>
      </c>
      <c r="D9" s="1126" t="s">
        <v>653</v>
      </c>
    </row>
    <row r="10" spans="1:4" ht="15.75" thickBot="1" x14ac:dyDescent="0.3">
      <c r="A10" s="1199">
        <v>9</v>
      </c>
      <c r="B10" s="1129" t="s">
        <v>2201</v>
      </c>
      <c r="D10" s="1126" t="s">
        <v>654</v>
      </c>
    </row>
    <row r="11" spans="1:4" ht="15.75" thickBot="1" x14ac:dyDescent="0.3">
      <c r="A11" s="1199">
        <v>10</v>
      </c>
      <c r="B11" s="33" t="s">
        <v>2202</v>
      </c>
      <c r="D11" s="1126" t="s">
        <v>655</v>
      </c>
    </row>
    <row r="12" spans="1:4" x14ac:dyDescent="0.25">
      <c r="A12" s="1199">
        <v>11</v>
      </c>
      <c r="B12" s="1128" t="s">
        <v>2203</v>
      </c>
      <c r="D12" s="1126" t="s">
        <v>656</v>
      </c>
    </row>
    <row r="13" spans="1:4" x14ac:dyDescent="0.25">
      <c r="A13" s="1199">
        <v>12</v>
      </c>
      <c r="B13" s="1130" t="s">
        <v>2204</v>
      </c>
      <c r="D13" s="1126" t="s">
        <v>657</v>
      </c>
    </row>
    <row r="14" spans="1:4" ht="15.75" thickBot="1" x14ac:dyDescent="0.3">
      <c r="A14" s="1199">
        <v>13</v>
      </c>
      <c r="B14" s="1202" t="s">
        <v>2205</v>
      </c>
      <c r="D14" s="1126" t="s">
        <v>658</v>
      </c>
    </row>
    <row r="15" spans="1:4" ht="38.25" x14ac:dyDescent="0.25">
      <c r="A15" s="1199">
        <v>14</v>
      </c>
      <c r="B15" s="1118" t="s">
        <v>2206</v>
      </c>
      <c r="D15" s="1126" t="s">
        <v>659</v>
      </c>
    </row>
    <row r="16" spans="1:4" x14ac:dyDescent="0.25">
      <c r="A16" s="1199">
        <v>15</v>
      </c>
      <c r="B16" s="1131" t="s">
        <v>2207</v>
      </c>
      <c r="D16" s="1126" t="s">
        <v>660</v>
      </c>
    </row>
    <row r="17" spans="1:4" ht="25.5" x14ac:dyDescent="0.25">
      <c r="A17" s="1199">
        <v>16</v>
      </c>
      <c r="B17" s="1131" t="s">
        <v>2208</v>
      </c>
      <c r="D17" s="1126" t="s">
        <v>661</v>
      </c>
    </row>
    <row r="18" spans="1:4" x14ac:dyDescent="0.25">
      <c r="A18" s="1199">
        <v>17</v>
      </c>
      <c r="B18" s="1249" t="s">
        <v>2209</v>
      </c>
      <c r="D18" s="1126" t="s">
        <v>1728</v>
      </c>
    </row>
    <row r="19" spans="1:4" x14ac:dyDescent="0.25">
      <c r="A19" s="1199">
        <v>18</v>
      </c>
      <c r="B19" s="1249" t="s">
        <v>2210</v>
      </c>
      <c r="D19" s="1126" t="s">
        <v>1729</v>
      </c>
    </row>
    <row r="20" spans="1:4" ht="18" x14ac:dyDescent="0.25">
      <c r="A20" s="1199">
        <v>19</v>
      </c>
      <c r="B20" s="1111" t="s">
        <v>2211</v>
      </c>
      <c r="D20" s="1126" t="s">
        <v>662</v>
      </c>
    </row>
    <row r="21" spans="1:4" ht="15.75" x14ac:dyDescent="0.25">
      <c r="A21" s="1199">
        <v>20</v>
      </c>
      <c r="B21" s="1110" t="s">
        <v>2212</v>
      </c>
      <c r="D21" s="1126" t="s">
        <v>663</v>
      </c>
    </row>
    <row r="22" spans="1:4" ht="63.75" x14ac:dyDescent="0.25">
      <c r="A22" s="1199">
        <v>21</v>
      </c>
      <c r="B22" s="1101" t="s">
        <v>2213</v>
      </c>
      <c r="D22" s="1126" t="s">
        <v>664</v>
      </c>
    </row>
    <row r="23" spans="1:4" x14ac:dyDescent="0.25">
      <c r="A23" s="1199">
        <v>22</v>
      </c>
      <c r="B23" s="1293" t="s">
        <v>3659</v>
      </c>
      <c r="D23" s="1126" t="s">
        <v>665</v>
      </c>
    </row>
    <row r="24" spans="1:4" ht="76.5" x14ac:dyDescent="0.25">
      <c r="A24" s="1199">
        <v>23</v>
      </c>
      <c r="B24" s="1101" t="s">
        <v>2214</v>
      </c>
      <c r="D24" s="1126" t="s">
        <v>666</v>
      </c>
    </row>
    <row r="25" spans="1:4" x14ac:dyDescent="0.25">
      <c r="A25" s="1199">
        <v>24</v>
      </c>
      <c r="B25" s="1293" t="s">
        <v>3660</v>
      </c>
      <c r="D25" s="1126" t="s">
        <v>667</v>
      </c>
    </row>
    <row r="26" spans="1:4" ht="63.75" x14ac:dyDescent="0.25">
      <c r="A26" s="1199">
        <v>25</v>
      </c>
      <c r="B26" s="1101" t="s">
        <v>2215</v>
      </c>
      <c r="D26" s="1126" t="s">
        <v>668</v>
      </c>
    </row>
    <row r="27" spans="1:4" ht="38.25" x14ac:dyDescent="0.25">
      <c r="A27" s="1199">
        <v>26</v>
      </c>
      <c r="B27" s="1101" t="s">
        <v>2216</v>
      </c>
      <c r="D27" s="1126" t="s">
        <v>669</v>
      </c>
    </row>
    <row r="28" spans="1:4" ht="25.5" x14ac:dyDescent="0.25">
      <c r="A28" s="1199">
        <v>27</v>
      </c>
      <c r="B28" s="1101" t="s">
        <v>2217</v>
      </c>
      <c r="D28" s="1126" t="s">
        <v>670</v>
      </c>
    </row>
    <row r="29" spans="1:4" ht="36" x14ac:dyDescent="0.25">
      <c r="A29" s="1199">
        <v>28</v>
      </c>
      <c r="B29" s="1244" t="s">
        <v>2218</v>
      </c>
      <c r="D29" s="1126" t="s">
        <v>671</v>
      </c>
    </row>
    <row r="30" spans="1:4" ht="15.75" x14ac:dyDescent="0.25">
      <c r="A30" s="1199">
        <v>29</v>
      </c>
      <c r="B30" s="1110" t="s">
        <v>2219</v>
      </c>
      <c r="D30" s="1126" t="s">
        <v>672</v>
      </c>
    </row>
    <row r="31" spans="1:4" x14ac:dyDescent="0.25">
      <c r="A31" s="1199">
        <v>30</v>
      </c>
      <c r="B31" s="1101" t="s">
        <v>2220</v>
      </c>
      <c r="D31" s="1126" t="s">
        <v>673</v>
      </c>
    </row>
    <row r="32" spans="1:4" ht="102" x14ac:dyDescent="0.25">
      <c r="A32" s="1199">
        <v>31</v>
      </c>
      <c r="B32" s="1101" t="s">
        <v>2221</v>
      </c>
      <c r="D32" s="1126" t="s">
        <v>674</v>
      </c>
    </row>
    <row r="33" spans="1:4" ht="51" x14ac:dyDescent="0.25">
      <c r="A33" s="1199">
        <v>32</v>
      </c>
      <c r="B33" s="1101" t="s">
        <v>2222</v>
      </c>
      <c r="D33" s="1126" t="s">
        <v>675</v>
      </c>
    </row>
    <row r="34" spans="1:4" ht="63.75" x14ac:dyDescent="0.25">
      <c r="A34" s="1199">
        <v>33</v>
      </c>
      <c r="B34" s="1101" t="s">
        <v>2223</v>
      </c>
      <c r="D34" s="1126" t="s">
        <v>676</v>
      </c>
    </row>
    <row r="35" spans="1:4" ht="76.5" x14ac:dyDescent="0.25">
      <c r="A35" s="1199">
        <v>34</v>
      </c>
      <c r="B35" s="1101" t="s">
        <v>2224</v>
      </c>
      <c r="D35" s="1126" t="s">
        <v>677</v>
      </c>
    </row>
    <row r="36" spans="1:4" ht="63.75" x14ac:dyDescent="0.25">
      <c r="A36" s="1199">
        <v>35</v>
      </c>
      <c r="B36" s="1101" t="s">
        <v>2225</v>
      </c>
      <c r="D36" s="1126" t="s">
        <v>678</v>
      </c>
    </row>
    <row r="37" spans="1:4" ht="25.5" x14ac:dyDescent="0.25">
      <c r="A37" s="1199">
        <v>36</v>
      </c>
      <c r="B37" s="1101" t="s">
        <v>2226</v>
      </c>
      <c r="D37" s="1126" t="s">
        <v>679</v>
      </c>
    </row>
    <row r="38" spans="1:4" x14ac:dyDescent="0.25">
      <c r="A38" s="1199">
        <v>37</v>
      </c>
      <c r="B38" s="282" t="s">
        <v>2227</v>
      </c>
      <c r="D38" s="1126" t="s">
        <v>680</v>
      </c>
    </row>
    <row r="39" spans="1:4" ht="25.5" x14ac:dyDescent="0.25">
      <c r="A39" s="1199">
        <v>38</v>
      </c>
      <c r="B39" s="1105" t="s">
        <v>2228</v>
      </c>
      <c r="D39" s="1126" t="s">
        <v>681</v>
      </c>
    </row>
    <row r="40" spans="1:4" ht="25.5" x14ac:dyDescent="0.25">
      <c r="A40" s="1199">
        <v>39</v>
      </c>
      <c r="B40" s="1105" t="s">
        <v>2229</v>
      </c>
      <c r="D40" s="1126" t="s">
        <v>682</v>
      </c>
    </row>
    <row r="41" spans="1:4" x14ac:dyDescent="0.25">
      <c r="A41" s="1199">
        <v>40</v>
      </c>
      <c r="B41" s="1105" t="s">
        <v>2230</v>
      </c>
      <c r="D41" s="1126" t="s">
        <v>683</v>
      </c>
    </row>
    <row r="42" spans="1:4" ht="25.5" x14ac:dyDescent="0.25">
      <c r="A42" s="1199">
        <v>41</v>
      </c>
      <c r="B42" s="1105" t="s">
        <v>2231</v>
      </c>
      <c r="D42" s="1126" t="s">
        <v>684</v>
      </c>
    </row>
    <row r="43" spans="1:4" x14ac:dyDescent="0.25">
      <c r="A43" s="1199">
        <v>42</v>
      </c>
      <c r="B43" s="1132" t="s">
        <v>2232</v>
      </c>
      <c r="D43" s="1126" t="s">
        <v>685</v>
      </c>
    </row>
    <row r="44" spans="1:4" x14ac:dyDescent="0.25">
      <c r="A44" s="1199">
        <v>43</v>
      </c>
      <c r="B44" s="1112" t="s">
        <v>2233</v>
      </c>
      <c r="D44" s="1126" t="s">
        <v>686</v>
      </c>
    </row>
    <row r="45" spans="1:4" x14ac:dyDescent="0.25">
      <c r="A45" s="1199">
        <v>44</v>
      </c>
      <c r="B45" s="1133" t="s">
        <v>2234</v>
      </c>
      <c r="D45" s="1126" t="s">
        <v>687</v>
      </c>
    </row>
    <row r="46" spans="1:4" x14ac:dyDescent="0.25">
      <c r="A46" s="1199">
        <v>45</v>
      </c>
      <c r="B46" s="1134" t="s">
        <v>2235</v>
      </c>
      <c r="D46" s="1126" t="s">
        <v>688</v>
      </c>
    </row>
    <row r="47" spans="1:4" x14ac:dyDescent="0.25">
      <c r="A47" s="1199">
        <v>46</v>
      </c>
      <c r="B47" s="1133" t="s">
        <v>2236</v>
      </c>
      <c r="D47" s="1126" t="s">
        <v>689</v>
      </c>
    </row>
    <row r="48" spans="1:4" ht="25.5" x14ac:dyDescent="0.25">
      <c r="A48" s="1199">
        <v>47</v>
      </c>
      <c r="B48" s="1133" t="s">
        <v>2237</v>
      </c>
      <c r="D48" s="1126" t="s">
        <v>690</v>
      </c>
    </row>
    <row r="49" spans="1:4" x14ac:dyDescent="0.25">
      <c r="A49" s="1199">
        <v>48</v>
      </c>
      <c r="B49" s="1135" t="s">
        <v>2238</v>
      </c>
      <c r="D49" s="1126" t="s">
        <v>691</v>
      </c>
    </row>
    <row r="50" spans="1:4" ht="25.5" x14ac:dyDescent="0.25">
      <c r="A50" s="1199">
        <v>49</v>
      </c>
      <c r="B50" s="1135" t="s">
        <v>2239</v>
      </c>
      <c r="D50" s="1126" t="s">
        <v>692</v>
      </c>
    </row>
    <row r="51" spans="1:4" ht="25.5" x14ac:dyDescent="0.25">
      <c r="A51" s="1199">
        <v>50</v>
      </c>
      <c r="B51" s="1133" t="s">
        <v>2240</v>
      </c>
      <c r="D51" s="1126" t="s">
        <v>693</v>
      </c>
    </row>
    <row r="52" spans="1:4" ht="25.5" x14ac:dyDescent="0.25">
      <c r="A52" s="1199">
        <v>51</v>
      </c>
      <c r="B52" s="1133" t="s">
        <v>2241</v>
      </c>
      <c r="D52" s="1126" t="s">
        <v>694</v>
      </c>
    </row>
    <row r="53" spans="1:4" x14ac:dyDescent="0.25">
      <c r="A53" s="1199">
        <v>52</v>
      </c>
      <c r="B53" s="1133" t="s">
        <v>2242</v>
      </c>
      <c r="D53" s="1126" t="s">
        <v>695</v>
      </c>
    </row>
    <row r="54" spans="1:4" ht="89.25" x14ac:dyDescent="0.25">
      <c r="A54" s="1199">
        <v>53</v>
      </c>
      <c r="B54" s="1101" t="s">
        <v>2243</v>
      </c>
      <c r="D54" s="1126" t="s">
        <v>696</v>
      </c>
    </row>
    <row r="55" spans="1:4" ht="89.25" x14ac:dyDescent="0.25">
      <c r="A55" s="1199">
        <v>54</v>
      </c>
      <c r="B55" s="1101" t="s">
        <v>2244</v>
      </c>
      <c r="D55" s="1126" t="s">
        <v>697</v>
      </c>
    </row>
    <row r="56" spans="1:4" ht="63.75" x14ac:dyDescent="0.25">
      <c r="A56" s="1199">
        <v>55</v>
      </c>
      <c r="B56" s="1102" t="s">
        <v>2245</v>
      </c>
      <c r="D56" s="1126" t="s">
        <v>698</v>
      </c>
    </row>
    <row r="57" spans="1:4" ht="102.75" thickBot="1" x14ac:dyDescent="0.3">
      <c r="A57" s="1199">
        <v>56</v>
      </c>
      <c r="B57" s="1101" t="s">
        <v>2246</v>
      </c>
      <c r="D57" s="1126" t="s">
        <v>699</v>
      </c>
    </row>
    <row r="58" spans="1:4" ht="115.5" thickBot="1" x14ac:dyDescent="0.3">
      <c r="A58" s="1199">
        <v>57</v>
      </c>
      <c r="B58" s="1203" t="s">
        <v>2247</v>
      </c>
      <c r="D58" s="1126" t="s">
        <v>700</v>
      </c>
    </row>
    <row r="59" spans="1:4" ht="15.75" x14ac:dyDescent="0.25">
      <c r="A59" s="1199">
        <v>58</v>
      </c>
      <c r="B59" s="1110" t="s">
        <v>2248</v>
      </c>
      <c r="D59" s="1126" t="s">
        <v>701</v>
      </c>
    </row>
    <row r="60" spans="1:4" ht="25.5" x14ac:dyDescent="0.25">
      <c r="A60" s="1199">
        <v>59</v>
      </c>
      <c r="B60" s="1103" t="s">
        <v>2249</v>
      </c>
      <c r="D60" s="1126" t="s">
        <v>702</v>
      </c>
    </row>
    <row r="61" spans="1:4" ht="63.75" x14ac:dyDescent="0.25">
      <c r="A61" s="1199">
        <v>60</v>
      </c>
      <c r="B61" s="1136" t="s">
        <v>3661</v>
      </c>
      <c r="D61" s="1126" t="s">
        <v>703</v>
      </c>
    </row>
    <row r="62" spans="1:4" ht="15.75" x14ac:dyDescent="0.25">
      <c r="A62" s="1199">
        <v>61</v>
      </c>
      <c r="B62" s="1104" t="s">
        <v>2250</v>
      </c>
      <c r="D62" s="1126" t="s">
        <v>704</v>
      </c>
    </row>
    <row r="63" spans="1:4" x14ac:dyDescent="0.25">
      <c r="A63" s="1199">
        <v>62</v>
      </c>
      <c r="B63" s="1112" t="s">
        <v>2251</v>
      </c>
      <c r="D63" s="1126" t="s">
        <v>705</v>
      </c>
    </row>
    <row r="64" spans="1:4" x14ac:dyDescent="0.25">
      <c r="A64" s="1199">
        <v>63</v>
      </c>
      <c r="B64" s="1103" t="s">
        <v>2252</v>
      </c>
      <c r="D64" s="1126" t="s">
        <v>706</v>
      </c>
    </row>
    <row r="65" spans="1:4" x14ac:dyDescent="0.25">
      <c r="A65" s="1199">
        <v>64</v>
      </c>
      <c r="B65" s="1249" t="s">
        <v>2253</v>
      </c>
      <c r="D65" s="1126" t="s">
        <v>707</v>
      </c>
    </row>
    <row r="66" spans="1:4" x14ac:dyDescent="0.25">
      <c r="A66" s="1199">
        <v>65</v>
      </c>
      <c r="B66" s="1103" t="s">
        <v>2254</v>
      </c>
      <c r="D66" s="1126" t="s">
        <v>708</v>
      </c>
    </row>
    <row r="67" spans="1:4" x14ac:dyDescent="0.25">
      <c r="A67" s="1199">
        <v>66</v>
      </c>
      <c r="B67" s="1249" t="s">
        <v>2255</v>
      </c>
      <c r="D67" s="1126" t="s">
        <v>709</v>
      </c>
    </row>
    <row r="68" spans="1:4" x14ac:dyDescent="0.25">
      <c r="A68" s="1199">
        <v>67</v>
      </c>
      <c r="B68" s="1112" t="s">
        <v>2256</v>
      </c>
      <c r="D68" s="1126" t="s">
        <v>710</v>
      </c>
    </row>
    <row r="69" spans="1:4" x14ac:dyDescent="0.25">
      <c r="A69" s="1199">
        <v>68</v>
      </c>
      <c r="B69" s="1243" t="s">
        <v>2257</v>
      </c>
      <c r="D69" s="1126" t="s">
        <v>711</v>
      </c>
    </row>
    <row r="70" spans="1:4" x14ac:dyDescent="0.25">
      <c r="A70" s="1199">
        <v>69</v>
      </c>
      <c r="B70" s="1103" t="s">
        <v>2258</v>
      </c>
      <c r="D70" s="1126" t="s">
        <v>712</v>
      </c>
    </row>
    <row r="71" spans="1:4" x14ac:dyDescent="0.25">
      <c r="A71" s="1199">
        <v>70</v>
      </c>
      <c r="B71" s="1243" t="s">
        <v>2259</v>
      </c>
      <c r="D71" s="1126" t="s">
        <v>713</v>
      </c>
    </row>
    <row r="72" spans="1:4" ht="31.5" x14ac:dyDescent="0.25">
      <c r="A72" s="1199">
        <v>71</v>
      </c>
      <c r="B72" s="1104" t="s">
        <v>2260</v>
      </c>
      <c r="D72" s="1126" t="s">
        <v>714</v>
      </c>
    </row>
    <row r="73" spans="1:4" ht="15.75" thickBot="1" x14ac:dyDescent="0.3">
      <c r="A73" s="1199">
        <v>72</v>
      </c>
      <c r="B73" s="1249" t="s">
        <v>2261</v>
      </c>
      <c r="D73" s="1126" t="s">
        <v>1700</v>
      </c>
    </row>
    <row r="74" spans="1:4" x14ac:dyDescent="0.25">
      <c r="A74" s="1199">
        <v>73</v>
      </c>
      <c r="B74" s="1164" t="s">
        <v>2262</v>
      </c>
      <c r="D74" s="1126" t="s">
        <v>715</v>
      </c>
    </row>
    <row r="75" spans="1:4" x14ac:dyDescent="0.25">
      <c r="A75" s="1199">
        <v>74</v>
      </c>
      <c r="B75" s="1249" t="s">
        <v>2263</v>
      </c>
      <c r="D75" s="1126" t="s">
        <v>716</v>
      </c>
    </row>
    <row r="76" spans="1:4" x14ac:dyDescent="0.25">
      <c r="A76" s="1199">
        <v>75</v>
      </c>
      <c r="B76" s="1249" t="s">
        <v>2264</v>
      </c>
      <c r="D76" s="1126" t="s">
        <v>717</v>
      </c>
    </row>
    <row r="77" spans="1:4" x14ac:dyDescent="0.25">
      <c r="A77" s="1199">
        <v>76</v>
      </c>
      <c r="B77" s="1249" t="s">
        <v>2265</v>
      </c>
      <c r="D77" s="1126" t="s">
        <v>718</v>
      </c>
    </row>
    <row r="78" spans="1:4" x14ac:dyDescent="0.25">
      <c r="A78" s="1199">
        <v>77</v>
      </c>
      <c r="B78" s="1249" t="s">
        <v>2266</v>
      </c>
      <c r="D78" s="1126" t="s">
        <v>719</v>
      </c>
    </row>
    <row r="79" spans="1:4" x14ac:dyDescent="0.25">
      <c r="A79" s="1199">
        <v>78</v>
      </c>
      <c r="B79" s="1249" t="s">
        <v>2267</v>
      </c>
      <c r="D79" s="1126" t="s">
        <v>720</v>
      </c>
    </row>
    <row r="80" spans="1:4" x14ac:dyDescent="0.25">
      <c r="A80" s="1199">
        <v>79</v>
      </c>
      <c r="B80" s="1249" t="s">
        <v>2268</v>
      </c>
      <c r="D80" s="1126" t="s">
        <v>721</v>
      </c>
    </row>
    <row r="81" spans="1:4" x14ac:dyDescent="0.25">
      <c r="A81" s="1199">
        <v>80</v>
      </c>
      <c r="B81" s="1249" t="s">
        <v>2269</v>
      </c>
      <c r="D81" s="1126" t="s">
        <v>722</v>
      </c>
    </row>
    <row r="82" spans="1:4" x14ac:dyDescent="0.25">
      <c r="A82" s="1199">
        <v>81</v>
      </c>
      <c r="B82" s="1249" t="s">
        <v>2270</v>
      </c>
      <c r="D82" s="1126" t="s">
        <v>723</v>
      </c>
    </row>
    <row r="83" spans="1:4" ht="54" x14ac:dyDescent="0.25">
      <c r="A83" s="1199">
        <v>82</v>
      </c>
      <c r="B83" s="1111" t="s">
        <v>2271</v>
      </c>
      <c r="D83" s="1126" t="s">
        <v>724</v>
      </c>
    </row>
    <row r="84" spans="1:4" ht="15.75" x14ac:dyDescent="0.25">
      <c r="A84" s="1199">
        <v>83</v>
      </c>
      <c r="B84" s="1110" t="s">
        <v>2272</v>
      </c>
      <c r="D84" s="1126" t="s">
        <v>725</v>
      </c>
    </row>
    <row r="85" spans="1:4" x14ac:dyDescent="0.25">
      <c r="A85" s="1199">
        <v>84</v>
      </c>
      <c r="B85" s="1125" t="s">
        <v>2273</v>
      </c>
      <c r="D85" s="1126" t="s">
        <v>726</v>
      </c>
    </row>
    <row r="86" spans="1:4" x14ac:dyDescent="0.25">
      <c r="A86" s="1199">
        <v>85</v>
      </c>
      <c r="B86" s="1112" t="s">
        <v>2203</v>
      </c>
      <c r="D86" s="1126" t="s">
        <v>1741</v>
      </c>
    </row>
    <row r="87" spans="1:4" x14ac:dyDescent="0.25">
      <c r="A87" s="1199">
        <v>86</v>
      </c>
      <c r="B87" s="1109" t="s">
        <v>2274</v>
      </c>
      <c r="D87" s="1126" t="s">
        <v>727</v>
      </c>
    </row>
    <row r="88" spans="1:4" x14ac:dyDescent="0.25">
      <c r="A88" s="1199">
        <v>87</v>
      </c>
      <c r="B88" s="1112" t="s">
        <v>2275</v>
      </c>
      <c r="D88" s="1126" t="s">
        <v>728</v>
      </c>
    </row>
    <row r="89" spans="1:4" ht="22.5" x14ac:dyDescent="0.25">
      <c r="A89" s="1199">
        <v>88</v>
      </c>
      <c r="B89" s="1109" t="s">
        <v>2276</v>
      </c>
      <c r="D89" s="1126" t="s">
        <v>729</v>
      </c>
    </row>
    <row r="90" spans="1:4" x14ac:dyDescent="0.25">
      <c r="A90" s="1199">
        <v>89</v>
      </c>
      <c r="B90" s="1137" t="s">
        <v>2277</v>
      </c>
      <c r="D90" s="1126" t="s">
        <v>730</v>
      </c>
    </row>
    <row r="91" spans="1:4" x14ac:dyDescent="0.25">
      <c r="A91" s="1199">
        <v>90</v>
      </c>
      <c r="B91" s="1112" t="s">
        <v>2278</v>
      </c>
      <c r="D91" s="1126" t="s">
        <v>731</v>
      </c>
    </row>
    <row r="92" spans="1:4" ht="22.5" x14ac:dyDescent="0.25">
      <c r="A92" s="1199">
        <v>91</v>
      </c>
      <c r="B92" s="1109" t="s">
        <v>3662</v>
      </c>
      <c r="D92" s="1126" t="s">
        <v>732</v>
      </c>
    </row>
    <row r="93" spans="1:4" ht="33.75" x14ac:dyDescent="0.25">
      <c r="A93" s="1199">
        <v>92</v>
      </c>
      <c r="B93" s="1109" t="s">
        <v>2279</v>
      </c>
      <c r="D93" s="1126" t="s">
        <v>733</v>
      </c>
    </row>
    <row r="94" spans="1:4" ht="22.5" x14ac:dyDescent="0.25">
      <c r="A94" s="1199">
        <v>93</v>
      </c>
      <c r="B94" s="1109" t="s">
        <v>2280</v>
      </c>
      <c r="D94" s="1126" t="s">
        <v>734</v>
      </c>
    </row>
    <row r="95" spans="1:4" x14ac:dyDescent="0.25">
      <c r="A95" s="1199">
        <v>94</v>
      </c>
      <c r="B95" s="1112" t="s">
        <v>2281</v>
      </c>
      <c r="D95" s="1126" t="s">
        <v>735</v>
      </c>
    </row>
    <row r="96" spans="1:4" ht="22.5" x14ac:dyDescent="0.25">
      <c r="A96" s="1199">
        <v>95</v>
      </c>
      <c r="B96" s="1109" t="s">
        <v>2282</v>
      </c>
      <c r="D96" s="1126" t="s">
        <v>736</v>
      </c>
    </row>
    <row r="97" spans="1:4" ht="67.5" x14ac:dyDescent="0.25">
      <c r="A97" s="1199">
        <v>96</v>
      </c>
      <c r="B97" s="1109" t="s">
        <v>3663</v>
      </c>
      <c r="D97" s="1126" t="s">
        <v>737</v>
      </c>
    </row>
    <row r="98" spans="1:4" x14ac:dyDescent="0.25">
      <c r="A98" s="1199">
        <v>97</v>
      </c>
      <c r="B98" s="1112" t="s">
        <v>2283</v>
      </c>
      <c r="D98" s="1126" t="s">
        <v>738</v>
      </c>
    </row>
    <row r="99" spans="1:4" x14ac:dyDescent="0.25">
      <c r="A99" s="1199">
        <v>98</v>
      </c>
      <c r="B99" s="1118" t="s">
        <v>2284</v>
      </c>
      <c r="D99" s="1126" t="s">
        <v>739</v>
      </c>
    </row>
    <row r="100" spans="1:4" ht="22.5" x14ac:dyDescent="0.25">
      <c r="A100" s="1199">
        <v>99</v>
      </c>
      <c r="B100" s="1109" t="s">
        <v>2285</v>
      </c>
      <c r="D100" s="1126" t="s">
        <v>740</v>
      </c>
    </row>
    <row r="101" spans="1:4" ht="22.5" x14ac:dyDescent="0.25">
      <c r="A101" s="1199">
        <v>100</v>
      </c>
      <c r="B101" s="1109" t="s">
        <v>2286</v>
      </c>
      <c r="D101" s="1126" t="s">
        <v>741</v>
      </c>
    </row>
    <row r="102" spans="1:4" x14ac:dyDescent="0.25">
      <c r="A102" s="1199">
        <v>101</v>
      </c>
      <c r="B102" s="1106" t="s">
        <v>2287</v>
      </c>
      <c r="D102" s="1126" t="s">
        <v>742</v>
      </c>
    </row>
    <row r="103" spans="1:4" ht="25.5" x14ac:dyDescent="0.25">
      <c r="A103" s="1199">
        <v>102</v>
      </c>
      <c r="B103" s="1138" t="s">
        <v>2288</v>
      </c>
      <c r="D103" s="1126" t="s">
        <v>743</v>
      </c>
    </row>
    <row r="104" spans="1:4" x14ac:dyDescent="0.25">
      <c r="A104" s="1199">
        <v>103</v>
      </c>
      <c r="B104" s="1139" t="s">
        <v>2289</v>
      </c>
      <c r="D104" s="1126" t="s">
        <v>745</v>
      </c>
    </row>
    <row r="105" spans="1:4" x14ac:dyDescent="0.25">
      <c r="A105" s="1199">
        <v>104</v>
      </c>
      <c r="B105" s="1140" t="s">
        <v>2290</v>
      </c>
      <c r="D105" s="1126" t="s">
        <v>746</v>
      </c>
    </row>
    <row r="106" spans="1:4" x14ac:dyDescent="0.25">
      <c r="A106" s="1199">
        <v>105</v>
      </c>
      <c r="B106" s="1138" t="s">
        <v>2291</v>
      </c>
      <c r="D106" s="1126" t="s">
        <v>744</v>
      </c>
    </row>
    <row r="107" spans="1:4" x14ac:dyDescent="0.25">
      <c r="A107" s="1199">
        <v>106</v>
      </c>
      <c r="B107" s="1112" t="s">
        <v>2292</v>
      </c>
      <c r="D107" s="1126" t="s">
        <v>747</v>
      </c>
    </row>
    <row r="108" spans="1:4" ht="22.5" x14ac:dyDescent="0.25">
      <c r="A108" s="1199">
        <v>107</v>
      </c>
      <c r="B108" s="1109" t="s">
        <v>2293</v>
      </c>
      <c r="D108" s="1126" t="s">
        <v>748</v>
      </c>
    </row>
    <row r="109" spans="1:4" x14ac:dyDescent="0.25">
      <c r="A109" s="1199">
        <v>108</v>
      </c>
      <c r="B109" s="1112" t="s">
        <v>2294</v>
      </c>
      <c r="D109" s="1126" t="s">
        <v>749</v>
      </c>
    </row>
    <row r="110" spans="1:4" ht="22.5" x14ac:dyDescent="0.25">
      <c r="A110" s="1199">
        <v>109</v>
      </c>
      <c r="B110" s="1109" t="s">
        <v>2295</v>
      </c>
      <c r="D110" s="1126" t="s">
        <v>750</v>
      </c>
    </row>
    <row r="111" spans="1:4" ht="22.5" x14ac:dyDescent="0.25">
      <c r="A111" s="1199">
        <v>110</v>
      </c>
      <c r="B111" s="1109" t="s">
        <v>2296</v>
      </c>
      <c r="D111" s="1126" t="s">
        <v>751</v>
      </c>
    </row>
    <row r="112" spans="1:4" x14ac:dyDescent="0.25">
      <c r="A112" s="1199">
        <v>111</v>
      </c>
      <c r="B112" s="1109" t="s">
        <v>2297</v>
      </c>
      <c r="D112" s="1126" t="s">
        <v>752</v>
      </c>
    </row>
    <row r="113" spans="1:4" ht="22.5" x14ac:dyDescent="0.25">
      <c r="A113" s="1199">
        <v>112</v>
      </c>
      <c r="B113" s="1109" t="s">
        <v>2298</v>
      </c>
      <c r="D113" s="1126" t="s">
        <v>753</v>
      </c>
    </row>
    <row r="114" spans="1:4" ht="22.5" x14ac:dyDescent="0.25">
      <c r="A114" s="1199">
        <v>113</v>
      </c>
      <c r="B114" s="1109" t="s">
        <v>2299</v>
      </c>
      <c r="D114" s="1126" t="s">
        <v>754</v>
      </c>
    </row>
    <row r="115" spans="1:4" x14ac:dyDescent="0.25">
      <c r="A115" s="1199">
        <v>114</v>
      </c>
      <c r="B115" s="1109" t="s">
        <v>2300</v>
      </c>
      <c r="D115" s="1126" t="s">
        <v>755</v>
      </c>
    </row>
    <row r="116" spans="1:4" x14ac:dyDescent="0.25">
      <c r="A116" s="1199">
        <v>115</v>
      </c>
      <c r="B116" s="1137" t="s">
        <v>2301</v>
      </c>
      <c r="D116" s="1126" t="s">
        <v>756</v>
      </c>
    </row>
    <row r="117" spans="1:4" ht="45" x14ac:dyDescent="0.25">
      <c r="A117" s="1199">
        <v>116</v>
      </c>
      <c r="B117" s="1109" t="s">
        <v>2302</v>
      </c>
      <c r="D117" s="1126" t="s">
        <v>757</v>
      </c>
    </row>
    <row r="118" spans="1:4" x14ac:dyDescent="0.25">
      <c r="A118" s="1199">
        <v>117</v>
      </c>
      <c r="B118" s="1139" t="s">
        <v>2303</v>
      </c>
      <c r="D118" s="1126" t="s">
        <v>1742</v>
      </c>
    </row>
    <row r="119" spans="1:4" x14ac:dyDescent="0.25">
      <c r="A119" s="1199">
        <v>118</v>
      </c>
      <c r="B119" s="1141" t="s">
        <v>2304</v>
      </c>
      <c r="D119" s="1126" t="s">
        <v>770</v>
      </c>
    </row>
    <row r="120" spans="1:4" x14ac:dyDescent="0.25">
      <c r="A120" s="1199">
        <v>119</v>
      </c>
      <c r="B120" s="1141" t="s">
        <v>2305</v>
      </c>
      <c r="D120" s="1126" t="s">
        <v>760</v>
      </c>
    </row>
    <row r="121" spans="1:4" x14ac:dyDescent="0.25">
      <c r="A121" s="1199">
        <v>120</v>
      </c>
      <c r="B121" s="1141" t="s">
        <v>2306</v>
      </c>
      <c r="D121" s="1126" t="s">
        <v>771</v>
      </c>
    </row>
    <row r="122" spans="1:4" x14ac:dyDescent="0.25">
      <c r="A122" s="1199">
        <v>121</v>
      </c>
      <c r="B122" s="1141" t="s">
        <v>2307</v>
      </c>
      <c r="D122" s="1126" t="s">
        <v>773</v>
      </c>
    </row>
    <row r="123" spans="1:4" x14ac:dyDescent="0.25">
      <c r="A123" s="1199">
        <v>122</v>
      </c>
      <c r="B123" s="1141" t="s">
        <v>2308</v>
      </c>
      <c r="D123" s="1126" t="s">
        <v>758</v>
      </c>
    </row>
    <row r="124" spans="1:4" x14ac:dyDescent="0.25">
      <c r="A124" s="1199">
        <v>123</v>
      </c>
      <c r="B124" s="1141" t="s">
        <v>2309</v>
      </c>
      <c r="D124" s="1126" t="s">
        <v>765</v>
      </c>
    </row>
    <row r="125" spans="1:4" x14ac:dyDescent="0.25">
      <c r="A125" s="1199">
        <v>124</v>
      </c>
      <c r="B125" s="1141" t="s">
        <v>2310</v>
      </c>
      <c r="D125" s="1126" t="s">
        <v>766</v>
      </c>
    </row>
    <row r="126" spans="1:4" x14ac:dyDescent="0.25">
      <c r="A126" s="1199">
        <v>125</v>
      </c>
      <c r="B126" s="1140" t="s">
        <v>2311</v>
      </c>
      <c r="D126" s="1126" t="s">
        <v>779</v>
      </c>
    </row>
    <row r="127" spans="1:4" x14ac:dyDescent="0.25">
      <c r="A127" s="1199">
        <v>126</v>
      </c>
      <c r="B127" s="1137" t="s">
        <v>2312</v>
      </c>
      <c r="D127" s="1126" t="s">
        <v>759</v>
      </c>
    </row>
    <row r="128" spans="1:4" x14ac:dyDescent="0.25">
      <c r="A128" s="1199">
        <v>127</v>
      </c>
      <c r="B128" s="1125" t="s">
        <v>2313</v>
      </c>
      <c r="D128" s="1126" t="s">
        <v>761</v>
      </c>
    </row>
    <row r="129" spans="1:4" ht="22.5" x14ac:dyDescent="0.25">
      <c r="A129" s="1199">
        <v>128</v>
      </c>
      <c r="B129" s="1109" t="s">
        <v>2314</v>
      </c>
      <c r="D129" s="1126" t="s">
        <v>762</v>
      </c>
    </row>
    <row r="130" spans="1:4" ht="25.5" x14ac:dyDescent="0.25">
      <c r="A130" s="1199">
        <v>129</v>
      </c>
      <c r="B130" s="1112" t="s">
        <v>2315</v>
      </c>
      <c r="D130" s="1126" t="s">
        <v>763</v>
      </c>
    </row>
    <row r="131" spans="1:4" x14ac:dyDescent="0.25">
      <c r="A131" s="1199">
        <v>130</v>
      </c>
      <c r="B131" s="1139" t="s">
        <v>2316</v>
      </c>
      <c r="D131" s="1126" t="s">
        <v>776</v>
      </c>
    </row>
    <row r="132" spans="1:4" ht="38.25" x14ac:dyDescent="0.25">
      <c r="A132" s="1199">
        <v>131</v>
      </c>
      <c r="B132" s="1112" t="s">
        <v>2317</v>
      </c>
      <c r="D132" s="1126" t="s">
        <v>764</v>
      </c>
    </row>
    <row r="133" spans="1:4" ht="30" x14ac:dyDescent="0.25">
      <c r="A133" s="1199">
        <v>132</v>
      </c>
      <c r="B133" s="1125" t="s">
        <v>2318</v>
      </c>
      <c r="D133" s="1126" t="s">
        <v>767</v>
      </c>
    </row>
    <row r="134" spans="1:4" ht="25.5" x14ac:dyDescent="0.25">
      <c r="A134" s="1199">
        <v>133</v>
      </c>
      <c r="B134" s="1114" t="s">
        <v>2319</v>
      </c>
      <c r="D134" s="1126" t="s">
        <v>768</v>
      </c>
    </row>
    <row r="135" spans="1:4" x14ac:dyDescent="0.25">
      <c r="A135" s="1199">
        <v>134</v>
      </c>
      <c r="B135" s="1142" t="s">
        <v>2320</v>
      </c>
      <c r="D135" s="1126" t="s">
        <v>769</v>
      </c>
    </row>
    <row r="136" spans="1:4" x14ac:dyDescent="0.25">
      <c r="A136" s="1199">
        <v>135</v>
      </c>
      <c r="B136" s="1143" t="s">
        <v>2305</v>
      </c>
      <c r="D136" s="1126" t="s">
        <v>772</v>
      </c>
    </row>
    <row r="137" spans="1:4" x14ac:dyDescent="0.25">
      <c r="A137" s="1199">
        <v>136</v>
      </c>
      <c r="B137" s="1144" t="s">
        <v>2321</v>
      </c>
      <c r="D137" s="1126" t="s">
        <v>774</v>
      </c>
    </row>
    <row r="138" spans="1:4" ht="22.5" x14ac:dyDescent="0.25">
      <c r="A138" s="1199">
        <v>137</v>
      </c>
      <c r="B138" s="1109" t="s">
        <v>2322</v>
      </c>
      <c r="D138" s="1126" t="s">
        <v>775</v>
      </c>
    </row>
    <row r="139" spans="1:4" x14ac:dyDescent="0.25">
      <c r="A139" s="1199">
        <v>138</v>
      </c>
      <c r="B139" s="1143" t="s">
        <v>2309</v>
      </c>
      <c r="D139" s="1126" t="s">
        <v>777</v>
      </c>
    </row>
    <row r="140" spans="1:4" x14ac:dyDescent="0.25">
      <c r="A140" s="1199">
        <v>139</v>
      </c>
      <c r="B140" s="1143" t="s">
        <v>2323</v>
      </c>
      <c r="D140" s="1126" t="s">
        <v>778</v>
      </c>
    </row>
    <row r="141" spans="1:4" x14ac:dyDescent="0.25">
      <c r="A141" s="1199">
        <v>140</v>
      </c>
      <c r="B141" s="1144" t="s">
        <v>2324</v>
      </c>
      <c r="D141" s="1126" t="s">
        <v>780</v>
      </c>
    </row>
    <row r="142" spans="1:4" x14ac:dyDescent="0.25">
      <c r="A142" s="1199">
        <v>141</v>
      </c>
      <c r="B142" s="1142" t="s">
        <v>2325</v>
      </c>
      <c r="D142" s="1126" t="s">
        <v>781</v>
      </c>
    </row>
    <row r="143" spans="1:4" x14ac:dyDescent="0.25">
      <c r="A143" s="1199">
        <v>142</v>
      </c>
      <c r="B143" s="1143" t="s">
        <v>2326</v>
      </c>
      <c r="D143" s="1126" t="s">
        <v>782</v>
      </c>
    </row>
    <row r="144" spans="1:4" x14ac:dyDescent="0.25">
      <c r="A144" s="1199">
        <v>143</v>
      </c>
      <c r="B144" s="1145" t="s">
        <v>2327</v>
      </c>
      <c r="D144" s="1126" t="s">
        <v>783</v>
      </c>
    </row>
    <row r="145" spans="1:4" x14ac:dyDescent="0.25">
      <c r="A145" s="1199">
        <v>144</v>
      </c>
      <c r="B145" s="1125" t="s">
        <v>2328</v>
      </c>
      <c r="D145" s="1126" t="s">
        <v>784</v>
      </c>
    </row>
    <row r="146" spans="1:4" x14ac:dyDescent="0.25">
      <c r="A146" s="1199">
        <v>145</v>
      </c>
      <c r="B146" s="1112" t="s">
        <v>2329</v>
      </c>
      <c r="D146" s="1126" t="s">
        <v>1753</v>
      </c>
    </row>
    <row r="147" spans="1:4" ht="22.5" x14ac:dyDescent="0.25">
      <c r="A147" s="1199">
        <v>146</v>
      </c>
      <c r="B147" s="1109" t="s">
        <v>2330</v>
      </c>
      <c r="D147" s="1126" t="s">
        <v>785</v>
      </c>
    </row>
    <row r="148" spans="1:4" ht="22.5" x14ac:dyDescent="0.25">
      <c r="A148" s="1199">
        <v>147</v>
      </c>
      <c r="B148" s="1109" t="s">
        <v>2331</v>
      </c>
      <c r="D148" s="1126" t="s">
        <v>786</v>
      </c>
    </row>
    <row r="149" spans="1:4" x14ac:dyDescent="0.25">
      <c r="A149" s="1199">
        <v>148</v>
      </c>
      <c r="B149" s="1146" t="s">
        <v>2332</v>
      </c>
      <c r="D149" s="1126" t="s">
        <v>787</v>
      </c>
    </row>
    <row r="150" spans="1:4" x14ac:dyDescent="0.25">
      <c r="A150" s="1199">
        <v>149</v>
      </c>
      <c r="B150" s="25" t="s">
        <v>2333</v>
      </c>
      <c r="D150" s="1126" t="s">
        <v>788</v>
      </c>
    </row>
    <row r="151" spans="1:4" ht="25.5" x14ac:dyDescent="0.25">
      <c r="A151" s="1199">
        <v>150</v>
      </c>
      <c r="B151" s="1112" t="s">
        <v>2334</v>
      </c>
      <c r="D151" s="1126" t="s">
        <v>789</v>
      </c>
    </row>
    <row r="152" spans="1:4" ht="22.5" x14ac:dyDescent="0.25">
      <c r="A152" s="1199">
        <v>151</v>
      </c>
      <c r="B152" s="1109" t="s">
        <v>2335</v>
      </c>
      <c r="D152" s="1126" t="s">
        <v>790</v>
      </c>
    </row>
    <row r="153" spans="1:4" x14ac:dyDescent="0.25">
      <c r="A153" s="1199">
        <v>152</v>
      </c>
      <c r="B153" s="1109" t="s">
        <v>2336</v>
      </c>
      <c r="D153" s="1126" t="s">
        <v>791</v>
      </c>
    </row>
    <row r="154" spans="1:4" x14ac:dyDescent="0.25">
      <c r="A154" s="1199">
        <v>153</v>
      </c>
      <c r="B154" s="1249" t="s">
        <v>2337</v>
      </c>
      <c r="D154" s="1126" t="s">
        <v>792</v>
      </c>
    </row>
    <row r="155" spans="1:4" ht="21" x14ac:dyDescent="0.25">
      <c r="A155" s="1199">
        <v>154</v>
      </c>
      <c r="B155" s="1108" t="s">
        <v>2338</v>
      </c>
      <c r="D155" s="1126" t="s">
        <v>793</v>
      </c>
    </row>
    <row r="156" spans="1:4" x14ac:dyDescent="0.25">
      <c r="A156" s="1199">
        <v>155</v>
      </c>
      <c r="B156" s="1109" t="s">
        <v>2339</v>
      </c>
      <c r="D156" s="1126" t="s">
        <v>794</v>
      </c>
    </row>
    <row r="157" spans="1:4" x14ac:dyDescent="0.25">
      <c r="A157" s="1199">
        <v>156</v>
      </c>
      <c r="B157" s="1106" t="s">
        <v>2340</v>
      </c>
      <c r="D157" s="1126" t="s">
        <v>795</v>
      </c>
    </row>
    <row r="158" spans="1:4" ht="25.5" x14ac:dyDescent="0.25">
      <c r="A158" s="1199">
        <v>157</v>
      </c>
      <c r="B158" s="1112" t="s">
        <v>2341</v>
      </c>
      <c r="D158" s="1126" t="s">
        <v>796</v>
      </c>
    </row>
    <row r="159" spans="1:4" x14ac:dyDescent="0.25">
      <c r="A159" s="1199">
        <v>158</v>
      </c>
      <c r="B159" s="1109" t="s">
        <v>2342</v>
      </c>
      <c r="D159" s="1126" t="s">
        <v>797</v>
      </c>
    </row>
    <row r="160" spans="1:4" ht="22.5" x14ac:dyDescent="0.25">
      <c r="A160" s="1199">
        <v>159</v>
      </c>
      <c r="B160" s="1109" t="s">
        <v>2343</v>
      </c>
      <c r="D160" s="1126" t="s">
        <v>798</v>
      </c>
    </row>
    <row r="161" spans="1:4" ht="25.5" x14ac:dyDescent="0.25">
      <c r="A161" s="1199">
        <v>160</v>
      </c>
      <c r="B161" s="1112" t="s">
        <v>2344</v>
      </c>
      <c r="D161" s="1126" t="s">
        <v>799</v>
      </c>
    </row>
    <row r="162" spans="1:4" ht="22.5" x14ac:dyDescent="0.25">
      <c r="A162" s="1199">
        <v>161</v>
      </c>
      <c r="B162" s="1109" t="s">
        <v>2345</v>
      </c>
      <c r="D162" s="1126" t="s">
        <v>800</v>
      </c>
    </row>
    <row r="163" spans="1:4" ht="33.75" x14ac:dyDescent="0.25">
      <c r="A163" s="1199">
        <v>162</v>
      </c>
      <c r="B163" s="1109" t="s">
        <v>2346</v>
      </c>
      <c r="D163" s="1126" t="s">
        <v>801</v>
      </c>
    </row>
    <row r="164" spans="1:4" ht="22.5" x14ac:dyDescent="0.25">
      <c r="A164" s="1199">
        <v>163</v>
      </c>
      <c r="B164" s="1109" t="s">
        <v>2347</v>
      </c>
      <c r="D164" s="1126" t="s">
        <v>802</v>
      </c>
    </row>
    <row r="165" spans="1:4" x14ac:dyDescent="0.25">
      <c r="A165" s="1199">
        <v>164</v>
      </c>
      <c r="B165" s="1109" t="s">
        <v>2348</v>
      </c>
      <c r="D165" s="1126" t="s">
        <v>803</v>
      </c>
    </row>
    <row r="166" spans="1:4" ht="25.5" x14ac:dyDescent="0.25">
      <c r="A166" s="1199">
        <v>165</v>
      </c>
      <c r="B166" s="1106" t="s">
        <v>2349</v>
      </c>
      <c r="D166" s="1126" t="s">
        <v>804</v>
      </c>
    </row>
    <row r="167" spans="1:4" x14ac:dyDescent="0.25">
      <c r="A167" s="1199">
        <v>166</v>
      </c>
      <c r="B167" s="1106" t="s">
        <v>2350</v>
      </c>
      <c r="D167" s="1126" t="s">
        <v>805</v>
      </c>
    </row>
    <row r="168" spans="1:4" ht="25.5" x14ac:dyDescent="0.25">
      <c r="A168" s="1199">
        <v>167</v>
      </c>
      <c r="B168" s="1106" t="s">
        <v>2351</v>
      </c>
      <c r="D168" s="1126" t="s">
        <v>806</v>
      </c>
    </row>
    <row r="169" spans="1:4" ht="25.5" x14ac:dyDescent="0.25">
      <c r="A169" s="1199">
        <v>168</v>
      </c>
      <c r="B169" s="1112" t="s">
        <v>2352</v>
      </c>
      <c r="D169" s="1126" t="s">
        <v>807</v>
      </c>
    </row>
    <row r="170" spans="1:4" ht="22.5" x14ac:dyDescent="0.25">
      <c r="A170" s="1199">
        <v>169</v>
      </c>
      <c r="B170" s="1109" t="s">
        <v>2353</v>
      </c>
      <c r="D170" s="1126" t="s">
        <v>808</v>
      </c>
    </row>
    <row r="171" spans="1:4" ht="33.75" x14ac:dyDescent="0.25">
      <c r="A171" s="1199">
        <v>170</v>
      </c>
      <c r="B171" s="1109" t="s">
        <v>2354</v>
      </c>
      <c r="D171" s="1126" t="s">
        <v>809</v>
      </c>
    </row>
    <row r="172" spans="1:4" ht="22.5" x14ac:dyDescent="0.25">
      <c r="A172" s="1199">
        <v>171</v>
      </c>
      <c r="B172" s="1109" t="s">
        <v>2355</v>
      </c>
      <c r="D172" s="1126" t="s">
        <v>810</v>
      </c>
    </row>
    <row r="173" spans="1:4" x14ac:dyDescent="0.25">
      <c r="A173" s="1199">
        <v>172</v>
      </c>
      <c r="B173" s="1106" t="s">
        <v>2356</v>
      </c>
      <c r="D173" s="1126" t="s">
        <v>811</v>
      </c>
    </row>
    <row r="174" spans="1:4" ht="25.5" x14ac:dyDescent="0.25">
      <c r="A174" s="1199">
        <v>173</v>
      </c>
      <c r="B174" s="1106" t="s">
        <v>2357</v>
      </c>
      <c r="D174" s="1126" t="s">
        <v>812</v>
      </c>
    </row>
    <row r="175" spans="1:4" ht="25.5" x14ac:dyDescent="0.25">
      <c r="A175" s="1199">
        <v>174</v>
      </c>
      <c r="B175" s="1106" t="s">
        <v>2358</v>
      </c>
      <c r="D175" s="1126" t="s">
        <v>813</v>
      </c>
    </row>
    <row r="176" spans="1:4" ht="25.5" x14ac:dyDescent="0.25">
      <c r="A176" s="1199">
        <v>175</v>
      </c>
      <c r="B176" s="1112" t="s">
        <v>2359</v>
      </c>
      <c r="D176" s="1126" t="s">
        <v>814</v>
      </c>
    </row>
    <row r="177" spans="1:4" x14ac:dyDescent="0.25">
      <c r="A177" s="1199">
        <v>176</v>
      </c>
      <c r="B177" s="1109" t="s">
        <v>2360</v>
      </c>
      <c r="D177" s="1126" t="s">
        <v>815</v>
      </c>
    </row>
    <row r="178" spans="1:4" x14ac:dyDescent="0.25">
      <c r="A178" s="1199">
        <v>177</v>
      </c>
      <c r="B178" s="1147" t="s">
        <v>2361</v>
      </c>
      <c r="D178" s="1126" t="s">
        <v>2068</v>
      </c>
    </row>
    <row r="179" spans="1:4" x14ac:dyDescent="0.25">
      <c r="A179" s="1199">
        <v>178</v>
      </c>
      <c r="B179" s="1148" t="s">
        <v>2362</v>
      </c>
      <c r="D179" s="1126" t="s">
        <v>816</v>
      </c>
    </row>
    <row r="180" spans="1:4" x14ac:dyDescent="0.25">
      <c r="A180" s="1199">
        <v>179</v>
      </c>
      <c r="B180" s="1112" t="s">
        <v>2363</v>
      </c>
      <c r="D180" s="1126" t="s">
        <v>817</v>
      </c>
    </row>
    <row r="181" spans="1:4" ht="33.75" x14ac:dyDescent="0.25">
      <c r="A181" s="1199">
        <v>180</v>
      </c>
      <c r="B181" s="1109" t="s">
        <v>2364</v>
      </c>
      <c r="D181" s="1126" t="s">
        <v>818</v>
      </c>
    </row>
    <row r="182" spans="1:4" ht="31.5" x14ac:dyDescent="0.25">
      <c r="A182" s="1199">
        <v>181</v>
      </c>
      <c r="B182" s="1110" t="s">
        <v>2365</v>
      </c>
      <c r="D182" s="1126" t="s">
        <v>819</v>
      </c>
    </row>
    <row r="183" spans="1:4" x14ac:dyDescent="0.25">
      <c r="A183" s="1199">
        <v>182</v>
      </c>
      <c r="B183" s="1125" t="s">
        <v>2366</v>
      </c>
      <c r="D183" s="1126" t="s">
        <v>820</v>
      </c>
    </row>
    <row r="184" spans="1:4" ht="25.5" x14ac:dyDescent="0.25">
      <c r="A184" s="1199">
        <v>183</v>
      </c>
      <c r="B184" s="1112" t="s">
        <v>2367</v>
      </c>
      <c r="D184" s="1126" t="s">
        <v>821</v>
      </c>
    </row>
    <row r="185" spans="1:4" ht="33.75" x14ac:dyDescent="0.25">
      <c r="A185" s="1199">
        <v>184</v>
      </c>
      <c r="B185" s="1109" t="s">
        <v>2368</v>
      </c>
      <c r="D185" s="1126" t="s">
        <v>822</v>
      </c>
    </row>
    <row r="186" spans="1:4" x14ac:dyDescent="0.25">
      <c r="A186" s="1199">
        <v>185</v>
      </c>
      <c r="B186" s="1109" t="s">
        <v>2369</v>
      </c>
      <c r="D186" s="1126" t="s">
        <v>823</v>
      </c>
    </row>
    <row r="187" spans="1:4" ht="25.5" x14ac:dyDescent="0.25">
      <c r="A187" s="1199">
        <v>186</v>
      </c>
      <c r="B187" s="1112" t="s">
        <v>2370</v>
      </c>
      <c r="D187" s="1126" t="s">
        <v>824</v>
      </c>
    </row>
    <row r="188" spans="1:4" ht="25.5" x14ac:dyDescent="0.25">
      <c r="A188" s="1199">
        <v>187</v>
      </c>
      <c r="B188" s="1112" t="s">
        <v>2371</v>
      </c>
      <c r="D188" s="1126" t="s">
        <v>825</v>
      </c>
    </row>
    <row r="189" spans="1:4" ht="22.5" x14ac:dyDescent="0.25">
      <c r="A189" s="1199">
        <v>188</v>
      </c>
      <c r="B189" s="1109" t="s">
        <v>2372</v>
      </c>
      <c r="D189" s="1126" t="s">
        <v>826</v>
      </c>
    </row>
    <row r="190" spans="1:4" ht="45" x14ac:dyDescent="0.25">
      <c r="A190" s="1199">
        <v>189</v>
      </c>
      <c r="B190" s="1109" t="s">
        <v>2373</v>
      </c>
      <c r="D190" s="1126" t="s">
        <v>827</v>
      </c>
    </row>
    <row r="191" spans="1:4" ht="25.5" x14ac:dyDescent="0.25">
      <c r="A191" s="1199">
        <v>190</v>
      </c>
      <c r="B191" s="1112" t="s">
        <v>2374</v>
      </c>
      <c r="D191" s="1126" t="s">
        <v>828</v>
      </c>
    </row>
    <row r="192" spans="1:4" ht="25.5" x14ac:dyDescent="0.25">
      <c r="A192" s="1199">
        <v>191</v>
      </c>
      <c r="B192" s="1118" t="s">
        <v>2375</v>
      </c>
      <c r="D192" s="1126" t="s">
        <v>829</v>
      </c>
    </row>
    <row r="193" spans="1:4" ht="51" x14ac:dyDescent="0.25">
      <c r="A193" s="1199">
        <v>192</v>
      </c>
      <c r="B193" s="1107" t="s">
        <v>2376</v>
      </c>
      <c r="D193" s="1126" t="s">
        <v>830</v>
      </c>
    </row>
    <row r="194" spans="1:4" x14ac:dyDescent="0.25">
      <c r="A194" s="1199">
        <v>193</v>
      </c>
      <c r="B194" s="1149" t="s">
        <v>2377</v>
      </c>
      <c r="D194" s="1126" t="s">
        <v>831</v>
      </c>
    </row>
    <row r="195" spans="1:4" ht="51" x14ac:dyDescent="0.25">
      <c r="A195" s="1199">
        <v>194</v>
      </c>
      <c r="B195" s="1107" t="s">
        <v>2378</v>
      </c>
      <c r="D195" s="1126" t="s">
        <v>832</v>
      </c>
    </row>
    <row r="196" spans="1:4" ht="25.5" x14ac:dyDescent="0.25">
      <c r="A196" s="1199">
        <v>195</v>
      </c>
      <c r="B196" s="1107" t="s">
        <v>2379</v>
      </c>
      <c r="D196" s="1126" t="s">
        <v>833</v>
      </c>
    </row>
    <row r="197" spans="1:4" ht="51" x14ac:dyDescent="0.25">
      <c r="A197" s="1199">
        <v>196</v>
      </c>
      <c r="B197" s="1107" t="s">
        <v>2380</v>
      </c>
      <c r="D197" s="1126" t="s">
        <v>834</v>
      </c>
    </row>
    <row r="198" spans="1:4" x14ac:dyDescent="0.25">
      <c r="A198" s="1199">
        <v>197</v>
      </c>
      <c r="B198" s="1118" t="s">
        <v>2381</v>
      </c>
      <c r="D198" s="1126" t="s">
        <v>835</v>
      </c>
    </row>
    <row r="199" spans="1:4" ht="76.5" x14ac:dyDescent="0.25">
      <c r="A199" s="1199">
        <v>198</v>
      </c>
      <c r="B199" s="1107" t="s">
        <v>2382</v>
      </c>
      <c r="D199" s="1126" t="s">
        <v>836</v>
      </c>
    </row>
    <row r="200" spans="1:4" x14ac:dyDescent="0.25">
      <c r="A200" s="1199">
        <v>199</v>
      </c>
      <c r="B200" s="1118" t="s">
        <v>2383</v>
      </c>
      <c r="D200" s="1126" t="s">
        <v>837</v>
      </c>
    </row>
    <row r="201" spans="1:4" ht="89.25" x14ac:dyDescent="0.25">
      <c r="A201" s="1199">
        <v>200</v>
      </c>
      <c r="B201" s="1107" t="s">
        <v>2384</v>
      </c>
      <c r="D201" s="1126" t="s">
        <v>838</v>
      </c>
    </row>
    <row r="202" spans="1:4" ht="38.25" x14ac:dyDescent="0.25">
      <c r="A202" s="1199">
        <v>201</v>
      </c>
      <c r="B202" s="1107" t="s">
        <v>2385</v>
      </c>
      <c r="D202" s="1126" t="s">
        <v>839</v>
      </c>
    </row>
    <row r="203" spans="1:4" x14ac:dyDescent="0.25">
      <c r="A203" s="1199">
        <v>202</v>
      </c>
      <c r="B203" s="1125" t="s">
        <v>2386</v>
      </c>
      <c r="D203" s="1126" t="s">
        <v>840</v>
      </c>
    </row>
    <row r="204" spans="1:4" x14ac:dyDescent="0.25">
      <c r="A204" s="1199">
        <v>203</v>
      </c>
      <c r="B204" s="1112" t="s">
        <v>2387</v>
      </c>
      <c r="D204" s="1126" t="s">
        <v>841</v>
      </c>
    </row>
    <row r="205" spans="1:4" x14ac:dyDescent="0.25">
      <c r="A205" s="1199">
        <v>204</v>
      </c>
      <c r="B205" s="1109" t="s">
        <v>2388</v>
      </c>
      <c r="D205" s="1126" t="s">
        <v>842</v>
      </c>
    </row>
    <row r="206" spans="1:4" x14ac:dyDescent="0.25">
      <c r="A206" s="1199">
        <v>205</v>
      </c>
      <c r="B206" s="1112" t="s">
        <v>2389</v>
      </c>
      <c r="D206" s="1126" t="s">
        <v>843</v>
      </c>
    </row>
    <row r="207" spans="1:4" ht="33.75" x14ac:dyDescent="0.25">
      <c r="A207" s="1199">
        <v>206</v>
      </c>
      <c r="B207" s="1109" t="s">
        <v>2390</v>
      </c>
      <c r="D207" s="1126" t="s">
        <v>844</v>
      </c>
    </row>
    <row r="208" spans="1:4" ht="22.5" x14ac:dyDescent="0.25">
      <c r="A208" s="1199">
        <v>207</v>
      </c>
      <c r="B208" s="1109" t="s">
        <v>2391</v>
      </c>
      <c r="D208" s="1126" t="s">
        <v>845</v>
      </c>
    </row>
    <row r="209" spans="1:4" x14ac:dyDescent="0.25">
      <c r="A209" s="1199">
        <v>208</v>
      </c>
      <c r="B209" s="1150" t="s">
        <v>2392</v>
      </c>
      <c r="D209" s="1126" t="s">
        <v>846</v>
      </c>
    </row>
    <row r="210" spans="1:4" x14ac:dyDescent="0.25">
      <c r="A210" s="1199">
        <v>209</v>
      </c>
      <c r="B210" s="1151" t="s">
        <v>2393</v>
      </c>
      <c r="D210" s="1126" t="s">
        <v>847</v>
      </c>
    </row>
    <row r="211" spans="1:4" x14ac:dyDescent="0.25">
      <c r="A211" s="1199">
        <v>210</v>
      </c>
      <c r="B211" s="1263" t="s">
        <v>2394</v>
      </c>
      <c r="D211" s="1126" t="s">
        <v>848</v>
      </c>
    </row>
    <row r="212" spans="1:4" ht="15.75" x14ac:dyDescent="0.25">
      <c r="A212" s="1199">
        <v>211</v>
      </c>
      <c r="B212" s="1110" t="s">
        <v>2395</v>
      </c>
      <c r="D212" s="1126" t="s">
        <v>849</v>
      </c>
    </row>
    <row r="213" spans="1:4" x14ac:dyDescent="0.25">
      <c r="A213" s="1199">
        <v>212</v>
      </c>
      <c r="B213" s="1125" t="s">
        <v>2396</v>
      </c>
      <c r="D213" s="1126" t="s">
        <v>850</v>
      </c>
    </row>
    <row r="214" spans="1:4" ht="38.25" x14ac:dyDescent="0.25">
      <c r="A214" s="1199">
        <v>213</v>
      </c>
      <c r="B214" s="1112" t="s">
        <v>2397</v>
      </c>
      <c r="D214" s="1126" t="s">
        <v>851</v>
      </c>
    </row>
    <row r="215" spans="1:4" ht="33.75" x14ac:dyDescent="0.25">
      <c r="A215" s="1199">
        <v>214</v>
      </c>
      <c r="B215" s="1109" t="s">
        <v>2398</v>
      </c>
      <c r="D215" s="1126" t="s">
        <v>852</v>
      </c>
    </row>
    <row r="216" spans="1:4" ht="67.5" x14ac:dyDescent="0.25">
      <c r="A216" s="1199">
        <v>215</v>
      </c>
      <c r="B216" s="1109" t="s">
        <v>3666</v>
      </c>
      <c r="D216" s="1126" t="s">
        <v>853</v>
      </c>
    </row>
    <row r="217" spans="1:4" ht="22.5" x14ac:dyDescent="0.25">
      <c r="A217" s="1199">
        <v>216</v>
      </c>
      <c r="B217" s="1109" t="s">
        <v>2399</v>
      </c>
      <c r="D217" s="1126" t="s">
        <v>854</v>
      </c>
    </row>
    <row r="218" spans="1:4" ht="56.25" x14ac:dyDescent="0.25">
      <c r="A218" s="1199">
        <v>217</v>
      </c>
      <c r="B218" s="1109" t="s">
        <v>2400</v>
      </c>
      <c r="D218" s="1126" t="s">
        <v>863</v>
      </c>
    </row>
    <row r="219" spans="1:4" ht="38.25" x14ac:dyDescent="0.25">
      <c r="A219" s="1199">
        <v>218</v>
      </c>
      <c r="B219" s="1113" t="s">
        <v>2401</v>
      </c>
      <c r="D219" s="1126" t="s">
        <v>864</v>
      </c>
    </row>
    <row r="220" spans="1:4" x14ac:dyDescent="0.25">
      <c r="A220" s="1199">
        <v>219</v>
      </c>
      <c r="B220" s="1204" t="s">
        <v>2402</v>
      </c>
      <c r="D220" s="1126" t="s">
        <v>1716</v>
      </c>
    </row>
    <row r="221" spans="1:4" x14ac:dyDescent="0.25">
      <c r="A221" s="1199">
        <v>220</v>
      </c>
      <c r="B221" s="1119" t="s">
        <v>2403</v>
      </c>
      <c r="D221" s="1126" t="s">
        <v>855</v>
      </c>
    </row>
    <row r="222" spans="1:4" x14ac:dyDescent="0.25">
      <c r="A222" s="1199">
        <v>221</v>
      </c>
      <c r="B222" s="1205" t="s">
        <v>2404</v>
      </c>
      <c r="D222" s="1126" t="s">
        <v>867</v>
      </c>
    </row>
    <row r="223" spans="1:4" x14ac:dyDescent="0.25">
      <c r="A223" s="1199">
        <v>222</v>
      </c>
      <c r="B223" s="1119" t="s">
        <v>2405</v>
      </c>
      <c r="D223" s="1126" t="s">
        <v>868</v>
      </c>
    </row>
    <row r="224" spans="1:4" ht="30" x14ac:dyDescent="0.25">
      <c r="A224" s="1199">
        <v>223</v>
      </c>
      <c r="B224" s="1125" t="s">
        <v>2406</v>
      </c>
      <c r="D224" s="1126" t="s">
        <v>856</v>
      </c>
    </row>
    <row r="225" spans="1:4" ht="38.25" x14ac:dyDescent="0.25">
      <c r="A225" s="1199">
        <v>224</v>
      </c>
      <c r="B225" s="1112" t="s">
        <v>2407</v>
      </c>
      <c r="D225" s="1126" t="s">
        <v>857</v>
      </c>
    </row>
    <row r="226" spans="1:4" ht="22.5" x14ac:dyDescent="0.25">
      <c r="A226" s="1199">
        <v>225</v>
      </c>
      <c r="B226" s="1109" t="s">
        <v>2408</v>
      </c>
      <c r="D226" s="1126" t="s">
        <v>858</v>
      </c>
    </row>
    <row r="227" spans="1:4" ht="22.5" x14ac:dyDescent="0.25">
      <c r="A227" s="1199">
        <v>226</v>
      </c>
      <c r="B227" s="1109" t="s">
        <v>2409</v>
      </c>
      <c r="D227" s="1126" t="s">
        <v>859</v>
      </c>
    </row>
    <row r="228" spans="1:4" ht="21" x14ac:dyDescent="0.25">
      <c r="A228" s="1199">
        <v>227</v>
      </c>
      <c r="B228" s="1108" t="s">
        <v>2410</v>
      </c>
      <c r="D228" s="1126" t="s">
        <v>860</v>
      </c>
    </row>
    <row r="229" spans="1:4" ht="33.75" x14ac:dyDescent="0.25">
      <c r="A229" s="1199">
        <v>228</v>
      </c>
      <c r="B229" s="1109" t="s">
        <v>2411</v>
      </c>
      <c r="D229" s="1126" t="s">
        <v>861</v>
      </c>
    </row>
    <row r="230" spans="1:4" ht="22.5" x14ac:dyDescent="0.25">
      <c r="A230" s="1199">
        <v>229</v>
      </c>
      <c r="B230" s="1109" t="s">
        <v>2412</v>
      </c>
      <c r="D230" s="1126" t="s">
        <v>862</v>
      </c>
    </row>
    <row r="231" spans="1:4" x14ac:dyDescent="0.25">
      <c r="A231" s="1199">
        <v>230</v>
      </c>
      <c r="B231" s="1206" t="s">
        <v>2413</v>
      </c>
      <c r="D231" s="1126" t="s">
        <v>865</v>
      </c>
    </row>
    <row r="232" spans="1:4" x14ac:dyDescent="0.25">
      <c r="A232" s="1199">
        <v>231</v>
      </c>
      <c r="B232" s="1207" t="s">
        <v>2414</v>
      </c>
      <c r="D232" s="1126" t="s">
        <v>866</v>
      </c>
    </row>
    <row r="233" spans="1:4" ht="15.75" x14ac:dyDescent="0.25">
      <c r="A233" s="1199">
        <v>232</v>
      </c>
      <c r="B233" s="1110" t="s">
        <v>2415</v>
      </c>
      <c r="D233" s="1126" t="s">
        <v>869</v>
      </c>
    </row>
    <row r="234" spans="1:4" ht="25.5" x14ac:dyDescent="0.25">
      <c r="A234" s="1199">
        <v>233</v>
      </c>
      <c r="B234" s="1112" t="s">
        <v>2416</v>
      </c>
      <c r="D234" s="1126" t="s">
        <v>870</v>
      </c>
    </row>
    <row r="235" spans="1:4" ht="22.5" x14ac:dyDescent="0.25">
      <c r="A235" s="1199">
        <v>234</v>
      </c>
      <c r="B235" s="1109" t="s">
        <v>2417</v>
      </c>
      <c r="D235" s="1126" t="s">
        <v>871</v>
      </c>
    </row>
    <row r="236" spans="1:4" ht="22.5" x14ac:dyDescent="0.25">
      <c r="A236" s="1199">
        <v>235</v>
      </c>
      <c r="B236" s="1109" t="s">
        <v>2418</v>
      </c>
      <c r="D236" s="1126" t="s">
        <v>872</v>
      </c>
    </row>
    <row r="237" spans="1:4" ht="33.75" x14ac:dyDescent="0.25">
      <c r="A237" s="1199">
        <v>236</v>
      </c>
      <c r="B237" s="1109" t="s">
        <v>2419</v>
      </c>
      <c r="D237" s="1126" t="s">
        <v>873</v>
      </c>
    </row>
    <row r="238" spans="1:4" ht="22.5" x14ac:dyDescent="0.25">
      <c r="A238" s="1199">
        <v>237</v>
      </c>
      <c r="B238" s="1109" t="s">
        <v>2420</v>
      </c>
      <c r="D238" s="1126" t="s">
        <v>874</v>
      </c>
    </row>
    <row r="239" spans="1:4" x14ac:dyDescent="0.25">
      <c r="A239" s="1199">
        <v>238</v>
      </c>
      <c r="B239" s="1109" t="s">
        <v>2421</v>
      </c>
      <c r="D239" s="1126" t="s">
        <v>875</v>
      </c>
    </row>
    <row r="240" spans="1:4" x14ac:dyDescent="0.25">
      <c r="A240" s="1199">
        <v>239</v>
      </c>
      <c r="B240" s="1109" t="s">
        <v>2422</v>
      </c>
      <c r="D240" s="1126" t="s">
        <v>1936</v>
      </c>
    </row>
    <row r="241" spans="1:4" x14ac:dyDescent="0.25">
      <c r="A241" s="1199">
        <v>240</v>
      </c>
      <c r="B241" s="1109" t="s">
        <v>2423</v>
      </c>
      <c r="D241" s="1126" t="s">
        <v>1937</v>
      </c>
    </row>
    <row r="242" spans="1:4" x14ac:dyDescent="0.25">
      <c r="A242" s="1199">
        <v>241</v>
      </c>
      <c r="B242" s="1109" t="s">
        <v>2424</v>
      </c>
      <c r="D242" s="1126" t="s">
        <v>1938</v>
      </c>
    </row>
    <row r="243" spans="1:4" x14ac:dyDescent="0.25">
      <c r="A243" s="1199">
        <v>242</v>
      </c>
      <c r="B243" s="1109" t="s">
        <v>2425</v>
      </c>
      <c r="D243" s="1126" t="s">
        <v>1939</v>
      </c>
    </row>
    <row r="244" spans="1:4" x14ac:dyDescent="0.25">
      <c r="A244" s="1199">
        <v>243</v>
      </c>
      <c r="B244" s="1108" t="s">
        <v>2426</v>
      </c>
      <c r="D244" s="1126" t="s">
        <v>876</v>
      </c>
    </row>
    <row r="245" spans="1:4" ht="22.5" x14ac:dyDescent="0.25">
      <c r="A245" s="1199">
        <v>244</v>
      </c>
      <c r="B245" s="1109" t="s">
        <v>2427</v>
      </c>
      <c r="D245" s="1126" t="s">
        <v>877</v>
      </c>
    </row>
    <row r="246" spans="1:4" ht="33.75" x14ac:dyDescent="0.25">
      <c r="A246" s="1199">
        <v>245</v>
      </c>
      <c r="B246" s="1109" t="s">
        <v>2428</v>
      </c>
      <c r="D246" s="1126" t="s">
        <v>878</v>
      </c>
    </row>
    <row r="247" spans="1:4" x14ac:dyDescent="0.25">
      <c r="A247" s="1199">
        <v>246</v>
      </c>
      <c r="B247" s="1109" t="s">
        <v>2429</v>
      </c>
      <c r="D247" s="1126" t="s">
        <v>879</v>
      </c>
    </row>
    <row r="248" spans="1:4" x14ac:dyDescent="0.25">
      <c r="A248" s="1199">
        <v>247</v>
      </c>
      <c r="B248" s="1109" t="s">
        <v>2430</v>
      </c>
      <c r="D248" s="1126" t="s">
        <v>880</v>
      </c>
    </row>
    <row r="249" spans="1:4" x14ac:dyDescent="0.25">
      <c r="A249" s="1199">
        <v>248</v>
      </c>
      <c r="B249" s="1109" t="s">
        <v>2431</v>
      </c>
      <c r="D249" s="1126" t="s">
        <v>1940</v>
      </c>
    </row>
    <row r="250" spans="1:4" x14ac:dyDescent="0.25">
      <c r="A250" s="1199">
        <v>249</v>
      </c>
      <c r="B250" s="1109" t="s">
        <v>2432</v>
      </c>
      <c r="D250" s="1126" t="s">
        <v>1944</v>
      </c>
    </row>
    <row r="251" spans="1:4" x14ac:dyDescent="0.25">
      <c r="A251" s="1199">
        <v>250</v>
      </c>
      <c r="B251" s="1109" t="s">
        <v>2433</v>
      </c>
      <c r="D251" s="1126" t="s">
        <v>881</v>
      </c>
    </row>
    <row r="252" spans="1:4" ht="22.5" x14ac:dyDescent="0.25">
      <c r="A252" s="1199">
        <v>251</v>
      </c>
      <c r="B252" s="1109" t="s">
        <v>2434</v>
      </c>
      <c r="D252" s="1126" t="s">
        <v>882</v>
      </c>
    </row>
    <row r="253" spans="1:4" x14ac:dyDescent="0.25">
      <c r="A253" s="1199">
        <v>252</v>
      </c>
      <c r="B253" s="1109" t="s">
        <v>2435</v>
      </c>
      <c r="D253" s="1126" t="s">
        <v>883</v>
      </c>
    </row>
    <row r="254" spans="1:4" x14ac:dyDescent="0.25">
      <c r="A254" s="1199">
        <v>253</v>
      </c>
      <c r="B254" s="1109" t="s">
        <v>2436</v>
      </c>
      <c r="D254" s="1126" t="s">
        <v>884</v>
      </c>
    </row>
    <row r="255" spans="1:4" x14ac:dyDescent="0.25">
      <c r="A255" s="1199">
        <v>254</v>
      </c>
      <c r="B255" s="1109" t="s">
        <v>2437</v>
      </c>
      <c r="D255" s="1126" t="s">
        <v>885</v>
      </c>
    </row>
    <row r="256" spans="1:4" x14ac:dyDescent="0.25">
      <c r="A256" s="1199">
        <v>255</v>
      </c>
      <c r="B256" s="1119" t="s">
        <v>2438</v>
      </c>
      <c r="D256" s="1126" t="s">
        <v>1244</v>
      </c>
    </row>
    <row r="257" spans="1:4" x14ac:dyDescent="0.25">
      <c r="A257" s="1199">
        <v>256</v>
      </c>
      <c r="B257" s="1119" t="s">
        <v>2439</v>
      </c>
      <c r="D257" s="1126" t="s">
        <v>886</v>
      </c>
    </row>
    <row r="258" spans="1:4" x14ac:dyDescent="0.25">
      <c r="A258" s="1199">
        <v>257</v>
      </c>
      <c r="B258" s="1119" t="s">
        <v>2440</v>
      </c>
      <c r="D258" s="1126" t="s">
        <v>887</v>
      </c>
    </row>
    <row r="259" spans="1:4" x14ac:dyDescent="0.25">
      <c r="A259" s="1199">
        <v>258</v>
      </c>
      <c r="B259" s="1119" t="s">
        <v>2441</v>
      </c>
      <c r="D259" s="1126" t="s">
        <v>888</v>
      </c>
    </row>
    <row r="260" spans="1:4" ht="25.5" x14ac:dyDescent="0.25">
      <c r="A260" s="1199">
        <v>259</v>
      </c>
      <c r="B260" s="1112" t="s">
        <v>2442</v>
      </c>
      <c r="D260" s="1126" t="s">
        <v>889</v>
      </c>
    </row>
    <row r="261" spans="1:4" ht="45" x14ac:dyDescent="0.25">
      <c r="A261" s="1199">
        <v>260</v>
      </c>
      <c r="B261" s="1109" t="s">
        <v>2443</v>
      </c>
      <c r="D261" s="1126" t="s">
        <v>890</v>
      </c>
    </row>
    <row r="262" spans="1:4" ht="22.5" x14ac:dyDescent="0.25">
      <c r="A262" s="1199">
        <v>261</v>
      </c>
      <c r="B262" s="1109" t="s">
        <v>2444</v>
      </c>
      <c r="D262" s="1126" t="s">
        <v>891</v>
      </c>
    </row>
    <row r="263" spans="1:4" x14ac:dyDescent="0.25">
      <c r="A263" s="1199">
        <v>262</v>
      </c>
      <c r="B263" s="1119" t="s">
        <v>2445</v>
      </c>
      <c r="D263" s="1126" t="s">
        <v>892</v>
      </c>
    </row>
    <row r="264" spans="1:4" x14ac:dyDescent="0.25">
      <c r="A264" s="1199">
        <v>263</v>
      </c>
      <c r="B264" s="1119" t="s">
        <v>2446</v>
      </c>
      <c r="D264" s="1126" t="s">
        <v>893</v>
      </c>
    </row>
    <row r="265" spans="1:4" x14ac:dyDescent="0.25">
      <c r="A265" s="1199">
        <v>264</v>
      </c>
      <c r="B265" s="1208" t="s">
        <v>2447</v>
      </c>
      <c r="D265" s="1126" t="s">
        <v>894</v>
      </c>
    </row>
    <row r="266" spans="1:4" ht="15.75" thickBot="1" x14ac:dyDescent="0.3">
      <c r="A266" s="1199">
        <v>265</v>
      </c>
      <c r="B266" s="1119" t="s">
        <v>2448</v>
      </c>
      <c r="D266" s="1126" t="s">
        <v>895</v>
      </c>
    </row>
    <row r="267" spans="1:4" x14ac:dyDescent="0.25">
      <c r="A267" s="1199">
        <v>266</v>
      </c>
      <c r="B267" s="1164" t="s">
        <v>2449</v>
      </c>
      <c r="D267" s="1126" t="s">
        <v>896</v>
      </c>
    </row>
    <row r="268" spans="1:4" x14ac:dyDescent="0.25">
      <c r="A268" s="1199">
        <v>267</v>
      </c>
      <c r="B268" s="1249" t="s">
        <v>2450</v>
      </c>
      <c r="D268" s="1126" t="s">
        <v>897</v>
      </c>
    </row>
    <row r="269" spans="1:4" x14ac:dyDescent="0.25">
      <c r="A269" s="1199">
        <v>268</v>
      </c>
      <c r="B269" s="1249" t="s">
        <v>2451</v>
      </c>
      <c r="D269" s="1126" t="s">
        <v>898</v>
      </c>
    </row>
    <row r="270" spans="1:4" x14ac:dyDescent="0.25">
      <c r="A270" s="1199">
        <v>269</v>
      </c>
      <c r="B270" s="1249" t="s">
        <v>2452</v>
      </c>
      <c r="D270" s="1126" t="s">
        <v>899</v>
      </c>
    </row>
    <row r="271" spans="1:4" x14ac:dyDescent="0.25">
      <c r="A271" s="1199">
        <v>270</v>
      </c>
      <c r="B271" s="1249" t="s">
        <v>2453</v>
      </c>
      <c r="D271" s="1126" t="s">
        <v>978</v>
      </c>
    </row>
    <row r="272" spans="1:4" ht="36" x14ac:dyDescent="0.25">
      <c r="A272" s="1199">
        <v>271</v>
      </c>
      <c r="B272" s="1111" t="s">
        <v>2454</v>
      </c>
      <c r="D272" s="1126" t="s">
        <v>900</v>
      </c>
    </row>
    <row r="273" spans="1:4" ht="31.5" x14ac:dyDescent="0.25">
      <c r="A273" s="1199">
        <v>272</v>
      </c>
      <c r="B273" s="1110" t="s">
        <v>2455</v>
      </c>
      <c r="D273" s="1126" t="s">
        <v>901</v>
      </c>
    </row>
    <row r="274" spans="1:4" ht="25.5" x14ac:dyDescent="0.25">
      <c r="A274" s="1199">
        <v>273</v>
      </c>
      <c r="B274" s="1112" t="s">
        <v>2456</v>
      </c>
      <c r="D274" s="1126" t="s">
        <v>902</v>
      </c>
    </row>
    <row r="275" spans="1:4" ht="22.5" x14ac:dyDescent="0.25">
      <c r="A275" s="1199">
        <v>274</v>
      </c>
      <c r="B275" s="1109" t="s">
        <v>2457</v>
      </c>
      <c r="D275" s="1126" t="s">
        <v>903</v>
      </c>
    </row>
    <row r="276" spans="1:4" ht="15.75" x14ac:dyDescent="0.25">
      <c r="A276" s="1199">
        <v>275</v>
      </c>
      <c r="B276" s="1110" t="s">
        <v>2458</v>
      </c>
      <c r="D276" s="1126" t="s">
        <v>904</v>
      </c>
    </row>
    <row r="277" spans="1:4" ht="22.5" x14ac:dyDescent="0.25">
      <c r="A277" s="1199">
        <v>276</v>
      </c>
      <c r="B277" s="1109" t="s">
        <v>2459</v>
      </c>
      <c r="D277" s="1126" t="s">
        <v>905</v>
      </c>
    </row>
    <row r="278" spans="1:4" ht="22.5" x14ac:dyDescent="0.25">
      <c r="A278" s="1199">
        <v>277</v>
      </c>
      <c r="B278" s="1109" t="s">
        <v>2460</v>
      </c>
      <c r="D278" s="1126" t="s">
        <v>906</v>
      </c>
    </row>
    <row r="279" spans="1:4" ht="33.75" x14ac:dyDescent="0.25">
      <c r="A279" s="1199">
        <v>278</v>
      </c>
      <c r="B279" s="1109" t="s">
        <v>2461</v>
      </c>
      <c r="D279" s="1126" t="s">
        <v>907</v>
      </c>
    </row>
    <row r="280" spans="1:4" ht="31.5" x14ac:dyDescent="0.25">
      <c r="A280" s="1199">
        <v>279</v>
      </c>
      <c r="B280" s="1108" t="s">
        <v>2462</v>
      </c>
      <c r="D280" s="1126" t="s">
        <v>908</v>
      </c>
    </row>
    <row r="281" spans="1:4" ht="27" thickBot="1" x14ac:dyDescent="0.3">
      <c r="A281" s="1199">
        <v>280</v>
      </c>
      <c r="B281" s="1209" t="s">
        <v>2463</v>
      </c>
      <c r="D281" s="1126" t="s">
        <v>909</v>
      </c>
    </row>
    <row r="282" spans="1:4" ht="15.75" thickBot="1" x14ac:dyDescent="0.3">
      <c r="A282" s="1199">
        <v>281</v>
      </c>
      <c r="B282" s="1210" t="s">
        <v>2464</v>
      </c>
      <c r="D282" s="1126" t="s">
        <v>930</v>
      </c>
    </row>
    <row r="283" spans="1:4" ht="15.75" thickBot="1" x14ac:dyDescent="0.3">
      <c r="A283" s="1199">
        <v>282</v>
      </c>
      <c r="B283" s="1210" t="s">
        <v>2465</v>
      </c>
      <c r="D283" s="1126" t="s">
        <v>910</v>
      </c>
    </row>
    <row r="284" spans="1:4" ht="15.75" thickBot="1" x14ac:dyDescent="0.3">
      <c r="A284" s="1199">
        <v>283</v>
      </c>
      <c r="B284" s="1211" t="s">
        <v>2466</v>
      </c>
      <c r="D284" s="1126" t="s">
        <v>931</v>
      </c>
    </row>
    <row r="285" spans="1:4" ht="15.75" thickBot="1" x14ac:dyDescent="0.3">
      <c r="A285" s="1199">
        <v>284</v>
      </c>
      <c r="B285" s="1211" t="s">
        <v>2467</v>
      </c>
      <c r="D285" s="1126" t="s">
        <v>932</v>
      </c>
    </row>
    <row r="286" spans="1:4" ht="15.75" thickBot="1" x14ac:dyDescent="0.3">
      <c r="A286" s="1199">
        <v>285</v>
      </c>
      <c r="B286" s="1211" t="s">
        <v>2468</v>
      </c>
      <c r="D286" s="1126" t="s">
        <v>933</v>
      </c>
    </row>
    <row r="287" spans="1:4" ht="15.75" thickBot="1" x14ac:dyDescent="0.3">
      <c r="A287" s="1199">
        <v>286</v>
      </c>
      <c r="B287" s="1211" t="s">
        <v>2469</v>
      </c>
      <c r="D287" s="1126" t="s">
        <v>934</v>
      </c>
    </row>
    <row r="288" spans="1:4" ht="15.75" thickBot="1" x14ac:dyDescent="0.3">
      <c r="A288" s="1199">
        <v>287</v>
      </c>
      <c r="B288" s="1211" t="s">
        <v>2470</v>
      </c>
      <c r="D288" s="1126" t="s">
        <v>935</v>
      </c>
    </row>
    <row r="289" spans="1:4" ht="15.75" thickBot="1" x14ac:dyDescent="0.3">
      <c r="A289" s="1199">
        <v>288</v>
      </c>
      <c r="B289" s="1211" t="s">
        <v>2471</v>
      </c>
      <c r="D289" s="1126" t="s">
        <v>936</v>
      </c>
    </row>
    <row r="290" spans="1:4" ht="15.75" thickBot="1" x14ac:dyDescent="0.3">
      <c r="A290" s="1199">
        <v>289</v>
      </c>
      <c r="B290" s="1211" t="s">
        <v>2472</v>
      </c>
      <c r="D290" s="1126" t="s">
        <v>937</v>
      </c>
    </row>
    <row r="291" spans="1:4" ht="15.75" thickBot="1" x14ac:dyDescent="0.3">
      <c r="A291" s="1199">
        <v>290</v>
      </c>
      <c r="B291" s="1211" t="s">
        <v>2473</v>
      </c>
      <c r="D291" s="1126" t="s">
        <v>938</v>
      </c>
    </row>
    <row r="292" spans="1:4" ht="15.75" thickBot="1" x14ac:dyDescent="0.3">
      <c r="A292" s="1199">
        <v>291</v>
      </c>
      <c r="B292" s="1211" t="s">
        <v>2474</v>
      </c>
      <c r="D292" s="1126" t="s">
        <v>939</v>
      </c>
    </row>
    <row r="293" spans="1:4" ht="15.75" thickBot="1" x14ac:dyDescent="0.3">
      <c r="A293" s="1199">
        <v>292</v>
      </c>
      <c r="B293" s="1211" t="s">
        <v>2475</v>
      </c>
      <c r="D293" s="1126" t="s">
        <v>940</v>
      </c>
    </row>
    <row r="294" spans="1:4" ht="15.75" thickBot="1" x14ac:dyDescent="0.3">
      <c r="A294" s="1199">
        <v>293</v>
      </c>
      <c r="B294" s="1211" t="s">
        <v>2476</v>
      </c>
      <c r="D294" s="1126" t="s">
        <v>941</v>
      </c>
    </row>
    <row r="295" spans="1:4" ht="15.75" thickBot="1" x14ac:dyDescent="0.3">
      <c r="A295" s="1199">
        <v>294</v>
      </c>
      <c r="B295" s="1211" t="s">
        <v>2477</v>
      </c>
      <c r="D295" s="1126" t="s">
        <v>942</v>
      </c>
    </row>
    <row r="296" spans="1:4" ht="15.75" thickBot="1" x14ac:dyDescent="0.3">
      <c r="A296" s="1199">
        <v>295</v>
      </c>
      <c r="B296" s="1211" t="s">
        <v>2478</v>
      </c>
      <c r="D296" s="1126" t="s">
        <v>943</v>
      </c>
    </row>
    <row r="297" spans="1:4" ht="15.75" thickBot="1" x14ac:dyDescent="0.3">
      <c r="A297" s="1199">
        <v>296</v>
      </c>
      <c r="B297" s="1211" t="s">
        <v>2479</v>
      </c>
      <c r="D297" s="1126" t="s">
        <v>944</v>
      </c>
    </row>
    <row r="298" spans="1:4" ht="15.75" thickBot="1" x14ac:dyDescent="0.3">
      <c r="A298" s="1199">
        <v>297</v>
      </c>
      <c r="B298" s="1211" t="s">
        <v>2480</v>
      </c>
      <c r="D298" s="1126" t="s">
        <v>945</v>
      </c>
    </row>
    <row r="299" spans="1:4" ht="15.75" thickBot="1" x14ac:dyDescent="0.3">
      <c r="A299" s="1199">
        <v>298</v>
      </c>
      <c r="B299" s="1211" t="s">
        <v>2481</v>
      </c>
      <c r="D299" s="1126" t="s">
        <v>946</v>
      </c>
    </row>
    <row r="300" spans="1:4" ht="15.75" thickBot="1" x14ac:dyDescent="0.3">
      <c r="A300" s="1199">
        <v>299</v>
      </c>
      <c r="B300" s="1211" t="s">
        <v>2482</v>
      </c>
      <c r="D300" s="1126" t="s">
        <v>947</v>
      </c>
    </row>
    <row r="301" spans="1:4" ht="15.75" thickBot="1" x14ac:dyDescent="0.3">
      <c r="A301" s="1199">
        <v>300</v>
      </c>
      <c r="B301" s="1211" t="s">
        <v>2483</v>
      </c>
      <c r="D301" s="1126" t="s">
        <v>948</v>
      </c>
    </row>
    <row r="302" spans="1:4" ht="15.75" thickBot="1" x14ac:dyDescent="0.3">
      <c r="A302" s="1199">
        <v>301</v>
      </c>
      <c r="B302" s="1211" t="s">
        <v>2484</v>
      </c>
      <c r="D302" s="1126" t="s">
        <v>949</v>
      </c>
    </row>
    <row r="303" spans="1:4" ht="15.75" thickBot="1" x14ac:dyDescent="0.3">
      <c r="A303" s="1199">
        <v>302</v>
      </c>
      <c r="B303" s="1211" t="s">
        <v>2485</v>
      </c>
      <c r="D303" s="1126" t="s">
        <v>950</v>
      </c>
    </row>
    <row r="304" spans="1:4" ht="15.75" thickBot="1" x14ac:dyDescent="0.3">
      <c r="A304" s="1199">
        <v>303</v>
      </c>
      <c r="B304" s="1211" t="s">
        <v>2486</v>
      </c>
      <c r="D304" s="1126" t="s">
        <v>951</v>
      </c>
    </row>
    <row r="305" spans="1:4" ht="15.75" thickBot="1" x14ac:dyDescent="0.3">
      <c r="A305" s="1199">
        <v>304</v>
      </c>
      <c r="B305" s="1211" t="s">
        <v>2487</v>
      </c>
      <c r="D305" s="1126" t="s">
        <v>952</v>
      </c>
    </row>
    <row r="306" spans="1:4" ht="15.75" thickBot="1" x14ac:dyDescent="0.3">
      <c r="A306" s="1199">
        <v>305</v>
      </c>
      <c r="B306" s="1211" t="s">
        <v>2488</v>
      </c>
      <c r="D306" s="1126" t="s">
        <v>953</v>
      </c>
    </row>
    <row r="307" spans="1:4" ht="15.75" thickBot="1" x14ac:dyDescent="0.3">
      <c r="A307" s="1199">
        <v>306</v>
      </c>
      <c r="B307" s="1211" t="s">
        <v>2489</v>
      </c>
      <c r="D307" s="1126" t="s">
        <v>954</v>
      </c>
    </row>
    <row r="308" spans="1:4" ht="15.75" thickBot="1" x14ac:dyDescent="0.3">
      <c r="A308" s="1199">
        <v>307</v>
      </c>
      <c r="B308" s="1211" t="s">
        <v>2490</v>
      </c>
      <c r="D308" s="1126" t="s">
        <v>955</v>
      </c>
    </row>
    <row r="309" spans="1:4" ht="15.75" thickBot="1" x14ac:dyDescent="0.3">
      <c r="A309" s="1199">
        <v>308</v>
      </c>
      <c r="B309" s="1211" t="s">
        <v>2491</v>
      </c>
      <c r="D309" s="1126" t="s">
        <v>956</v>
      </c>
    </row>
    <row r="310" spans="1:4" ht="15.75" thickBot="1" x14ac:dyDescent="0.3">
      <c r="A310" s="1199">
        <v>309</v>
      </c>
      <c r="B310" s="1211" t="s">
        <v>2492</v>
      </c>
      <c r="D310" s="1126" t="s">
        <v>957</v>
      </c>
    </row>
    <row r="311" spans="1:4" ht="15.75" thickBot="1" x14ac:dyDescent="0.3">
      <c r="A311" s="1199">
        <v>310</v>
      </c>
      <c r="B311" s="1211" t="s">
        <v>2493</v>
      </c>
      <c r="D311" s="1126" t="s">
        <v>958</v>
      </c>
    </row>
    <row r="312" spans="1:4" ht="15.75" thickBot="1" x14ac:dyDescent="0.3">
      <c r="A312" s="1199">
        <v>311</v>
      </c>
      <c r="B312" s="1211" t="s">
        <v>2494</v>
      </c>
      <c r="D312" s="1126" t="s">
        <v>959</v>
      </c>
    </row>
    <row r="313" spans="1:4" ht="15.75" thickBot="1" x14ac:dyDescent="0.3">
      <c r="A313" s="1199">
        <v>312</v>
      </c>
      <c r="B313" s="1211" t="s">
        <v>2495</v>
      </c>
      <c r="D313" s="1126" t="s">
        <v>960</v>
      </c>
    </row>
    <row r="314" spans="1:4" ht="15.75" thickBot="1" x14ac:dyDescent="0.3">
      <c r="A314" s="1199">
        <v>313</v>
      </c>
      <c r="B314" s="1211" t="s">
        <v>483</v>
      </c>
      <c r="D314" s="1126" t="s">
        <v>961</v>
      </c>
    </row>
    <row r="315" spans="1:4" ht="15.75" thickBot="1" x14ac:dyDescent="0.3">
      <c r="A315" s="1199">
        <v>314</v>
      </c>
      <c r="B315" s="1211" t="s">
        <v>484</v>
      </c>
      <c r="D315" s="1126" t="s">
        <v>962</v>
      </c>
    </row>
    <row r="316" spans="1:4" ht="15.75" thickBot="1" x14ac:dyDescent="0.3">
      <c r="A316" s="1199">
        <v>315</v>
      </c>
      <c r="B316" s="1211" t="s">
        <v>485</v>
      </c>
      <c r="D316" s="1126" t="s">
        <v>963</v>
      </c>
    </row>
    <row r="317" spans="1:4" ht="15.75" thickBot="1" x14ac:dyDescent="0.3">
      <c r="A317" s="1199">
        <v>316</v>
      </c>
      <c r="B317" s="1211" t="s">
        <v>486</v>
      </c>
      <c r="D317" s="1126" t="s">
        <v>964</v>
      </c>
    </row>
    <row r="318" spans="1:4" ht="15.75" thickBot="1" x14ac:dyDescent="0.3">
      <c r="A318" s="1199">
        <v>317</v>
      </c>
      <c r="B318" s="1211" t="s">
        <v>2496</v>
      </c>
      <c r="D318" s="1126" t="s">
        <v>965</v>
      </c>
    </row>
    <row r="319" spans="1:4" ht="15.75" thickBot="1" x14ac:dyDescent="0.3">
      <c r="A319" s="1199">
        <v>318</v>
      </c>
      <c r="B319" s="1211" t="s">
        <v>2497</v>
      </c>
      <c r="D319" s="1126" t="s">
        <v>966</v>
      </c>
    </row>
    <row r="320" spans="1:4" ht="15.75" thickBot="1" x14ac:dyDescent="0.3">
      <c r="A320" s="1199">
        <v>319</v>
      </c>
      <c r="B320" s="1211" t="s">
        <v>487</v>
      </c>
      <c r="D320" s="1126" t="s">
        <v>967</v>
      </c>
    </row>
    <row r="321" spans="1:4" ht="15.75" thickBot="1" x14ac:dyDescent="0.3">
      <c r="A321" s="1199">
        <v>320</v>
      </c>
      <c r="B321" s="1211" t="s">
        <v>488</v>
      </c>
      <c r="D321" s="1126" t="s">
        <v>968</v>
      </c>
    </row>
    <row r="322" spans="1:4" ht="15.75" thickBot="1" x14ac:dyDescent="0.3">
      <c r="A322" s="1199">
        <v>321</v>
      </c>
      <c r="B322" s="1211" t="s">
        <v>2498</v>
      </c>
      <c r="D322" s="1126" t="s">
        <v>969</v>
      </c>
    </row>
    <row r="323" spans="1:4" ht="15.75" thickBot="1" x14ac:dyDescent="0.3">
      <c r="A323" s="1199">
        <v>322</v>
      </c>
      <c r="B323" s="1211" t="s">
        <v>2499</v>
      </c>
      <c r="D323" s="1126" t="s">
        <v>970</v>
      </c>
    </row>
    <row r="324" spans="1:4" ht="15.75" thickBot="1" x14ac:dyDescent="0.3">
      <c r="A324" s="1199">
        <v>323</v>
      </c>
      <c r="B324" s="1211" t="s">
        <v>2500</v>
      </c>
      <c r="D324" s="1126" t="s">
        <v>971</v>
      </c>
    </row>
    <row r="325" spans="1:4" ht="15.75" thickBot="1" x14ac:dyDescent="0.3">
      <c r="A325" s="1199">
        <v>324</v>
      </c>
      <c r="B325" s="1211" t="s">
        <v>2501</v>
      </c>
      <c r="D325" s="1126" t="s">
        <v>972</v>
      </c>
    </row>
    <row r="326" spans="1:4" ht="15.75" thickBot="1" x14ac:dyDescent="0.3">
      <c r="A326" s="1199">
        <v>325</v>
      </c>
      <c r="B326" s="1211" t="s">
        <v>2502</v>
      </c>
      <c r="D326" s="1126" t="s">
        <v>973</v>
      </c>
    </row>
    <row r="327" spans="1:4" ht="15.75" thickBot="1" x14ac:dyDescent="0.3">
      <c r="A327" s="1199">
        <v>326</v>
      </c>
      <c r="B327" s="1211" t="s">
        <v>2503</v>
      </c>
      <c r="D327" s="1126" t="s">
        <v>974</v>
      </c>
    </row>
    <row r="328" spans="1:4" ht="15.75" thickBot="1" x14ac:dyDescent="0.3">
      <c r="A328" s="1199">
        <v>327</v>
      </c>
      <c r="B328" s="1211" t="s">
        <v>2504</v>
      </c>
      <c r="D328" s="1126" t="s">
        <v>975</v>
      </c>
    </row>
    <row r="329" spans="1:4" ht="15.75" thickBot="1" x14ac:dyDescent="0.3">
      <c r="A329" s="1199">
        <v>328</v>
      </c>
      <c r="B329" s="1212" t="s">
        <v>2505</v>
      </c>
      <c r="D329" s="1126" t="s">
        <v>976</v>
      </c>
    </row>
    <row r="330" spans="1:4" x14ac:dyDescent="0.25">
      <c r="A330" s="1199">
        <v>329</v>
      </c>
      <c r="B330" s="1213" t="s">
        <v>2506</v>
      </c>
      <c r="D330" s="1126" t="s">
        <v>922</v>
      </c>
    </row>
    <row r="331" spans="1:4" x14ac:dyDescent="0.25">
      <c r="A331" s="1199">
        <v>330</v>
      </c>
      <c r="B331" s="1213" t="s">
        <v>2507</v>
      </c>
      <c r="D331" s="1126" t="s">
        <v>911</v>
      </c>
    </row>
    <row r="332" spans="1:4" x14ac:dyDescent="0.25">
      <c r="A332" s="1199">
        <v>331</v>
      </c>
      <c r="B332" s="1213" t="s">
        <v>2508</v>
      </c>
      <c r="D332" s="1126" t="s">
        <v>912</v>
      </c>
    </row>
    <row r="333" spans="1:4" x14ac:dyDescent="0.25">
      <c r="A333" s="1199">
        <v>332</v>
      </c>
      <c r="B333" s="1213" t="s">
        <v>2509</v>
      </c>
      <c r="D333" s="1126" t="s">
        <v>924</v>
      </c>
    </row>
    <row r="334" spans="1:4" x14ac:dyDescent="0.25">
      <c r="A334" s="1199">
        <v>333</v>
      </c>
      <c r="B334" s="1213" t="s">
        <v>2510</v>
      </c>
      <c r="D334" s="1126" t="s">
        <v>913</v>
      </c>
    </row>
    <row r="335" spans="1:4" x14ac:dyDescent="0.25">
      <c r="A335" s="1199">
        <v>334</v>
      </c>
      <c r="B335" s="1213" t="s">
        <v>2511</v>
      </c>
      <c r="D335" s="1126" t="s">
        <v>914</v>
      </c>
    </row>
    <row r="336" spans="1:4" x14ac:dyDescent="0.25">
      <c r="A336" s="1199">
        <v>335</v>
      </c>
      <c r="B336" s="1213" t="s">
        <v>2512</v>
      </c>
      <c r="D336" s="1126" t="s">
        <v>915</v>
      </c>
    </row>
    <row r="337" spans="1:4" x14ac:dyDescent="0.25">
      <c r="A337" s="1199">
        <v>336</v>
      </c>
      <c r="B337" s="1213" t="s">
        <v>2513</v>
      </c>
      <c r="D337" s="1126" t="s">
        <v>916</v>
      </c>
    </row>
    <row r="338" spans="1:4" x14ac:dyDescent="0.25">
      <c r="A338" s="1199">
        <v>337</v>
      </c>
      <c r="B338" s="1213" t="s">
        <v>2514</v>
      </c>
      <c r="D338" s="1126" t="s">
        <v>917</v>
      </c>
    </row>
    <row r="339" spans="1:4" ht="27" thickBot="1" x14ac:dyDescent="0.3">
      <c r="A339" s="1199">
        <v>338</v>
      </c>
      <c r="B339" s="1209" t="s">
        <v>2451</v>
      </c>
      <c r="D339" s="1126" t="s">
        <v>918</v>
      </c>
    </row>
    <row r="340" spans="1:4" ht="15.75" thickBot="1" x14ac:dyDescent="0.3">
      <c r="A340" s="1199">
        <v>339</v>
      </c>
      <c r="B340" s="1210" t="s">
        <v>2515</v>
      </c>
      <c r="D340" s="1126" t="s">
        <v>1921</v>
      </c>
    </row>
    <row r="341" spans="1:4" x14ac:dyDescent="0.25">
      <c r="A341" s="1199">
        <v>340</v>
      </c>
      <c r="B341" s="1213" t="s">
        <v>2516</v>
      </c>
      <c r="D341" s="1126" t="s">
        <v>977</v>
      </c>
    </row>
    <row r="342" spans="1:4" x14ac:dyDescent="0.25">
      <c r="A342" s="1199">
        <v>341</v>
      </c>
      <c r="B342" s="1213" t="s">
        <v>2517</v>
      </c>
      <c r="D342" s="1126" t="s">
        <v>919</v>
      </c>
    </row>
    <row r="343" spans="1:4" x14ac:dyDescent="0.25">
      <c r="A343" s="1199">
        <v>342</v>
      </c>
      <c r="B343" s="1213" t="s">
        <v>2518</v>
      </c>
      <c r="D343" s="1126" t="s">
        <v>920</v>
      </c>
    </row>
    <row r="344" spans="1:4" ht="26.25" x14ac:dyDescent="0.25">
      <c r="A344" s="1199">
        <v>343</v>
      </c>
      <c r="B344" s="1209" t="s">
        <v>2519</v>
      </c>
      <c r="D344" s="1126" t="s">
        <v>921</v>
      </c>
    </row>
    <row r="345" spans="1:4" x14ac:dyDescent="0.25">
      <c r="A345" s="1199">
        <v>344</v>
      </c>
      <c r="B345" s="1213" t="s">
        <v>2520</v>
      </c>
      <c r="D345" s="1126" t="s">
        <v>923</v>
      </c>
    </row>
    <row r="346" spans="1:4" x14ac:dyDescent="0.25">
      <c r="A346" s="1199">
        <v>345</v>
      </c>
      <c r="B346" s="1214" t="s">
        <v>2521</v>
      </c>
      <c r="D346" s="1126" t="s">
        <v>927</v>
      </c>
    </row>
    <row r="347" spans="1:4" x14ac:dyDescent="0.25">
      <c r="A347" s="1199">
        <v>346</v>
      </c>
      <c r="B347" s="1214" t="s">
        <v>534</v>
      </c>
      <c r="D347" s="1126" t="s">
        <v>928</v>
      </c>
    </row>
    <row r="348" spans="1:4" x14ac:dyDescent="0.25">
      <c r="A348" s="1199">
        <v>347</v>
      </c>
      <c r="B348" s="1214" t="s">
        <v>2522</v>
      </c>
      <c r="D348" s="1126" t="s">
        <v>929</v>
      </c>
    </row>
    <row r="349" spans="1:4" x14ac:dyDescent="0.25">
      <c r="A349" s="1199">
        <v>348</v>
      </c>
      <c r="B349" s="1213" t="s">
        <v>2523</v>
      </c>
      <c r="D349" s="1126" t="s">
        <v>925</v>
      </c>
    </row>
    <row r="350" spans="1:4" ht="15.75" thickBot="1" x14ac:dyDescent="0.3">
      <c r="A350" s="1199">
        <v>349</v>
      </c>
      <c r="B350" s="1213" t="s">
        <v>2524</v>
      </c>
      <c r="D350" s="1126" t="s">
        <v>926</v>
      </c>
    </row>
    <row r="351" spans="1:4" x14ac:dyDescent="0.25">
      <c r="A351" s="1199">
        <v>350</v>
      </c>
      <c r="B351" s="1164" t="s">
        <v>2525</v>
      </c>
      <c r="D351" s="1126" t="s">
        <v>979</v>
      </c>
    </row>
    <row r="352" spans="1:4" x14ac:dyDescent="0.25">
      <c r="A352" s="1199">
        <v>351</v>
      </c>
      <c r="B352" s="1249" t="s">
        <v>2526</v>
      </c>
      <c r="D352" s="1126" t="s">
        <v>980</v>
      </c>
    </row>
    <row r="353" spans="1:4" x14ac:dyDescent="0.25">
      <c r="A353" s="1199">
        <v>352</v>
      </c>
      <c r="B353" s="1249" t="s">
        <v>2527</v>
      </c>
      <c r="D353" s="1126" t="s">
        <v>981</v>
      </c>
    </row>
    <row r="354" spans="1:4" x14ac:dyDescent="0.25">
      <c r="A354" s="1199">
        <v>353</v>
      </c>
      <c r="B354" s="1249" t="s">
        <v>2528</v>
      </c>
      <c r="D354" s="1126" t="s">
        <v>982</v>
      </c>
    </row>
    <row r="355" spans="1:4" x14ac:dyDescent="0.25">
      <c r="A355" s="1199">
        <v>354</v>
      </c>
      <c r="B355" s="1249" t="s">
        <v>2529</v>
      </c>
      <c r="D355" s="1126" t="s">
        <v>983</v>
      </c>
    </row>
    <row r="356" spans="1:4" x14ac:dyDescent="0.25">
      <c r="A356" s="1199">
        <v>355</v>
      </c>
      <c r="B356" s="1249" t="s">
        <v>2530</v>
      </c>
      <c r="D356" s="1126" t="s">
        <v>984</v>
      </c>
    </row>
    <row r="357" spans="1:4" x14ac:dyDescent="0.25">
      <c r="A357" s="1199">
        <v>356</v>
      </c>
      <c r="B357" s="1249" t="s">
        <v>2531</v>
      </c>
      <c r="D357" s="1126" t="s">
        <v>985</v>
      </c>
    </row>
    <row r="358" spans="1:4" ht="36" x14ac:dyDescent="0.25">
      <c r="A358" s="1199">
        <v>357</v>
      </c>
      <c r="B358" s="1111" t="s">
        <v>2532</v>
      </c>
      <c r="D358" s="1126" t="s">
        <v>986</v>
      </c>
    </row>
    <row r="359" spans="1:4" ht="31.5" x14ac:dyDescent="0.25">
      <c r="A359" s="1199">
        <v>358</v>
      </c>
      <c r="B359" s="1110" t="s">
        <v>2533</v>
      </c>
      <c r="D359" s="1126" t="s">
        <v>987</v>
      </c>
    </row>
    <row r="360" spans="1:4" ht="63.75" x14ac:dyDescent="0.25">
      <c r="A360" s="1199">
        <v>359</v>
      </c>
      <c r="B360" s="1113" t="s">
        <v>2534</v>
      </c>
      <c r="D360" s="1126" t="s">
        <v>988</v>
      </c>
    </row>
    <row r="361" spans="1:4" x14ac:dyDescent="0.25">
      <c r="A361" s="1199">
        <v>360</v>
      </c>
      <c r="B361" s="1249" t="s">
        <v>2535</v>
      </c>
      <c r="D361" s="1126" t="s">
        <v>989</v>
      </c>
    </row>
    <row r="362" spans="1:4" x14ac:dyDescent="0.25">
      <c r="A362" s="1199">
        <v>361</v>
      </c>
      <c r="B362" s="1125" t="s">
        <v>2536</v>
      </c>
      <c r="D362" s="1126" t="s">
        <v>990</v>
      </c>
    </row>
    <row r="363" spans="1:4" ht="22.5" x14ac:dyDescent="0.25">
      <c r="A363" s="1199">
        <v>362</v>
      </c>
      <c r="B363" s="1109" t="s">
        <v>2537</v>
      </c>
      <c r="D363" s="1126" t="s">
        <v>991</v>
      </c>
    </row>
    <row r="364" spans="1:4" x14ac:dyDescent="0.25">
      <c r="A364" s="1199">
        <v>363</v>
      </c>
      <c r="B364" s="1150" t="s">
        <v>2538</v>
      </c>
      <c r="D364" s="1126" t="s">
        <v>1014</v>
      </c>
    </row>
    <row r="365" spans="1:4" x14ac:dyDescent="0.25">
      <c r="A365" s="1199">
        <v>364</v>
      </c>
      <c r="B365" s="1152" t="s">
        <v>2539</v>
      </c>
      <c r="D365" s="1126" t="s">
        <v>1005</v>
      </c>
    </row>
    <row r="366" spans="1:4" x14ac:dyDescent="0.25">
      <c r="A366" s="1199">
        <v>365</v>
      </c>
      <c r="B366" s="1153" t="s">
        <v>2540</v>
      </c>
      <c r="D366" s="1126" t="s">
        <v>1006</v>
      </c>
    </row>
    <row r="367" spans="1:4" x14ac:dyDescent="0.25">
      <c r="A367" s="1199">
        <v>366</v>
      </c>
      <c r="B367" s="1154" t="s">
        <v>2541</v>
      </c>
      <c r="D367" s="1126" t="s">
        <v>1007</v>
      </c>
    </row>
    <row r="368" spans="1:4" x14ac:dyDescent="0.25">
      <c r="A368" s="1199">
        <v>367</v>
      </c>
      <c r="B368" s="1155" t="s">
        <v>2542</v>
      </c>
      <c r="D368" s="1126" t="s">
        <v>1008</v>
      </c>
    </row>
    <row r="369" spans="1:4" x14ac:dyDescent="0.25">
      <c r="A369" s="1199">
        <v>368</v>
      </c>
      <c r="B369" s="1250" t="s">
        <v>2543</v>
      </c>
      <c r="D369" s="1126" t="s">
        <v>1009</v>
      </c>
    </row>
    <row r="370" spans="1:4" ht="15.75" thickBot="1" x14ac:dyDescent="0.3">
      <c r="A370" s="1199">
        <v>369</v>
      </c>
      <c r="B370" s="1156" t="s">
        <v>2544</v>
      </c>
      <c r="D370" s="1126" t="s">
        <v>1010</v>
      </c>
    </row>
    <row r="371" spans="1:4" ht="15.75" thickBot="1" x14ac:dyDescent="0.3">
      <c r="A371" s="1199">
        <v>370</v>
      </c>
      <c r="B371" s="1157" t="s">
        <v>2545</v>
      </c>
      <c r="D371" s="1126" t="s">
        <v>1011</v>
      </c>
    </row>
    <row r="372" spans="1:4" ht="15.75" thickBot="1" x14ac:dyDescent="0.3">
      <c r="A372" s="1199">
        <v>371</v>
      </c>
      <c r="B372" s="1157" t="s">
        <v>2546</v>
      </c>
      <c r="D372" s="1126" t="s">
        <v>1113</v>
      </c>
    </row>
    <row r="373" spans="1:4" ht="30" x14ac:dyDescent="0.25">
      <c r="A373" s="1199">
        <v>372</v>
      </c>
      <c r="B373" s="1125" t="s">
        <v>2547</v>
      </c>
      <c r="D373" s="1126" t="s">
        <v>992</v>
      </c>
    </row>
    <row r="374" spans="1:4" ht="33.75" x14ac:dyDescent="0.25">
      <c r="A374" s="1199">
        <v>373</v>
      </c>
      <c r="B374" s="1109" t="s">
        <v>2548</v>
      </c>
      <c r="D374" s="1126" t="s">
        <v>993</v>
      </c>
    </row>
    <row r="375" spans="1:4" x14ac:dyDescent="0.25">
      <c r="A375" s="1199">
        <v>374</v>
      </c>
      <c r="B375" s="1109" t="s">
        <v>2549</v>
      </c>
      <c r="D375" s="1126" t="s">
        <v>994</v>
      </c>
    </row>
    <row r="376" spans="1:4" ht="22.5" x14ac:dyDescent="0.25">
      <c r="A376" s="1199">
        <v>375</v>
      </c>
      <c r="B376" s="1109" t="s">
        <v>2550</v>
      </c>
      <c r="D376" s="1126" t="s">
        <v>995</v>
      </c>
    </row>
    <row r="377" spans="1:4" ht="22.5" x14ac:dyDescent="0.25">
      <c r="A377" s="1199">
        <v>376</v>
      </c>
      <c r="B377" s="1109" t="s">
        <v>2551</v>
      </c>
      <c r="D377" s="1126" t="s">
        <v>996</v>
      </c>
    </row>
    <row r="378" spans="1:4" x14ac:dyDescent="0.25">
      <c r="A378" s="1199">
        <v>377</v>
      </c>
      <c r="B378" s="1109" t="s">
        <v>2552</v>
      </c>
      <c r="D378" s="1126" t="s">
        <v>997</v>
      </c>
    </row>
    <row r="379" spans="1:4" x14ac:dyDescent="0.25">
      <c r="A379" s="1199">
        <v>378</v>
      </c>
      <c r="B379" s="1109" t="s">
        <v>2553</v>
      </c>
      <c r="D379" s="1126" t="s">
        <v>998</v>
      </c>
    </row>
    <row r="380" spans="1:4" x14ac:dyDescent="0.25">
      <c r="A380" s="1199">
        <v>379</v>
      </c>
      <c r="B380" s="1109" t="s">
        <v>2554</v>
      </c>
      <c r="D380" s="1126" t="s">
        <v>999</v>
      </c>
    </row>
    <row r="381" spans="1:4" x14ac:dyDescent="0.25">
      <c r="A381" s="1199">
        <v>380</v>
      </c>
      <c r="B381" s="1109" t="s">
        <v>2555</v>
      </c>
      <c r="D381" s="1126" t="s">
        <v>1000</v>
      </c>
    </row>
    <row r="382" spans="1:4" ht="30" x14ac:dyDescent="0.25">
      <c r="A382" s="1199">
        <v>381</v>
      </c>
      <c r="B382" s="1125" t="s">
        <v>2556</v>
      </c>
      <c r="D382" s="1126" t="s">
        <v>1001</v>
      </c>
    </row>
    <row r="383" spans="1:4" ht="31.5" x14ac:dyDescent="0.25">
      <c r="A383" s="1199">
        <v>382</v>
      </c>
      <c r="B383" s="1108" t="s">
        <v>2557</v>
      </c>
      <c r="D383" s="1126" t="s">
        <v>1002</v>
      </c>
    </row>
    <row r="384" spans="1:4" ht="21" x14ac:dyDescent="0.25">
      <c r="A384" s="1199">
        <v>383</v>
      </c>
      <c r="B384" s="1108" t="s">
        <v>2558</v>
      </c>
      <c r="D384" s="1126" t="s">
        <v>1003</v>
      </c>
    </row>
    <row r="385" spans="1:4" ht="21" x14ac:dyDescent="0.25">
      <c r="A385" s="1199">
        <v>384</v>
      </c>
      <c r="B385" s="1108" t="s">
        <v>2559</v>
      </c>
      <c r="D385" s="1126" t="s">
        <v>1004</v>
      </c>
    </row>
    <row r="386" spans="1:4" ht="15.75" x14ac:dyDescent="0.25">
      <c r="A386" s="1199">
        <v>385</v>
      </c>
      <c r="B386" s="1110" t="s">
        <v>2560</v>
      </c>
      <c r="D386" s="1126" t="s">
        <v>1012</v>
      </c>
    </row>
    <row r="387" spans="1:4" ht="30" x14ac:dyDescent="0.25">
      <c r="A387" s="1199">
        <v>386</v>
      </c>
      <c r="B387" s="1125" t="s">
        <v>2561</v>
      </c>
      <c r="D387" s="1126" t="s">
        <v>1013</v>
      </c>
    </row>
    <row r="388" spans="1:4" x14ac:dyDescent="0.25">
      <c r="A388" s="1199">
        <v>387</v>
      </c>
      <c r="B388" s="1250" t="s">
        <v>2545</v>
      </c>
      <c r="D388" s="1126" t="s">
        <v>1015</v>
      </c>
    </row>
    <row r="389" spans="1:4" x14ac:dyDescent="0.25">
      <c r="A389" s="1199">
        <v>388</v>
      </c>
      <c r="B389" s="1125" t="s">
        <v>2562</v>
      </c>
      <c r="D389" s="1126" t="s">
        <v>1016</v>
      </c>
    </row>
    <row r="390" spans="1:4" x14ac:dyDescent="0.25">
      <c r="A390" s="1199">
        <v>389</v>
      </c>
      <c r="B390" s="1109" t="s">
        <v>2563</v>
      </c>
      <c r="D390" s="1126" t="s">
        <v>1017</v>
      </c>
    </row>
    <row r="391" spans="1:4" ht="22.5" x14ac:dyDescent="0.25">
      <c r="A391" s="1199">
        <v>390</v>
      </c>
      <c r="B391" s="1109" t="s">
        <v>2564</v>
      </c>
      <c r="D391" s="1126" t="s">
        <v>1018</v>
      </c>
    </row>
    <row r="392" spans="1:4" ht="15.75" x14ac:dyDescent="0.25">
      <c r="A392" s="1199">
        <v>391</v>
      </c>
      <c r="B392" s="1110" t="s">
        <v>2565</v>
      </c>
      <c r="D392" s="1126" t="s">
        <v>1019</v>
      </c>
    </row>
    <row r="393" spans="1:4" x14ac:dyDescent="0.25">
      <c r="A393" s="1199">
        <v>392</v>
      </c>
      <c r="B393" s="1112" t="s">
        <v>2566</v>
      </c>
      <c r="D393" s="1126" t="s">
        <v>1020</v>
      </c>
    </row>
    <row r="394" spans="1:4" ht="22.5" x14ac:dyDescent="0.25">
      <c r="A394" s="1199">
        <v>393</v>
      </c>
      <c r="B394" s="1109" t="s">
        <v>2567</v>
      </c>
      <c r="D394" s="1126" t="s">
        <v>1021</v>
      </c>
    </row>
    <row r="395" spans="1:4" ht="31.5" x14ac:dyDescent="0.25">
      <c r="A395" s="1199">
        <v>394</v>
      </c>
      <c r="B395" s="1108" t="s">
        <v>2568</v>
      </c>
      <c r="D395" s="1126" t="s">
        <v>1022</v>
      </c>
    </row>
    <row r="396" spans="1:4" ht="42" x14ac:dyDescent="0.25">
      <c r="A396" s="1199">
        <v>395</v>
      </c>
      <c r="B396" s="1108" t="s">
        <v>2569</v>
      </c>
      <c r="D396" s="1126" t="s">
        <v>1023</v>
      </c>
    </row>
    <row r="397" spans="1:4" ht="33.75" x14ac:dyDescent="0.25">
      <c r="A397" s="1199">
        <v>396</v>
      </c>
      <c r="B397" s="1109" t="s">
        <v>2570</v>
      </c>
      <c r="D397" s="1126" t="s">
        <v>1024</v>
      </c>
    </row>
    <row r="398" spans="1:4" ht="33.75" x14ac:dyDescent="0.25">
      <c r="A398" s="1199">
        <v>397</v>
      </c>
      <c r="B398" s="1109" t="s">
        <v>2571</v>
      </c>
      <c r="D398" s="1126" t="s">
        <v>1025</v>
      </c>
    </row>
    <row r="399" spans="1:4" ht="30" x14ac:dyDescent="0.25">
      <c r="A399" s="1199">
        <v>398</v>
      </c>
      <c r="B399" s="1125" t="s">
        <v>2572</v>
      </c>
      <c r="D399" s="1126" t="s">
        <v>1039</v>
      </c>
    </row>
    <row r="400" spans="1:4" x14ac:dyDescent="0.25">
      <c r="A400" s="1199">
        <v>399</v>
      </c>
      <c r="B400" s="1112" t="s">
        <v>2573</v>
      </c>
      <c r="D400" s="1126" t="s">
        <v>1040</v>
      </c>
    </row>
    <row r="401" spans="1:4" x14ac:dyDescent="0.25">
      <c r="A401" s="1199">
        <v>400</v>
      </c>
      <c r="B401" s="1109" t="s">
        <v>2574</v>
      </c>
      <c r="D401" s="1126" t="s">
        <v>1026</v>
      </c>
    </row>
    <row r="402" spans="1:4" x14ac:dyDescent="0.25">
      <c r="A402" s="1199">
        <v>401</v>
      </c>
      <c r="B402" s="1250" t="s">
        <v>2575</v>
      </c>
      <c r="D402" s="1126" t="s">
        <v>1041</v>
      </c>
    </row>
    <row r="403" spans="1:4" x14ac:dyDescent="0.25">
      <c r="A403" s="1199">
        <v>402</v>
      </c>
      <c r="B403" s="1112" t="s">
        <v>2576</v>
      </c>
      <c r="D403" s="1126" t="s">
        <v>1042</v>
      </c>
    </row>
    <row r="404" spans="1:4" x14ac:dyDescent="0.25">
      <c r="A404" s="1199">
        <v>403</v>
      </c>
      <c r="B404" s="1109" t="s">
        <v>2577</v>
      </c>
      <c r="D404" s="1126" t="s">
        <v>1027</v>
      </c>
    </row>
    <row r="405" spans="1:4" x14ac:dyDescent="0.25">
      <c r="A405" s="1199">
        <v>404</v>
      </c>
      <c r="B405" s="1112" t="s">
        <v>2578</v>
      </c>
      <c r="D405" s="1126" t="s">
        <v>1044</v>
      </c>
    </row>
    <row r="406" spans="1:4" ht="22.5" x14ac:dyDescent="0.25">
      <c r="A406" s="1199">
        <v>405</v>
      </c>
      <c r="B406" s="1109" t="s">
        <v>2579</v>
      </c>
      <c r="D406" s="1126" t="s">
        <v>1028</v>
      </c>
    </row>
    <row r="407" spans="1:4" x14ac:dyDescent="0.25">
      <c r="A407" s="1199">
        <v>406</v>
      </c>
      <c r="B407" s="1250" t="s">
        <v>2578</v>
      </c>
      <c r="D407" s="1126" t="s">
        <v>1043</v>
      </c>
    </row>
    <row r="408" spans="1:4" x14ac:dyDescent="0.25">
      <c r="A408" s="1199">
        <v>407</v>
      </c>
      <c r="B408" s="1112" t="s">
        <v>2580</v>
      </c>
      <c r="D408" s="1126" t="s">
        <v>1045</v>
      </c>
    </row>
    <row r="409" spans="1:4" ht="22.5" x14ac:dyDescent="0.25">
      <c r="A409" s="1199">
        <v>408</v>
      </c>
      <c r="B409" s="1109" t="s">
        <v>2581</v>
      </c>
      <c r="D409" s="1126" t="s">
        <v>1029</v>
      </c>
    </row>
    <row r="410" spans="1:4" x14ac:dyDescent="0.25">
      <c r="A410" s="1199">
        <v>409</v>
      </c>
      <c r="B410" s="1250" t="s">
        <v>2582</v>
      </c>
      <c r="D410" s="1126" t="s">
        <v>1046</v>
      </c>
    </row>
    <row r="411" spans="1:4" x14ac:dyDescent="0.25">
      <c r="A411" s="1199">
        <v>410</v>
      </c>
      <c r="B411" s="1250" t="s">
        <v>2583</v>
      </c>
      <c r="D411" s="1126" t="s">
        <v>1047</v>
      </c>
    </row>
    <row r="412" spans="1:4" x14ac:dyDescent="0.25">
      <c r="A412" s="1199">
        <v>411</v>
      </c>
      <c r="B412" s="1250" t="s">
        <v>2584</v>
      </c>
      <c r="D412" s="1126" t="s">
        <v>1048</v>
      </c>
    </row>
    <row r="413" spans="1:4" x14ac:dyDescent="0.25">
      <c r="A413" s="1199">
        <v>412</v>
      </c>
      <c r="B413" s="1114" t="s">
        <v>2585</v>
      </c>
      <c r="D413" s="1126" t="s">
        <v>1049</v>
      </c>
    </row>
    <row r="414" spans="1:4" x14ac:dyDescent="0.25">
      <c r="A414" s="1199">
        <v>413</v>
      </c>
      <c r="B414" s="1158" t="s">
        <v>2586</v>
      </c>
      <c r="D414" s="1126" t="s">
        <v>1050</v>
      </c>
    </row>
    <row r="415" spans="1:4" x14ac:dyDescent="0.25">
      <c r="A415" s="1199">
        <v>414</v>
      </c>
      <c r="B415" s="1158" t="s">
        <v>2587</v>
      </c>
      <c r="D415" s="1126" t="s">
        <v>1051</v>
      </c>
    </row>
    <row r="416" spans="1:4" x14ac:dyDescent="0.25">
      <c r="A416" s="1199">
        <v>415</v>
      </c>
      <c r="B416" s="1112" t="s">
        <v>2588</v>
      </c>
      <c r="D416" s="1126" t="s">
        <v>1052</v>
      </c>
    </row>
    <row r="417" spans="1:4" ht="22.5" x14ac:dyDescent="0.25">
      <c r="A417" s="1199">
        <v>416</v>
      </c>
      <c r="B417" s="1109" t="s">
        <v>2589</v>
      </c>
      <c r="D417" s="1126" t="s">
        <v>1030</v>
      </c>
    </row>
    <row r="418" spans="1:4" ht="67.5" x14ac:dyDescent="0.25">
      <c r="A418" s="1199">
        <v>417</v>
      </c>
      <c r="B418" s="1109" t="s">
        <v>2590</v>
      </c>
      <c r="D418" s="1126" t="s">
        <v>1031</v>
      </c>
    </row>
    <row r="419" spans="1:4" x14ac:dyDescent="0.25">
      <c r="A419" s="1199">
        <v>418</v>
      </c>
      <c r="B419" s="1250" t="s">
        <v>2591</v>
      </c>
      <c r="D419" s="1126" t="s">
        <v>1054</v>
      </c>
    </row>
    <row r="420" spans="1:4" x14ac:dyDescent="0.25">
      <c r="A420" s="1199">
        <v>419</v>
      </c>
      <c r="B420" s="1250" t="s">
        <v>2592</v>
      </c>
      <c r="D420" s="1126" t="s">
        <v>1391</v>
      </c>
    </row>
    <row r="421" spans="1:4" x14ac:dyDescent="0.25">
      <c r="A421" s="1199">
        <v>420</v>
      </c>
      <c r="B421" s="1112" t="s">
        <v>2593</v>
      </c>
      <c r="D421" s="1126" t="s">
        <v>1053</v>
      </c>
    </row>
    <row r="422" spans="1:4" ht="22.5" x14ac:dyDescent="0.25">
      <c r="A422" s="1199">
        <v>421</v>
      </c>
      <c r="B422" s="1109" t="s">
        <v>2594</v>
      </c>
      <c r="D422" s="1126" t="s">
        <v>1032</v>
      </c>
    </row>
    <row r="423" spans="1:4" ht="56.25" x14ac:dyDescent="0.25">
      <c r="A423" s="1199">
        <v>422</v>
      </c>
      <c r="B423" s="1109" t="s">
        <v>2595</v>
      </c>
      <c r="D423" s="1126" t="s">
        <v>1033</v>
      </c>
    </row>
    <row r="424" spans="1:4" x14ac:dyDescent="0.25">
      <c r="A424" s="1199">
        <v>423</v>
      </c>
      <c r="B424" s="1249" t="s">
        <v>2596</v>
      </c>
      <c r="D424" s="1126" t="s">
        <v>1034</v>
      </c>
    </row>
    <row r="425" spans="1:4" ht="22.5" x14ac:dyDescent="0.25">
      <c r="A425" s="1199">
        <v>424</v>
      </c>
      <c r="B425" s="1109" t="s">
        <v>2597</v>
      </c>
      <c r="D425" s="1126" t="s">
        <v>1035</v>
      </c>
    </row>
    <row r="426" spans="1:4" x14ac:dyDescent="0.25">
      <c r="A426" s="1199">
        <v>425</v>
      </c>
      <c r="B426" s="1112" t="s">
        <v>2598</v>
      </c>
      <c r="D426" s="1126" t="s">
        <v>1055</v>
      </c>
    </row>
    <row r="427" spans="1:4" ht="33.75" x14ac:dyDescent="0.25">
      <c r="A427" s="1199">
        <v>426</v>
      </c>
      <c r="B427" s="1109" t="s">
        <v>2599</v>
      </c>
      <c r="D427" s="1126" t="s">
        <v>1036</v>
      </c>
    </row>
    <row r="428" spans="1:4" ht="33.75" x14ac:dyDescent="0.25">
      <c r="A428" s="1199">
        <v>427</v>
      </c>
      <c r="B428" s="1109" t="s">
        <v>2600</v>
      </c>
      <c r="D428" s="1126" t="s">
        <v>1037</v>
      </c>
    </row>
    <row r="429" spans="1:4" ht="22.5" x14ac:dyDescent="0.25">
      <c r="A429" s="1199">
        <v>428</v>
      </c>
      <c r="B429" s="1109" t="s">
        <v>2601</v>
      </c>
      <c r="D429" s="1126" t="s">
        <v>1085</v>
      </c>
    </row>
    <row r="430" spans="1:4" x14ac:dyDescent="0.25">
      <c r="A430" s="1199">
        <v>429</v>
      </c>
      <c r="B430" s="1250" t="s">
        <v>2602</v>
      </c>
      <c r="D430" s="1126" t="s">
        <v>1056</v>
      </c>
    </row>
    <row r="431" spans="1:4" x14ac:dyDescent="0.25">
      <c r="A431" s="1199">
        <v>430</v>
      </c>
      <c r="B431" s="1250" t="s">
        <v>2603</v>
      </c>
      <c r="D431" s="1126" t="s">
        <v>1057</v>
      </c>
    </row>
    <row r="432" spans="1:4" ht="25.5" x14ac:dyDescent="0.25">
      <c r="A432" s="1199">
        <v>431</v>
      </c>
      <c r="B432" s="1112" t="s">
        <v>2604</v>
      </c>
      <c r="D432" s="1126" t="s">
        <v>1058</v>
      </c>
    </row>
    <row r="433" spans="1:4" ht="22.5" x14ac:dyDescent="0.25">
      <c r="A433" s="1199">
        <v>432</v>
      </c>
      <c r="B433" s="1109" t="s">
        <v>2605</v>
      </c>
      <c r="D433" s="1126" t="s">
        <v>1038</v>
      </c>
    </row>
    <row r="434" spans="1:4" x14ac:dyDescent="0.25">
      <c r="A434" s="1199">
        <v>433</v>
      </c>
      <c r="B434" s="1250" t="s">
        <v>2606</v>
      </c>
      <c r="D434" s="1126" t="s">
        <v>1059</v>
      </c>
    </row>
    <row r="435" spans="1:4" x14ac:dyDescent="0.25">
      <c r="A435" s="1199">
        <v>434</v>
      </c>
      <c r="B435" s="1250" t="s">
        <v>2607</v>
      </c>
      <c r="D435" s="1126" t="s">
        <v>1060</v>
      </c>
    </row>
    <row r="436" spans="1:4" ht="15.75" x14ac:dyDescent="0.25">
      <c r="A436" s="1199">
        <v>435</v>
      </c>
      <c r="B436" s="1110" t="s">
        <v>2608</v>
      </c>
      <c r="D436" s="1126" t="s">
        <v>1061</v>
      </c>
    </row>
    <row r="437" spans="1:4" ht="25.5" x14ac:dyDescent="0.25">
      <c r="A437" s="1199">
        <v>436</v>
      </c>
      <c r="B437" s="1112" t="s">
        <v>2609</v>
      </c>
      <c r="D437" s="1126" t="s">
        <v>1062</v>
      </c>
    </row>
    <row r="438" spans="1:4" ht="22.5" x14ac:dyDescent="0.25">
      <c r="A438" s="1199">
        <v>437</v>
      </c>
      <c r="B438" s="1109" t="s">
        <v>2610</v>
      </c>
      <c r="D438" s="1126" t="s">
        <v>1063</v>
      </c>
    </row>
    <row r="439" spans="1:4" ht="33.75" x14ac:dyDescent="0.25">
      <c r="A439" s="1199">
        <v>438</v>
      </c>
      <c r="B439" s="1109" t="s">
        <v>2611</v>
      </c>
      <c r="D439" s="1126" t="s">
        <v>1064</v>
      </c>
    </row>
    <row r="440" spans="1:4" ht="22.5" x14ac:dyDescent="0.25">
      <c r="A440" s="1199">
        <v>439</v>
      </c>
      <c r="B440" s="1109" t="s">
        <v>2612</v>
      </c>
      <c r="D440" s="1126" t="s">
        <v>1065</v>
      </c>
    </row>
    <row r="441" spans="1:4" ht="22.5" x14ac:dyDescent="0.25">
      <c r="A441" s="1199">
        <v>440</v>
      </c>
      <c r="B441" s="1109" t="s">
        <v>2613</v>
      </c>
      <c r="D441" s="1126" t="s">
        <v>1066</v>
      </c>
    </row>
    <row r="442" spans="1:4" ht="33.75" x14ac:dyDescent="0.25">
      <c r="A442" s="1199">
        <v>441</v>
      </c>
      <c r="B442" s="1109" t="s">
        <v>2614</v>
      </c>
      <c r="D442" s="1126" t="s">
        <v>1067</v>
      </c>
    </row>
    <row r="443" spans="1:4" ht="22.5" x14ac:dyDescent="0.25">
      <c r="A443" s="1199">
        <v>442</v>
      </c>
      <c r="B443" s="1109" t="s">
        <v>2615</v>
      </c>
      <c r="D443" s="1126" t="s">
        <v>1068</v>
      </c>
    </row>
    <row r="444" spans="1:4" x14ac:dyDescent="0.25">
      <c r="A444" s="1199">
        <v>443</v>
      </c>
      <c r="B444" s="1109" t="s">
        <v>2616</v>
      </c>
      <c r="D444" s="1126" t="s">
        <v>1069</v>
      </c>
    </row>
    <row r="445" spans="1:4" ht="45" x14ac:dyDescent="0.25">
      <c r="A445" s="1199">
        <v>444</v>
      </c>
      <c r="B445" s="1109" t="s">
        <v>2617</v>
      </c>
      <c r="D445" s="1126" t="s">
        <v>1070</v>
      </c>
    </row>
    <row r="446" spans="1:4" x14ac:dyDescent="0.25">
      <c r="A446" s="1199">
        <v>445</v>
      </c>
      <c r="B446" s="1109" t="s">
        <v>2618</v>
      </c>
      <c r="D446" s="1126" t="s">
        <v>1071</v>
      </c>
    </row>
    <row r="447" spans="1:4" ht="33.75" x14ac:dyDescent="0.25">
      <c r="A447" s="1199">
        <v>446</v>
      </c>
      <c r="B447" s="1109" t="s">
        <v>2619</v>
      </c>
      <c r="D447" s="1126" t="s">
        <v>1072</v>
      </c>
    </row>
    <row r="448" spans="1:4" ht="45" x14ac:dyDescent="0.25">
      <c r="A448" s="1199">
        <v>447</v>
      </c>
      <c r="B448" s="1125" t="s">
        <v>2620</v>
      </c>
      <c r="D448" s="1126" t="s">
        <v>1087</v>
      </c>
    </row>
    <row r="449" spans="1:4" ht="25.5" x14ac:dyDescent="0.25">
      <c r="A449" s="1199">
        <v>448</v>
      </c>
      <c r="B449" s="1112" t="s">
        <v>2621</v>
      </c>
      <c r="D449" s="1126" t="s">
        <v>1088</v>
      </c>
    </row>
    <row r="450" spans="1:4" ht="22.5" x14ac:dyDescent="0.25">
      <c r="A450" s="1199">
        <v>449</v>
      </c>
      <c r="B450" s="1109" t="s">
        <v>2622</v>
      </c>
      <c r="D450" s="1126" t="s">
        <v>1073</v>
      </c>
    </row>
    <row r="451" spans="1:4" ht="22.5" x14ac:dyDescent="0.25">
      <c r="A451" s="1199">
        <v>450</v>
      </c>
      <c r="B451" s="1109" t="s">
        <v>2623</v>
      </c>
      <c r="D451" s="1126" t="s">
        <v>1074</v>
      </c>
    </row>
    <row r="452" spans="1:4" x14ac:dyDescent="0.25">
      <c r="A452" s="1199">
        <v>451</v>
      </c>
      <c r="B452" s="1112" t="s">
        <v>2624</v>
      </c>
      <c r="D452" s="1126" t="s">
        <v>1089</v>
      </c>
    </row>
    <row r="453" spans="1:4" x14ac:dyDescent="0.25">
      <c r="A453" s="1199">
        <v>452</v>
      </c>
      <c r="B453" s="1112" t="s">
        <v>2625</v>
      </c>
      <c r="D453" s="1126" t="s">
        <v>1090</v>
      </c>
    </row>
    <row r="454" spans="1:4" ht="22.5" x14ac:dyDescent="0.25">
      <c r="A454" s="1199">
        <v>453</v>
      </c>
      <c r="B454" s="1109" t="s">
        <v>2626</v>
      </c>
      <c r="D454" s="1126" t="s">
        <v>1075</v>
      </c>
    </row>
    <row r="455" spans="1:4" ht="33.75" x14ac:dyDescent="0.25">
      <c r="A455" s="1199">
        <v>454</v>
      </c>
      <c r="B455" s="1134" t="s">
        <v>2627</v>
      </c>
      <c r="D455" s="1126" t="s">
        <v>1076</v>
      </c>
    </row>
    <row r="456" spans="1:4" ht="25.5" x14ac:dyDescent="0.25">
      <c r="A456" s="1199">
        <v>455</v>
      </c>
      <c r="B456" s="1112" t="s">
        <v>2628</v>
      </c>
      <c r="D456" s="1126" t="s">
        <v>1091</v>
      </c>
    </row>
    <row r="457" spans="1:4" x14ac:dyDescent="0.25">
      <c r="A457" s="1199">
        <v>456</v>
      </c>
      <c r="B457" s="1109" t="s">
        <v>2629</v>
      </c>
      <c r="D457" s="1126" t="s">
        <v>1079</v>
      </c>
    </row>
    <row r="458" spans="1:4" x14ac:dyDescent="0.25">
      <c r="A458" s="1199">
        <v>457</v>
      </c>
      <c r="B458" s="1159" t="s">
        <v>2630</v>
      </c>
      <c r="D458" s="1126" t="s">
        <v>1092</v>
      </c>
    </row>
    <row r="459" spans="1:4" x14ac:dyDescent="0.25">
      <c r="A459" s="1199">
        <v>458</v>
      </c>
      <c r="B459" s="1112" t="s">
        <v>2631</v>
      </c>
      <c r="D459" s="1126" t="s">
        <v>1093</v>
      </c>
    </row>
    <row r="460" spans="1:4" ht="22.5" x14ac:dyDescent="0.25">
      <c r="A460" s="1199">
        <v>459</v>
      </c>
      <c r="B460" s="1109" t="s">
        <v>2632</v>
      </c>
      <c r="D460" s="1126" t="s">
        <v>1077</v>
      </c>
    </row>
    <row r="461" spans="1:4" x14ac:dyDescent="0.25">
      <c r="A461" s="1199">
        <v>460</v>
      </c>
      <c r="B461" s="1109" t="s">
        <v>2633</v>
      </c>
      <c r="D461" s="1126" t="s">
        <v>1078</v>
      </c>
    </row>
    <row r="462" spans="1:4" x14ac:dyDescent="0.25">
      <c r="A462" s="1199">
        <v>461</v>
      </c>
      <c r="B462" s="1150" t="s">
        <v>2634</v>
      </c>
      <c r="D462" s="1126" t="s">
        <v>1798</v>
      </c>
    </row>
    <row r="463" spans="1:4" x14ac:dyDescent="0.25">
      <c r="A463" s="1199">
        <v>462</v>
      </c>
      <c r="B463" s="1159" t="s">
        <v>2635</v>
      </c>
      <c r="D463" s="1126" t="s">
        <v>1102</v>
      </c>
    </row>
    <row r="464" spans="1:4" ht="25.5" x14ac:dyDescent="0.25">
      <c r="A464" s="1199">
        <v>463</v>
      </c>
      <c r="B464" s="1112" t="s">
        <v>2636</v>
      </c>
      <c r="D464" s="1126" t="s">
        <v>1094</v>
      </c>
    </row>
    <row r="465" spans="1:4" ht="33.75" x14ac:dyDescent="0.25">
      <c r="A465" s="1199">
        <v>464</v>
      </c>
      <c r="B465" s="1109" t="s">
        <v>2637</v>
      </c>
      <c r="D465" s="1126" t="s">
        <v>1080</v>
      </c>
    </row>
    <row r="466" spans="1:4" ht="33.75" x14ac:dyDescent="0.25">
      <c r="A466" s="1199">
        <v>465</v>
      </c>
      <c r="B466" s="1109" t="s">
        <v>2638</v>
      </c>
      <c r="D466" s="1126" t="s">
        <v>1081</v>
      </c>
    </row>
    <row r="467" spans="1:4" x14ac:dyDescent="0.25">
      <c r="A467" s="1199">
        <v>466</v>
      </c>
      <c r="B467" s="1120" t="s">
        <v>2639</v>
      </c>
      <c r="D467" s="1126" t="s">
        <v>1799</v>
      </c>
    </row>
    <row r="468" spans="1:4" x14ac:dyDescent="0.25">
      <c r="A468" s="1199">
        <v>467</v>
      </c>
      <c r="B468" s="1112" t="s">
        <v>2640</v>
      </c>
      <c r="D468" s="1126" t="s">
        <v>1095</v>
      </c>
    </row>
    <row r="469" spans="1:4" ht="22.5" x14ac:dyDescent="0.25">
      <c r="A469" s="1199">
        <v>468</v>
      </c>
      <c r="B469" s="1109" t="s">
        <v>2641</v>
      </c>
      <c r="D469" s="1126" t="s">
        <v>1082</v>
      </c>
    </row>
    <row r="470" spans="1:4" x14ac:dyDescent="0.25">
      <c r="A470" s="1199">
        <v>469</v>
      </c>
      <c r="B470" s="1159" t="s">
        <v>2642</v>
      </c>
      <c r="D470" s="1126" t="s">
        <v>1390</v>
      </c>
    </row>
    <row r="471" spans="1:4" x14ac:dyDescent="0.25">
      <c r="A471" s="1199">
        <v>470</v>
      </c>
      <c r="B471" s="1112" t="s">
        <v>2643</v>
      </c>
      <c r="D471" s="1126" t="s">
        <v>1096</v>
      </c>
    </row>
    <row r="472" spans="1:4" x14ac:dyDescent="0.25">
      <c r="A472" s="1199">
        <v>471</v>
      </c>
      <c r="B472" s="1160" t="s">
        <v>2644</v>
      </c>
      <c r="D472" s="1126" t="s">
        <v>1097</v>
      </c>
    </row>
    <row r="473" spans="1:4" x14ac:dyDescent="0.25">
      <c r="A473" s="1199">
        <v>472</v>
      </c>
      <c r="B473" s="1161" t="s">
        <v>2645</v>
      </c>
      <c r="D473" s="1126" t="s">
        <v>1098</v>
      </c>
    </row>
    <row r="474" spans="1:4" x14ac:dyDescent="0.25">
      <c r="A474" s="1199">
        <v>473</v>
      </c>
      <c r="B474" s="1161" t="s">
        <v>2646</v>
      </c>
      <c r="D474" s="1126" t="s">
        <v>1099</v>
      </c>
    </row>
    <row r="475" spans="1:4" x14ac:dyDescent="0.25">
      <c r="A475" s="1199">
        <v>474</v>
      </c>
      <c r="B475" s="1162" t="s">
        <v>2647</v>
      </c>
      <c r="D475" s="1126" t="s">
        <v>1100</v>
      </c>
    </row>
    <row r="476" spans="1:4" ht="25.5" x14ac:dyDescent="0.25">
      <c r="A476" s="1199">
        <v>475</v>
      </c>
      <c r="B476" s="1112" t="s">
        <v>2648</v>
      </c>
      <c r="D476" s="1126" t="s">
        <v>1101</v>
      </c>
    </row>
    <row r="477" spans="1:4" ht="22.5" x14ac:dyDescent="0.25">
      <c r="A477" s="1199">
        <v>476</v>
      </c>
      <c r="B477" s="1109" t="s">
        <v>2649</v>
      </c>
      <c r="D477" s="1126" t="s">
        <v>1083</v>
      </c>
    </row>
    <row r="478" spans="1:4" x14ac:dyDescent="0.25">
      <c r="A478" s="1199">
        <v>477</v>
      </c>
      <c r="B478" s="1120" t="s">
        <v>2650</v>
      </c>
      <c r="D478" s="1126" t="s">
        <v>1800</v>
      </c>
    </row>
    <row r="479" spans="1:4" ht="25.5" x14ac:dyDescent="0.25">
      <c r="A479" s="1199">
        <v>478</v>
      </c>
      <c r="B479" s="1112" t="s">
        <v>2651</v>
      </c>
      <c r="D479" s="1126" t="s">
        <v>1103</v>
      </c>
    </row>
    <row r="480" spans="1:4" ht="31.5" x14ac:dyDescent="0.25">
      <c r="A480" s="1199">
        <v>479</v>
      </c>
      <c r="B480" s="1108" t="s">
        <v>2652</v>
      </c>
      <c r="D480" s="1126" t="s">
        <v>1084</v>
      </c>
    </row>
    <row r="481" spans="1:4" x14ac:dyDescent="0.25">
      <c r="A481" s="1199">
        <v>480</v>
      </c>
      <c r="B481" s="1109" t="s">
        <v>2653</v>
      </c>
      <c r="D481" s="1126" t="s">
        <v>1086</v>
      </c>
    </row>
    <row r="482" spans="1:4" ht="15.75" thickBot="1" x14ac:dyDescent="0.3">
      <c r="A482" s="1199">
        <v>481</v>
      </c>
      <c r="B482" s="1159" t="s">
        <v>2654</v>
      </c>
      <c r="D482" s="1126" t="s">
        <v>1104</v>
      </c>
    </row>
    <row r="483" spans="1:4" x14ac:dyDescent="0.25">
      <c r="A483" s="1199">
        <v>482</v>
      </c>
      <c r="B483" s="1164" t="s">
        <v>2655</v>
      </c>
      <c r="D483" s="1126" t="s">
        <v>1105</v>
      </c>
    </row>
    <row r="484" spans="1:4" x14ac:dyDescent="0.25">
      <c r="A484" s="1199">
        <v>483</v>
      </c>
      <c r="B484" s="1249" t="s">
        <v>2656</v>
      </c>
      <c r="D484" s="1126" t="s">
        <v>1106</v>
      </c>
    </row>
    <row r="485" spans="1:4" x14ac:dyDescent="0.25">
      <c r="A485" s="1199">
        <v>484</v>
      </c>
      <c r="B485" s="1249" t="s">
        <v>2657</v>
      </c>
      <c r="D485" s="1126" t="s">
        <v>1107</v>
      </c>
    </row>
    <row r="486" spans="1:4" x14ac:dyDescent="0.25">
      <c r="A486" s="1199">
        <v>485</v>
      </c>
      <c r="B486" s="1249" t="s">
        <v>2432</v>
      </c>
      <c r="D486" s="1126" t="s">
        <v>1108</v>
      </c>
    </row>
    <row r="487" spans="1:4" x14ac:dyDescent="0.25">
      <c r="A487" s="1199">
        <v>486</v>
      </c>
      <c r="B487" s="1249" t="s">
        <v>2658</v>
      </c>
      <c r="D487" s="1126" t="s">
        <v>1265</v>
      </c>
    </row>
    <row r="488" spans="1:4" ht="54" x14ac:dyDescent="0.25">
      <c r="A488" s="1199">
        <v>487</v>
      </c>
      <c r="B488" s="1111" t="s">
        <v>2659</v>
      </c>
      <c r="D488" s="1126" t="s">
        <v>1109</v>
      </c>
    </row>
    <row r="489" spans="1:4" ht="15.75" x14ac:dyDescent="0.25">
      <c r="A489" s="1199">
        <v>488</v>
      </c>
      <c r="B489" s="1110" t="s">
        <v>2660</v>
      </c>
      <c r="D489" s="1126" t="s">
        <v>1110</v>
      </c>
    </row>
    <row r="490" spans="1:4" x14ac:dyDescent="0.25">
      <c r="A490" s="1199">
        <v>489</v>
      </c>
      <c r="B490" s="1125" t="s">
        <v>2661</v>
      </c>
      <c r="D490" s="1126" t="s">
        <v>1111</v>
      </c>
    </row>
    <row r="491" spans="1:4" ht="25.5" x14ac:dyDescent="0.25">
      <c r="A491" s="1199">
        <v>490</v>
      </c>
      <c r="B491" s="1112" t="s">
        <v>2662</v>
      </c>
      <c r="D491" s="1126" t="s">
        <v>1112</v>
      </c>
    </row>
    <row r="492" spans="1:4" x14ac:dyDescent="0.25">
      <c r="A492" s="1199">
        <v>491</v>
      </c>
      <c r="B492" s="1112" t="s">
        <v>2663</v>
      </c>
      <c r="D492" s="1126" t="s">
        <v>1114</v>
      </c>
    </row>
    <row r="493" spans="1:4" ht="22.5" x14ac:dyDescent="0.25">
      <c r="A493" s="1199">
        <v>492</v>
      </c>
      <c r="B493" s="1109" t="s">
        <v>2664</v>
      </c>
      <c r="D493" s="1126" t="s">
        <v>1115</v>
      </c>
    </row>
    <row r="494" spans="1:4" ht="22.5" x14ac:dyDescent="0.25">
      <c r="A494" s="1199">
        <v>493</v>
      </c>
      <c r="B494" s="1109" t="s">
        <v>2665</v>
      </c>
      <c r="D494" s="1126" t="s">
        <v>1218</v>
      </c>
    </row>
    <row r="495" spans="1:4" x14ac:dyDescent="0.25">
      <c r="A495" s="1199">
        <v>494</v>
      </c>
      <c r="B495" s="1112" t="s">
        <v>2666</v>
      </c>
      <c r="D495" s="1126" t="s">
        <v>1116</v>
      </c>
    </row>
    <row r="496" spans="1:4" ht="22.5" x14ac:dyDescent="0.25">
      <c r="A496" s="1199">
        <v>495</v>
      </c>
      <c r="B496" s="1109" t="s">
        <v>2667</v>
      </c>
      <c r="D496" s="1126" t="s">
        <v>1117</v>
      </c>
    </row>
    <row r="497" spans="1:4" ht="22.5" x14ac:dyDescent="0.25">
      <c r="A497" s="1199">
        <v>496</v>
      </c>
      <c r="B497" s="1109" t="s">
        <v>2668</v>
      </c>
      <c r="D497" s="1126" t="s">
        <v>1118</v>
      </c>
    </row>
    <row r="498" spans="1:4" ht="22.5" x14ac:dyDescent="0.25">
      <c r="A498" s="1199">
        <v>497</v>
      </c>
      <c r="B498" s="1109" t="s">
        <v>2669</v>
      </c>
      <c r="D498" s="1126" t="s">
        <v>1119</v>
      </c>
    </row>
    <row r="499" spans="1:4" x14ac:dyDescent="0.25">
      <c r="A499" s="1199">
        <v>498</v>
      </c>
      <c r="B499" s="1109" t="s">
        <v>2670</v>
      </c>
      <c r="D499" s="1126" t="s">
        <v>1120</v>
      </c>
    </row>
    <row r="500" spans="1:4" x14ac:dyDescent="0.25">
      <c r="A500" s="1199">
        <v>499</v>
      </c>
      <c r="B500" s="1109" t="s">
        <v>2607</v>
      </c>
      <c r="D500" s="1126" t="s">
        <v>1128</v>
      </c>
    </row>
    <row r="501" spans="1:4" x14ac:dyDescent="0.25">
      <c r="A501" s="1199">
        <v>500</v>
      </c>
      <c r="B501" s="1249" t="s">
        <v>2671</v>
      </c>
      <c r="D501" s="1126" t="s">
        <v>1121</v>
      </c>
    </row>
    <row r="502" spans="1:4" ht="21" x14ac:dyDescent="0.25">
      <c r="A502" s="1199">
        <v>501</v>
      </c>
      <c r="B502" s="1108" t="s">
        <v>2672</v>
      </c>
      <c r="D502" s="1126" t="s">
        <v>1122</v>
      </c>
    </row>
    <row r="503" spans="1:4" ht="22.5" x14ac:dyDescent="0.25">
      <c r="A503" s="1199">
        <v>502</v>
      </c>
      <c r="B503" s="1109" t="s">
        <v>2673</v>
      </c>
      <c r="D503" s="1126" t="s">
        <v>1123</v>
      </c>
    </row>
    <row r="504" spans="1:4" ht="22.5" x14ac:dyDescent="0.25">
      <c r="A504" s="1199">
        <v>503</v>
      </c>
      <c r="B504" s="1109" t="s">
        <v>2674</v>
      </c>
      <c r="D504" s="1126" t="s">
        <v>1124</v>
      </c>
    </row>
    <row r="505" spans="1:4" x14ac:dyDescent="0.25">
      <c r="A505" s="1199">
        <v>504</v>
      </c>
      <c r="B505" s="1118" t="s">
        <v>2675</v>
      </c>
      <c r="D505" s="1126" t="s">
        <v>1125</v>
      </c>
    </row>
    <row r="506" spans="1:4" x14ac:dyDescent="0.25">
      <c r="A506" s="1199">
        <v>505</v>
      </c>
      <c r="B506" s="1215" t="s">
        <v>2676</v>
      </c>
      <c r="D506" s="1126" t="s">
        <v>1126</v>
      </c>
    </row>
    <row r="507" spans="1:4" x14ac:dyDescent="0.25">
      <c r="A507" s="1199">
        <v>506</v>
      </c>
      <c r="B507" s="1215" t="s">
        <v>2677</v>
      </c>
      <c r="D507" s="1126" t="s">
        <v>1127</v>
      </c>
    </row>
    <row r="508" spans="1:4" x14ac:dyDescent="0.25">
      <c r="A508" s="1199">
        <v>507</v>
      </c>
      <c r="B508" s="1267" t="s">
        <v>2678</v>
      </c>
      <c r="D508" s="1126" t="s">
        <v>1129</v>
      </c>
    </row>
    <row r="509" spans="1:4" ht="22.5" x14ac:dyDescent="0.25">
      <c r="A509" s="1199">
        <v>508</v>
      </c>
      <c r="B509" s="1109" t="s">
        <v>2679</v>
      </c>
      <c r="D509" s="1126" t="s">
        <v>1130</v>
      </c>
    </row>
    <row r="510" spans="1:4" x14ac:dyDescent="0.25">
      <c r="A510" s="1199">
        <v>509</v>
      </c>
      <c r="B510" s="1125" t="s">
        <v>2680</v>
      </c>
      <c r="D510" s="1126" t="s">
        <v>1131</v>
      </c>
    </row>
    <row r="511" spans="1:4" ht="25.5" x14ac:dyDescent="0.25">
      <c r="A511" s="1199">
        <v>510</v>
      </c>
      <c r="B511" s="1112" t="s">
        <v>2681</v>
      </c>
      <c r="D511" s="1126" t="s">
        <v>1132</v>
      </c>
    </row>
    <row r="512" spans="1:4" ht="22.5" x14ac:dyDescent="0.25">
      <c r="A512" s="1199">
        <v>511</v>
      </c>
      <c r="B512" s="1109" t="s">
        <v>2682</v>
      </c>
      <c r="D512" s="1126" t="s">
        <v>1287</v>
      </c>
    </row>
    <row r="513" spans="1:4" ht="33.75" x14ac:dyDescent="0.25">
      <c r="A513" s="1199">
        <v>512</v>
      </c>
      <c r="B513" s="1109" t="s">
        <v>2683</v>
      </c>
      <c r="D513" s="1126" t="s">
        <v>1133</v>
      </c>
    </row>
    <row r="514" spans="1:4" ht="38.25" x14ac:dyDescent="0.25">
      <c r="A514" s="1199">
        <v>513</v>
      </c>
      <c r="B514" s="1112" t="s">
        <v>2684</v>
      </c>
      <c r="D514" s="1126" t="s">
        <v>1134</v>
      </c>
    </row>
    <row r="515" spans="1:4" ht="31.5" x14ac:dyDescent="0.25">
      <c r="A515" s="1199">
        <v>514</v>
      </c>
      <c r="B515" s="1108" t="s">
        <v>2685</v>
      </c>
      <c r="D515" s="1126" t="s">
        <v>1150</v>
      </c>
    </row>
    <row r="516" spans="1:4" x14ac:dyDescent="0.25">
      <c r="A516" s="1199">
        <v>515</v>
      </c>
      <c r="B516" s="1108" t="s">
        <v>2686</v>
      </c>
      <c r="D516" s="1126" t="s">
        <v>1135</v>
      </c>
    </row>
    <row r="517" spans="1:4" ht="78.75" x14ac:dyDescent="0.25">
      <c r="A517" s="1199">
        <v>516</v>
      </c>
      <c r="B517" s="1163" t="s">
        <v>2687</v>
      </c>
      <c r="D517" s="1126" t="s">
        <v>1136</v>
      </c>
    </row>
    <row r="518" spans="1:4" x14ac:dyDescent="0.25">
      <c r="A518" s="1199">
        <v>517</v>
      </c>
      <c r="B518" s="1109" t="s">
        <v>2688</v>
      </c>
      <c r="D518" s="1126" t="s">
        <v>1137</v>
      </c>
    </row>
    <row r="519" spans="1:4" ht="33.75" x14ac:dyDescent="0.25">
      <c r="A519" s="1199">
        <v>518</v>
      </c>
      <c r="B519" s="1109" t="s">
        <v>2689</v>
      </c>
      <c r="D519" s="1126" t="s">
        <v>1138</v>
      </c>
    </row>
    <row r="520" spans="1:4" x14ac:dyDescent="0.25">
      <c r="A520" s="1199">
        <v>519</v>
      </c>
      <c r="B520" s="17" t="s">
        <v>2690</v>
      </c>
      <c r="D520" s="1126" t="s">
        <v>1139</v>
      </c>
    </row>
    <row r="521" spans="1:4" x14ac:dyDescent="0.25">
      <c r="A521" s="1199">
        <v>520</v>
      </c>
      <c r="B521" s="1108" t="s">
        <v>2691</v>
      </c>
      <c r="D521" s="1126" t="s">
        <v>1140</v>
      </c>
    </row>
    <row r="522" spans="1:4" x14ac:dyDescent="0.25">
      <c r="A522" s="1199">
        <v>521</v>
      </c>
      <c r="B522" s="1109" t="s">
        <v>2692</v>
      </c>
      <c r="D522" s="1126" t="s">
        <v>1141</v>
      </c>
    </row>
    <row r="523" spans="1:4" ht="33.75" x14ac:dyDescent="0.25">
      <c r="A523" s="1199">
        <v>522</v>
      </c>
      <c r="B523" s="1109" t="s">
        <v>2693</v>
      </c>
      <c r="D523" s="1126" t="s">
        <v>1142</v>
      </c>
    </row>
    <row r="524" spans="1:4" ht="45" x14ac:dyDescent="0.25">
      <c r="A524" s="1199">
        <v>523</v>
      </c>
      <c r="B524" s="1109" t="s">
        <v>2694</v>
      </c>
      <c r="D524" s="1126" t="s">
        <v>1143</v>
      </c>
    </row>
    <row r="525" spans="1:4" ht="67.5" x14ac:dyDescent="0.25">
      <c r="A525" s="1199">
        <v>524</v>
      </c>
      <c r="B525" s="1109" t="s">
        <v>2695</v>
      </c>
      <c r="D525" s="1126" t="s">
        <v>1144</v>
      </c>
    </row>
    <row r="526" spans="1:4" ht="45" x14ac:dyDescent="0.25">
      <c r="A526" s="1199">
        <v>525</v>
      </c>
      <c r="B526" s="1109" t="s">
        <v>2696</v>
      </c>
      <c r="D526" s="1126" t="s">
        <v>1145</v>
      </c>
    </row>
    <row r="527" spans="1:4" ht="22.5" x14ac:dyDescent="0.25">
      <c r="A527" s="1199">
        <v>526</v>
      </c>
      <c r="B527" s="1109" t="s">
        <v>2697</v>
      </c>
      <c r="D527" s="1126" t="s">
        <v>1146</v>
      </c>
    </row>
    <row r="528" spans="1:4" x14ac:dyDescent="0.25">
      <c r="A528" s="1199">
        <v>527</v>
      </c>
      <c r="B528" s="17" t="s">
        <v>2698</v>
      </c>
      <c r="D528" s="1126" t="s">
        <v>1147</v>
      </c>
    </row>
    <row r="529" spans="1:4" x14ac:dyDescent="0.25">
      <c r="A529" s="1199">
        <v>528</v>
      </c>
      <c r="B529" s="1125" t="s">
        <v>2699</v>
      </c>
      <c r="D529" s="1126" t="s">
        <v>1148</v>
      </c>
    </row>
    <row r="530" spans="1:4" x14ac:dyDescent="0.25">
      <c r="A530" s="1199">
        <v>529</v>
      </c>
      <c r="B530" s="1112" t="s">
        <v>2700</v>
      </c>
      <c r="D530" s="1126" t="s">
        <v>1149</v>
      </c>
    </row>
    <row r="531" spans="1:4" ht="22.5" x14ac:dyDescent="0.25">
      <c r="A531" s="1199">
        <v>530</v>
      </c>
      <c r="B531" s="1109" t="s">
        <v>2701</v>
      </c>
      <c r="D531" s="1126" t="s">
        <v>1151</v>
      </c>
    </row>
    <row r="532" spans="1:4" x14ac:dyDescent="0.25">
      <c r="A532" s="1199">
        <v>531</v>
      </c>
      <c r="B532" s="1159" t="s">
        <v>2702</v>
      </c>
      <c r="D532" s="1126" t="s">
        <v>1852</v>
      </c>
    </row>
    <row r="533" spans="1:4" x14ac:dyDescent="0.25">
      <c r="A533" s="1199">
        <v>532</v>
      </c>
      <c r="B533" s="1112" t="s">
        <v>2703</v>
      </c>
      <c r="D533" s="1126" t="s">
        <v>1152</v>
      </c>
    </row>
    <row r="534" spans="1:4" ht="22.5" x14ac:dyDescent="0.25">
      <c r="A534" s="1199">
        <v>533</v>
      </c>
      <c r="B534" s="1109" t="s">
        <v>2704</v>
      </c>
      <c r="D534" s="1126" t="s">
        <v>1243</v>
      </c>
    </row>
    <row r="535" spans="1:4" x14ac:dyDescent="0.25">
      <c r="A535" s="1199">
        <v>534</v>
      </c>
      <c r="B535" s="1150" t="s">
        <v>2705</v>
      </c>
      <c r="D535" s="1126" t="s">
        <v>1188</v>
      </c>
    </row>
    <row r="536" spans="1:4" x14ac:dyDescent="0.25">
      <c r="A536" s="1199">
        <v>535</v>
      </c>
      <c r="B536" s="1159" t="s">
        <v>2706</v>
      </c>
      <c r="D536" s="1126" t="s">
        <v>1260</v>
      </c>
    </row>
    <row r="537" spans="1:4" ht="38.25" x14ac:dyDescent="0.25">
      <c r="A537" s="1199">
        <v>536</v>
      </c>
      <c r="B537" s="1112" t="s">
        <v>2707</v>
      </c>
      <c r="D537" s="1126" t="s">
        <v>1153</v>
      </c>
    </row>
    <row r="538" spans="1:4" ht="22.5" x14ac:dyDescent="0.25">
      <c r="A538" s="1199">
        <v>537</v>
      </c>
      <c r="B538" s="1109" t="s">
        <v>2708</v>
      </c>
      <c r="D538" s="1126" t="s">
        <v>1154</v>
      </c>
    </row>
    <row r="539" spans="1:4" ht="33.75" x14ac:dyDescent="0.25">
      <c r="A539" s="1199">
        <v>538</v>
      </c>
      <c r="B539" s="1109" t="s">
        <v>2709</v>
      </c>
      <c r="D539" s="1126" t="s">
        <v>1155</v>
      </c>
    </row>
    <row r="540" spans="1:4" x14ac:dyDescent="0.25">
      <c r="A540" s="1199">
        <v>539</v>
      </c>
      <c r="B540" s="1112" t="s">
        <v>2710</v>
      </c>
      <c r="D540" s="1126" t="s">
        <v>1156</v>
      </c>
    </row>
    <row r="541" spans="1:4" ht="45" x14ac:dyDescent="0.25">
      <c r="A541" s="1199">
        <v>540</v>
      </c>
      <c r="B541" s="1109" t="s">
        <v>2711</v>
      </c>
      <c r="D541" s="1126" t="s">
        <v>1157</v>
      </c>
    </row>
    <row r="542" spans="1:4" x14ac:dyDescent="0.25">
      <c r="A542" s="1199">
        <v>541</v>
      </c>
      <c r="B542" s="1250" t="s">
        <v>2712</v>
      </c>
      <c r="D542" s="1126" t="s">
        <v>1158</v>
      </c>
    </row>
    <row r="543" spans="1:4" x14ac:dyDescent="0.25">
      <c r="A543" s="1199">
        <v>542</v>
      </c>
      <c r="B543" s="1118" t="s">
        <v>2713</v>
      </c>
      <c r="D543" s="1126" t="s">
        <v>1159</v>
      </c>
    </row>
    <row r="544" spans="1:4" x14ac:dyDescent="0.25">
      <c r="A544" s="1199">
        <v>543</v>
      </c>
      <c r="B544" s="1159" t="s">
        <v>2714</v>
      </c>
      <c r="D544" s="1126" t="s">
        <v>1160</v>
      </c>
    </row>
    <row r="545" spans="1:4" x14ac:dyDescent="0.25">
      <c r="A545" s="1199">
        <v>544</v>
      </c>
      <c r="B545" s="1112" t="s">
        <v>2715</v>
      </c>
      <c r="D545" s="1126" t="s">
        <v>1161</v>
      </c>
    </row>
    <row r="546" spans="1:4" ht="22.5" x14ac:dyDescent="0.25">
      <c r="A546" s="1199">
        <v>545</v>
      </c>
      <c r="B546" s="1109" t="s">
        <v>2716</v>
      </c>
      <c r="D546" s="1126" t="s">
        <v>1162</v>
      </c>
    </row>
    <row r="547" spans="1:4" ht="22.5" x14ac:dyDescent="0.25">
      <c r="A547" s="1199">
        <v>546</v>
      </c>
      <c r="B547" s="1109" t="s">
        <v>2717</v>
      </c>
      <c r="D547" s="1126" t="s">
        <v>1163</v>
      </c>
    </row>
    <row r="548" spans="1:4" x14ac:dyDescent="0.25">
      <c r="A548" s="1199">
        <v>547</v>
      </c>
      <c r="B548" s="1159" t="s">
        <v>2718</v>
      </c>
      <c r="D548" s="1126" t="s">
        <v>1164</v>
      </c>
    </row>
    <row r="549" spans="1:4" ht="30" x14ac:dyDescent="0.25">
      <c r="A549" s="1199">
        <v>548</v>
      </c>
      <c r="B549" s="1125" t="s">
        <v>2719</v>
      </c>
      <c r="D549" s="1126" t="s">
        <v>1165</v>
      </c>
    </row>
    <row r="550" spans="1:4" ht="22.5" x14ac:dyDescent="0.25">
      <c r="A550" s="1199">
        <v>549</v>
      </c>
      <c r="B550" s="1109" t="s">
        <v>2720</v>
      </c>
      <c r="D550" s="1126" t="s">
        <v>1166</v>
      </c>
    </row>
    <row r="551" spans="1:4" ht="22.5" x14ac:dyDescent="0.25">
      <c r="A551" s="1199">
        <v>550</v>
      </c>
      <c r="B551" s="1109" t="s">
        <v>2721</v>
      </c>
      <c r="D551" s="1126" t="s">
        <v>1167</v>
      </c>
    </row>
    <row r="552" spans="1:4" ht="22.5" x14ac:dyDescent="0.25">
      <c r="A552" s="1199">
        <v>551</v>
      </c>
      <c r="B552" s="1109" t="s">
        <v>2722</v>
      </c>
      <c r="D552" s="1126" t="s">
        <v>1168</v>
      </c>
    </row>
    <row r="553" spans="1:4" ht="38.25" x14ac:dyDescent="0.25">
      <c r="A553" s="1199">
        <v>552</v>
      </c>
      <c r="B553" s="1112" t="s">
        <v>2723</v>
      </c>
      <c r="D553" s="1126" t="s">
        <v>1169</v>
      </c>
    </row>
    <row r="554" spans="1:4" ht="33.75" x14ac:dyDescent="0.25">
      <c r="A554" s="1199">
        <v>553</v>
      </c>
      <c r="B554" s="1109" t="s">
        <v>2724</v>
      </c>
      <c r="D554" s="1126" t="s">
        <v>1170</v>
      </c>
    </row>
    <row r="555" spans="1:4" ht="56.25" x14ac:dyDescent="0.25">
      <c r="A555" s="1199">
        <v>554</v>
      </c>
      <c r="B555" s="1109" t="s">
        <v>2725</v>
      </c>
      <c r="D555" s="1126" t="s">
        <v>1171</v>
      </c>
    </row>
    <row r="556" spans="1:4" x14ac:dyDescent="0.25">
      <c r="A556" s="1199">
        <v>555</v>
      </c>
      <c r="B556" s="1159" t="s">
        <v>2726</v>
      </c>
      <c r="D556" s="1126" t="s">
        <v>1172</v>
      </c>
    </row>
    <row r="557" spans="1:4" x14ac:dyDescent="0.25">
      <c r="A557" s="1199">
        <v>556</v>
      </c>
      <c r="B557" s="1159" t="s">
        <v>2727</v>
      </c>
      <c r="D557" s="1126" t="s">
        <v>1178</v>
      </c>
    </row>
    <row r="558" spans="1:4" x14ac:dyDescent="0.25">
      <c r="A558" s="1199">
        <v>557</v>
      </c>
      <c r="B558" s="1159" t="s">
        <v>2728</v>
      </c>
      <c r="D558" s="1126" t="s">
        <v>1173</v>
      </c>
    </row>
    <row r="559" spans="1:4" ht="38.25" x14ac:dyDescent="0.25">
      <c r="A559" s="1199">
        <v>558</v>
      </c>
      <c r="B559" s="1112" t="s">
        <v>2729</v>
      </c>
      <c r="D559" s="1126" t="s">
        <v>1174</v>
      </c>
    </row>
    <row r="560" spans="1:4" ht="45" x14ac:dyDescent="0.25">
      <c r="A560" s="1199">
        <v>559</v>
      </c>
      <c r="B560" s="1109" t="s">
        <v>2730</v>
      </c>
      <c r="D560" s="1126" t="s">
        <v>1175</v>
      </c>
    </row>
    <row r="561" spans="1:4" x14ac:dyDescent="0.25">
      <c r="A561" s="1199">
        <v>560</v>
      </c>
      <c r="B561" s="1109" t="s">
        <v>2731</v>
      </c>
      <c r="D561" s="1126" t="s">
        <v>1176</v>
      </c>
    </row>
    <row r="562" spans="1:4" x14ac:dyDescent="0.25">
      <c r="A562" s="1199">
        <v>561</v>
      </c>
      <c r="B562" s="1150" t="s">
        <v>2732</v>
      </c>
      <c r="D562" s="1126" t="s">
        <v>1177</v>
      </c>
    </row>
    <row r="563" spans="1:4" x14ac:dyDescent="0.25">
      <c r="A563" s="1199">
        <v>562</v>
      </c>
      <c r="B563" s="1112" t="s">
        <v>2733</v>
      </c>
      <c r="D563" s="1126" t="s">
        <v>1179</v>
      </c>
    </row>
    <row r="564" spans="1:4" ht="31.5" x14ac:dyDescent="0.25">
      <c r="A564" s="1199">
        <v>563</v>
      </c>
      <c r="B564" s="1108" t="s">
        <v>2734</v>
      </c>
      <c r="D564" s="1126" t="s">
        <v>1180</v>
      </c>
    </row>
    <row r="565" spans="1:4" ht="31.5" x14ac:dyDescent="0.25">
      <c r="A565" s="1199">
        <v>564</v>
      </c>
      <c r="B565" s="1108" t="s">
        <v>2735</v>
      </c>
      <c r="D565" s="1126" t="s">
        <v>1181</v>
      </c>
    </row>
    <row r="566" spans="1:4" ht="38.25" x14ac:dyDescent="0.25">
      <c r="A566" s="1199">
        <v>565</v>
      </c>
      <c r="B566" s="1150" t="s">
        <v>2736</v>
      </c>
      <c r="D566" s="1126" t="s">
        <v>1182</v>
      </c>
    </row>
    <row r="567" spans="1:4" x14ac:dyDescent="0.25">
      <c r="A567" s="1199">
        <v>566</v>
      </c>
      <c r="B567" s="1250" t="s">
        <v>2737</v>
      </c>
      <c r="D567" s="1126" t="s">
        <v>1183</v>
      </c>
    </row>
    <row r="568" spans="1:4" ht="38.25" x14ac:dyDescent="0.25">
      <c r="A568" s="1199">
        <v>567</v>
      </c>
      <c r="B568" s="1150" t="s">
        <v>2738</v>
      </c>
      <c r="D568" s="1126" t="s">
        <v>1184</v>
      </c>
    </row>
    <row r="569" spans="1:4" x14ac:dyDescent="0.25">
      <c r="A569" s="1199">
        <v>568</v>
      </c>
      <c r="B569" s="1250" t="s">
        <v>2739</v>
      </c>
      <c r="D569" s="1126" t="s">
        <v>1185</v>
      </c>
    </row>
    <row r="570" spans="1:4" ht="25.5" x14ac:dyDescent="0.25">
      <c r="A570" s="1199">
        <v>569</v>
      </c>
      <c r="B570" s="1114" t="s">
        <v>2740</v>
      </c>
      <c r="D570" s="1126" t="s">
        <v>1186</v>
      </c>
    </row>
    <row r="571" spans="1:4" x14ac:dyDescent="0.25">
      <c r="A571" s="1199">
        <v>570</v>
      </c>
      <c r="B571" s="1109" t="s">
        <v>2741</v>
      </c>
      <c r="D571" s="1126" t="s">
        <v>1187</v>
      </c>
    </row>
    <row r="572" spans="1:4" x14ac:dyDescent="0.25">
      <c r="A572" s="1199">
        <v>571</v>
      </c>
      <c r="B572" s="1159" t="s">
        <v>2742</v>
      </c>
      <c r="D572" s="1126" t="s">
        <v>1189</v>
      </c>
    </row>
    <row r="573" spans="1:4" ht="30" x14ac:dyDescent="0.25">
      <c r="A573" s="1199">
        <v>572</v>
      </c>
      <c r="B573" s="1125" t="s">
        <v>2743</v>
      </c>
      <c r="D573" s="1126" t="s">
        <v>1190</v>
      </c>
    </row>
    <row r="574" spans="1:4" ht="38.25" x14ac:dyDescent="0.25">
      <c r="A574" s="1199">
        <v>573</v>
      </c>
      <c r="B574" s="1112" t="s">
        <v>2744</v>
      </c>
      <c r="D574" s="1126" t="s">
        <v>1191</v>
      </c>
    </row>
    <row r="575" spans="1:4" x14ac:dyDescent="0.25">
      <c r="A575" s="1199">
        <v>574</v>
      </c>
      <c r="B575" s="1250" t="s">
        <v>2745</v>
      </c>
      <c r="D575" s="1126" t="s">
        <v>1192</v>
      </c>
    </row>
    <row r="576" spans="1:4" ht="22.5" x14ac:dyDescent="0.25">
      <c r="A576" s="1199">
        <v>575</v>
      </c>
      <c r="B576" s="1109" t="s">
        <v>2746</v>
      </c>
      <c r="D576" s="1126" t="s">
        <v>1193</v>
      </c>
    </row>
    <row r="577" spans="1:4" ht="33.75" x14ac:dyDescent="0.25">
      <c r="A577" s="1199">
        <v>576</v>
      </c>
      <c r="B577" s="1134" t="s">
        <v>2747</v>
      </c>
      <c r="D577" s="1126" t="s">
        <v>1194</v>
      </c>
    </row>
    <row r="578" spans="1:4" x14ac:dyDescent="0.25">
      <c r="A578" s="1199">
        <v>577</v>
      </c>
      <c r="B578" s="1142" t="s">
        <v>2748</v>
      </c>
      <c r="D578" s="1126" t="s">
        <v>1195</v>
      </c>
    </row>
    <row r="579" spans="1:4" x14ac:dyDescent="0.25">
      <c r="A579" s="1199">
        <v>578</v>
      </c>
      <c r="B579" s="1145" t="s">
        <v>2749</v>
      </c>
      <c r="D579" s="1126" t="s">
        <v>1196</v>
      </c>
    </row>
    <row r="580" spans="1:4" ht="25.5" x14ac:dyDescent="0.25">
      <c r="A580" s="1199">
        <v>579</v>
      </c>
      <c r="B580" s="1118" t="s">
        <v>2750</v>
      </c>
      <c r="D580" s="1126" t="s">
        <v>1197</v>
      </c>
    </row>
    <row r="581" spans="1:4" x14ac:dyDescent="0.25">
      <c r="A581" s="1199">
        <v>580</v>
      </c>
      <c r="B581" s="1216" t="s">
        <v>2751</v>
      </c>
      <c r="D581" s="1126" t="s">
        <v>1198</v>
      </c>
    </row>
    <row r="582" spans="1:4" ht="25.5" x14ac:dyDescent="0.25">
      <c r="A582" s="1199">
        <v>581</v>
      </c>
      <c r="B582" s="1112" t="s">
        <v>2752</v>
      </c>
      <c r="D582" s="1126" t="s">
        <v>1199</v>
      </c>
    </row>
    <row r="583" spans="1:4" x14ac:dyDescent="0.25">
      <c r="A583" s="1199">
        <v>582</v>
      </c>
      <c r="B583" s="1134" t="s">
        <v>2753</v>
      </c>
      <c r="D583" s="1126" t="s">
        <v>1200</v>
      </c>
    </row>
    <row r="584" spans="1:4" x14ac:dyDescent="0.25">
      <c r="A584" s="1199">
        <v>583</v>
      </c>
      <c r="B584" s="1250" t="s">
        <v>2754</v>
      </c>
      <c r="D584" s="1126" t="s">
        <v>1201</v>
      </c>
    </row>
    <row r="585" spans="1:4" ht="25.5" x14ac:dyDescent="0.25">
      <c r="A585" s="1199">
        <v>584</v>
      </c>
      <c r="B585" s="1114" t="s">
        <v>2755</v>
      </c>
      <c r="D585" s="1126" t="s">
        <v>1202</v>
      </c>
    </row>
    <row r="586" spans="1:4" x14ac:dyDescent="0.25">
      <c r="A586" s="1199">
        <v>585</v>
      </c>
      <c r="B586" s="1150" t="s">
        <v>2756</v>
      </c>
      <c r="D586" s="1126" t="s">
        <v>1203</v>
      </c>
    </row>
    <row r="587" spans="1:4" x14ac:dyDescent="0.25">
      <c r="A587" s="1199">
        <v>586</v>
      </c>
      <c r="B587" s="1159" t="s">
        <v>2757</v>
      </c>
      <c r="D587" s="1126" t="s">
        <v>1204</v>
      </c>
    </row>
    <row r="588" spans="1:4" x14ac:dyDescent="0.25">
      <c r="A588" s="1199">
        <v>587</v>
      </c>
      <c r="B588" s="1114" t="s">
        <v>2758</v>
      </c>
      <c r="D588" s="1126" t="s">
        <v>1205</v>
      </c>
    </row>
    <row r="589" spans="1:4" ht="22.5" x14ac:dyDescent="0.25">
      <c r="A589" s="1199">
        <v>588</v>
      </c>
      <c r="B589" s="1109" t="s">
        <v>2759</v>
      </c>
      <c r="D589" s="1126" t="s">
        <v>1206</v>
      </c>
    </row>
    <row r="590" spans="1:4" ht="22.5" x14ac:dyDescent="0.25">
      <c r="A590" s="1199">
        <v>589</v>
      </c>
      <c r="B590" s="1109" t="s">
        <v>2760</v>
      </c>
      <c r="D590" s="1126" t="s">
        <v>1207</v>
      </c>
    </row>
    <row r="591" spans="1:4" x14ac:dyDescent="0.25">
      <c r="A591" s="1199">
        <v>590</v>
      </c>
      <c r="B591" s="1250" t="s">
        <v>2761</v>
      </c>
      <c r="D591" s="1126" t="s">
        <v>1208</v>
      </c>
    </row>
    <row r="592" spans="1:4" x14ac:dyDescent="0.25">
      <c r="A592" s="1199">
        <v>591</v>
      </c>
      <c r="B592" s="1250" t="s">
        <v>2762</v>
      </c>
      <c r="D592" s="1126" t="s">
        <v>1209</v>
      </c>
    </row>
    <row r="593" spans="1:4" ht="38.25" x14ac:dyDescent="0.25">
      <c r="A593" s="1199">
        <v>592</v>
      </c>
      <c r="B593" s="1150" t="s">
        <v>2763</v>
      </c>
      <c r="D593" s="1126" t="s">
        <v>1210</v>
      </c>
    </row>
    <row r="594" spans="1:4" x14ac:dyDescent="0.25">
      <c r="A594" s="1199">
        <v>593</v>
      </c>
      <c r="B594" s="1250" t="s">
        <v>2764</v>
      </c>
      <c r="D594" s="1126" t="s">
        <v>1211</v>
      </c>
    </row>
    <row r="595" spans="1:4" ht="38.25" x14ac:dyDescent="0.25">
      <c r="A595" s="1199">
        <v>594</v>
      </c>
      <c r="B595" s="1112" t="s">
        <v>2765</v>
      </c>
      <c r="D595" s="1126" t="s">
        <v>1212</v>
      </c>
    </row>
    <row r="596" spans="1:4" ht="21" x14ac:dyDescent="0.25">
      <c r="A596" s="1199">
        <v>595</v>
      </c>
      <c r="B596" s="1108" t="s">
        <v>2766</v>
      </c>
      <c r="D596" s="1126" t="s">
        <v>1213</v>
      </c>
    </row>
    <row r="597" spans="1:4" ht="21" x14ac:dyDescent="0.25">
      <c r="A597" s="1199">
        <v>596</v>
      </c>
      <c r="B597" s="1108" t="s">
        <v>2767</v>
      </c>
      <c r="D597" s="1126" t="s">
        <v>1214</v>
      </c>
    </row>
    <row r="598" spans="1:4" ht="25.5" x14ac:dyDescent="0.25">
      <c r="A598" s="1199">
        <v>597</v>
      </c>
      <c r="B598" s="1250" t="s">
        <v>2768</v>
      </c>
      <c r="D598" s="1126" t="s">
        <v>1215</v>
      </c>
    </row>
    <row r="599" spans="1:4" x14ac:dyDescent="0.25">
      <c r="A599" s="1199">
        <v>598</v>
      </c>
      <c r="B599" s="1112" t="s">
        <v>2769</v>
      </c>
      <c r="D599" s="1126" t="s">
        <v>1216</v>
      </c>
    </row>
    <row r="600" spans="1:4" ht="22.5" x14ac:dyDescent="0.25">
      <c r="A600" s="1199">
        <v>599</v>
      </c>
      <c r="B600" s="1109" t="s">
        <v>2770</v>
      </c>
      <c r="D600" s="1126" t="s">
        <v>1217</v>
      </c>
    </row>
    <row r="601" spans="1:4" ht="25.5" x14ac:dyDescent="0.25">
      <c r="A601" s="1199">
        <v>600</v>
      </c>
      <c r="B601" s="1112" t="s">
        <v>2771</v>
      </c>
      <c r="D601" s="1126" t="s">
        <v>1219</v>
      </c>
    </row>
    <row r="602" spans="1:4" ht="22.5" x14ac:dyDescent="0.25">
      <c r="A602" s="1199">
        <v>601</v>
      </c>
      <c r="B602" s="1109" t="s">
        <v>2772</v>
      </c>
      <c r="D602" s="1126" t="s">
        <v>1220</v>
      </c>
    </row>
    <row r="603" spans="1:4" ht="45" x14ac:dyDescent="0.25">
      <c r="A603" s="1199">
        <v>602</v>
      </c>
      <c r="B603" s="1109" t="s">
        <v>2773</v>
      </c>
      <c r="D603" s="1126" t="s">
        <v>1221</v>
      </c>
    </row>
    <row r="604" spans="1:4" ht="32.25" thickBot="1" x14ac:dyDescent="0.3">
      <c r="A604" s="1199">
        <v>603</v>
      </c>
      <c r="B604" s="1108" t="s">
        <v>2774</v>
      </c>
      <c r="D604" s="1126" t="s">
        <v>1222</v>
      </c>
    </row>
    <row r="605" spans="1:4" x14ac:dyDescent="0.25">
      <c r="A605" s="1199">
        <v>604</v>
      </c>
      <c r="B605" s="1217" t="s">
        <v>2775</v>
      </c>
      <c r="D605" s="1126" t="s">
        <v>1223</v>
      </c>
    </row>
    <row r="606" spans="1:4" ht="15.75" x14ac:dyDescent="0.25">
      <c r="A606" s="1199">
        <v>605</v>
      </c>
      <c r="B606" s="1110" t="s">
        <v>2776</v>
      </c>
      <c r="D606" s="1126" t="s">
        <v>1224</v>
      </c>
    </row>
    <row r="607" spans="1:4" x14ac:dyDescent="0.25">
      <c r="A607" s="1199">
        <v>606</v>
      </c>
      <c r="B607" s="1125" t="s">
        <v>2777</v>
      </c>
      <c r="D607" s="1126" t="s">
        <v>1225</v>
      </c>
    </row>
    <row r="608" spans="1:4" ht="42" x14ac:dyDescent="0.25">
      <c r="A608" s="1199">
        <v>607</v>
      </c>
      <c r="B608" s="1108" t="s">
        <v>2778</v>
      </c>
      <c r="D608" s="1126" t="s">
        <v>1226</v>
      </c>
    </row>
    <row r="609" spans="1:4" ht="21" x14ac:dyDescent="0.25">
      <c r="A609" s="1199">
        <v>608</v>
      </c>
      <c r="B609" s="1108" t="s">
        <v>2779</v>
      </c>
      <c r="D609" s="1126" t="s">
        <v>1227</v>
      </c>
    </row>
    <row r="610" spans="1:4" ht="25.5" x14ac:dyDescent="0.25">
      <c r="A610" s="1199">
        <v>609</v>
      </c>
      <c r="B610" s="1112" t="s">
        <v>2780</v>
      </c>
      <c r="D610" s="1126" t="s">
        <v>1228</v>
      </c>
    </row>
    <row r="611" spans="1:4" ht="22.5" x14ac:dyDescent="0.25">
      <c r="A611" s="1199">
        <v>610</v>
      </c>
      <c r="B611" s="1109" t="s">
        <v>2781</v>
      </c>
      <c r="D611" s="1126" t="s">
        <v>1229</v>
      </c>
    </row>
    <row r="612" spans="1:4" ht="25.5" x14ac:dyDescent="0.25">
      <c r="A612" s="1199">
        <v>611</v>
      </c>
      <c r="B612" s="1112" t="s">
        <v>2782</v>
      </c>
      <c r="D612" s="1126" t="s">
        <v>1230</v>
      </c>
    </row>
    <row r="613" spans="1:4" ht="22.5" x14ac:dyDescent="0.25">
      <c r="A613" s="1199">
        <v>612</v>
      </c>
      <c r="B613" s="1109" t="s">
        <v>2783</v>
      </c>
      <c r="D613" s="1126" t="s">
        <v>1231</v>
      </c>
    </row>
    <row r="614" spans="1:4" x14ac:dyDescent="0.25">
      <c r="A614" s="1199">
        <v>613</v>
      </c>
      <c r="B614" s="1150" t="s">
        <v>2784</v>
      </c>
      <c r="D614" s="1126" t="s">
        <v>1918</v>
      </c>
    </row>
    <row r="615" spans="1:4" ht="25.5" x14ac:dyDescent="0.25">
      <c r="A615" s="1199">
        <v>614</v>
      </c>
      <c r="B615" s="1112" t="s">
        <v>2785</v>
      </c>
      <c r="D615" s="1126" t="s">
        <v>1232</v>
      </c>
    </row>
    <row r="616" spans="1:4" x14ac:dyDescent="0.25">
      <c r="A616" s="1199">
        <v>615</v>
      </c>
      <c r="B616" s="1249" t="s">
        <v>2786</v>
      </c>
      <c r="D616" s="1126" t="s">
        <v>1233</v>
      </c>
    </row>
    <row r="617" spans="1:4" ht="22.5" x14ac:dyDescent="0.25">
      <c r="A617" s="1199">
        <v>616</v>
      </c>
      <c r="B617" s="1109" t="s">
        <v>2787</v>
      </c>
      <c r="D617" s="1126" t="s">
        <v>1234</v>
      </c>
    </row>
    <row r="618" spans="1:4" x14ac:dyDescent="0.25">
      <c r="A618" s="1199">
        <v>617</v>
      </c>
      <c r="B618" s="1150" t="s">
        <v>2788</v>
      </c>
      <c r="D618" s="1126" t="s">
        <v>1235</v>
      </c>
    </row>
    <row r="619" spans="1:4" x14ac:dyDescent="0.25">
      <c r="A619" s="1199">
        <v>618</v>
      </c>
      <c r="B619" s="1218" t="s">
        <v>2789</v>
      </c>
      <c r="D619" s="1126" t="s">
        <v>1236</v>
      </c>
    </row>
    <row r="620" spans="1:4" x14ac:dyDescent="0.25">
      <c r="A620" s="1199">
        <v>619</v>
      </c>
      <c r="B620" s="1219" t="s">
        <v>2790</v>
      </c>
      <c r="D620" s="1126" t="s">
        <v>1237</v>
      </c>
    </row>
    <row r="621" spans="1:4" x14ac:dyDescent="0.25">
      <c r="A621" s="1199">
        <v>620</v>
      </c>
      <c r="B621" s="1118" t="s">
        <v>2791</v>
      </c>
      <c r="D621" s="1126" t="s">
        <v>1238</v>
      </c>
    </row>
    <row r="622" spans="1:4" x14ac:dyDescent="0.25">
      <c r="A622" s="1199">
        <v>621</v>
      </c>
      <c r="B622" s="1250" t="s">
        <v>2792</v>
      </c>
      <c r="D622" s="1126" t="s">
        <v>1239</v>
      </c>
    </row>
    <row r="623" spans="1:4" x14ac:dyDescent="0.25">
      <c r="A623" s="1199">
        <v>622</v>
      </c>
      <c r="B623" s="1112" t="s">
        <v>2793</v>
      </c>
      <c r="D623" s="1126" t="s">
        <v>1240</v>
      </c>
    </row>
    <row r="624" spans="1:4" ht="22.5" x14ac:dyDescent="0.25">
      <c r="A624" s="1199">
        <v>623</v>
      </c>
      <c r="B624" s="1109" t="s">
        <v>2794</v>
      </c>
      <c r="D624" s="1126" t="s">
        <v>1241</v>
      </c>
    </row>
    <row r="625" spans="1:4" x14ac:dyDescent="0.25">
      <c r="A625" s="1199">
        <v>624</v>
      </c>
      <c r="B625" s="1112" t="s">
        <v>2795</v>
      </c>
      <c r="D625" s="1126" t="s">
        <v>1242</v>
      </c>
    </row>
    <row r="626" spans="1:4" x14ac:dyDescent="0.25">
      <c r="A626" s="1199">
        <v>625</v>
      </c>
      <c r="B626" s="1118" t="s">
        <v>2796</v>
      </c>
      <c r="D626" s="1126" t="s">
        <v>1245</v>
      </c>
    </row>
    <row r="627" spans="1:4" x14ac:dyDescent="0.25">
      <c r="A627" s="1199">
        <v>626</v>
      </c>
      <c r="B627" s="1250" t="s">
        <v>2797</v>
      </c>
      <c r="D627" s="1126" t="s">
        <v>1246</v>
      </c>
    </row>
    <row r="628" spans="1:4" ht="25.5" x14ac:dyDescent="0.25">
      <c r="A628" s="1199">
        <v>627</v>
      </c>
      <c r="B628" s="1112" t="s">
        <v>2798</v>
      </c>
      <c r="D628" s="1126" t="s">
        <v>1247</v>
      </c>
    </row>
    <row r="629" spans="1:4" ht="22.5" x14ac:dyDescent="0.25">
      <c r="A629" s="1199">
        <v>628</v>
      </c>
      <c r="B629" s="1109" t="s">
        <v>2799</v>
      </c>
      <c r="D629" s="1126" t="s">
        <v>1248</v>
      </c>
    </row>
    <row r="630" spans="1:4" x14ac:dyDescent="0.25">
      <c r="A630" s="1199">
        <v>629</v>
      </c>
      <c r="B630" s="1150" t="s">
        <v>2800</v>
      </c>
      <c r="D630" s="1126" t="s">
        <v>1249</v>
      </c>
    </row>
    <row r="631" spans="1:4" ht="25.5" x14ac:dyDescent="0.25">
      <c r="A631" s="1199">
        <v>630</v>
      </c>
      <c r="B631" s="1112" t="s">
        <v>2801</v>
      </c>
      <c r="D631" s="1126" t="s">
        <v>1250</v>
      </c>
    </row>
    <row r="632" spans="1:4" ht="22.5" x14ac:dyDescent="0.25">
      <c r="A632" s="1199">
        <v>631</v>
      </c>
      <c r="B632" s="1109" t="s">
        <v>2802</v>
      </c>
      <c r="D632" s="1126" t="s">
        <v>1251</v>
      </c>
    </row>
    <row r="633" spans="1:4" ht="25.5" x14ac:dyDescent="0.25">
      <c r="A633" s="1199">
        <v>632</v>
      </c>
      <c r="B633" s="1118" t="s">
        <v>2803</v>
      </c>
      <c r="D633" s="1126" t="s">
        <v>1252</v>
      </c>
    </row>
    <row r="634" spans="1:4" x14ac:dyDescent="0.25">
      <c r="A634" s="1199">
        <v>633</v>
      </c>
      <c r="B634" s="1154" t="s">
        <v>2804</v>
      </c>
      <c r="D634" s="1126" t="s">
        <v>1253</v>
      </c>
    </row>
    <row r="635" spans="1:4" x14ac:dyDescent="0.25">
      <c r="A635" s="1199">
        <v>634</v>
      </c>
      <c r="B635" s="1112" t="s">
        <v>2805</v>
      </c>
      <c r="D635" s="1126" t="s">
        <v>1254</v>
      </c>
    </row>
    <row r="636" spans="1:4" x14ac:dyDescent="0.25">
      <c r="A636" s="1199">
        <v>635</v>
      </c>
      <c r="B636" s="1250" t="s">
        <v>2806</v>
      </c>
      <c r="D636" s="1126" t="s">
        <v>1255</v>
      </c>
    </row>
    <row r="637" spans="1:4" ht="25.5" x14ac:dyDescent="0.25">
      <c r="A637" s="1199">
        <v>636</v>
      </c>
      <c r="B637" s="1112" t="s">
        <v>2807</v>
      </c>
      <c r="D637" s="1126" t="s">
        <v>1256</v>
      </c>
    </row>
    <row r="638" spans="1:4" ht="22.5" x14ac:dyDescent="0.25">
      <c r="A638" s="1199">
        <v>637</v>
      </c>
      <c r="B638" s="1109" t="s">
        <v>2808</v>
      </c>
      <c r="D638" s="1126" t="s">
        <v>1257</v>
      </c>
    </row>
    <row r="639" spans="1:4" ht="33.75" x14ac:dyDescent="0.25">
      <c r="A639" s="1199">
        <v>638</v>
      </c>
      <c r="B639" s="1109" t="s">
        <v>2809</v>
      </c>
      <c r="D639" s="1126" t="s">
        <v>1258</v>
      </c>
    </row>
    <row r="640" spans="1:4" ht="25.5" x14ac:dyDescent="0.25">
      <c r="A640" s="1199">
        <v>639</v>
      </c>
      <c r="B640" s="1267" t="s">
        <v>2810</v>
      </c>
      <c r="D640" s="1126" t="s">
        <v>1259</v>
      </c>
    </row>
    <row r="641" spans="1:4" x14ac:dyDescent="0.25">
      <c r="A641" s="1199">
        <v>640</v>
      </c>
      <c r="B641" s="1112" t="s">
        <v>2811</v>
      </c>
      <c r="D641" s="1126" t="s">
        <v>1261</v>
      </c>
    </row>
    <row r="642" spans="1:4" ht="22.5" x14ac:dyDescent="0.25">
      <c r="A642" s="1199">
        <v>641</v>
      </c>
      <c r="B642" s="1109" t="s">
        <v>2812</v>
      </c>
      <c r="D642" s="1126" t="s">
        <v>1262</v>
      </c>
    </row>
    <row r="643" spans="1:4" x14ac:dyDescent="0.25">
      <c r="A643" s="1199">
        <v>642</v>
      </c>
      <c r="B643" s="1250" t="s">
        <v>2813</v>
      </c>
      <c r="D643" s="1126" t="s">
        <v>1263</v>
      </c>
    </row>
    <row r="644" spans="1:4" x14ac:dyDescent="0.25">
      <c r="A644" s="1199">
        <v>643</v>
      </c>
      <c r="B644" s="1250" t="s">
        <v>2814</v>
      </c>
      <c r="D644" s="1126" t="s">
        <v>1264</v>
      </c>
    </row>
    <row r="645" spans="1:4" x14ac:dyDescent="0.25">
      <c r="A645" s="1199">
        <v>644</v>
      </c>
      <c r="B645" s="1125" t="s">
        <v>2815</v>
      </c>
      <c r="D645" s="1126" t="s">
        <v>1266</v>
      </c>
    </row>
    <row r="646" spans="1:4" x14ac:dyDescent="0.25">
      <c r="A646" s="1199">
        <v>645</v>
      </c>
      <c r="B646" s="1112" t="s">
        <v>2816</v>
      </c>
      <c r="D646" s="1126" t="s">
        <v>1267</v>
      </c>
    </row>
    <row r="647" spans="1:4" ht="45" x14ac:dyDescent="0.25">
      <c r="A647" s="1199">
        <v>646</v>
      </c>
      <c r="B647" s="1109" t="s">
        <v>2817</v>
      </c>
      <c r="D647" s="1126" t="s">
        <v>1268</v>
      </c>
    </row>
    <row r="648" spans="1:4" x14ac:dyDescent="0.25">
      <c r="A648" s="1199">
        <v>647</v>
      </c>
      <c r="B648" s="1112" t="s">
        <v>2818</v>
      </c>
      <c r="D648" s="1126" t="s">
        <v>1269</v>
      </c>
    </row>
    <row r="649" spans="1:4" ht="22.5" x14ac:dyDescent="0.25">
      <c r="A649" s="1199">
        <v>648</v>
      </c>
      <c r="B649" s="1109" t="s">
        <v>2819</v>
      </c>
      <c r="D649" s="1126" t="s">
        <v>1270</v>
      </c>
    </row>
    <row r="650" spans="1:4" x14ac:dyDescent="0.25">
      <c r="A650" s="1199">
        <v>649</v>
      </c>
      <c r="B650" s="1159" t="s">
        <v>2820</v>
      </c>
      <c r="D650" s="1126" t="s">
        <v>1271</v>
      </c>
    </row>
    <row r="651" spans="1:4" x14ac:dyDescent="0.25">
      <c r="A651" s="1199">
        <v>650</v>
      </c>
      <c r="B651" s="1159" t="s">
        <v>2821</v>
      </c>
      <c r="D651" s="1126" t="s">
        <v>1272</v>
      </c>
    </row>
    <row r="652" spans="1:4" x14ac:dyDescent="0.25">
      <c r="A652" s="1199">
        <v>651</v>
      </c>
      <c r="B652" s="1150" t="s">
        <v>2822</v>
      </c>
      <c r="D652" s="1126" t="s">
        <v>1273</v>
      </c>
    </row>
    <row r="653" spans="1:4" x14ac:dyDescent="0.25">
      <c r="A653" s="1199">
        <v>652</v>
      </c>
      <c r="B653" s="1159" t="s">
        <v>2823</v>
      </c>
      <c r="D653" s="1126" t="s">
        <v>1274</v>
      </c>
    </row>
    <row r="654" spans="1:4" ht="25.5" x14ac:dyDescent="0.25">
      <c r="A654" s="1199">
        <v>653</v>
      </c>
      <c r="B654" s="1150" t="s">
        <v>2824</v>
      </c>
      <c r="D654" s="1126" t="s">
        <v>1275</v>
      </c>
    </row>
    <row r="655" spans="1:4" x14ac:dyDescent="0.25">
      <c r="A655" s="1199">
        <v>654</v>
      </c>
      <c r="B655" s="1159" t="s">
        <v>2825</v>
      </c>
      <c r="D655" s="1126" t="s">
        <v>1276</v>
      </c>
    </row>
    <row r="656" spans="1:4" ht="25.5" x14ac:dyDescent="0.25">
      <c r="A656" s="1199">
        <v>655</v>
      </c>
      <c r="B656" s="1150" t="s">
        <v>2826</v>
      </c>
      <c r="D656" s="1126" t="s">
        <v>1277</v>
      </c>
    </row>
    <row r="657" spans="1:4" x14ac:dyDescent="0.25">
      <c r="A657" s="1199">
        <v>656</v>
      </c>
      <c r="B657" s="1159" t="s">
        <v>2827</v>
      </c>
      <c r="D657" s="1126" t="s">
        <v>1278</v>
      </c>
    </row>
    <row r="658" spans="1:4" x14ac:dyDescent="0.25">
      <c r="A658" s="1199">
        <v>657</v>
      </c>
      <c r="B658" s="1150" t="s">
        <v>2828</v>
      </c>
      <c r="D658" s="1126" t="s">
        <v>1279</v>
      </c>
    </row>
    <row r="659" spans="1:4" x14ac:dyDescent="0.25">
      <c r="A659" s="1199">
        <v>658</v>
      </c>
      <c r="B659" s="1159" t="s">
        <v>2829</v>
      </c>
      <c r="D659" s="1126" t="s">
        <v>1280</v>
      </c>
    </row>
    <row r="660" spans="1:4" ht="25.5" x14ac:dyDescent="0.25">
      <c r="A660" s="1199">
        <v>659</v>
      </c>
      <c r="B660" s="1150" t="s">
        <v>2830</v>
      </c>
      <c r="D660" s="1126" t="s">
        <v>1281</v>
      </c>
    </row>
    <row r="661" spans="1:4" x14ac:dyDescent="0.25">
      <c r="A661" s="1199">
        <v>660</v>
      </c>
      <c r="B661" s="1159" t="s">
        <v>2831</v>
      </c>
      <c r="D661" s="1126" t="s">
        <v>1282</v>
      </c>
    </row>
    <row r="662" spans="1:4" ht="15.75" thickBot="1" x14ac:dyDescent="0.3">
      <c r="A662" s="1199">
        <v>661</v>
      </c>
      <c r="B662" s="1250" t="s">
        <v>2832</v>
      </c>
      <c r="D662" s="1126" t="s">
        <v>1283</v>
      </c>
    </row>
    <row r="663" spans="1:4" x14ac:dyDescent="0.25">
      <c r="A663" s="1199">
        <v>662</v>
      </c>
      <c r="B663" s="1164" t="s">
        <v>2833</v>
      </c>
      <c r="D663" s="1126" t="s">
        <v>1284</v>
      </c>
    </row>
    <row r="664" spans="1:4" ht="72" x14ac:dyDescent="0.25">
      <c r="A664" s="1199">
        <v>663</v>
      </c>
      <c r="B664" s="1111" t="s">
        <v>2834</v>
      </c>
      <c r="D664" s="1126" t="s">
        <v>1285</v>
      </c>
    </row>
    <row r="665" spans="1:4" ht="25.5" x14ac:dyDescent="0.25">
      <c r="A665" s="1199">
        <v>664</v>
      </c>
      <c r="B665" s="1260" t="s">
        <v>2835</v>
      </c>
      <c r="D665" s="1126" t="s">
        <v>1286</v>
      </c>
    </row>
    <row r="666" spans="1:4" ht="31.5" x14ac:dyDescent="0.25">
      <c r="A666" s="1199">
        <v>665</v>
      </c>
      <c r="B666" s="1110" t="s">
        <v>2836</v>
      </c>
      <c r="D666" s="1126" t="s">
        <v>1400</v>
      </c>
    </row>
    <row r="667" spans="1:4" x14ac:dyDescent="0.25">
      <c r="A667" s="1199">
        <v>666</v>
      </c>
      <c r="B667" s="1248" t="s">
        <v>2837</v>
      </c>
      <c r="D667" s="1126" t="s">
        <v>1402</v>
      </c>
    </row>
    <row r="668" spans="1:4" ht="21" x14ac:dyDescent="0.25">
      <c r="A668" s="1199">
        <v>667</v>
      </c>
      <c r="B668" s="1248" t="s">
        <v>2838</v>
      </c>
      <c r="D668" s="1126" t="s">
        <v>1288</v>
      </c>
    </row>
    <row r="669" spans="1:4" ht="21" x14ac:dyDescent="0.25">
      <c r="A669" s="1199">
        <v>668</v>
      </c>
      <c r="B669" s="1248" t="s">
        <v>2839</v>
      </c>
      <c r="D669" s="1126" t="s">
        <v>1289</v>
      </c>
    </row>
    <row r="670" spans="1:4" x14ac:dyDescent="0.25">
      <c r="A670" s="1199">
        <v>669</v>
      </c>
      <c r="B670" s="1112" t="s">
        <v>2840</v>
      </c>
      <c r="D670" s="1126" t="s">
        <v>1484</v>
      </c>
    </row>
    <row r="671" spans="1:4" ht="22.5" x14ac:dyDescent="0.25">
      <c r="A671" s="1199">
        <v>670</v>
      </c>
      <c r="B671" s="1109" t="s">
        <v>2841</v>
      </c>
      <c r="D671" s="1126" t="s">
        <v>1290</v>
      </c>
    </row>
    <row r="672" spans="1:4" ht="22.5" x14ac:dyDescent="0.25">
      <c r="A672" s="1199">
        <v>671</v>
      </c>
      <c r="B672" s="1109" t="s">
        <v>2842</v>
      </c>
      <c r="D672" s="1126" t="s">
        <v>1291</v>
      </c>
    </row>
    <row r="673" spans="1:4" ht="22.5" x14ac:dyDescent="0.25">
      <c r="A673" s="1199">
        <v>672</v>
      </c>
      <c r="B673" s="1109" t="s">
        <v>2843</v>
      </c>
      <c r="D673" s="1126" t="s">
        <v>1292</v>
      </c>
    </row>
    <row r="674" spans="1:4" ht="56.25" x14ac:dyDescent="0.25">
      <c r="A674" s="1199">
        <v>673</v>
      </c>
      <c r="B674" s="1109" t="s">
        <v>2844</v>
      </c>
      <c r="D674" s="1126" t="s">
        <v>1293</v>
      </c>
    </row>
    <row r="675" spans="1:4" ht="33.75" x14ac:dyDescent="0.25">
      <c r="A675" s="1199">
        <v>674</v>
      </c>
      <c r="B675" s="1109" t="s">
        <v>2845</v>
      </c>
      <c r="D675" s="1126" t="s">
        <v>1406</v>
      </c>
    </row>
    <row r="676" spans="1:4" x14ac:dyDescent="0.25">
      <c r="A676" s="1199">
        <v>675</v>
      </c>
      <c r="B676" s="1150" t="s">
        <v>2846</v>
      </c>
      <c r="D676" s="1126" t="s">
        <v>1344</v>
      </c>
    </row>
    <row r="677" spans="1:4" x14ac:dyDescent="0.25">
      <c r="A677" s="1199">
        <v>676</v>
      </c>
      <c r="B677" s="1165" t="s">
        <v>2847</v>
      </c>
      <c r="D677" s="1126" t="s">
        <v>1345</v>
      </c>
    </row>
    <row r="678" spans="1:4" x14ac:dyDescent="0.25">
      <c r="A678" s="1199">
        <v>677</v>
      </c>
      <c r="B678" s="1165" t="s">
        <v>2848</v>
      </c>
      <c r="D678" s="1126" t="s">
        <v>1346</v>
      </c>
    </row>
    <row r="679" spans="1:4" x14ac:dyDescent="0.25">
      <c r="A679" s="1199">
        <v>678</v>
      </c>
      <c r="B679" s="1112" t="s">
        <v>2849</v>
      </c>
      <c r="D679" s="1126" t="s">
        <v>1347</v>
      </c>
    </row>
    <row r="680" spans="1:4" ht="33.75" x14ac:dyDescent="0.25">
      <c r="A680" s="1199">
        <v>679</v>
      </c>
      <c r="B680" s="1109" t="s">
        <v>2850</v>
      </c>
      <c r="D680" s="1126" t="s">
        <v>1294</v>
      </c>
    </row>
    <row r="681" spans="1:4" x14ac:dyDescent="0.25">
      <c r="A681" s="1199">
        <v>680</v>
      </c>
      <c r="B681" s="1125" t="s">
        <v>2851</v>
      </c>
      <c r="D681" s="1126" t="s">
        <v>1348</v>
      </c>
    </row>
    <row r="682" spans="1:4" x14ac:dyDescent="0.25">
      <c r="A682" s="1199">
        <v>681</v>
      </c>
      <c r="B682" s="1112" t="s">
        <v>2852</v>
      </c>
      <c r="D682" s="1126" t="s">
        <v>1349</v>
      </c>
    </row>
    <row r="683" spans="1:4" ht="33.75" x14ac:dyDescent="0.25">
      <c r="A683" s="1199">
        <v>682</v>
      </c>
      <c r="B683" s="1109" t="s">
        <v>2853</v>
      </c>
      <c r="D683" s="1126" t="s">
        <v>1295</v>
      </c>
    </row>
    <row r="684" spans="1:4" ht="22.5" x14ac:dyDescent="0.25">
      <c r="A684" s="1199">
        <v>683</v>
      </c>
      <c r="B684" s="1109" t="s">
        <v>2854</v>
      </c>
      <c r="D684" s="1126" t="s">
        <v>1296</v>
      </c>
    </row>
    <row r="685" spans="1:4" ht="56.25" x14ac:dyDescent="0.25">
      <c r="A685" s="1199">
        <v>684</v>
      </c>
      <c r="B685" s="1109" t="s">
        <v>2855</v>
      </c>
      <c r="D685" s="1126" t="s">
        <v>1297</v>
      </c>
    </row>
    <row r="686" spans="1:4" x14ac:dyDescent="0.25">
      <c r="A686" s="1199">
        <v>685</v>
      </c>
      <c r="B686" s="1150" t="s">
        <v>2856</v>
      </c>
      <c r="D686" s="1126" t="s">
        <v>1692</v>
      </c>
    </row>
    <row r="687" spans="1:4" x14ac:dyDescent="0.25">
      <c r="A687" s="1199">
        <v>686</v>
      </c>
      <c r="B687" s="1142" t="s">
        <v>2857</v>
      </c>
      <c r="D687" s="1126" t="s">
        <v>1865</v>
      </c>
    </row>
    <row r="688" spans="1:4" x14ac:dyDescent="0.25">
      <c r="A688" s="1199">
        <v>687</v>
      </c>
      <c r="B688" s="1143" t="s">
        <v>2858</v>
      </c>
      <c r="D688" s="1126" t="s">
        <v>1350</v>
      </c>
    </row>
    <row r="689" spans="1:4" x14ac:dyDescent="0.25">
      <c r="A689" s="1199">
        <v>688</v>
      </c>
      <c r="B689" s="1267" t="s">
        <v>2859</v>
      </c>
      <c r="D689" s="1126" t="s">
        <v>1847</v>
      </c>
    </row>
    <row r="690" spans="1:4" x14ac:dyDescent="0.25">
      <c r="A690" s="1199">
        <v>689</v>
      </c>
      <c r="B690" s="1142" t="s">
        <v>2860</v>
      </c>
      <c r="D690" s="1126" t="s">
        <v>1695</v>
      </c>
    </row>
    <row r="691" spans="1:4" x14ac:dyDescent="0.25">
      <c r="A691" s="1199">
        <v>690</v>
      </c>
      <c r="B691" s="1145" t="s">
        <v>2861</v>
      </c>
      <c r="D691" s="1126" t="s">
        <v>1351</v>
      </c>
    </row>
    <row r="692" spans="1:4" x14ac:dyDescent="0.25">
      <c r="A692" s="1199">
        <v>691</v>
      </c>
      <c r="B692" s="1112" t="s">
        <v>2862</v>
      </c>
      <c r="D692" s="1126" t="s">
        <v>1352</v>
      </c>
    </row>
    <row r="693" spans="1:4" ht="22.5" x14ac:dyDescent="0.25">
      <c r="A693" s="1199">
        <v>692</v>
      </c>
      <c r="B693" s="1109" t="s">
        <v>2863</v>
      </c>
      <c r="D693" s="1126" t="s">
        <v>1298</v>
      </c>
    </row>
    <row r="694" spans="1:4" ht="33.75" x14ac:dyDescent="0.25">
      <c r="A694" s="1199">
        <v>693</v>
      </c>
      <c r="B694" s="1109" t="s">
        <v>2864</v>
      </c>
      <c r="D694" s="1126" t="s">
        <v>1299</v>
      </c>
    </row>
    <row r="695" spans="1:4" ht="33.75" x14ac:dyDescent="0.25">
      <c r="A695" s="1199">
        <v>694</v>
      </c>
      <c r="B695" s="1109" t="s">
        <v>2865</v>
      </c>
      <c r="D695" s="1126" t="s">
        <v>1300</v>
      </c>
    </row>
    <row r="696" spans="1:4" ht="22.5" x14ac:dyDescent="0.25">
      <c r="A696" s="1199">
        <v>695</v>
      </c>
      <c r="B696" s="1109" t="s">
        <v>2866</v>
      </c>
      <c r="D696" s="1126" t="s">
        <v>1301</v>
      </c>
    </row>
    <row r="697" spans="1:4" x14ac:dyDescent="0.25">
      <c r="A697" s="1199">
        <v>696</v>
      </c>
      <c r="B697" s="1159" t="s">
        <v>2867</v>
      </c>
      <c r="D697" s="1126" t="s">
        <v>1353</v>
      </c>
    </row>
    <row r="698" spans="1:4" x14ac:dyDescent="0.25">
      <c r="A698" s="1199">
        <v>697</v>
      </c>
      <c r="B698" s="1152" t="s">
        <v>2868</v>
      </c>
      <c r="D698" s="1126" t="s">
        <v>1354</v>
      </c>
    </row>
    <row r="699" spans="1:4" x14ac:dyDescent="0.25">
      <c r="A699" s="1199">
        <v>698</v>
      </c>
      <c r="B699" s="1145" t="s">
        <v>2869</v>
      </c>
      <c r="D699" s="1126" t="s">
        <v>1302</v>
      </c>
    </row>
    <row r="700" spans="1:4" x14ac:dyDescent="0.25">
      <c r="A700" s="1199">
        <v>699</v>
      </c>
      <c r="B700" s="1125" t="s">
        <v>2870</v>
      </c>
      <c r="D700" s="1126" t="s">
        <v>1487</v>
      </c>
    </row>
    <row r="701" spans="1:4" ht="25.5" x14ac:dyDescent="0.25">
      <c r="A701" s="1199">
        <v>700</v>
      </c>
      <c r="B701" s="1112" t="s">
        <v>2871</v>
      </c>
      <c r="D701" s="1126" t="s">
        <v>1356</v>
      </c>
    </row>
    <row r="702" spans="1:4" ht="56.25" x14ac:dyDescent="0.25">
      <c r="A702" s="1199">
        <v>701</v>
      </c>
      <c r="B702" s="1109" t="s">
        <v>2872</v>
      </c>
      <c r="D702" s="1126" t="s">
        <v>1303</v>
      </c>
    </row>
    <row r="703" spans="1:4" ht="33.75" x14ac:dyDescent="0.25">
      <c r="A703" s="1199">
        <v>702</v>
      </c>
      <c r="B703" s="1109" t="s">
        <v>2873</v>
      </c>
      <c r="D703" s="1126" t="s">
        <v>1409</v>
      </c>
    </row>
    <row r="704" spans="1:4" x14ac:dyDescent="0.25">
      <c r="A704" s="1199">
        <v>703</v>
      </c>
      <c r="B704" s="1109" t="s">
        <v>2874</v>
      </c>
      <c r="D704" s="1126" t="s">
        <v>1410</v>
      </c>
    </row>
    <row r="705" spans="1:4" x14ac:dyDescent="0.25">
      <c r="A705" s="1199">
        <v>704</v>
      </c>
      <c r="B705" s="1249" t="s">
        <v>2875</v>
      </c>
      <c r="D705" s="1126" t="s">
        <v>1411</v>
      </c>
    </row>
    <row r="706" spans="1:4" ht="25.5" x14ac:dyDescent="0.25">
      <c r="A706" s="1199">
        <v>705</v>
      </c>
      <c r="B706" s="1112" t="s">
        <v>2876</v>
      </c>
      <c r="D706" s="1126" t="s">
        <v>1357</v>
      </c>
    </row>
    <row r="707" spans="1:4" x14ac:dyDescent="0.25">
      <c r="A707" s="1199">
        <v>706</v>
      </c>
      <c r="B707" s="1116" t="s">
        <v>2877</v>
      </c>
      <c r="D707" s="1126" t="s">
        <v>1358</v>
      </c>
    </row>
    <row r="708" spans="1:4" x14ac:dyDescent="0.25">
      <c r="A708" s="1199">
        <v>707</v>
      </c>
      <c r="B708" s="1115" t="s">
        <v>2878</v>
      </c>
      <c r="D708" s="1126" t="s">
        <v>1492</v>
      </c>
    </row>
    <row r="709" spans="1:4" ht="30" x14ac:dyDescent="0.25">
      <c r="A709" s="1199">
        <v>708</v>
      </c>
      <c r="B709" s="1166" t="s">
        <v>2879</v>
      </c>
      <c r="D709" s="1126" t="s">
        <v>1472</v>
      </c>
    </row>
    <row r="710" spans="1:4" ht="51" x14ac:dyDescent="0.25">
      <c r="A710" s="1199">
        <v>709</v>
      </c>
      <c r="B710" s="1260" t="s">
        <v>2880</v>
      </c>
      <c r="D710" s="1126" t="s">
        <v>1414</v>
      </c>
    </row>
    <row r="711" spans="1:4" ht="51" x14ac:dyDescent="0.25">
      <c r="A711" s="1199">
        <v>710</v>
      </c>
      <c r="B711" s="1260" t="s">
        <v>2881</v>
      </c>
      <c r="D711" s="1126" t="s">
        <v>1415</v>
      </c>
    </row>
    <row r="712" spans="1:4" x14ac:dyDescent="0.25">
      <c r="A712" s="1199">
        <v>711</v>
      </c>
      <c r="B712" s="1260" t="s">
        <v>2882</v>
      </c>
      <c r="D712" s="1126" t="s">
        <v>1416</v>
      </c>
    </row>
    <row r="713" spans="1:4" x14ac:dyDescent="0.25">
      <c r="A713" s="1199">
        <v>712</v>
      </c>
      <c r="B713" s="196" t="s">
        <v>2192</v>
      </c>
      <c r="D713" s="1126" t="s">
        <v>1417</v>
      </c>
    </row>
    <row r="714" spans="1:4" x14ac:dyDescent="0.25">
      <c r="A714" s="1199">
        <v>713</v>
      </c>
      <c r="B714" s="1249" t="s">
        <v>2883</v>
      </c>
      <c r="D714" s="1126" t="s">
        <v>1418</v>
      </c>
    </row>
    <row r="715" spans="1:4" ht="25.5" x14ac:dyDescent="0.25">
      <c r="A715" s="1199">
        <v>714</v>
      </c>
      <c r="B715" s="1252" t="s">
        <v>2884</v>
      </c>
      <c r="D715" s="1126" t="s">
        <v>1359</v>
      </c>
    </row>
    <row r="716" spans="1:4" ht="21" x14ac:dyDescent="0.25">
      <c r="A716" s="1199">
        <v>715</v>
      </c>
      <c r="B716" s="1167" t="s">
        <v>2885</v>
      </c>
      <c r="D716" s="1126" t="s">
        <v>1460</v>
      </c>
    </row>
    <row r="717" spans="1:4" ht="33.75" x14ac:dyDescent="0.25">
      <c r="A717" s="1199">
        <v>716</v>
      </c>
      <c r="B717" s="1259" t="s">
        <v>2886</v>
      </c>
      <c r="D717" s="1126" t="s">
        <v>1304</v>
      </c>
    </row>
    <row r="718" spans="1:4" ht="45" x14ac:dyDescent="0.25">
      <c r="A718" s="1199">
        <v>717</v>
      </c>
      <c r="B718" s="1261" t="s">
        <v>2887</v>
      </c>
      <c r="D718" s="1126" t="s">
        <v>1305</v>
      </c>
    </row>
    <row r="719" spans="1:4" ht="56.25" x14ac:dyDescent="0.25">
      <c r="A719" s="1199">
        <v>718</v>
      </c>
      <c r="B719" s="1261" t="s">
        <v>2888</v>
      </c>
      <c r="D719" s="1126" t="s">
        <v>1306</v>
      </c>
    </row>
    <row r="720" spans="1:4" ht="22.5" x14ac:dyDescent="0.25">
      <c r="A720" s="1199">
        <v>719</v>
      </c>
      <c r="B720" s="1261" t="s">
        <v>2889</v>
      </c>
      <c r="D720" s="1126" t="s">
        <v>1307</v>
      </c>
    </row>
    <row r="721" spans="1:4" ht="56.25" x14ac:dyDescent="0.25">
      <c r="A721" s="1199">
        <v>720</v>
      </c>
      <c r="B721" s="1261" t="s">
        <v>2890</v>
      </c>
      <c r="D721" s="1126" t="s">
        <v>1308</v>
      </c>
    </row>
    <row r="722" spans="1:4" ht="45" x14ac:dyDescent="0.25">
      <c r="A722" s="1199">
        <v>721</v>
      </c>
      <c r="B722" s="1261" t="s">
        <v>2891</v>
      </c>
      <c r="D722" s="1126" t="s">
        <v>1309</v>
      </c>
    </row>
    <row r="723" spans="1:4" ht="33.75" x14ac:dyDescent="0.25">
      <c r="A723" s="1199">
        <v>722</v>
      </c>
      <c r="B723" s="1261" t="s">
        <v>2892</v>
      </c>
      <c r="D723" s="1126" t="s">
        <v>1310</v>
      </c>
    </row>
    <row r="724" spans="1:4" ht="33.75" x14ac:dyDescent="0.25">
      <c r="A724" s="1199">
        <v>723</v>
      </c>
      <c r="B724" s="1261" t="s">
        <v>2893</v>
      </c>
      <c r="D724" s="1126" t="s">
        <v>1311</v>
      </c>
    </row>
    <row r="725" spans="1:4" x14ac:dyDescent="0.25">
      <c r="A725" s="1199">
        <v>724</v>
      </c>
      <c r="B725" s="1168" t="s">
        <v>2894</v>
      </c>
      <c r="D725" s="1126" t="s">
        <v>1360</v>
      </c>
    </row>
    <row r="726" spans="1:4" x14ac:dyDescent="0.25">
      <c r="A726" s="1199">
        <v>725</v>
      </c>
      <c r="B726" s="1252" t="s">
        <v>2895</v>
      </c>
      <c r="D726" s="1126" t="s">
        <v>1475</v>
      </c>
    </row>
    <row r="727" spans="1:4" ht="45" x14ac:dyDescent="0.25">
      <c r="A727" s="1199">
        <v>726</v>
      </c>
      <c r="B727" s="1261" t="s">
        <v>2896</v>
      </c>
      <c r="D727" s="1126" t="s">
        <v>1312</v>
      </c>
    </row>
    <row r="728" spans="1:4" ht="33.75" x14ac:dyDescent="0.25">
      <c r="A728" s="1199">
        <v>727</v>
      </c>
      <c r="B728" s="1261" t="s">
        <v>2897</v>
      </c>
      <c r="D728" s="1126" t="s">
        <v>1313</v>
      </c>
    </row>
    <row r="729" spans="1:4" ht="22.5" x14ac:dyDescent="0.25">
      <c r="A729" s="1199">
        <v>728</v>
      </c>
      <c r="B729" s="1261" t="s">
        <v>2898</v>
      </c>
      <c r="D729" s="1126" t="s">
        <v>1426</v>
      </c>
    </row>
    <row r="730" spans="1:4" ht="21" x14ac:dyDescent="0.25">
      <c r="A730" s="1199">
        <v>729</v>
      </c>
      <c r="B730" s="1167" t="s">
        <v>2899</v>
      </c>
      <c r="D730" s="1126" t="s">
        <v>1429</v>
      </c>
    </row>
    <row r="731" spans="1:4" x14ac:dyDescent="0.25">
      <c r="A731" s="1199">
        <v>730</v>
      </c>
      <c r="B731" s="1169" t="s">
        <v>2900</v>
      </c>
      <c r="D731" s="1126" t="s">
        <v>1863</v>
      </c>
    </row>
    <row r="732" spans="1:4" x14ac:dyDescent="0.25">
      <c r="A732" s="1199">
        <v>731</v>
      </c>
      <c r="B732" s="1170" t="s">
        <v>2901</v>
      </c>
      <c r="D732" s="1126" t="s">
        <v>1864</v>
      </c>
    </row>
    <row r="733" spans="1:4" ht="25.5" x14ac:dyDescent="0.25">
      <c r="A733" s="1199">
        <v>732</v>
      </c>
      <c r="B733" s="1252" t="s">
        <v>2902</v>
      </c>
      <c r="D733" s="1126" t="s">
        <v>1361</v>
      </c>
    </row>
    <row r="734" spans="1:4" ht="52.5" x14ac:dyDescent="0.25">
      <c r="A734" s="1199">
        <v>733</v>
      </c>
      <c r="B734" s="1167" t="s">
        <v>2903</v>
      </c>
      <c r="D734" s="1126" t="s">
        <v>1314</v>
      </c>
    </row>
    <row r="735" spans="1:4" ht="33.75" x14ac:dyDescent="0.25">
      <c r="A735" s="1199">
        <v>734</v>
      </c>
      <c r="B735" s="1261" t="s">
        <v>2904</v>
      </c>
      <c r="D735" s="1126" t="s">
        <v>1315</v>
      </c>
    </row>
    <row r="736" spans="1:4" ht="56.25" x14ac:dyDescent="0.25">
      <c r="A736" s="1199">
        <v>735</v>
      </c>
      <c r="B736" s="1261" t="s">
        <v>2905</v>
      </c>
      <c r="D736" s="1126" t="s">
        <v>1316</v>
      </c>
    </row>
    <row r="737" spans="1:4" ht="101.25" x14ac:dyDescent="0.25">
      <c r="A737" s="1199">
        <v>736</v>
      </c>
      <c r="B737" s="1261" t="s">
        <v>2906</v>
      </c>
      <c r="D737" s="1126" t="s">
        <v>1317</v>
      </c>
    </row>
    <row r="738" spans="1:4" ht="33.75" x14ac:dyDescent="0.25">
      <c r="A738" s="1199">
        <v>737</v>
      </c>
      <c r="B738" s="1261" t="s">
        <v>2907</v>
      </c>
      <c r="D738" s="1126" t="s">
        <v>1318</v>
      </c>
    </row>
    <row r="739" spans="1:4" x14ac:dyDescent="0.25">
      <c r="A739" s="1199">
        <v>738</v>
      </c>
      <c r="B739" s="1255" t="s">
        <v>2908</v>
      </c>
      <c r="D739" s="1126" t="s">
        <v>1362</v>
      </c>
    </row>
    <row r="740" spans="1:4" ht="33.75" x14ac:dyDescent="0.25">
      <c r="A740" s="1199">
        <v>739</v>
      </c>
      <c r="B740" s="1261" t="s">
        <v>2909</v>
      </c>
      <c r="D740" s="1126" t="s">
        <v>1319</v>
      </c>
    </row>
    <row r="741" spans="1:4" x14ac:dyDescent="0.25">
      <c r="A741" s="1199">
        <v>740</v>
      </c>
      <c r="B741" s="1252" t="s">
        <v>2910</v>
      </c>
      <c r="D741" s="1126" t="s">
        <v>1363</v>
      </c>
    </row>
    <row r="742" spans="1:4" x14ac:dyDescent="0.25">
      <c r="A742" s="1199">
        <v>741</v>
      </c>
      <c r="B742" s="1168" t="s">
        <v>2911</v>
      </c>
      <c r="D742" s="1126" t="s">
        <v>1830</v>
      </c>
    </row>
    <row r="743" spans="1:4" x14ac:dyDescent="0.25">
      <c r="A743" s="1199">
        <v>742</v>
      </c>
      <c r="B743" s="1171" t="s">
        <v>2912</v>
      </c>
      <c r="D743" s="1126" t="s">
        <v>1365</v>
      </c>
    </row>
    <row r="744" spans="1:4" x14ac:dyDescent="0.25">
      <c r="A744" s="1199">
        <v>743</v>
      </c>
      <c r="B744" s="1172" t="s">
        <v>2913</v>
      </c>
      <c r="D744" s="1126" t="s">
        <v>1366</v>
      </c>
    </row>
    <row r="745" spans="1:4" x14ac:dyDescent="0.25">
      <c r="A745" s="1199">
        <v>744</v>
      </c>
      <c r="B745" s="1172" t="s">
        <v>2914</v>
      </c>
      <c r="D745" s="1126" t="s">
        <v>1367</v>
      </c>
    </row>
    <row r="746" spans="1:4" x14ac:dyDescent="0.25">
      <c r="A746" s="1199">
        <v>745</v>
      </c>
      <c r="B746" s="1173" t="s">
        <v>2915</v>
      </c>
      <c r="D746" s="1126" t="s">
        <v>1368</v>
      </c>
    </row>
    <row r="747" spans="1:4" x14ac:dyDescent="0.25">
      <c r="A747" s="1199">
        <v>746</v>
      </c>
      <c r="B747" s="1174" t="s">
        <v>2916</v>
      </c>
      <c r="D747" s="1126" t="s">
        <v>1369</v>
      </c>
    </row>
    <row r="748" spans="1:4" x14ac:dyDescent="0.25">
      <c r="A748" s="1199">
        <v>747</v>
      </c>
      <c r="B748" s="1175" t="s">
        <v>2917</v>
      </c>
      <c r="D748" s="1126" t="s">
        <v>1370</v>
      </c>
    </row>
    <row r="749" spans="1:4" x14ac:dyDescent="0.25">
      <c r="A749" s="1199">
        <v>748</v>
      </c>
      <c r="B749" s="1173" t="s">
        <v>2918</v>
      </c>
      <c r="D749" s="1126" t="s">
        <v>1371</v>
      </c>
    </row>
    <row r="750" spans="1:4" x14ac:dyDescent="0.25">
      <c r="A750" s="1199">
        <v>749</v>
      </c>
      <c r="B750" s="1176" t="s">
        <v>2919</v>
      </c>
      <c r="D750" s="1126" t="s">
        <v>1372</v>
      </c>
    </row>
    <row r="751" spans="1:4" x14ac:dyDescent="0.25">
      <c r="A751" s="1199">
        <v>750</v>
      </c>
      <c r="B751" s="1252" t="s">
        <v>2920</v>
      </c>
      <c r="D751" s="1126" t="s">
        <v>1364</v>
      </c>
    </row>
    <row r="752" spans="1:4" x14ac:dyDescent="0.25">
      <c r="A752" s="1199">
        <v>751</v>
      </c>
      <c r="B752" s="1168" t="s">
        <v>2921</v>
      </c>
      <c r="D752" s="1126" t="s">
        <v>1831</v>
      </c>
    </row>
    <row r="753" spans="1:4" ht="25.5" x14ac:dyDescent="0.25">
      <c r="A753" s="1199">
        <v>752</v>
      </c>
      <c r="B753" s="1252" t="s">
        <v>2922</v>
      </c>
      <c r="D753" s="1126" t="s">
        <v>1373</v>
      </c>
    </row>
    <row r="754" spans="1:4" ht="45" x14ac:dyDescent="0.25">
      <c r="A754" s="1199">
        <v>753</v>
      </c>
      <c r="B754" s="1261" t="s">
        <v>2923</v>
      </c>
      <c r="D754" s="1126" t="s">
        <v>1320</v>
      </c>
    </row>
    <row r="755" spans="1:4" ht="22.5" x14ac:dyDescent="0.25">
      <c r="A755" s="1199">
        <v>754</v>
      </c>
      <c r="B755" s="1261" t="s">
        <v>2924</v>
      </c>
      <c r="D755" s="1126" t="s">
        <v>1321</v>
      </c>
    </row>
    <row r="756" spans="1:4" x14ac:dyDescent="0.25">
      <c r="A756" s="1199">
        <v>755</v>
      </c>
      <c r="B756" s="1169" t="s">
        <v>2925</v>
      </c>
      <c r="D756" s="1126" t="s">
        <v>1832</v>
      </c>
    </row>
    <row r="757" spans="1:4" x14ac:dyDescent="0.25">
      <c r="A757" s="1199">
        <v>756</v>
      </c>
      <c r="B757" s="1252" t="s">
        <v>2926</v>
      </c>
      <c r="D757" s="1126" t="s">
        <v>1374</v>
      </c>
    </row>
    <row r="758" spans="1:4" ht="21" x14ac:dyDescent="0.25">
      <c r="A758" s="1199">
        <v>757</v>
      </c>
      <c r="B758" s="1167" t="s">
        <v>2927</v>
      </c>
      <c r="D758" s="1126" t="s">
        <v>1465</v>
      </c>
    </row>
    <row r="759" spans="1:4" ht="56.25" x14ac:dyDescent="0.25">
      <c r="A759" s="1199">
        <v>758</v>
      </c>
      <c r="B759" s="1261" t="s">
        <v>2928</v>
      </c>
      <c r="D759" s="1126" t="s">
        <v>1322</v>
      </c>
    </row>
    <row r="760" spans="1:4" ht="56.25" x14ac:dyDescent="0.25">
      <c r="A760" s="1199">
        <v>759</v>
      </c>
      <c r="B760" s="1261" t="s">
        <v>2929</v>
      </c>
      <c r="D760" s="1126" t="s">
        <v>1323</v>
      </c>
    </row>
    <row r="761" spans="1:4" ht="33.75" x14ac:dyDescent="0.25">
      <c r="A761" s="1199">
        <v>760</v>
      </c>
      <c r="B761" s="1261" t="s">
        <v>2930</v>
      </c>
      <c r="D761" s="1126" t="s">
        <v>1324</v>
      </c>
    </row>
    <row r="762" spans="1:4" x14ac:dyDescent="0.25">
      <c r="A762" s="1199">
        <v>761</v>
      </c>
      <c r="B762" s="1249" t="s">
        <v>2931</v>
      </c>
      <c r="D762" s="1126" t="s">
        <v>1325</v>
      </c>
    </row>
    <row r="763" spans="1:4" x14ac:dyDescent="0.25">
      <c r="A763" s="1199">
        <v>762</v>
      </c>
      <c r="B763" s="1168" t="s">
        <v>2932</v>
      </c>
      <c r="D763" s="1126" t="s">
        <v>1375</v>
      </c>
    </row>
    <row r="764" spans="1:4" x14ac:dyDescent="0.25">
      <c r="A764" s="1199">
        <v>763</v>
      </c>
      <c r="B764" s="1169" t="s">
        <v>2858</v>
      </c>
      <c r="D764" s="1126" t="s">
        <v>1833</v>
      </c>
    </row>
    <row r="765" spans="1:4" x14ac:dyDescent="0.25">
      <c r="A765" s="1199">
        <v>764</v>
      </c>
      <c r="B765" s="1169" t="s">
        <v>2933</v>
      </c>
      <c r="D765" s="1126" t="s">
        <v>1854</v>
      </c>
    </row>
    <row r="766" spans="1:4" x14ac:dyDescent="0.25">
      <c r="A766" s="1199">
        <v>765</v>
      </c>
      <c r="B766" s="1168" t="s">
        <v>2934</v>
      </c>
      <c r="D766" s="1126" t="s">
        <v>1376</v>
      </c>
    </row>
    <row r="767" spans="1:4" x14ac:dyDescent="0.25">
      <c r="A767" s="1199">
        <v>766</v>
      </c>
      <c r="B767" s="1169" t="s">
        <v>2935</v>
      </c>
      <c r="D767" s="1126" t="s">
        <v>1326</v>
      </c>
    </row>
    <row r="768" spans="1:4" x14ac:dyDescent="0.25">
      <c r="A768" s="1199">
        <v>767</v>
      </c>
      <c r="B768" s="1169" t="s">
        <v>2936</v>
      </c>
      <c r="D768" s="1126" t="s">
        <v>1835</v>
      </c>
    </row>
    <row r="769" spans="1:4" x14ac:dyDescent="0.25">
      <c r="A769" s="1199">
        <v>768</v>
      </c>
      <c r="B769" s="1168" t="s">
        <v>2937</v>
      </c>
      <c r="D769" s="1126" t="s">
        <v>1377</v>
      </c>
    </row>
    <row r="770" spans="1:4" x14ac:dyDescent="0.25">
      <c r="A770" s="1199">
        <v>769</v>
      </c>
      <c r="B770" s="1169" t="s">
        <v>2938</v>
      </c>
      <c r="D770" s="1126" t="s">
        <v>1866</v>
      </c>
    </row>
    <row r="771" spans="1:4" x14ac:dyDescent="0.25">
      <c r="A771" s="1199">
        <v>770</v>
      </c>
      <c r="B771" s="1169" t="s">
        <v>2939</v>
      </c>
      <c r="D771" s="1126" t="s">
        <v>1836</v>
      </c>
    </row>
    <row r="772" spans="1:4" x14ac:dyDescent="0.25">
      <c r="A772" s="1199">
        <v>771</v>
      </c>
      <c r="B772" s="1252" t="s">
        <v>2940</v>
      </c>
      <c r="D772" s="1126" t="s">
        <v>1378</v>
      </c>
    </row>
    <row r="773" spans="1:4" x14ac:dyDescent="0.25">
      <c r="A773" s="1199">
        <v>772</v>
      </c>
      <c r="B773" s="1258" t="s">
        <v>2941</v>
      </c>
      <c r="D773" s="1126" t="s">
        <v>1379</v>
      </c>
    </row>
    <row r="774" spans="1:4" ht="22.5" x14ac:dyDescent="0.25">
      <c r="A774" s="1199">
        <v>773</v>
      </c>
      <c r="B774" s="1261" t="s">
        <v>2942</v>
      </c>
      <c r="D774" s="1126" t="s">
        <v>1327</v>
      </c>
    </row>
    <row r="775" spans="1:4" x14ac:dyDescent="0.25">
      <c r="A775" s="1199">
        <v>774</v>
      </c>
      <c r="B775" s="1252" t="s">
        <v>2943</v>
      </c>
      <c r="D775" s="1126" t="s">
        <v>1380</v>
      </c>
    </row>
    <row r="776" spans="1:4" ht="22.5" x14ac:dyDescent="0.25">
      <c r="A776" s="1199">
        <v>775</v>
      </c>
      <c r="B776" s="1261" t="s">
        <v>2944</v>
      </c>
      <c r="D776" s="1126" t="s">
        <v>1328</v>
      </c>
    </row>
    <row r="777" spans="1:4" x14ac:dyDescent="0.25">
      <c r="A777" s="1199">
        <v>776</v>
      </c>
      <c r="B777" s="1171" t="s">
        <v>2945</v>
      </c>
      <c r="D777" s="1126" t="s">
        <v>1381</v>
      </c>
    </row>
    <row r="778" spans="1:4" x14ac:dyDescent="0.25">
      <c r="A778" s="1199">
        <v>777</v>
      </c>
      <c r="B778" s="1169" t="s">
        <v>2792</v>
      </c>
      <c r="D778" s="1126" t="s">
        <v>1837</v>
      </c>
    </row>
    <row r="779" spans="1:4" x14ac:dyDescent="0.25">
      <c r="A779" s="1199">
        <v>778</v>
      </c>
      <c r="B779" s="1169" t="s">
        <v>2946</v>
      </c>
      <c r="D779" s="1126" t="s">
        <v>1838</v>
      </c>
    </row>
    <row r="780" spans="1:4" x14ac:dyDescent="0.25">
      <c r="A780" s="1199">
        <v>779</v>
      </c>
      <c r="B780" s="1252" t="s">
        <v>2947</v>
      </c>
      <c r="D780" s="1126" t="s">
        <v>1382</v>
      </c>
    </row>
    <row r="781" spans="1:4" ht="56.25" x14ac:dyDescent="0.25">
      <c r="A781" s="1199">
        <v>780</v>
      </c>
      <c r="B781" s="1261" t="s">
        <v>2948</v>
      </c>
      <c r="D781" s="1126" t="s">
        <v>1329</v>
      </c>
    </row>
    <row r="782" spans="1:4" x14ac:dyDescent="0.25">
      <c r="A782" s="1199">
        <v>781</v>
      </c>
      <c r="B782" s="1171" t="s">
        <v>2949</v>
      </c>
      <c r="D782" s="1126" t="s">
        <v>1383</v>
      </c>
    </row>
    <row r="783" spans="1:4" x14ac:dyDescent="0.25">
      <c r="A783" s="1199">
        <v>782</v>
      </c>
      <c r="B783" s="1169" t="s">
        <v>2950</v>
      </c>
      <c r="D783" s="1126" t="s">
        <v>1839</v>
      </c>
    </row>
    <row r="784" spans="1:4" x14ac:dyDescent="0.25">
      <c r="A784" s="1199">
        <v>783</v>
      </c>
      <c r="B784" s="1169" t="s">
        <v>2951</v>
      </c>
      <c r="D784" s="1126" t="s">
        <v>1840</v>
      </c>
    </row>
    <row r="785" spans="1:4" x14ac:dyDescent="0.25">
      <c r="A785" s="1199">
        <v>784</v>
      </c>
      <c r="B785" s="1252" t="s">
        <v>2952</v>
      </c>
      <c r="D785" s="1126" t="s">
        <v>1384</v>
      </c>
    </row>
    <row r="786" spans="1:4" ht="33.75" x14ac:dyDescent="0.25">
      <c r="A786" s="1199">
        <v>785</v>
      </c>
      <c r="B786" s="1261" t="s">
        <v>2953</v>
      </c>
      <c r="D786" s="1126" t="s">
        <v>1330</v>
      </c>
    </row>
    <row r="787" spans="1:4" ht="22.5" x14ac:dyDescent="0.25">
      <c r="A787" s="1199">
        <v>786</v>
      </c>
      <c r="B787" s="1261" t="s">
        <v>2954</v>
      </c>
      <c r="D787" s="1126" t="s">
        <v>1331</v>
      </c>
    </row>
    <row r="788" spans="1:4" ht="31.5" x14ac:dyDescent="0.25">
      <c r="A788" s="1199">
        <v>787</v>
      </c>
      <c r="B788" s="1167" t="s">
        <v>2955</v>
      </c>
      <c r="D788" s="1126" t="s">
        <v>1332</v>
      </c>
    </row>
    <row r="789" spans="1:4" x14ac:dyDescent="0.25">
      <c r="A789" s="1199">
        <v>788</v>
      </c>
      <c r="B789" s="1171" t="s">
        <v>2956</v>
      </c>
      <c r="D789" s="1126" t="s">
        <v>1385</v>
      </c>
    </row>
    <row r="790" spans="1:4" x14ac:dyDescent="0.25">
      <c r="A790" s="1199">
        <v>789</v>
      </c>
      <c r="B790" s="1169" t="s">
        <v>2957</v>
      </c>
      <c r="D790" s="1126" t="s">
        <v>1841</v>
      </c>
    </row>
    <row r="791" spans="1:4" x14ac:dyDescent="0.25">
      <c r="A791" s="1199">
        <v>790</v>
      </c>
      <c r="B791" s="1169" t="s">
        <v>2958</v>
      </c>
      <c r="D791" s="1126" t="s">
        <v>1842</v>
      </c>
    </row>
    <row r="792" spans="1:4" x14ac:dyDescent="0.25">
      <c r="A792" s="1199">
        <v>791</v>
      </c>
      <c r="B792" s="1252" t="s">
        <v>2959</v>
      </c>
      <c r="D792" s="1126" t="s">
        <v>1386</v>
      </c>
    </row>
    <row r="793" spans="1:4" ht="21" x14ac:dyDescent="0.25">
      <c r="A793" s="1199">
        <v>792</v>
      </c>
      <c r="B793" s="1167" t="s">
        <v>2960</v>
      </c>
      <c r="D793" s="1126" t="s">
        <v>1334</v>
      </c>
    </row>
    <row r="794" spans="1:4" ht="56.25" x14ac:dyDescent="0.25">
      <c r="A794" s="1199">
        <v>793</v>
      </c>
      <c r="B794" s="1261" t="s">
        <v>2961</v>
      </c>
      <c r="D794" s="1126" t="s">
        <v>1333</v>
      </c>
    </row>
    <row r="795" spans="1:4" x14ac:dyDescent="0.25">
      <c r="A795" s="1199">
        <v>794</v>
      </c>
      <c r="B795" s="1171" t="s">
        <v>2962</v>
      </c>
      <c r="D795" s="1126" t="s">
        <v>1387</v>
      </c>
    </row>
    <row r="796" spans="1:4" x14ac:dyDescent="0.25">
      <c r="A796" s="1199">
        <v>795</v>
      </c>
      <c r="B796" s="1169" t="s">
        <v>2963</v>
      </c>
      <c r="D796" s="1126" t="s">
        <v>1843</v>
      </c>
    </row>
    <row r="797" spans="1:4" x14ac:dyDescent="0.25">
      <c r="A797" s="1199">
        <v>796</v>
      </c>
      <c r="B797" s="1169" t="s">
        <v>2964</v>
      </c>
      <c r="D797" s="1126" t="s">
        <v>1844</v>
      </c>
    </row>
    <row r="798" spans="1:4" x14ac:dyDescent="0.25">
      <c r="A798" s="1199">
        <v>797</v>
      </c>
      <c r="B798" s="1252" t="s">
        <v>2965</v>
      </c>
      <c r="D798" s="1126" t="s">
        <v>1388</v>
      </c>
    </row>
    <row r="799" spans="1:4" ht="33.75" x14ac:dyDescent="0.25">
      <c r="A799" s="1199">
        <v>798</v>
      </c>
      <c r="B799" s="1261" t="s">
        <v>2966</v>
      </c>
      <c r="D799" s="1126" t="s">
        <v>1335</v>
      </c>
    </row>
    <row r="800" spans="1:4" x14ac:dyDescent="0.25">
      <c r="A800" s="1199">
        <v>799</v>
      </c>
      <c r="B800" s="1171" t="s">
        <v>2967</v>
      </c>
      <c r="D800" s="1126" t="s">
        <v>1389</v>
      </c>
    </row>
    <row r="801" spans="1:4" x14ac:dyDescent="0.25">
      <c r="A801" s="1199">
        <v>800</v>
      </c>
      <c r="B801" s="1169" t="s">
        <v>2968</v>
      </c>
      <c r="D801" s="1126" t="s">
        <v>1845</v>
      </c>
    </row>
    <row r="802" spans="1:4" x14ac:dyDescent="0.25">
      <c r="A802" s="1199">
        <v>801</v>
      </c>
      <c r="B802" s="1169" t="s">
        <v>2969</v>
      </c>
      <c r="D802" s="1126" t="s">
        <v>1846</v>
      </c>
    </row>
    <row r="803" spans="1:4" ht="21" x14ac:dyDescent="0.25">
      <c r="A803" s="1199">
        <v>802</v>
      </c>
      <c r="B803" s="1167" t="s">
        <v>2970</v>
      </c>
      <c r="D803" s="1126" t="s">
        <v>1336</v>
      </c>
    </row>
    <row r="804" spans="1:4" ht="45" x14ac:dyDescent="0.25">
      <c r="A804" s="1199">
        <v>803</v>
      </c>
      <c r="B804" s="1261" t="s">
        <v>2971</v>
      </c>
      <c r="D804" s="1126" t="s">
        <v>1337</v>
      </c>
    </row>
    <row r="805" spans="1:4" x14ac:dyDescent="0.25">
      <c r="A805" s="1199">
        <v>804</v>
      </c>
      <c r="B805" s="1169" t="s">
        <v>2972</v>
      </c>
      <c r="D805" s="1126" t="s">
        <v>1848</v>
      </c>
    </row>
    <row r="806" spans="1:4" x14ac:dyDescent="0.25">
      <c r="A806" s="1199">
        <v>805</v>
      </c>
      <c r="B806" s="1252" t="s">
        <v>2973</v>
      </c>
      <c r="D806" s="1126" t="s">
        <v>1849</v>
      </c>
    </row>
    <row r="807" spans="1:4" ht="56.25" x14ac:dyDescent="0.25">
      <c r="A807" s="1199">
        <v>806</v>
      </c>
      <c r="B807" s="1261" t="s">
        <v>2974</v>
      </c>
      <c r="D807" s="1126" t="s">
        <v>1338</v>
      </c>
    </row>
    <row r="808" spans="1:4" ht="22.5" x14ac:dyDescent="0.25">
      <c r="A808" s="1199">
        <v>807</v>
      </c>
      <c r="B808" s="1261" t="s">
        <v>2975</v>
      </c>
      <c r="D808" s="1126" t="s">
        <v>1339</v>
      </c>
    </row>
    <row r="809" spans="1:4" ht="21" x14ac:dyDescent="0.25">
      <c r="A809" s="1199">
        <v>808</v>
      </c>
      <c r="B809" s="1167" t="s">
        <v>2976</v>
      </c>
      <c r="D809" s="1126" t="s">
        <v>1340</v>
      </c>
    </row>
    <row r="810" spans="1:4" ht="25.5" x14ac:dyDescent="0.25">
      <c r="A810" s="1199">
        <v>809</v>
      </c>
      <c r="B810" s="1252" t="s">
        <v>2977</v>
      </c>
      <c r="D810" s="1126" t="s">
        <v>1392</v>
      </c>
    </row>
    <row r="811" spans="1:4" ht="45" x14ac:dyDescent="0.25">
      <c r="A811" s="1199">
        <v>810</v>
      </c>
      <c r="B811" s="1261" t="s">
        <v>2978</v>
      </c>
      <c r="D811" s="1126" t="s">
        <v>1341</v>
      </c>
    </row>
    <row r="812" spans="1:4" x14ac:dyDescent="0.25">
      <c r="A812" s="1199">
        <v>811</v>
      </c>
      <c r="B812" s="1167" t="s">
        <v>2979</v>
      </c>
      <c r="D812" s="1126" t="s">
        <v>1342</v>
      </c>
    </row>
    <row r="813" spans="1:4" x14ac:dyDescent="0.25">
      <c r="A813" s="1199">
        <v>812</v>
      </c>
      <c r="B813" s="1255" t="s">
        <v>2980</v>
      </c>
      <c r="D813" s="1126" t="s">
        <v>1393</v>
      </c>
    </row>
    <row r="814" spans="1:4" x14ac:dyDescent="0.25">
      <c r="A814" s="1199">
        <v>813</v>
      </c>
      <c r="B814" s="1168" t="s">
        <v>2981</v>
      </c>
      <c r="D814" s="1126" t="s">
        <v>1394</v>
      </c>
    </row>
    <row r="815" spans="1:4" x14ac:dyDescent="0.25">
      <c r="A815" s="1199">
        <v>814</v>
      </c>
      <c r="B815" s="1168" t="s">
        <v>2982</v>
      </c>
      <c r="D815" s="1126" t="s">
        <v>1395</v>
      </c>
    </row>
    <row r="816" spans="1:4" x14ac:dyDescent="0.25">
      <c r="A816" s="1199">
        <v>815</v>
      </c>
      <c r="B816" s="1251" t="s">
        <v>2983</v>
      </c>
      <c r="D816" s="1126" t="s">
        <v>1396</v>
      </c>
    </row>
    <row r="817" spans="1:4" ht="22.5" x14ac:dyDescent="0.25">
      <c r="A817" s="1199">
        <v>816</v>
      </c>
      <c r="B817" s="1261" t="s">
        <v>2984</v>
      </c>
      <c r="D817" s="1126" t="s">
        <v>1343</v>
      </c>
    </row>
    <row r="818" spans="1:4" x14ac:dyDescent="0.25">
      <c r="A818" s="1199">
        <v>817</v>
      </c>
      <c r="B818" s="1145" t="s">
        <v>2985</v>
      </c>
      <c r="D818" s="1126" t="s">
        <v>1355</v>
      </c>
    </row>
    <row r="819" spans="1:4" x14ac:dyDescent="0.25">
      <c r="A819" s="1199">
        <v>818</v>
      </c>
      <c r="B819" s="1249" t="s">
        <v>2986</v>
      </c>
      <c r="D819" s="1126" t="s">
        <v>1440</v>
      </c>
    </row>
    <row r="820" spans="1:4" ht="15.75" thickBot="1" x14ac:dyDescent="0.3">
      <c r="A820" s="1199">
        <v>819</v>
      </c>
      <c r="B820" s="1169" t="s">
        <v>2987</v>
      </c>
      <c r="D820" s="1126" t="s">
        <v>1834</v>
      </c>
    </row>
    <row r="821" spans="1:4" x14ac:dyDescent="0.25">
      <c r="A821" s="1199">
        <v>820</v>
      </c>
      <c r="B821" s="1164" t="s">
        <v>2988</v>
      </c>
      <c r="D821" s="1126" t="s">
        <v>1397</v>
      </c>
    </row>
    <row r="822" spans="1:4" ht="72" x14ac:dyDescent="0.25">
      <c r="A822" s="1199">
        <v>821</v>
      </c>
      <c r="B822" s="1111" t="s">
        <v>2989</v>
      </c>
      <c r="D822" s="1126" t="s">
        <v>1398</v>
      </c>
    </row>
    <row r="823" spans="1:4" ht="25.5" x14ac:dyDescent="0.25">
      <c r="A823" s="1199">
        <v>822</v>
      </c>
      <c r="B823" s="1260" t="s">
        <v>2990</v>
      </c>
      <c r="D823" s="1126" t="s">
        <v>1399</v>
      </c>
    </row>
    <row r="824" spans="1:4" ht="22.5" x14ac:dyDescent="0.25">
      <c r="A824" s="1199">
        <v>823</v>
      </c>
      <c r="B824" s="1109" t="s">
        <v>2991</v>
      </c>
      <c r="D824" s="1126" t="s">
        <v>1401</v>
      </c>
    </row>
    <row r="825" spans="1:4" ht="21" x14ac:dyDescent="0.25">
      <c r="A825" s="1199">
        <v>824</v>
      </c>
      <c r="B825" s="1248" t="s">
        <v>2992</v>
      </c>
      <c r="D825" s="1126" t="s">
        <v>1403</v>
      </c>
    </row>
    <row r="826" spans="1:4" ht="21" x14ac:dyDescent="0.25">
      <c r="A826" s="1199">
        <v>825</v>
      </c>
      <c r="B826" s="1248" t="s">
        <v>2993</v>
      </c>
      <c r="D826" s="1126" t="s">
        <v>1404</v>
      </c>
    </row>
    <row r="827" spans="1:4" x14ac:dyDescent="0.25">
      <c r="A827" s="1199">
        <v>826</v>
      </c>
      <c r="B827" s="1249" t="s">
        <v>2994</v>
      </c>
      <c r="D827" s="1126" t="s">
        <v>1445</v>
      </c>
    </row>
    <row r="828" spans="1:4" ht="56.25" x14ac:dyDescent="0.25">
      <c r="A828" s="1199">
        <v>827</v>
      </c>
      <c r="B828" s="1109" t="s">
        <v>2995</v>
      </c>
      <c r="D828" s="1126" t="s">
        <v>1405</v>
      </c>
    </row>
    <row r="829" spans="1:4" x14ac:dyDescent="0.25">
      <c r="A829" s="1199">
        <v>828</v>
      </c>
      <c r="B829" s="1150" t="s">
        <v>2996</v>
      </c>
      <c r="D829" s="1126" t="s">
        <v>1486</v>
      </c>
    </row>
    <row r="830" spans="1:4" ht="25.5" x14ac:dyDescent="0.25">
      <c r="A830" s="1199">
        <v>829</v>
      </c>
      <c r="B830" s="1112" t="s">
        <v>2997</v>
      </c>
      <c r="D830" s="1126" t="s">
        <v>1488</v>
      </c>
    </row>
    <row r="831" spans="1:4" ht="22.5" x14ac:dyDescent="0.25">
      <c r="A831" s="1199">
        <v>830</v>
      </c>
      <c r="B831" s="1109" t="s">
        <v>2998</v>
      </c>
      <c r="D831" s="1126" t="s">
        <v>1468</v>
      </c>
    </row>
    <row r="832" spans="1:4" ht="22.5" x14ac:dyDescent="0.25">
      <c r="A832" s="1199">
        <v>831</v>
      </c>
      <c r="B832" s="1109" t="s">
        <v>2999</v>
      </c>
      <c r="D832" s="1126" t="s">
        <v>1469</v>
      </c>
    </row>
    <row r="833" spans="1:4" ht="22.5" x14ac:dyDescent="0.25">
      <c r="A833" s="1199">
        <v>832</v>
      </c>
      <c r="B833" s="1109" t="s">
        <v>3000</v>
      </c>
      <c r="D833" s="1126" t="s">
        <v>1407</v>
      </c>
    </row>
    <row r="834" spans="1:4" ht="33.75" x14ac:dyDescent="0.25">
      <c r="A834" s="1199">
        <v>833</v>
      </c>
      <c r="B834" s="1109" t="s">
        <v>3001</v>
      </c>
      <c r="D834" s="1126" t="s">
        <v>1408</v>
      </c>
    </row>
    <row r="835" spans="1:4" ht="22.5" x14ac:dyDescent="0.25">
      <c r="A835" s="1199">
        <v>834</v>
      </c>
      <c r="B835" s="1109" t="s">
        <v>3002</v>
      </c>
      <c r="D835" s="1126" t="s">
        <v>1412</v>
      </c>
    </row>
    <row r="836" spans="1:4" ht="22.5" x14ac:dyDescent="0.25">
      <c r="A836" s="1199">
        <v>835</v>
      </c>
      <c r="B836" s="1109" t="s">
        <v>3003</v>
      </c>
      <c r="D836" s="1126" t="s">
        <v>1413</v>
      </c>
    </row>
    <row r="837" spans="1:4" x14ac:dyDescent="0.25">
      <c r="A837" s="1199">
        <v>836</v>
      </c>
      <c r="B837" s="1119" t="s">
        <v>3004</v>
      </c>
      <c r="D837" s="1126" t="s">
        <v>1471</v>
      </c>
    </row>
    <row r="838" spans="1:4" x14ac:dyDescent="0.25">
      <c r="A838" s="1199">
        <v>837</v>
      </c>
      <c r="B838" s="1119" t="s">
        <v>3005</v>
      </c>
      <c r="D838" s="1126" t="s">
        <v>1441</v>
      </c>
    </row>
    <row r="839" spans="1:4" ht="25.5" x14ac:dyDescent="0.25">
      <c r="A839" s="1199">
        <v>838</v>
      </c>
      <c r="B839" s="1116" t="s">
        <v>3006</v>
      </c>
      <c r="D839" s="1126" t="s">
        <v>1442</v>
      </c>
    </row>
    <row r="840" spans="1:4" x14ac:dyDescent="0.25">
      <c r="A840" s="1199">
        <v>839</v>
      </c>
      <c r="B840" s="1112" t="s">
        <v>3007</v>
      </c>
      <c r="D840" s="1126" t="s">
        <v>1483</v>
      </c>
    </row>
    <row r="841" spans="1:4" x14ac:dyDescent="0.25">
      <c r="A841" s="1199">
        <v>840</v>
      </c>
      <c r="B841" s="1252" t="s">
        <v>3008</v>
      </c>
      <c r="D841" s="1126" t="s">
        <v>1473</v>
      </c>
    </row>
    <row r="842" spans="1:4" x14ac:dyDescent="0.25">
      <c r="A842" s="1199">
        <v>841</v>
      </c>
      <c r="B842" s="1259" t="s">
        <v>3009</v>
      </c>
      <c r="D842" s="1126" t="s">
        <v>1419</v>
      </c>
    </row>
    <row r="843" spans="1:4" ht="45" x14ac:dyDescent="0.25">
      <c r="A843" s="1199">
        <v>842</v>
      </c>
      <c r="B843" s="1261" t="s">
        <v>3010</v>
      </c>
      <c r="D843" s="1126" t="s">
        <v>1772</v>
      </c>
    </row>
    <row r="844" spans="1:4" ht="56.25" x14ac:dyDescent="0.25">
      <c r="A844" s="1199">
        <v>843</v>
      </c>
      <c r="B844" s="1261" t="s">
        <v>3011</v>
      </c>
      <c r="D844" s="1126" t="s">
        <v>1420</v>
      </c>
    </row>
    <row r="845" spans="1:4" ht="22.5" x14ac:dyDescent="0.25">
      <c r="A845" s="1199">
        <v>844</v>
      </c>
      <c r="B845" s="1261" t="s">
        <v>3012</v>
      </c>
      <c r="D845" s="1126" t="s">
        <v>1421</v>
      </c>
    </row>
    <row r="846" spans="1:4" ht="45" x14ac:dyDescent="0.25">
      <c r="A846" s="1199">
        <v>845</v>
      </c>
      <c r="B846" s="1261" t="s">
        <v>3013</v>
      </c>
      <c r="D846" s="1126" t="s">
        <v>1422</v>
      </c>
    </row>
    <row r="847" spans="1:4" ht="33.75" x14ac:dyDescent="0.25">
      <c r="A847" s="1199">
        <v>846</v>
      </c>
      <c r="B847" s="1261" t="s">
        <v>3014</v>
      </c>
      <c r="D847" s="1126" t="s">
        <v>1423</v>
      </c>
    </row>
    <row r="848" spans="1:4" ht="33.75" x14ac:dyDescent="0.25">
      <c r="A848" s="1199">
        <v>847</v>
      </c>
      <c r="B848" s="1261" t="s">
        <v>3015</v>
      </c>
      <c r="D848" s="1126" t="s">
        <v>1424</v>
      </c>
    </row>
    <row r="849" spans="1:4" ht="45" x14ac:dyDescent="0.25">
      <c r="A849" s="1199">
        <v>848</v>
      </c>
      <c r="B849" s="1261" t="s">
        <v>3016</v>
      </c>
      <c r="D849" s="1126" t="s">
        <v>1425</v>
      </c>
    </row>
    <row r="850" spans="1:4" ht="22.5" x14ac:dyDescent="0.25">
      <c r="A850" s="1199">
        <v>849</v>
      </c>
      <c r="B850" s="1261" t="s">
        <v>3017</v>
      </c>
      <c r="D850" s="1126" t="s">
        <v>1427</v>
      </c>
    </row>
    <row r="851" spans="1:4" ht="22.5" x14ac:dyDescent="0.25">
      <c r="A851" s="1199">
        <v>850</v>
      </c>
      <c r="B851" s="1261" t="s">
        <v>3018</v>
      </c>
      <c r="D851" s="1126" t="s">
        <v>1428</v>
      </c>
    </row>
    <row r="852" spans="1:4" x14ac:dyDescent="0.25">
      <c r="A852" s="1199">
        <v>851</v>
      </c>
      <c r="B852" s="1169" t="s">
        <v>3019</v>
      </c>
      <c r="D852" s="1126" t="s">
        <v>1444</v>
      </c>
    </row>
    <row r="853" spans="1:4" x14ac:dyDescent="0.25">
      <c r="A853" s="1199">
        <v>852</v>
      </c>
      <c r="B853" s="1169" t="s">
        <v>3020</v>
      </c>
      <c r="D853" s="1126" t="s">
        <v>1479</v>
      </c>
    </row>
    <row r="854" spans="1:4" x14ac:dyDescent="0.25">
      <c r="A854" s="1199">
        <v>853</v>
      </c>
      <c r="B854" s="1169" t="s">
        <v>3021</v>
      </c>
      <c r="D854" s="1126" t="s">
        <v>1480</v>
      </c>
    </row>
    <row r="855" spans="1:4" x14ac:dyDescent="0.25">
      <c r="A855" s="1199">
        <v>854</v>
      </c>
      <c r="B855" s="1259" t="s">
        <v>3022</v>
      </c>
      <c r="D855" s="1126" t="s">
        <v>1430</v>
      </c>
    </row>
    <row r="856" spans="1:4" ht="45" x14ac:dyDescent="0.25">
      <c r="A856" s="1199">
        <v>855</v>
      </c>
      <c r="B856" s="1259" t="s">
        <v>3023</v>
      </c>
      <c r="D856" s="1126" t="s">
        <v>1431</v>
      </c>
    </row>
    <row r="857" spans="1:4" x14ac:dyDescent="0.25">
      <c r="A857" s="1199">
        <v>856</v>
      </c>
      <c r="B857" s="1252" t="s">
        <v>3024</v>
      </c>
      <c r="D857" s="1126" t="s">
        <v>1452</v>
      </c>
    </row>
    <row r="858" spans="1:4" ht="22.5" x14ac:dyDescent="0.25">
      <c r="A858" s="1199">
        <v>857</v>
      </c>
      <c r="B858" s="1261" t="s">
        <v>3025</v>
      </c>
      <c r="D858" s="1126" t="s">
        <v>1432</v>
      </c>
    </row>
    <row r="859" spans="1:4" ht="78.75" x14ac:dyDescent="0.25">
      <c r="A859" s="1199">
        <v>858</v>
      </c>
      <c r="B859" s="1261" t="s">
        <v>3026</v>
      </c>
      <c r="D859" s="1126" t="s">
        <v>1433</v>
      </c>
    </row>
    <row r="860" spans="1:4" ht="45" x14ac:dyDescent="0.25">
      <c r="A860" s="1199">
        <v>859</v>
      </c>
      <c r="B860" s="1261" t="s">
        <v>3027</v>
      </c>
      <c r="D860" s="1126" t="s">
        <v>1434</v>
      </c>
    </row>
    <row r="861" spans="1:4" ht="22.5" x14ac:dyDescent="0.25">
      <c r="A861" s="1199">
        <v>860</v>
      </c>
      <c r="B861" s="1261" t="s">
        <v>3028</v>
      </c>
      <c r="D861" s="1126" t="s">
        <v>1435</v>
      </c>
    </row>
    <row r="862" spans="1:4" ht="33.75" x14ac:dyDescent="0.25">
      <c r="A862" s="1199">
        <v>861</v>
      </c>
      <c r="B862" s="1261" t="s">
        <v>3029</v>
      </c>
      <c r="D862" s="1126" t="s">
        <v>1436</v>
      </c>
    </row>
    <row r="863" spans="1:4" x14ac:dyDescent="0.25">
      <c r="A863" s="1199">
        <v>862</v>
      </c>
      <c r="B863" s="1261" t="s">
        <v>3030</v>
      </c>
      <c r="D863" s="1126" t="s">
        <v>1437</v>
      </c>
    </row>
    <row r="864" spans="1:4" ht="33.75" x14ac:dyDescent="0.25">
      <c r="A864" s="1199">
        <v>863</v>
      </c>
      <c r="B864" s="1259" t="s">
        <v>3031</v>
      </c>
      <c r="D864" s="1126" t="s">
        <v>1438</v>
      </c>
    </row>
    <row r="865" spans="1:4" ht="22.5" x14ac:dyDescent="0.25">
      <c r="A865" s="1199">
        <v>864</v>
      </c>
      <c r="B865" s="1261" t="s">
        <v>3032</v>
      </c>
      <c r="D865" s="1126" t="s">
        <v>1439</v>
      </c>
    </row>
    <row r="866" spans="1:4" x14ac:dyDescent="0.25">
      <c r="A866" s="1199">
        <v>865</v>
      </c>
      <c r="B866" s="1168" t="s">
        <v>3033</v>
      </c>
      <c r="D866" s="1126" t="s">
        <v>1454</v>
      </c>
    </row>
    <row r="867" spans="1:4" x14ac:dyDescent="0.25">
      <c r="A867" s="1199">
        <v>866</v>
      </c>
      <c r="B867" s="1168" t="s">
        <v>3034</v>
      </c>
      <c r="D867" s="1126" t="s">
        <v>1455</v>
      </c>
    </row>
    <row r="868" spans="1:4" ht="25.5" x14ac:dyDescent="0.25">
      <c r="A868" s="1199">
        <v>867</v>
      </c>
      <c r="B868" s="1169" t="s">
        <v>3035</v>
      </c>
      <c r="D868" s="1126" t="s">
        <v>1856</v>
      </c>
    </row>
    <row r="869" spans="1:4" x14ac:dyDescent="0.25">
      <c r="A869" s="1199">
        <v>868</v>
      </c>
      <c r="B869" s="1168" t="s">
        <v>3036</v>
      </c>
      <c r="D869" s="1126" t="s">
        <v>1456</v>
      </c>
    </row>
    <row r="870" spans="1:4" x14ac:dyDescent="0.25">
      <c r="A870" s="1199">
        <v>869</v>
      </c>
      <c r="B870" s="1169" t="s">
        <v>3037</v>
      </c>
      <c r="D870" s="1126" t="s">
        <v>1858</v>
      </c>
    </row>
    <row r="871" spans="1:4" ht="25.5" x14ac:dyDescent="0.25">
      <c r="A871" s="1199">
        <v>870</v>
      </c>
      <c r="B871" s="1168" t="s">
        <v>3038</v>
      </c>
      <c r="D871" s="1126" t="s">
        <v>1457</v>
      </c>
    </row>
    <row r="872" spans="1:4" ht="25.5" x14ac:dyDescent="0.25">
      <c r="A872" s="1199">
        <v>871</v>
      </c>
      <c r="B872" s="1169" t="s">
        <v>3039</v>
      </c>
      <c r="D872" s="1126" t="s">
        <v>1860</v>
      </c>
    </row>
    <row r="873" spans="1:4" x14ac:dyDescent="0.25">
      <c r="A873" s="1199">
        <v>872</v>
      </c>
      <c r="B873" s="1168" t="s">
        <v>3040</v>
      </c>
      <c r="D873" s="1126" t="s">
        <v>1458</v>
      </c>
    </row>
    <row r="874" spans="1:4" x14ac:dyDescent="0.25">
      <c r="A874" s="1199">
        <v>873</v>
      </c>
      <c r="B874" s="1169" t="s">
        <v>3041</v>
      </c>
      <c r="D874" s="1126" t="s">
        <v>1862</v>
      </c>
    </row>
    <row r="875" spans="1:4" x14ac:dyDescent="0.25">
      <c r="A875" s="1199">
        <v>874</v>
      </c>
      <c r="B875" s="1169" t="s">
        <v>3042</v>
      </c>
      <c r="D875" s="1126" t="s">
        <v>1459</v>
      </c>
    </row>
    <row r="876" spans="1:4" ht="22.5" x14ac:dyDescent="0.25">
      <c r="A876" s="1199">
        <v>875</v>
      </c>
      <c r="B876" s="1261" t="s">
        <v>3043</v>
      </c>
      <c r="D876" s="1126" t="s">
        <v>1443</v>
      </c>
    </row>
    <row r="877" spans="1:4" ht="22.5" x14ac:dyDescent="0.25">
      <c r="A877" s="1199">
        <v>876</v>
      </c>
      <c r="B877" s="1261" t="s">
        <v>3044</v>
      </c>
      <c r="D877" s="1126" t="s">
        <v>1449</v>
      </c>
    </row>
    <row r="878" spans="1:4" ht="22.5" x14ac:dyDescent="0.25">
      <c r="A878" s="1199">
        <v>877</v>
      </c>
      <c r="B878" s="1261" t="s">
        <v>3045</v>
      </c>
      <c r="D878" s="1126" t="s">
        <v>1451</v>
      </c>
    </row>
    <row r="879" spans="1:4" ht="22.5" x14ac:dyDescent="0.25">
      <c r="A879" s="1199">
        <v>878</v>
      </c>
      <c r="B879" s="1261" t="s">
        <v>3046</v>
      </c>
      <c r="D879" s="1126" t="s">
        <v>1453</v>
      </c>
    </row>
    <row r="880" spans="1:4" x14ac:dyDescent="0.25">
      <c r="A880" s="1199">
        <v>879</v>
      </c>
      <c r="B880" s="1119" t="s">
        <v>3047</v>
      </c>
      <c r="D880" s="1126" t="s">
        <v>1446</v>
      </c>
    </row>
    <row r="881" spans="1:4" x14ac:dyDescent="0.25">
      <c r="A881" s="1199">
        <v>880</v>
      </c>
      <c r="B881" s="1262" t="s">
        <v>3048</v>
      </c>
      <c r="D881" s="1126" t="s">
        <v>1447</v>
      </c>
    </row>
    <row r="882" spans="1:4" ht="22.5" x14ac:dyDescent="0.25">
      <c r="A882" s="1199">
        <v>881</v>
      </c>
      <c r="B882" s="1261" t="s">
        <v>3043</v>
      </c>
      <c r="D882" s="1126" t="s">
        <v>1448</v>
      </c>
    </row>
    <row r="883" spans="1:4" x14ac:dyDescent="0.25">
      <c r="A883" s="1199">
        <v>882</v>
      </c>
      <c r="B883" s="1169" t="s">
        <v>2950</v>
      </c>
      <c r="D883" s="1126" t="s">
        <v>1450</v>
      </c>
    </row>
    <row r="884" spans="1:4" x14ac:dyDescent="0.25">
      <c r="A884" s="1199">
        <v>883</v>
      </c>
      <c r="B884" s="1249" t="s">
        <v>3049</v>
      </c>
      <c r="D884" s="1126" t="s">
        <v>1467</v>
      </c>
    </row>
    <row r="885" spans="1:4" ht="22.5" x14ac:dyDescent="0.25">
      <c r="A885" s="1199">
        <v>884</v>
      </c>
      <c r="B885" s="1109" t="s">
        <v>3000</v>
      </c>
      <c r="D885" s="1126" t="s">
        <v>1470</v>
      </c>
    </row>
    <row r="886" spans="1:4" x14ac:dyDescent="0.25">
      <c r="A886" s="1199">
        <v>885</v>
      </c>
      <c r="B886" s="1117" t="s">
        <v>3050</v>
      </c>
      <c r="D886" s="1126" t="s">
        <v>1491</v>
      </c>
    </row>
    <row r="887" spans="1:4" ht="45" x14ac:dyDescent="0.25">
      <c r="A887" s="1199">
        <v>886</v>
      </c>
      <c r="B887" s="1259" t="s">
        <v>3051</v>
      </c>
      <c r="D887" s="1126" t="s">
        <v>1461</v>
      </c>
    </row>
    <row r="888" spans="1:4" ht="22.5" x14ac:dyDescent="0.25">
      <c r="A888" s="1199">
        <v>887</v>
      </c>
      <c r="B888" s="1259" t="s">
        <v>3052</v>
      </c>
      <c r="D888" s="1126" t="s">
        <v>1462</v>
      </c>
    </row>
    <row r="889" spans="1:4" ht="22.5" x14ac:dyDescent="0.25">
      <c r="A889" s="1199">
        <v>888</v>
      </c>
      <c r="B889" s="1261" t="s">
        <v>3053</v>
      </c>
      <c r="D889" s="1126" t="s">
        <v>1463</v>
      </c>
    </row>
    <row r="890" spans="1:4" ht="22.5" x14ac:dyDescent="0.25">
      <c r="A890" s="1199">
        <v>889</v>
      </c>
      <c r="B890" s="1261" t="s">
        <v>3054</v>
      </c>
      <c r="D890" s="1126" t="s">
        <v>1464</v>
      </c>
    </row>
    <row r="891" spans="1:4" x14ac:dyDescent="0.25">
      <c r="A891" s="1199">
        <v>890</v>
      </c>
      <c r="B891" s="1169" t="s">
        <v>3055</v>
      </c>
      <c r="D891" s="1126" t="s">
        <v>1477</v>
      </c>
    </row>
    <row r="892" spans="1:4" x14ac:dyDescent="0.25">
      <c r="A892" s="1199">
        <v>891</v>
      </c>
      <c r="B892" s="1170" t="s">
        <v>3056</v>
      </c>
      <c r="D892" s="1126" t="s">
        <v>1478</v>
      </c>
    </row>
    <row r="893" spans="1:4" x14ac:dyDescent="0.25">
      <c r="A893" s="1199">
        <v>892</v>
      </c>
      <c r="B893" s="1169" t="s">
        <v>3057</v>
      </c>
      <c r="D893" s="1126" t="s">
        <v>1481</v>
      </c>
    </row>
    <row r="894" spans="1:4" ht="33.75" x14ac:dyDescent="0.25">
      <c r="A894" s="1199">
        <v>893</v>
      </c>
      <c r="B894" s="1261" t="s">
        <v>3058</v>
      </c>
      <c r="D894" s="1126" t="s">
        <v>1466</v>
      </c>
    </row>
    <row r="895" spans="1:4" ht="22.5" x14ac:dyDescent="0.25">
      <c r="A895" s="1199">
        <v>894</v>
      </c>
      <c r="B895" s="1261" t="s">
        <v>3059</v>
      </c>
      <c r="D895" s="1126" t="s">
        <v>1474</v>
      </c>
    </row>
    <row r="896" spans="1:4" ht="22.5" x14ac:dyDescent="0.25">
      <c r="A896" s="1199">
        <v>895</v>
      </c>
      <c r="B896" s="1261" t="s">
        <v>3060</v>
      </c>
      <c r="D896" s="1126" t="s">
        <v>1476</v>
      </c>
    </row>
    <row r="897" spans="1:4" x14ac:dyDescent="0.25">
      <c r="A897" s="1199">
        <v>896</v>
      </c>
      <c r="B897" s="1249" t="s">
        <v>3061</v>
      </c>
      <c r="D897" s="1126" t="s">
        <v>1485</v>
      </c>
    </row>
    <row r="898" spans="1:4" ht="22.5" x14ac:dyDescent="0.25">
      <c r="A898" s="1199">
        <v>897</v>
      </c>
      <c r="B898" s="1109" t="s">
        <v>3062</v>
      </c>
      <c r="D898" s="1126" t="s">
        <v>1482</v>
      </c>
    </row>
    <row r="899" spans="1:4" x14ac:dyDescent="0.25">
      <c r="A899" s="1199">
        <v>898</v>
      </c>
      <c r="B899" s="237" t="s">
        <v>3063</v>
      </c>
      <c r="D899" s="1126" t="s">
        <v>1489</v>
      </c>
    </row>
    <row r="900" spans="1:4" ht="15.75" thickBot="1" x14ac:dyDescent="0.3">
      <c r="A900" s="1199">
        <v>899</v>
      </c>
      <c r="B900" s="1112" t="s">
        <v>3064</v>
      </c>
      <c r="D900" s="1126" t="s">
        <v>1490</v>
      </c>
    </row>
    <row r="901" spans="1:4" x14ac:dyDescent="0.25">
      <c r="A901" s="1199">
        <v>900</v>
      </c>
      <c r="B901" s="1164" t="s">
        <v>3065</v>
      </c>
      <c r="D901" s="1126" t="s">
        <v>1493</v>
      </c>
    </row>
    <row r="902" spans="1:4" ht="72" x14ac:dyDescent="0.25">
      <c r="A902" s="1199">
        <v>901</v>
      </c>
      <c r="B902" s="1111" t="s">
        <v>3066</v>
      </c>
      <c r="D902" s="1126" t="s">
        <v>1494</v>
      </c>
    </row>
    <row r="903" spans="1:4" ht="15.75" x14ac:dyDescent="0.25">
      <c r="A903" s="1199">
        <v>902</v>
      </c>
      <c r="B903" s="1110" t="s">
        <v>3067</v>
      </c>
      <c r="D903" s="1126" t="s">
        <v>1495</v>
      </c>
    </row>
    <row r="904" spans="1:4" ht="30" x14ac:dyDescent="0.25">
      <c r="A904" s="1199">
        <v>903</v>
      </c>
      <c r="B904" s="1125" t="s">
        <v>3068</v>
      </c>
      <c r="D904" s="1126" t="s">
        <v>1496</v>
      </c>
    </row>
    <row r="905" spans="1:4" ht="22.5" x14ac:dyDescent="0.25">
      <c r="A905" s="1199">
        <v>904</v>
      </c>
      <c r="B905" s="1109" t="s">
        <v>3069</v>
      </c>
      <c r="D905" s="1126" t="s">
        <v>1497</v>
      </c>
    </row>
    <row r="906" spans="1:4" ht="33.75" x14ac:dyDescent="0.25">
      <c r="A906" s="1199">
        <v>905</v>
      </c>
      <c r="B906" s="1109" t="s">
        <v>3070</v>
      </c>
      <c r="D906" s="1126" t="s">
        <v>1498</v>
      </c>
    </row>
    <row r="907" spans="1:4" ht="22.5" x14ac:dyDescent="0.25">
      <c r="A907" s="1199">
        <v>906</v>
      </c>
      <c r="B907" s="1109" t="s">
        <v>3071</v>
      </c>
      <c r="D907" s="1126" t="s">
        <v>1667</v>
      </c>
    </row>
    <row r="908" spans="1:4" x14ac:dyDescent="0.25">
      <c r="A908" s="1199">
        <v>907</v>
      </c>
      <c r="B908" s="1112" t="s">
        <v>3072</v>
      </c>
      <c r="D908" s="1126" t="s">
        <v>1688</v>
      </c>
    </row>
    <row r="909" spans="1:4" ht="22.5" x14ac:dyDescent="0.25">
      <c r="A909" s="1199">
        <v>908</v>
      </c>
      <c r="B909" s="1134" t="s">
        <v>3073</v>
      </c>
      <c r="D909" s="1126" t="s">
        <v>1689</v>
      </c>
    </row>
    <row r="910" spans="1:4" x14ac:dyDescent="0.25">
      <c r="A910" s="1199">
        <v>909</v>
      </c>
      <c r="B910" s="1112" t="s">
        <v>3074</v>
      </c>
      <c r="D910" s="1126" t="s">
        <v>1616</v>
      </c>
    </row>
    <row r="911" spans="1:4" ht="22.5" x14ac:dyDescent="0.25">
      <c r="A911" s="1199">
        <v>910</v>
      </c>
      <c r="B911" s="1109" t="s">
        <v>3075</v>
      </c>
      <c r="D911" s="1126" t="s">
        <v>1617</v>
      </c>
    </row>
    <row r="912" spans="1:4" x14ac:dyDescent="0.25">
      <c r="A912" s="1199">
        <v>911</v>
      </c>
      <c r="B912" s="1109" t="s">
        <v>3076</v>
      </c>
      <c r="D912" s="1126" t="s">
        <v>1499</v>
      </c>
    </row>
    <row r="913" spans="1:4" x14ac:dyDescent="0.25">
      <c r="A913" s="1199">
        <v>912</v>
      </c>
      <c r="B913" s="1109" t="s">
        <v>3077</v>
      </c>
      <c r="D913" s="1126" t="s">
        <v>1619</v>
      </c>
    </row>
    <row r="914" spans="1:4" x14ac:dyDescent="0.25">
      <c r="A914" s="1199">
        <v>913</v>
      </c>
      <c r="B914" s="1109" t="s">
        <v>3078</v>
      </c>
      <c r="D914" s="1126" t="s">
        <v>1620</v>
      </c>
    </row>
    <row r="915" spans="1:4" x14ac:dyDescent="0.25">
      <c r="A915" s="1199">
        <v>914</v>
      </c>
      <c r="B915" s="1109" t="s">
        <v>3079</v>
      </c>
      <c r="D915" s="1126" t="s">
        <v>1500</v>
      </c>
    </row>
    <row r="916" spans="1:4" x14ac:dyDescent="0.25">
      <c r="A916" s="1199">
        <v>915</v>
      </c>
      <c r="B916" s="1109" t="s">
        <v>3080</v>
      </c>
      <c r="D916" s="1126" t="s">
        <v>1621</v>
      </c>
    </row>
    <row r="917" spans="1:4" x14ac:dyDescent="0.25">
      <c r="A917" s="1199">
        <v>916</v>
      </c>
      <c r="B917" s="1109" t="s">
        <v>3081</v>
      </c>
      <c r="D917" s="1126" t="s">
        <v>1501</v>
      </c>
    </row>
    <row r="918" spans="1:4" ht="21" x14ac:dyDescent="0.25">
      <c r="A918" s="1199">
        <v>917</v>
      </c>
      <c r="B918" s="1108" t="s">
        <v>3082</v>
      </c>
      <c r="D918" s="1126" t="s">
        <v>1622</v>
      </c>
    </row>
    <row r="919" spans="1:4" x14ac:dyDescent="0.25">
      <c r="A919" s="1199">
        <v>918</v>
      </c>
      <c r="B919" s="1177" t="s">
        <v>3083</v>
      </c>
      <c r="D919" s="1126" t="s">
        <v>1623</v>
      </c>
    </row>
    <row r="920" spans="1:4" x14ac:dyDescent="0.25">
      <c r="A920" s="1199">
        <v>919</v>
      </c>
      <c r="B920" s="1177" t="s">
        <v>3084</v>
      </c>
      <c r="D920" s="1126" t="s">
        <v>1624</v>
      </c>
    </row>
    <row r="921" spans="1:4" x14ac:dyDescent="0.25">
      <c r="A921" s="1199">
        <v>920</v>
      </c>
      <c r="B921" s="1177" t="s">
        <v>3085</v>
      </c>
      <c r="D921" s="1126" t="s">
        <v>1625</v>
      </c>
    </row>
    <row r="922" spans="1:4" x14ac:dyDescent="0.25">
      <c r="A922" s="1199">
        <v>921</v>
      </c>
      <c r="B922" s="1159" t="s">
        <v>3086</v>
      </c>
      <c r="D922" s="1126" t="s">
        <v>1502</v>
      </c>
    </row>
    <row r="923" spans="1:4" x14ac:dyDescent="0.25">
      <c r="A923" s="1199">
        <v>922</v>
      </c>
      <c r="B923" s="1178" t="s">
        <v>3087</v>
      </c>
      <c r="D923" s="1126" t="s">
        <v>1503</v>
      </c>
    </row>
    <row r="924" spans="1:4" x14ac:dyDescent="0.25">
      <c r="A924" s="1199">
        <v>923</v>
      </c>
      <c r="B924" s="1154" t="s">
        <v>3088</v>
      </c>
      <c r="D924" s="1126" t="s">
        <v>1504</v>
      </c>
    </row>
    <row r="925" spans="1:4" x14ac:dyDescent="0.25">
      <c r="A925" s="1199">
        <v>924</v>
      </c>
      <c r="B925" s="1154" t="s">
        <v>3089</v>
      </c>
      <c r="D925" s="1126" t="s">
        <v>1505</v>
      </c>
    </row>
    <row r="926" spans="1:4" x14ac:dyDescent="0.25">
      <c r="A926" s="1199">
        <v>925</v>
      </c>
      <c r="B926" s="1154" t="s">
        <v>3090</v>
      </c>
      <c r="D926" s="1126" t="s">
        <v>1506</v>
      </c>
    </row>
    <row r="927" spans="1:4" x14ac:dyDescent="0.25">
      <c r="A927" s="1199">
        <v>926</v>
      </c>
      <c r="B927" s="1154" t="s">
        <v>3091</v>
      </c>
      <c r="D927" s="1126" t="s">
        <v>1507</v>
      </c>
    </row>
    <row r="928" spans="1:4" x14ac:dyDescent="0.25">
      <c r="A928" s="1199">
        <v>927</v>
      </c>
      <c r="B928" s="1154" t="s">
        <v>3092</v>
      </c>
      <c r="D928" s="1126" t="s">
        <v>1508</v>
      </c>
    </row>
    <row r="929" spans="1:4" x14ac:dyDescent="0.25">
      <c r="A929" s="1199">
        <v>928</v>
      </c>
      <c r="B929" s="1154" t="s">
        <v>228</v>
      </c>
      <c r="D929" s="1126" t="s">
        <v>1509</v>
      </c>
    </row>
    <row r="930" spans="1:4" x14ac:dyDescent="0.25">
      <c r="A930" s="1199">
        <v>929</v>
      </c>
      <c r="B930" s="1154" t="s">
        <v>3093</v>
      </c>
      <c r="D930" s="1126" t="s">
        <v>1510</v>
      </c>
    </row>
    <row r="931" spans="1:4" x14ac:dyDescent="0.25">
      <c r="A931" s="1199">
        <v>930</v>
      </c>
      <c r="B931" s="1154" t="s">
        <v>3094</v>
      </c>
      <c r="D931" s="1126" t="s">
        <v>1511</v>
      </c>
    </row>
    <row r="932" spans="1:4" x14ac:dyDescent="0.25">
      <c r="A932" s="1199">
        <v>931</v>
      </c>
      <c r="B932" s="1154" t="s">
        <v>3095</v>
      </c>
      <c r="D932" s="1126" t="s">
        <v>1512</v>
      </c>
    </row>
    <row r="933" spans="1:4" x14ac:dyDescent="0.25">
      <c r="A933" s="1199">
        <v>932</v>
      </c>
      <c r="B933" s="1154" t="s">
        <v>3096</v>
      </c>
      <c r="D933" s="1126" t="s">
        <v>1513</v>
      </c>
    </row>
    <row r="934" spans="1:4" x14ac:dyDescent="0.25">
      <c r="A934" s="1199">
        <v>933</v>
      </c>
      <c r="B934" s="1154" t="s">
        <v>3097</v>
      </c>
      <c r="D934" s="1126" t="s">
        <v>1514</v>
      </c>
    </row>
    <row r="935" spans="1:4" x14ac:dyDescent="0.25">
      <c r="A935" s="1199">
        <v>934</v>
      </c>
      <c r="B935" s="1154" t="s">
        <v>3098</v>
      </c>
      <c r="D935" s="1126" t="s">
        <v>1515</v>
      </c>
    </row>
    <row r="936" spans="1:4" x14ac:dyDescent="0.25">
      <c r="A936" s="1199">
        <v>935</v>
      </c>
      <c r="B936" s="1154" t="s">
        <v>3099</v>
      </c>
      <c r="D936" s="1126" t="s">
        <v>1516</v>
      </c>
    </row>
    <row r="937" spans="1:4" x14ac:dyDescent="0.25">
      <c r="A937" s="1199">
        <v>936</v>
      </c>
      <c r="B937" s="1154" t="s">
        <v>3100</v>
      </c>
      <c r="D937" s="1126" t="s">
        <v>1517</v>
      </c>
    </row>
    <row r="938" spans="1:4" x14ac:dyDescent="0.25">
      <c r="A938" s="1199">
        <v>937</v>
      </c>
      <c r="B938" s="1154" t="s">
        <v>3101</v>
      </c>
      <c r="D938" s="1126" t="s">
        <v>1518</v>
      </c>
    </row>
    <row r="939" spans="1:4" x14ac:dyDescent="0.25">
      <c r="A939" s="1199">
        <v>938</v>
      </c>
      <c r="B939" s="1154" t="s">
        <v>3102</v>
      </c>
      <c r="D939" s="1126" t="s">
        <v>1519</v>
      </c>
    </row>
    <row r="940" spans="1:4" x14ac:dyDescent="0.25">
      <c r="A940" s="1199">
        <v>939</v>
      </c>
      <c r="B940" s="1154" t="s">
        <v>3103</v>
      </c>
      <c r="D940" s="1126" t="s">
        <v>1520</v>
      </c>
    </row>
    <row r="941" spans="1:4" x14ac:dyDescent="0.25">
      <c r="A941" s="1199">
        <v>940</v>
      </c>
      <c r="B941" s="1154" t="s">
        <v>3104</v>
      </c>
      <c r="D941" s="1126" t="s">
        <v>1521</v>
      </c>
    </row>
    <row r="942" spans="1:4" x14ac:dyDescent="0.25">
      <c r="A942" s="1199">
        <v>941</v>
      </c>
      <c r="B942" s="1154" t="s">
        <v>3105</v>
      </c>
      <c r="D942" s="1126" t="s">
        <v>1522</v>
      </c>
    </row>
    <row r="943" spans="1:4" x14ac:dyDescent="0.25">
      <c r="A943" s="1199">
        <v>942</v>
      </c>
      <c r="B943" s="1154" t="s">
        <v>3106</v>
      </c>
      <c r="D943" s="1126" t="s">
        <v>1523</v>
      </c>
    </row>
    <row r="944" spans="1:4" x14ac:dyDescent="0.25">
      <c r="A944" s="1199">
        <v>943</v>
      </c>
      <c r="B944" s="1154" t="s">
        <v>3107</v>
      </c>
      <c r="D944" s="1126" t="s">
        <v>1524</v>
      </c>
    </row>
    <row r="945" spans="1:4" x14ac:dyDescent="0.25">
      <c r="A945" s="1199">
        <v>944</v>
      </c>
      <c r="B945" s="1154" t="s">
        <v>3108</v>
      </c>
      <c r="D945" s="1126" t="s">
        <v>1525</v>
      </c>
    </row>
    <row r="946" spans="1:4" x14ac:dyDescent="0.25">
      <c r="A946" s="1199">
        <v>945</v>
      </c>
      <c r="B946" s="1154" t="s">
        <v>3109</v>
      </c>
      <c r="D946" s="1126" t="s">
        <v>1526</v>
      </c>
    </row>
    <row r="947" spans="1:4" x14ac:dyDescent="0.25">
      <c r="A947" s="1199">
        <v>946</v>
      </c>
      <c r="B947" s="1154" t="s">
        <v>3110</v>
      </c>
      <c r="D947" s="1126" t="s">
        <v>1527</v>
      </c>
    </row>
    <row r="948" spans="1:4" x14ac:dyDescent="0.25">
      <c r="A948" s="1199">
        <v>947</v>
      </c>
      <c r="B948" s="1154" t="s">
        <v>3111</v>
      </c>
      <c r="D948" s="1126" t="s">
        <v>1528</v>
      </c>
    </row>
    <row r="949" spans="1:4" x14ac:dyDescent="0.25">
      <c r="A949" s="1199">
        <v>948</v>
      </c>
      <c r="B949" s="1154" t="s">
        <v>3112</v>
      </c>
      <c r="D949" s="1126" t="s">
        <v>1627</v>
      </c>
    </row>
    <row r="950" spans="1:4" x14ac:dyDescent="0.25">
      <c r="A950" s="1199">
        <v>949</v>
      </c>
      <c r="B950" s="1154" t="s">
        <v>3113</v>
      </c>
      <c r="D950" s="1126" t="s">
        <v>1629</v>
      </c>
    </row>
    <row r="951" spans="1:4" x14ac:dyDescent="0.25">
      <c r="A951" s="1199">
        <v>950</v>
      </c>
      <c r="B951" s="1154" t="s">
        <v>3114</v>
      </c>
      <c r="D951" s="1126" t="s">
        <v>1628</v>
      </c>
    </row>
    <row r="952" spans="1:4" x14ac:dyDescent="0.25">
      <c r="A952" s="1199">
        <v>951</v>
      </c>
      <c r="B952" s="1154" t="s">
        <v>3115</v>
      </c>
      <c r="D952" s="1126" t="s">
        <v>1632</v>
      </c>
    </row>
    <row r="953" spans="1:4" x14ac:dyDescent="0.25">
      <c r="A953" s="1199">
        <v>952</v>
      </c>
      <c r="B953" s="1154" t="s">
        <v>3116</v>
      </c>
      <c r="D953" s="1126" t="s">
        <v>1630</v>
      </c>
    </row>
    <row r="954" spans="1:4" x14ac:dyDescent="0.25">
      <c r="A954" s="1199">
        <v>953</v>
      </c>
      <c r="B954" s="1154" t="s">
        <v>3117</v>
      </c>
      <c r="D954" s="1126" t="s">
        <v>1631</v>
      </c>
    </row>
    <row r="955" spans="1:4" x14ac:dyDescent="0.25">
      <c r="A955" s="1199">
        <v>954</v>
      </c>
      <c r="B955" s="1154" t="s">
        <v>3118</v>
      </c>
      <c r="D955" s="1126" t="s">
        <v>1529</v>
      </c>
    </row>
    <row r="956" spans="1:4" x14ac:dyDescent="0.25">
      <c r="A956" s="1199">
        <v>955</v>
      </c>
      <c r="B956" s="1143" t="s">
        <v>3119</v>
      </c>
      <c r="D956" s="1126" t="s">
        <v>1530</v>
      </c>
    </row>
    <row r="957" spans="1:4" x14ac:dyDescent="0.25">
      <c r="A957" s="1199">
        <v>956</v>
      </c>
      <c r="B957" s="1154" t="s">
        <v>3120</v>
      </c>
      <c r="D957" s="1126" t="s">
        <v>1531</v>
      </c>
    </row>
    <row r="958" spans="1:4" x14ac:dyDescent="0.25">
      <c r="A958" s="1199">
        <v>957</v>
      </c>
      <c r="B958" s="1154" t="s">
        <v>3121</v>
      </c>
      <c r="D958" s="1126" t="s">
        <v>1532</v>
      </c>
    </row>
    <row r="959" spans="1:4" x14ac:dyDescent="0.25">
      <c r="A959" s="1199">
        <v>958</v>
      </c>
      <c r="B959" s="1154" t="s">
        <v>3122</v>
      </c>
      <c r="D959" s="1126" t="s">
        <v>1633</v>
      </c>
    </row>
    <row r="960" spans="1:4" x14ac:dyDescent="0.25">
      <c r="A960" s="1199">
        <v>959</v>
      </c>
      <c r="B960" s="1154" t="s">
        <v>3123</v>
      </c>
      <c r="D960" s="1126" t="s">
        <v>1533</v>
      </c>
    </row>
    <row r="961" spans="1:4" x14ac:dyDescent="0.25">
      <c r="A961" s="1199">
        <v>960</v>
      </c>
      <c r="B961" s="1154" t="s">
        <v>3124</v>
      </c>
      <c r="D961" s="1126" t="s">
        <v>1534</v>
      </c>
    </row>
    <row r="962" spans="1:4" x14ac:dyDescent="0.25">
      <c r="A962" s="1199">
        <v>961</v>
      </c>
      <c r="B962" s="1154" t="s">
        <v>3125</v>
      </c>
      <c r="D962" s="1126" t="s">
        <v>1535</v>
      </c>
    </row>
    <row r="963" spans="1:4" x14ac:dyDescent="0.25">
      <c r="A963" s="1199">
        <v>962</v>
      </c>
      <c r="B963" s="1154" t="s">
        <v>3126</v>
      </c>
      <c r="D963" s="1126" t="s">
        <v>1536</v>
      </c>
    </row>
    <row r="964" spans="1:4" x14ac:dyDescent="0.25">
      <c r="A964" s="1199">
        <v>963</v>
      </c>
      <c r="B964" s="1154" t="s">
        <v>3127</v>
      </c>
      <c r="D964" s="1126" t="s">
        <v>1537</v>
      </c>
    </row>
    <row r="965" spans="1:4" x14ac:dyDescent="0.25">
      <c r="A965" s="1199">
        <v>964</v>
      </c>
      <c r="B965" s="1154" t="s">
        <v>3128</v>
      </c>
      <c r="D965" s="1126" t="s">
        <v>1538</v>
      </c>
    </row>
    <row r="966" spans="1:4" x14ac:dyDescent="0.25">
      <c r="A966" s="1199">
        <v>965</v>
      </c>
      <c r="B966" s="1154" t="s">
        <v>3129</v>
      </c>
      <c r="D966" s="1126" t="s">
        <v>1539</v>
      </c>
    </row>
    <row r="967" spans="1:4" x14ac:dyDescent="0.25">
      <c r="A967" s="1199">
        <v>966</v>
      </c>
      <c r="B967" s="1154" t="s">
        <v>3130</v>
      </c>
      <c r="D967" s="1126" t="s">
        <v>1540</v>
      </c>
    </row>
    <row r="968" spans="1:4" x14ac:dyDescent="0.25">
      <c r="A968" s="1199">
        <v>967</v>
      </c>
      <c r="B968" s="1154" t="s">
        <v>3131</v>
      </c>
      <c r="D968" s="1126" t="s">
        <v>1541</v>
      </c>
    </row>
    <row r="969" spans="1:4" x14ac:dyDescent="0.25">
      <c r="A969" s="1199">
        <v>968</v>
      </c>
      <c r="B969" s="1154" t="s">
        <v>3132</v>
      </c>
      <c r="D969" s="1126" t="s">
        <v>1542</v>
      </c>
    </row>
    <row r="970" spans="1:4" x14ac:dyDescent="0.25">
      <c r="A970" s="1199">
        <v>969</v>
      </c>
      <c r="B970" s="1154" t="s">
        <v>3133</v>
      </c>
      <c r="D970" s="1126" t="s">
        <v>1543</v>
      </c>
    </row>
    <row r="971" spans="1:4" ht="25.5" x14ac:dyDescent="0.25">
      <c r="A971" s="1199">
        <v>970</v>
      </c>
      <c r="B971" s="1154" t="s">
        <v>3134</v>
      </c>
      <c r="D971" s="1126" t="s">
        <v>1544</v>
      </c>
    </row>
    <row r="972" spans="1:4" x14ac:dyDescent="0.25">
      <c r="A972" s="1199">
        <v>971</v>
      </c>
      <c r="B972" s="1154" t="s">
        <v>3135</v>
      </c>
      <c r="D972" s="1126" t="s">
        <v>1545</v>
      </c>
    </row>
    <row r="973" spans="1:4" x14ac:dyDescent="0.25">
      <c r="A973" s="1199">
        <v>972</v>
      </c>
      <c r="B973" s="1154" t="s">
        <v>3136</v>
      </c>
      <c r="D973" s="1126" t="s">
        <v>1546</v>
      </c>
    </row>
    <row r="974" spans="1:4" x14ac:dyDescent="0.25">
      <c r="A974" s="1199">
        <v>973</v>
      </c>
      <c r="B974" s="1154" t="s">
        <v>3137</v>
      </c>
      <c r="D974" s="1126" t="s">
        <v>1547</v>
      </c>
    </row>
    <row r="975" spans="1:4" x14ac:dyDescent="0.25">
      <c r="A975" s="1199">
        <v>974</v>
      </c>
      <c r="B975" s="1154" t="s">
        <v>3138</v>
      </c>
      <c r="D975" s="1126" t="s">
        <v>1548</v>
      </c>
    </row>
    <row r="976" spans="1:4" x14ac:dyDescent="0.25">
      <c r="A976" s="1199">
        <v>975</v>
      </c>
      <c r="B976" s="1154" t="s">
        <v>3139</v>
      </c>
      <c r="D976" s="1126" t="s">
        <v>1549</v>
      </c>
    </row>
    <row r="977" spans="1:4" x14ac:dyDescent="0.25">
      <c r="A977" s="1199">
        <v>976</v>
      </c>
      <c r="B977" s="1155" t="s">
        <v>3140</v>
      </c>
      <c r="D977" s="1126" t="s">
        <v>1550</v>
      </c>
    </row>
    <row r="978" spans="1:4" ht="25.5" x14ac:dyDescent="0.25">
      <c r="A978" s="1199">
        <v>977</v>
      </c>
      <c r="B978" s="1112" t="s">
        <v>3141</v>
      </c>
      <c r="D978" s="1126" t="s">
        <v>1551</v>
      </c>
    </row>
    <row r="979" spans="1:4" ht="22.5" x14ac:dyDescent="0.25">
      <c r="A979" s="1199">
        <v>978</v>
      </c>
      <c r="B979" s="1109" t="s">
        <v>3142</v>
      </c>
      <c r="D979" s="1126" t="s">
        <v>1552</v>
      </c>
    </row>
    <row r="980" spans="1:4" ht="21" x14ac:dyDescent="0.25">
      <c r="A980" s="1199">
        <v>979</v>
      </c>
      <c r="B980" s="1108" t="s">
        <v>3143</v>
      </c>
      <c r="D980" s="1126" t="s">
        <v>1553</v>
      </c>
    </row>
    <row r="981" spans="1:4" ht="21" x14ac:dyDescent="0.25">
      <c r="A981" s="1199">
        <v>980</v>
      </c>
      <c r="B981" s="1108" t="s">
        <v>3144</v>
      </c>
      <c r="D981" s="1126" t="s">
        <v>1554</v>
      </c>
    </row>
    <row r="982" spans="1:4" ht="22.5" x14ac:dyDescent="0.25">
      <c r="A982" s="1199">
        <v>981</v>
      </c>
      <c r="B982" s="1109" t="s">
        <v>3145</v>
      </c>
      <c r="D982" s="1126" t="s">
        <v>1678</v>
      </c>
    </row>
    <row r="983" spans="1:4" x14ac:dyDescent="0.25">
      <c r="A983" s="1199">
        <v>982</v>
      </c>
      <c r="B983" s="1250" t="s">
        <v>3146</v>
      </c>
      <c r="D983" s="1126" t="s">
        <v>1555</v>
      </c>
    </row>
    <row r="984" spans="1:4" ht="15.75" x14ac:dyDescent="0.25">
      <c r="A984" s="1199">
        <v>983</v>
      </c>
      <c r="B984" s="1110" t="s">
        <v>3147</v>
      </c>
      <c r="D984" s="1126" t="s">
        <v>2118</v>
      </c>
    </row>
    <row r="985" spans="1:4" ht="30" x14ac:dyDescent="0.25">
      <c r="A985" s="1199">
        <v>984</v>
      </c>
      <c r="B985" s="1125" t="s">
        <v>3148</v>
      </c>
      <c r="D985" s="1126" t="s">
        <v>1556</v>
      </c>
    </row>
    <row r="986" spans="1:4" ht="22.5" x14ac:dyDescent="0.25">
      <c r="A986" s="1199">
        <v>985</v>
      </c>
      <c r="B986" s="1109" t="s">
        <v>3149</v>
      </c>
      <c r="D986" s="1126" t="s">
        <v>1557</v>
      </c>
    </row>
    <row r="987" spans="1:4" x14ac:dyDescent="0.25">
      <c r="A987" s="1199">
        <v>986</v>
      </c>
      <c r="B987" s="1112" t="s">
        <v>3150</v>
      </c>
      <c r="D987" s="1126" t="s">
        <v>1558</v>
      </c>
    </row>
    <row r="988" spans="1:4" ht="22.5" x14ac:dyDescent="0.25">
      <c r="A988" s="1199">
        <v>987</v>
      </c>
      <c r="B988" s="1109" t="s">
        <v>3151</v>
      </c>
      <c r="D988" s="1126" t="s">
        <v>1559</v>
      </c>
    </row>
    <row r="989" spans="1:4" x14ac:dyDescent="0.25">
      <c r="A989" s="1199">
        <v>988</v>
      </c>
      <c r="B989" s="1159" t="s">
        <v>3152</v>
      </c>
      <c r="D989" s="1126" t="s">
        <v>1560</v>
      </c>
    </row>
    <row r="990" spans="1:4" x14ac:dyDescent="0.25">
      <c r="A990" s="1199">
        <v>989</v>
      </c>
      <c r="B990" s="1112" t="s">
        <v>3153</v>
      </c>
      <c r="D990" s="1126" t="s">
        <v>1574</v>
      </c>
    </row>
    <row r="991" spans="1:4" x14ac:dyDescent="0.25">
      <c r="A991" s="1199">
        <v>990</v>
      </c>
      <c r="B991" s="1109" t="s">
        <v>3154</v>
      </c>
      <c r="D991" s="1126" t="s">
        <v>1561</v>
      </c>
    </row>
    <row r="992" spans="1:4" ht="22.5" x14ac:dyDescent="0.25">
      <c r="A992" s="1199">
        <v>991</v>
      </c>
      <c r="B992" s="1109" t="s">
        <v>3155</v>
      </c>
      <c r="D992" s="1126" t="s">
        <v>1562</v>
      </c>
    </row>
    <row r="993" spans="1:4" ht="22.5" x14ac:dyDescent="0.25">
      <c r="A993" s="1199">
        <v>992</v>
      </c>
      <c r="B993" s="1109" t="s">
        <v>3156</v>
      </c>
      <c r="D993" s="1126" t="s">
        <v>1563</v>
      </c>
    </row>
    <row r="994" spans="1:4" ht="22.5" x14ac:dyDescent="0.25">
      <c r="A994" s="1199">
        <v>993</v>
      </c>
      <c r="B994" s="1109" t="s">
        <v>3157</v>
      </c>
      <c r="D994" s="1126" t="s">
        <v>1564</v>
      </c>
    </row>
    <row r="995" spans="1:4" ht="22.5" x14ac:dyDescent="0.25">
      <c r="A995" s="1199">
        <v>994</v>
      </c>
      <c r="B995" s="1109" t="s">
        <v>3158</v>
      </c>
      <c r="D995" s="1126" t="s">
        <v>1565</v>
      </c>
    </row>
    <row r="996" spans="1:4" x14ac:dyDescent="0.25">
      <c r="A996" s="1199">
        <v>995</v>
      </c>
      <c r="B996" s="1152" t="s">
        <v>3159</v>
      </c>
      <c r="D996" s="1126" t="s">
        <v>1580</v>
      </c>
    </row>
    <row r="997" spans="1:4" x14ac:dyDescent="0.25">
      <c r="A997" s="1199">
        <v>996</v>
      </c>
      <c r="B997" s="1155" t="s">
        <v>3160</v>
      </c>
      <c r="D997" s="1126" t="s">
        <v>1581</v>
      </c>
    </row>
    <row r="998" spans="1:4" ht="25.5" x14ac:dyDescent="0.25">
      <c r="A998" s="1199">
        <v>997</v>
      </c>
      <c r="B998" s="1112" t="s">
        <v>3161</v>
      </c>
      <c r="D998" s="1126" t="s">
        <v>1566</v>
      </c>
    </row>
    <row r="999" spans="1:4" ht="22.5" x14ac:dyDescent="0.25">
      <c r="A999" s="1199">
        <v>998</v>
      </c>
      <c r="B999" s="1109" t="s">
        <v>3162</v>
      </c>
      <c r="D999" s="1126" t="s">
        <v>1567</v>
      </c>
    </row>
    <row r="1000" spans="1:4" x14ac:dyDescent="0.25">
      <c r="A1000" s="1199">
        <v>999</v>
      </c>
      <c r="B1000" s="1159" t="s">
        <v>3163</v>
      </c>
      <c r="D1000" s="1126" t="s">
        <v>1568</v>
      </c>
    </row>
    <row r="1001" spans="1:4" ht="15.75" x14ac:dyDescent="0.25">
      <c r="A1001" s="1199">
        <v>1000</v>
      </c>
      <c r="B1001" s="1110" t="s">
        <v>3164</v>
      </c>
      <c r="D1001" s="1126" t="s">
        <v>2120</v>
      </c>
    </row>
    <row r="1002" spans="1:4" ht="30" x14ac:dyDescent="0.25">
      <c r="A1002" s="1199">
        <v>1001</v>
      </c>
      <c r="B1002" s="1125" t="s">
        <v>3165</v>
      </c>
      <c r="D1002" s="1126" t="s">
        <v>1569</v>
      </c>
    </row>
    <row r="1003" spans="1:4" ht="33.75" x14ac:dyDescent="0.25">
      <c r="A1003" s="1199">
        <v>1002</v>
      </c>
      <c r="B1003" s="1109" t="s">
        <v>3166</v>
      </c>
      <c r="D1003" s="1126" t="s">
        <v>1570</v>
      </c>
    </row>
    <row r="1004" spans="1:4" x14ac:dyDescent="0.25">
      <c r="A1004" s="1199">
        <v>1003</v>
      </c>
      <c r="B1004" s="1112" t="s">
        <v>3167</v>
      </c>
      <c r="D1004" s="1126" t="s">
        <v>1571</v>
      </c>
    </row>
    <row r="1005" spans="1:4" ht="22.5" x14ac:dyDescent="0.25">
      <c r="A1005" s="1199">
        <v>1004</v>
      </c>
      <c r="B1005" s="1109" t="s">
        <v>3168</v>
      </c>
      <c r="D1005" s="1126" t="s">
        <v>1572</v>
      </c>
    </row>
    <row r="1006" spans="1:4" x14ac:dyDescent="0.25">
      <c r="A1006" s="1199">
        <v>1005</v>
      </c>
      <c r="B1006" s="1159" t="s">
        <v>3169</v>
      </c>
      <c r="D1006" s="1126" t="s">
        <v>1573</v>
      </c>
    </row>
    <row r="1007" spans="1:4" x14ac:dyDescent="0.25">
      <c r="A1007" s="1199">
        <v>1006</v>
      </c>
      <c r="B1007" s="1109" t="s">
        <v>3170</v>
      </c>
      <c r="D1007" s="1126" t="s">
        <v>1575</v>
      </c>
    </row>
    <row r="1008" spans="1:4" ht="22.5" x14ac:dyDescent="0.25">
      <c r="A1008" s="1199">
        <v>1007</v>
      </c>
      <c r="B1008" s="1109" t="s">
        <v>3171</v>
      </c>
      <c r="D1008" s="1126" t="s">
        <v>1576</v>
      </c>
    </row>
    <row r="1009" spans="1:4" ht="22.5" x14ac:dyDescent="0.25">
      <c r="A1009" s="1199">
        <v>1008</v>
      </c>
      <c r="B1009" s="1109" t="s">
        <v>3172</v>
      </c>
      <c r="D1009" s="1126" t="s">
        <v>1577</v>
      </c>
    </row>
    <row r="1010" spans="1:4" ht="22.5" x14ac:dyDescent="0.25">
      <c r="A1010" s="1199">
        <v>1009</v>
      </c>
      <c r="B1010" s="1109" t="s">
        <v>3173</v>
      </c>
      <c r="D1010" s="1126" t="s">
        <v>1578</v>
      </c>
    </row>
    <row r="1011" spans="1:4" ht="22.5" x14ac:dyDescent="0.25">
      <c r="A1011" s="1199">
        <v>1010</v>
      </c>
      <c r="B1011" s="1109" t="s">
        <v>3174</v>
      </c>
      <c r="D1011" s="1126" t="s">
        <v>1579</v>
      </c>
    </row>
    <row r="1012" spans="1:4" ht="25.5" x14ac:dyDescent="0.25">
      <c r="A1012" s="1199">
        <v>1011</v>
      </c>
      <c r="B1012" s="1112" t="s">
        <v>3175</v>
      </c>
      <c r="D1012" s="1126" t="s">
        <v>1582</v>
      </c>
    </row>
    <row r="1013" spans="1:4" ht="33.75" x14ac:dyDescent="0.25">
      <c r="A1013" s="1199">
        <v>1012</v>
      </c>
      <c r="B1013" s="1109" t="s">
        <v>3176</v>
      </c>
      <c r="D1013" s="1126" t="s">
        <v>1583</v>
      </c>
    </row>
    <row r="1014" spans="1:4" x14ac:dyDescent="0.25">
      <c r="A1014" s="1199">
        <v>1013</v>
      </c>
      <c r="B1014" s="1159" t="s">
        <v>3177</v>
      </c>
      <c r="D1014" s="1126" t="s">
        <v>1584</v>
      </c>
    </row>
    <row r="1015" spans="1:4" ht="15.75" x14ac:dyDescent="0.25">
      <c r="A1015" s="1199">
        <v>1014</v>
      </c>
      <c r="B1015" s="1110" t="s">
        <v>3178</v>
      </c>
      <c r="D1015" s="1126" t="s">
        <v>2153</v>
      </c>
    </row>
    <row r="1016" spans="1:4" ht="30" x14ac:dyDescent="0.25">
      <c r="A1016" s="1199">
        <v>1015</v>
      </c>
      <c r="B1016" s="1125" t="s">
        <v>3179</v>
      </c>
      <c r="D1016" s="1126" t="s">
        <v>1585</v>
      </c>
    </row>
    <row r="1017" spans="1:4" ht="22.5" x14ac:dyDescent="0.25">
      <c r="A1017" s="1199">
        <v>1016</v>
      </c>
      <c r="B1017" s="1109" t="s">
        <v>3180</v>
      </c>
      <c r="D1017" s="1126" t="s">
        <v>1586</v>
      </c>
    </row>
    <row r="1018" spans="1:4" x14ac:dyDescent="0.25">
      <c r="A1018" s="1199">
        <v>1017</v>
      </c>
      <c r="B1018" s="1112" t="s">
        <v>3181</v>
      </c>
      <c r="D1018" s="1126" t="s">
        <v>1587</v>
      </c>
    </row>
    <row r="1019" spans="1:4" ht="22.5" x14ac:dyDescent="0.25">
      <c r="A1019" s="1199">
        <v>1018</v>
      </c>
      <c r="B1019" s="1109" t="s">
        <v>3182</v>
      </c>
      <c r="D1019" s="1126" t="s">
        <v>1588</v>
      </c>
    </row>
    <row r="1020" spans="1:4" x14ac:dyDescent="0.25">
      <c r="A1020" s="1199">
        <v>1019</v>
      </c>
      <c r="B1020" s="1159" t="s">
        <v>3183</v>
      </c>
      <c r="D1020" s="1126" t="s">
        <v>1589</v>
      </c>
    </row>
    <row r="1021" spans="1:4" x14ac:dyDescent="0.25">
      <c r="A1021" s="1199">
        <v>1020</v>
      </c>
      <c r="B1021" s="1112" t="s">
        <v>3184</v>
      </c>
      <c r="D1021" s="1126" t="s">
        <v>1590</v>
      </c>
    </row>
    <row r="1022" spans="1:4" x14ac:dyDescent="0.25">
      <c r="A1022" s="1199">
        <v>1021</v>
      </c>
      <c r="B1022" s="1109" t="s">
        <v>3185</v>
      </c>
      <c r="D1022" s="1126" t="s">
        <v>1591</v>
      </c>
    </row>
    <row r="1023" spans="1:4" ht="22.5" x14ac:dyDescent="0.25">
      <c r="A1023" s="1199">
        <v>1022</v>
      </c>
      <c r="B1023" s="1109" t="s">
        <v>3186</v>
      </c>
      <c r="D1023" s="1126" t="s">
        <v>1592</v>
      </c>
    </row>
    <row r="1024" spans="1:4" ht="22.5" x14ac:dyDescent="0.25">
      <c r="A1024" s="1199">
        <v>1023</v>
      </c>
      <c r="B1024" s="1109" t="s">
        <v>3187</v>
      </c>
      <c r="D1024" s="1126" t="s">
        <v>1593</v>
      </c>
    </row>
    <row r="1025" spans="1:4" ht="22.5" x14ac:dyDescent="0.25">
      <c r="A1025" s="1199">
        <v>1024</v>
      </c>
      <c r="B1025" s="1109" t="s">
        <v>3188</v>
      </c>
      <c r="D1025" s="1126" t="s">
        <v>1594</v>
      </c>
    </row>
    <row r="1026" spans="1:4" x14ac:dyDescent="0.25">
      <c r="A1026" s="1199">
        <v>1025</v>
      </c>
      <c r="B1026" s="1150" t="s">
        <v>3189</v>
      </c>
      <c r="D1026" s="1126" t="s">
        <v>1595</v>
      </c>
    </row>
    <row r="1027" spans="1:4" x14ac:dyDescent="0.25">
      <c r="A1027" s="1199">
        <v>1026</v>
      </c>
      <c r="B1027" s="1152" t="s">
        <v>3190</v>
      </c>
      <c r="D1027" s="1126" t="s">
        <v>2166</v>
      </c>
    </row>
    <row r="1028" spans="1:4" x14ac:dyDescent="0.25">
      <c r="A1028" s="1199">
        <v>1027</v>
      </c>
      <c r="B1028" s="1154" t="s">
        <v>3191</v>
      </c>
      <c r="D1028" s="1126" t="s">
        <v>1607</v>
      </c>
    </row>
    <row r="1029" spans="1:4" x14ac:dyDescent="0.25">
      <c r="A1029" s="1199">
        <v>1028</v>
      </c>
      <c r="B1029" s="1155" t="s">
        <v>3192</v>
      </c>
      <c r="D1029" s="1126" t="s">
        <v>1608</v>
      </c>
    </row>
    <row r="1030" spans="1:4" x14ac:dyDescent="0.25">
      <c r="A1030" s="1199">
        <v>1029</v>
      </c>
      <c r="B1030" s="1112" t="s">
        <v>3193</v>
      </c>
      <c r="D1030" s="1126" t="s">
        <v>1596</v>
      </c>
    </row>
    <row r="1031" spans="1:4" ht="22.5" x14ac:dyDescent="0.25">
      <c r="A1031" s="1199">
        <v>1030</v>
      </c>
      <c r="B1031" s="1109" t="s">
        <v>3194</v>
      </c>
      <c r="D1031" s="1126" t="s">
        <v>1597</v>
      </c>
    </row>
    <row r="1032" spans="1:4" x14ac:dyDescent="0.25">
      <c r="A1032" s="1199">
        <v>1031</v>
      </c>
      <c r="B1032" s="1159" t="s">
        <v>3195</v>
      </c>
      <c r="D1032" s="1126" t="s">
        <v>1598</v>
      </c>
    </row>
    <row r="1033" spans="1:4" ht="30" x14ac:dyDescent="0.25">
      <c r="A1033" s="1199">
        <v>1032</v>
      </c>
      <c r="B1033" s="1125" t="s">
        <v>3196</v>
      </c>
      <c r="D1033" s="1126" t="s">
        <v>1599</v>
      </c>
    </row>
    <row r="1034" spans="1:4" ht="22.5" x14ac:dyDescent="0.25">
      <c r="A1034" s="1199">
        <v>1033</v>
      </c>
      <c r="B1034" s="1109" t="s">
        <v>3197</v>
      </c>
      <c r="D1034" s="1126" t="s">
        <v>1600</v>
      </c>
    </row>
    <row r="1035" spans="1:4" ht="22.5" x14ac:dyDescent="0.25">
      <c r="A1035" s="1199">
        <v>1034</v>
      </c>
      <c r="B1035" s="1109" t="s">
        <v>3198</v>
      </c>
      <c r="D1035" s="1126" t="s">
        <v>1601</v>
      </c>
    </row>
    <row r="1036" spans="1:4" ht="22.5" x14ac:dyDescent="0.25">
      <c r="A1036" s="1199">
        <v>1035</v>
      </c>
      <c r="B1036" s="1109" t="s">
        <v>3199</v>
      </c>
      <c r="D1036" s="1126" t="s">
        <v>1602</v>
      </c>
    </row>
    <row r="1037" spans="1:4" x14ac:dyDescent="0.25">
      <c r="A1037" s="1199">
        <v>1036</v>
      </c>
      <c r="B1037" s="1112" t="s">
        <v>3200</v>
      </c>
      <c r="D1037" s="1126" t="s">
        <v>1603</v>
      </c>
    </row>
    <row r="1038" spans="1:4" ht="22.5" x14ac:dyDescent="0.25">
      <c r="A1038" s="1199">
        <v>1037</v>
      </c>
      <c r="B1038" s="1109" t="s">
        <v>3201</v>
      </c>
      <c r="D1038" s="1126" t="s">
        <v>1604</v>
      </c>
    </row>
    <row r="1039" spans="1:4" x14ac:dyDescent="0.25">
      <c r="A1039" s="1199">
        <v>1038</v>
      </c>
      <c r="B1039" s="1150" t="s">
        <v>3202</v>
      </c>
      <c r="D1039" s="1126" t="s">
        <v>1605</v>
      </c>
    </row>
    <row r="1040" spans="1:4" x14ac:dyDescent="0.25">
      <c r="A1040" s="1199">
        <v>1039</v>
      </c>
      <c r="B1040" s="1179" t="s">
        <v>3203</v>
      </c>
      <c r="D1040" s="1126" t="s">
        <v>1606</v>
      </c>
    </row>
    <row r="1041" spans="1:4" ht="25.5" x14ac:dyDescent="0.25">
      <c r="A1041" s="1199">
        <v>1040</v>
      </c>
      <c r="B1041" s="1112" t="s">
        <v>3204</v>
      </c>
      <c r="D1041" s="1126" t="s">
        <v>1609</v>
      </c>
    </row>
    <row r="1042" spans="1:4" x14ac:dyDescent="0.25">
      <c r="A1042" s="1199">
        <v>1041</v>
      </c>
      <c r="B1042" s="1109" t="s">
        <v>3205</v>
      </c>
      <c r="D1042" s="1126" t="s">
        <v>1610</v>
      </c>
    </row>
    <row r="1043" spans="1:4" x14ac:dyDescent="0.25">
      <c r="A1043" s="1199">
        <v>1042</v>
      </c>
      <c r="B1043" s="1159" t="s">
        <v>3206</v>
      </c>
      <c r="D1043" s="1126" t="s">
        <v>1611</v>
      </c>
    </row>
    <row r="1044" spans="1:4" ht="15.75" x14ac:dyDescent="0.25">
      <c r="A1044" s="1199">
        <v>1043</v>
      </c>
      <c r="B1044" s="1110" t="s">
        <v>3207</v>
      </c>
      <c r="D1044" s="1126" t="s">
        <v>1612</v>
      </c>
    </row>
    <row r="1045" spans="1:4" ht="30" x14ac:dyDescent="0.25">
      <c r="A1045" s="1199">
        <v>1044</v>
      </c>
      <c r="B1045" s="1125" t="s">
        <v>3208</v>
      </c>
      <c r="D1045" s="1126" t="s">
        <v>1613</v>
      </c>
    </row>
    <row r="1046" spans="1:4" ht="22.5" x14ac:dyDescent="0.25">
      <c r="A1046" s="1199">
        <v>1045</v>
      </c>
      <c r="B1046" s="1109" t="s">
        <v>3209</v>
      </c>
      <c r="D1046" s="1126" t="s">
        <v>1614</v>
      </c>
    </row>
    <row r="1047" spans="1:4" ht="22.5" x14ac:dyDescent="0.25">
      <c r="A1047" s="1199">
        <v>1046</v>
      </c>
      <c r="B1047" s="1109" t="s">
        <v>3210</v>
      </c>
      <c r="D1047" s="1126" t="s">
        <v>1615</v>
      </c>
    </row>
    <row r="1048" spans="1:4" x14ac:dyDescent="0.25">
      <c r="A1048" s="1199">
        <v>1047</v>
      </c>
      <c r="B1048" s="1109" t="s">
        <v>3211</v>
      </c>
      <c r="D1048" s="1126" t="s">
        <v>1618</v>
      </c>
    </row>
    <row r="1049" spans="1:4" x14ac:dyDescent="0.25">
      <c r="A1049" s="1199">
        <v>1048</v>
      </c>
      <c r="B1049" s="1154" t="s">
        <v>3212</v>
      </c>
      <c r="D1049" s="1126" t="s">
        <v>1626</v>
      </c>
    </row>
    <row r="1050" spans="1:4" ht="25.5" x14ac:dyDescent="0.25">
      <c r="A1050" s="1199">
        <v>1049</v>
      </c>
      <c r="B1050" s="1112" t="s">
        <v>3213</v>
      </c>
      <c r="D1050" s="1126" t="s">
        <v>1634</v>
      </c>
    </row>
    <row r="1051" spans="1:4" ht="22.5" x14ac:dyDescent="0.25">
      <c r="A1051" s="1199">
        <v>1050</v>
      </c>
      <c r="B1051" s="1109" t="s">
        <v>3214</v>
      </c>
      <c r="D1051" s="1126" t="s">
        <v>1635</v>
      </c>
    </row>
    <row r="1052" spans="1:4" ht="21" x14ac:dyDescent="0.25">
      <c r="A1052" s="1199">
        <v>1051</v>
      </c>
      <c r="B1052" s="1108" t="s">
        <v>3215</v>
      </c>
      <c r="D1052" s="1126" t="s">
        <v>1636</v>
      </c>
    </row>
    <row r="1053" spans="1:4" ht="21" x14ac:dyDescent="0.25">
      <c r="A1053" s="1199">
        <v>1052</v>
      </c>
      <c r="B1053" s="1108" t="s">
        <v>3216</v>
      </c>
      <c r="D1053" s="1126" t="s">
        <v>1637</v>
      </c>
    </row>
    <row r="1054" spans="1:4" x14ac:dyDescent="0.25">
      <c r="A1054" s="1199">
        <v>1053</v>
      </c>
      <c r="B1054" s="1250" t="s">
        <v>3217</v>
      </c>
      <c r="D1054" s="1126" t="s">
        <v>1638</v>
      </c>
    </row>
    <row r="1055" spans="1:4" ht="30" x14ac:dyDescent="0.25">
      <c r="A1055" s="1199">
        <v>1054</v>
      </c>
      <c r="B1055" s="1125" t="s">
        <v>3218</v>
      </c>
      <c r="D1055" s="1126" t="s">
        <v>1639</v>
      </c>
    </row>
    <row r="1056" spans="1:4" ht="22.5" x14ac:dyDescent="0.25">
      <c r="A1056" s="1199">
        <v>1055</v>
      </c>
      <c r="B1056" s="1109" t="s">
        <v>3219</v>
      </c>
      <c r="D1056" s="1126" t="s">
        <v>1640</v>
      </c>
    </row>
    <row r="1057" spans="1:4" ht="21" x14ac:dyDescent="0.25">
      <c r="A1057" s="1199">
        <v>1056</v>
      </c>
      <c r="B1057" s="1108" t="s">
        <v>3220</v>
      </c>
      <c r="D1057" s="1126" t="s">
        <v>1641</v>
      </c>
    </row>
    <row r="1058" spans="1:4" x14ac:dyDescent="0.25">
      <c r="A1058" s="1199">
        <v>1057</v>
      </c>
      <c r="B1058" s="1112" t="s">
        <v>3221</v>
      </c>
      <c r="D1058" s="1126" t="s">
        <v>1642</v>
      </c>
    </row>
    <row r="1059" spans="1:4" ht="22.5" x14ac:dyDescent="0.25">
      <c r="A1059" s="1199">
        <v>1058</v>
      </c>
      <c r="B1059" s="1109" t="s">
        <v>3222</v>
      </c>
      <c r="D1059" s="1126" t="s">
        <v>1643</v>
      </c>
    </row>
    <row r="1060" spans="1:4" ht="31.5" x14ac:dyDescent="0.25">
      <c r="A1060" s="1199">
        <v>1059</v>
      </c>
      <c r="B1060" s="1108" t="s">
        <v>3223</v>
      </c>
      <c r="D1060" s="1126" t="s">
        <v>1654</v>
      </c>
    </row>
    <row r="1061" spans="1:4" x14ac:dyDescent="0.25">
      <c r="A1061" s="1199">
        <v>1060</v>
      </c>
      <c r="B1061" s="1159" t="s">
        <v>3224</v>
      </c>
      <c r="D1061" s="1126" t="s">
        <v>1644</v>
      </c>
    </row>
    <row r="1062" spans="1:4" x14ac:dyDescent="0.25">
      <c r="A1062" s="1199">
        <v>1061</v>
      </c>
      <c r="B1062" s="1112" t="s">
        <v>3225</v>
      </c>
      <c r="D1062" s="1126" t="s">
        <v>1656</v>
      </c>
    </row>
    <row r="1063" spans="1:4" ht="22.5" x14ac:dyDescent="0.25">
      <c r="A1063" s="1199">
        <v>1062</v>
      </c>
      <c r="B1063" s="1109" t="s">
        <v>3226</v>
      </c>
      <c r="D1063" s="1126" t="s">
        <v>1657</v>
      </c>
    </row>
    <row r="1064" spans="1:4" x14ac:dyDescent="0.25">
      <c r="A1064" s="1199">
        <v>1063</v>
      </c>
      <c r="B1064" s="1109" t="s">
        <v>3227</v>
      </c>
      <c r="D1064" s="1126" t="s">
        <v>1645</v>
      </c>
    </row>
    <row r="1065" spans="1:4" x14ac:dyDescent="0.25">
      <c r="A1065" s="1199">
        <v>1064</v>
      </c>
      <c r="B1065" s="1159" t="s">
        <v>3228</v>
      </c>
      <c r="D1065" s="1126" t="s">
        <v>1659</v>
      </c>
    </row>
    <row r="1066" spans="1:4" x14ac:dyDescent="0.25">
      <c r="A1066" s="1199">
        <v>1065</v>
      </c>
      <c r="B1066" s="1112" t="s">
        <v>3229</v>
      </c>
      <c r="D1066" s="1126" t="s">
        <v>1646</v>
      </c>
    </row>
    <row r="1067" spans="1:4" ht="22.5" x14ac:dyDescent="0.25">
      <c r="A1067" s="1199">
        <v>1066</v>
      </c>
      <c r="B1067" s="1109" t="s">
        <v>3230</v>
      </c>
      <c r="D1067" s="1126" t="s">
        <v>1647</v>
      </c>
    </row>
    <row r="1068" spans="1:4" x14ac:dyDescent="0.25">
      <c r="A1068" s="1199">
        <v>1067</v>
      </c>
      <c r="B1068" s="1109" t="s">
        <v>3231</v>
      </c>
      <c r="D1068" s="1126" t="s">
        <v>1662</v>
      </c>
    </row>
    <row r="1069" spans="1:4" x14ac:dyDescent="0.25">
      <c r="A1069" s="1199">
        <v>1068</v>
      </c>
      <c r="B1069" s="1159" t="s">
        <v>3232</v>
      </c>
      <c r="D1069" s="1126" t="s">
        <v>1648</v>
      </c>
    </row>
    <row r="1070" spans="1:4" ht="15.75" x14ac:dyDescent="0.25">
      <c r="A1070" s="1199">
        <v>1069</v>
      </c>
      <c r="B1070" s="1110" t="s">
        <v>3233</v>
      </c>
      <c r="D1070" s="1126" t="s">
        <v>2168</v>
      </c>
    </row>
    <row r="1071" spans="1:4" ht="30" x14ac:dyDescent="0.25">
      <c r="A1071" s="1199">
        <v>1070</v>
      </c>
      <c r="B1071" s="1125" t="s">
        <v>3234</v>
      </c>
      <c r="D1071" s="1126" t="s">
        <v>1649</v>
      </c>
    </row>
    <row r="1072" spans="1:4" ht="22.5" x14ac:dyDescent="0.25">
      <c r="A1072" s="1199">
        <v>1071</v>
      </c>
      <c r="B1072" s="1109" t="s">
        <v>3235</v>
      </c>
      <c r="D1072" s="1126" t="s">
        <v>1650</v>
      </c>
    </row>
    <row r="1073" spans="1:4" ht="21" x14ac:dyDescent="0.25">
      <c r="A1073" s="1199">
        <v>1072</v>
      </c>
      <c r="B1073" s="1108" t="s">
        <v>3236</v>
      </c>
      <c r="D1073" s="1126" t="s">
        <v>1651</v>
      </c>
    </row>
    <row r="1074" spans="1:4" x14ac:dyDescent="0.25">
      <c r="A1074" s="1199">
        <v>1073</v>
      </c>
      <c r="B1074" s="1112" t="s">
        <v>3237</v>
      </c>
      <c r="D1074" s="1126" t="s">
        <v>1652</v>
      </c>
    </row>
    <row r="1075" spans="1:4" ht="22.5" x14ac:dyDescent="0.25">
      <c r="A1075" s="1199">
        <v>1074</v>
      </c>
      <c r="B1075" s="1109" t="s">
        <v>3238</v>
      </c>
      <c r="D1075" s="1126" t="s">
        <v>1653</v>
      </c>
    </row>
    <row r="1076" spans="1:4" x14ac:dyDescent="0.25">
      <c r="A1076" s="1199">
        <v>1075</v>
      </c>
      <c r="B1076" s="1159" t="s">
        <v>3239</v>
      </c>
      <c r="D1076" s="1126" t="s">
        <v>1655</v>
      </c>
    </row>
    <row r="1077" spans="1:4" x14ac:dyDescent="0.25">
      <c r="A1077" s="1199">
        <v>1076</v>
      </c>
      <c r="B1077" s="1109" t="s">
        <v>3240</v>
      </c>
      <c r="D1077" s="1126" t="s">
        <v>1658</v>
      </c>
    </row>
    <row r="1078" spans="1:4" ht="25.5" x14ac:dyDescent="0.25">
      <c r="A1078" s="1199">
        <v>1077</v>
      </c>
      <c r="B1078" s="1112" t="s">
        <v>3241</v>
      </c>
      <c r="D1078" s="1126" t="s">
        <v>1660</v>
      </c>
    </row>
    <row r="1079" spans="1:4" ht="22.5" x14ac:dyDescent="0.25">
      <c r="A1079" s="1199">
        <v>1078</v>
      </c>
      <c r="B1079" s="1109" t="s">
        <v>3242</v>
      </c>
      <c r="D1079" s="1126" t="s">
        <v>1661</v>
      </c>
    </row>
    <row r="1080" spans="1:4" x14ac:dyDescent="0.25">
      <c r="A1080" s="1199">
        <v>1079</v>
      </c>
      <c r="B1080" s="1159" t="s">
        <v>3243</v>
      </c>
      <c r="D1080" s="1126" t="s">
        <v>1663</v>
      </c>
    </row>
    <row r="1081" spans="1:4" ht="15.75" x14ac:dyDescent="0.25">
      <c r="A1081" s="1199">
        <v>1080</v>
      </c>
      <c r="B1081" s="1110" t="s">
        <v>3244</v>
      </c>
      <c r="D1081" s="1126" t="s">
        <v>1664</v>
      </c>
    </row>
    <row r="1082" spans="1:4" ht="30" x14ac:dyDescent="0.25">
      <c r="A1082" s="1199">
        <v>1081</v>
      </c>
      <c r="B1082" s="1125" t="s">
        <v>3245</v>
      </c>
      <c r="D1082" s="1126" t="s">
        <v>1665</v>
      </c>
    </row>
    <row r="1083" spans="1:4" ht="22.5" x14ac:dyDescent="0.25">
      <c r="A1083" s="1199">
        <v>1082</v>
      </c>
      <c r="B1083" s="1109" t="s">
        <v>3246</v>
      </c>
      <c r="D1083" s="1126" t="s">
        <v>1666</v>
      </c>
    </row>
    <row r="1084" spans="1:4" x14ac:dyDescent="0.25">
      <c r="A1084" s="1199">
        <v>1083</v>
      </c>
      <c r="B1084" s="1112" t="s">
        <v>3247</v>
      </c>
      <c r="D1084" s="1126" t="s">
        <v>1668</v>
      </c>
    </row>
    <row r="1085" spans="1:4" ht="22.5" x14ac:dyDescent="0.25">
      <c r="A1085" s="1199">
        <v>1084</v>
      </c>
      <c r="B1085" s="1109" t="s">
        <v>3248</v>
      </c>
      <c r="D1085" s="1126" t="s">
        <v>1669</v>
      </c>
    </row>
    <row r="1086" spans="1:4" ht="22.5" x14ac:dyDescent="0.25">
      <c r="A1086" s="1199">
        <v>1085</v>
      </c>
      <c r="B1086" s="1109" t="s">
        <v>3249</v>
      </c>
      <c r="D1086" s="1126" t="s">
        <v>1670</v>
      </c>
    </row>
    <row r="1087" spans="1:4" x14ac:dyDescent="0.25">
      <c r="A1087" s="1199">
        <v>1086</v>
      </c>
      <c r="B1087" s="1152" t="s">
        <v>3250</v>
      </c>
      <c r="D1087" s="1126" t="s">
        <v>1671</v>
      </c>
    </row>
    <row r="1088" spans="1:4" x14ac:dyDescent="0.25">
      <c r="A1088" s="1199">
        <v>1087</v>
      </c>
      <c r="B1088" s="1154" t="s">
        <v>3251</v>
      </c>
      <c r="D1088" s="1126" t="s">
        <v>1672</v>
      </c>
    </row>
    <row r="1089" spans="1:4" x14ac:dyDescent="0.25">
      <c r="A1089" s="1199">
        <v>1088</v>
      </c>
      <c r="B1089" s="1154" t="s">
        <v>3252</v>
      </c>
      <c r="D1089" s="1126" t="s">
        <v>1673</v>
      </c>
    </row>
    <row r="1090" spans="1:4" x14ac:dyDescent="0.25">
      <c r="A1090" s="1199">
        <v>1089</v>
      </c>
      <c r="B1090" s="1155" t="s">
        <v>3253</v>
      </c>
      <c r="D1090" s="1126" t="s">
        <v>1674</v>
      </c>
    </row>
    <row r="1091" spans="1:4" x14ac:dyDescent="0.25">
      <c r="A1091" s="1199">
        <v>1090</v>
      </c>
      <c r="B1091" s="1159" t="s">
        <v>3254</v>
      </c>
      <c r="D1091" s="1126" t="s">
        <v>1675</v>
      </c>
    </row>
    <row r="1092" spans="1:4" ht="25.5" x14ac:dyDescent="0.25">
      <c r="A1092" s="1199">
        <v>1091</v>
      </c>
      <c r="B1092" s="1112" t="s">
        <v>3255</v>
      </c>
      <c r="D1092" s="1126" t="s">
        <v>1676</v>
      </c>
    </row>
    <row r="1093" spans="1:4" ht="22.5" x14ac:dyDescent="0.25">
      <c r="A1093" s="1199">
        <v>1092</v>
      </c>
      <c r="B1093" s="1109" t="s">
        <v>3256</v>
      </c>
      <c r="D1093" s="1126" t="s">
        <v>1677</v>
      </c>
    </row>
    <row r="1094" spans="1:4" x14ac:dyDescent="0.25">
      <c r="A1094" s="1199">
        <v>1093</v>
      </c>
      <c r="B1094" s="1159" t="s">
        <v>3257</v>
      </c>
      <c r="D1094" s="1126" t="s">
        <v>1679</v>
      </c>
    </row>
    <row r="1095" spans="1:4" ht="15.75" x14ac:dyDescent="0.25">
      <c r="A1095" s="1199">
        <v>1094</v>
      </c>
      <c r="B1095" s="1110" t="s">
        <v>3258</v>
      </c>
      <c r="D1095" s="1126" t="s">
        <v>1680</v>
      </c>
    </row>
    <row r="1096" spans="1:4" ht="30" x14ac:dyDescent="0.25">
      <c r="A1096" s="1199">
        <v>1095</v>
      </c>
      <c r="B1096" s="1125" t="s">
        <v>3259</v>
      </c>
      <c r="D1096" s="1126" t="s">
        <v>1681</v>
      </c>
    </row>
    <row r="1097" spans="1:4" ht="22.5" x14ac:dyDescent="0.25">
      <c r="A1097" s="1199">
        <v>1096</v>
      </c>
      <c r="B1097" s="1109" t="s">
        <v>3260</v>
      </c>
      <c r="D1097" s="1126" t="s">
        <v>1682</v>
      </c>
    </row>
    <row r="1098" spans="1:4" x14ac:dyDescent="0.25">
      <c r="A1098" s="1199">
        <v>1097</v>
      </c>
      <c r="B1098" s="1109" t="s">
        <v>3261</v>
      </c>
      <c r="D1098" s="1126" t="s">
        <v>1683</v>
      </c>
    </row>
    <row r="1099" spans="1:4" ht="22.5" x14ac:dyDescent="0.25">
      <c r="A1099" s="1199">
        <v>1098</v>
      </c>
      <c r="B1099" s="1109" t="s">
        <v>3262</v>
      </c>
      <c r="D1099" s="1126" t="s">
        <v>1684</v>
      </c>
    </row>
    <row r="1100" spans="1:4" x14ac:dyDescent="0.25">
      <c r="A1100" s="1199">
        <v>1099</v>
      </c>
      <c r="B1100" s="1109" t="s">
        <v>3263</v>
      </c>
      <c r="D1100" s="1126" t="s">
        <v>1685</v>
      </c>
    </row>
    <row r="1101" spans="1:4" ht="22.5" x14ac:dyDescent="0.25">
      <c r="A1101" s="1199">
        <v>1100</v>
      </c>
      <c r="B1101" s="1109" t="s">
        <v>3264</v>
      </c>
      <c r="D1101" s="1126" t="s">
        <v>1686</v>
      </c>
    </row>
    <row r="1102" spans="1:4" ht="22.5" x14ac:dyDescent="0.25">
      <c r="A1102" s="1199">
        <v>1101</v>
      </c>
      <c r="B1102" s="1109" t="s">
        <v>3265</v>
      </c>
      <c r="D1102" s="1126" t="s">
        <v>1687</v>
      </c>
    </row>
    <row r="1103" spans="1:4" x14ac:dyDescent="0.25">
      <c r="A1103" s="1199">
        <v>1102</v>
      </c>
      <c r="B1103" s="1112" t="s">
        <v>3266</v>
      </c>
      <c r="D1103" s="1126" t="s">
        <v>1690</v>
      </c>
    </row>
    <row r="1104" spans="1:4" x14ac:dyDescent="0.25">
      <c r="A1104" s="1199">
        <v>1103</v>
      </c>
      <c r="B1104" s="1109" t="s">
        <v>3267</v>
      </c>
      <c r="D1104" s="1126" t="s">
        <v>1691</v>
      </c>
    </row>
    <row r="1105" spans="1:4" x14ac:dyDescent="0.25">
      <c r="A1105" s="1199">
        <v>1104</v>
      </c>
      <c r="B1105" s="1154" t="s">
        <v>3268</v>
      </c>
      <c r="D1105" s="1126" t="s">
        <v>1693</v>
      </c>
    </row>
    <row r="1106" spans="1:4" x14ac:dyDescent="0.25">
      <c r="A1106" s="1199">
        <v>1105</v>
      </c>
      <c r="B1106" s="1155" t="s">
        <v>3269</v>
      </c>
      <c r="D1106" s="1126" t="s">
        <v>1694</v>
      </c>
    </row>
    <row r="1107" spans="1:4" ht="15.75" thickBot="1" x14ac:dyDescent="0.3">
      <c r="A1107" s="1199">
        <v>1106</v>
      </c>
      <c r="B1107" s="1155" t="s">
        <v>3270</v>
      </c>
      <c r="D1107" s="1126" t="s">
        <v>1696</v>
      </c>
    </row>
    <row r="1108" spans="1:4" x14ac:dyDescent="0.25">
      <c r="A1108" s="1199">
        <v>1107</v>
      </c>
      <c r="B1108" s="1164" t="s">
        <v>3271</v>
      </c>
      <c r="D1108" s="1126" t="s">
        <v>1697</v>
      </c>
    </row>
    <row r="1109" spans="1:4" ht="18" x14ac:dyDescent="0.25">
      <c r="A1109" s="1199">
        <v>1108</v>
      </c>
      <c r="B1109" s="1180" t="s">
        <v>3272</v>
      </c>
      <c r="D1109" s="1126" t="s">
        <v>1698</v>
      </c>
    </row>
    <row r="1110" spans="1:4" ht="16.5" thickBot="1" x14ac:dyDescent="0.3">
      <c r="A1110" s="1199">
        <v>1109</v>
      </c>
      <c r="B1110" s="1045" t="s">
        <v>3273</v>
      </c>
      <c r="D1110" s="1126" t="s">
        <v>1699</v>
      </c>
    </row>
    <row r="1111" spans="1:4" x14ac:dyDescent="0.25">
      <c r="A1111" s="1199">
        <v>1110</v>
      </c>
      <c r="B1111" s="1164" t="s">
        <v>3274</v>
      </c>
      <c r="D1111" s="1126" t="s">
        <v>1701</v>
      </c>
    </row>
    <row r="1112" spans="1:4" ht="36" x14ac:dyDescent="0.25">
      <c r="A1112" s="1199">
        <v>1111</v>
      </c>
      <c r="B1112" s="1111" t="s">
        <v>3275</v>
      </c>
      <c r="D1112" s="1126" t="s">
        <v>1704</v>
      </c>
    </row>
    <row r="1113" spans="1:4" ht="15.75" x14ac:dyDescent="0.25">
      <c r="A1113" s="1199">
        <v>1112</v>
      </c>
      <c r="B1113" s="1110" t="s">
        <v>3276</v>
      </c>
      <c r="D1113" s="1126" t="s">
        <v>1705</v>
      </c>
    </row>
    <row r="1114" spans="1:4" ht="30" x14ac:dyDescent="0.25">
      <c r="A1114" s="1199">
        <v>1113</v>
      </c>
      <c r="B1114" s="1125" t="s">
        <v>3277</v>
      </c>
      <c r="D1114" s="1126" t="s">
        <v>1706</v>
      </c>
    </row>
    <row r="1115" spans="1:4" ht="22.5" x14ac:dyDescent="0.25">
      <c r="A1115" s="1199">
        <v>1114</v>
      </c>
      <c r="B1115" s="1109" t="s">
        <v>3278</v>
      </c>
      <c r="D1115" s="1126" t="s">
        <v>1707</v>
      </c>
    </row>
    <row r="1116" spans="1:4" x14ac:dyDescent="0.25">
      <c r="A1116" s="1199">
        <v>1115</v>
      </c>
      <c r="B1116" s="1109" t="s">
        <v>3279</v>
      </c>
      <c r="D1116" s="1126" t="s">
        <v>1708</v>
      </c>
    </row>
    <row r="1117" spans="1:4" ht="22.5" x14ac:dyDescent="0.25">
      <c r="A1117" s="1199">
        <v>1116</v>
      </c>
      <c r="B1117" s="1109" t="s">
        <v>3280</v>
      </c>
      <c r="D1117" s="1126" t="s">
        <v>1709</v>
      </c>
    </row>
    <row r="1118" spans="1:4" ht="22.5" x14ac:dyDescent="0.25">
      <c r="A1118" s="1199">
        <v>1117</v>
      </c>
      <c r="B1118" s="1109" t="s">
        <v>3281</v>
      </c>
      <c r="D1118" s="1126" t="s">
        <v>1710</v>
      </c>
    </row>
    <row r="1119" spans="1:4" ht="22.5" x14ac:dyDescent="0.25">
      <c r="A1119" s="1199">
        <v>1118</v>
      </c>
      <c r="B1119" s="1109" t="s">
        <v>3282</v>
      </c>
      <c r="D1119" s="1126" t="s">
        <v>1711</v>
      </c>
    </row>
    <row r="1120" spans="1:4" ht="25.5" x14ac:dyDescent="0.25">
      <c r="A1120" s="1199">
        <v>1119</v>
      </c>
      <c r="B1120" s="1112" t="s">
        <v>3283</v>
      </c>
      <c r="D1120" s="1126" t="s">
        <v>1712</v>
      </c>
    </row>
    <row r="1121" spans="1:4" ht="22.5" x14ac:dyDescent="0.25">
      <c r="A1121" s="1199">
        <v>1120</v>
      </c>
      <c r="B1121" s="1181" t="s">
        <v>3284</v>
      </c>
      <c r="D1121" s="1126" t="s">
        <v>1721</v>
      </c>
    </row>
    <row r="1122" spans="1:4" x14ac:dyDescent="0.25">
      <c r="A1122" s="1199">
        <v>1121</v>
      </c>
      <c r="B1122" s="1150" t="s">
        <v>3285</v>
      </c>
      <c r="D1122" s="1126" t="s">
        <v>1722</v>
      </c>
    </row>
    <row r="1123" spans="1:4" x14ac:dyDescent="0.25">
      <c r="A1123" s="1199">
        <v>1122</v>
      </c>
      <c r="B1123" s="1116" t="s">
        <v>3286</v>
      </c>
      <c r="D1123" s="1126" t="s">
        <v>1723</v>
      </c>
    </row>
    <row r="1124" spans="1:4" ht="25.5" x14ac:dyDescent="0.25">
      <c r="A1124" s="1199">
        <v>1123</v>
      </c>
      <c r="B1124" s="1112" t="s">
        <v>3287</v>
      </c>
      <c r="D1124" s="1126" t="s">
        <v>1713</v>
      </c>
    </row>
    <row r="1125" spans="1:4" x14ac:dyDescent="0.25">
      <c r="A1125" s="1199">
        <v>1124</v>
      </c>
      <c r="B1125" s="1112" t="s">
        <v>3288</v>
      </c>
      <c r="D1125" s="1126" t="s">
        <v>1714</v>
      </c>
    </row>
    <row r="1126" spans="1:4" ht="22.5" x14ac:dyDescent="0.25">
      <c r="A1126" s="1199">
        <v>1125</v>
      </c>
      <c r="B1126" s="1181" t="s">
        <v>3289</v>
      </c>
      <c r="D1126" s="1126" t="s">
        <v>1715</v>
      </c>
    </row>
    <row r="1127" spans="1:4" ht="25.5" x14ac:dyDescent="0.25">
      <c r="A1127" s="1199">
        <v>1126</v>
      </c>
      <c r="B1127" s="1220" t="s">
        <v>3290</v>
      </c>
      <c r="D1127" s="1126" t="s">
        <v>1717</v>
      </c>
    </row>
    <row r="1128" spans="1:4" x14ac:dyDescent="0.25">
      <c r="A1128" s="1199">
        <v>1127</v>
      </c>
      <c r="B1128" s="1220" t="s">
        <v>3291</v>
      </c>
      <c r="D1128" s="1126" t="s">
        <v>1718</v>
      </c>
    </row>
    <row r="1129" spans="1:4" x14ac:dyDescent="0.25">
      <c r="A1129" s="1199">
        <v>1128</v>
      </c>
      <c r="B1129" s="1220" t="s">
        <v>3292</v>
      </c>
      <c r="D1129" s="1126" t="s">
        <v>1719</v>
      </c>
    </row>
    <row r="1130" spans="1:4" x14ac:dyDescent="0.25">
      <c r="A1130" s="1199">
        <v>1129</v>
      </c>
      <c r="B1130" s="1112" t="s">
        <v>3293</v>
      </c>
      <c r="D1130" s="1126" t="s">
        <v>1720</v>
      </c>
    </row>
    <row r="1131" spans="1:4" ht="15.75" x14ac:dyDescent="0.25">
      <c r="A1131" s="1199">
        <v>1130</v>
      </c>
      <c r="B1131" s="1110" t="s">
        <v>3294</v>
      </c>
      <c r="D1131" s="1126" t="s">
        <v>1724</v>
      </c>
    </row>
    <row r="1132" spans="1:4" ht="45.75" thickBot="1" x14ac:dyDescent="0.3">
      <c r="A1132" s="1199">
        <v>1131</v>
      </c>
      <c r="B1132" s="1121" t="s">
        <v>3295</v>
      </c>
      <c r="D1132" s="1126" t="s">
        <v>1725</v>
      </c>
    </row>
    <row r="1133" spans="1:4" x14ac:dyDescent="0.25">
      <c r="A1133" s="1199">
        <v>1132</v>
      </c>
      <c r="B1133" s="1164" t="s">
        <v>3296</v>
      </c>
      <c r="D1133" s="1126" t="s">
        <v>1726</v>
      </c>
    </row>
    <row r="1134" spans="1:4" x14ac:dyDescent="0.25">
      <c r="A1134" s="1199">
        <v>1133</v>
      </c>
      <c r="B1134" s="1249" t="s">
        <v>3297</v>
      </c>
      <c r="D1134" s="1126" t="s">
        <v>1737</v>
      </c>
    </row>
    <row r="1135" spans="1:4" x14ac:dyDescent="0.25">
      <c r="A1135" s="1199">
        <v>1134</v>
      </c>
      <c r="B1135" s="1249" t="s">
        <v>3298</v>
      </c>
      <c r="D1135" s="1126" t="s">
        <v>1731</v>
      </c>
    </row>
    <row r="1136" spans="1:4" x14ac:dyDescent="0.25">
      <c r="A1136" s="1199">
        <v>1135</v>
      </c>
      <c r="B1136" s="1249" t="s">
        <v>3299</v>
      </c>
      <c r="D1136" s="1126" t="s">
        <v>1732</v>
      </c>
    </row>
    <row r="1137" spans="1:4" x14ac:dyDescent="0.25">
      <c r="A1137" s="1199">
        <v>1136</v>
      </c>
      <c r="B1137" s="1249" t="s">
        <v>3300</v>
      </c>
      <c r="D1137" s="1126" t="s">
        <v>1733</v>
      </c>
    </row>
    <row r="1138" spans="1:4" x14ac:dyDescent="0.25">
      <c r="A1138" s="1199">
        <v>1137</v>
      </c>
      <c r="B1138" s="1249" t="s">
        <v>3301</v>
      </c>
      <c r="D1138" s="1126" t="s">
        <v>1735</v>
      </c>
    </row>
    <row r="1139" spans="1:4" ht="18" x14ac:dyDescent="0.25">
      <c r="A1139" s="1199">
        <v>1138</v>
      </c>
      <c r="B1139" s="1180" t="s">
        <v>3302</v>
      </c>
      <c r="D1139" s="1126" t="s">
        <v>1736</v>
      </c>
    </row>
    <row r="1140" spans="1:4" x14ac:dyDescent="0.25">
      <c r="A1140" s="1199">
        <v>1139</v>
      </c>
      <c r="B1140" s="1125" t="s">
        <v>3303</v>
      </c>
      <c r="D1140" s="1126" t="s">
        <v>1738</v>
      </c>
    </row>
    <row r="1141" spans="1:4" x14ac:dyDescent="0.25">
      <c r="A1141" s="1199">
        <v>1140</v>
      </c>
      <c r="B1141" s="33" t="s">
        <v>3304</v>
      </c>
      <c r="D1141" s="1126" t="s">
        <v>1739</v>
      </c>
    </row>
    <row r="1142" spans="1:4" x14ac:dyDescent="0.25">
      <c r="A1142" s="1199">
        <v>1141</v>
      </c>
      <c r="B1142" s="1147" t="s">
        <v>3305</v>
      </c>
      <c r="D1142" s="1126" t="s">
        <v>1740</v>
      </c>
    </row>
    <row r="1143" spans="1:4" x14ac:dyDescent="0.25">
      <c r="A1143" s="1199">
        <v>1142</v>
      </c>
      <c r="B1143" s="1147" t="s">
        <v>3306</v>
      </c>
      <c r="D1143" s="1126" t="s">
        <v>1743</v>
      </c>
    </row>
    <row r="1144" spans="1:4" x14ac:dyDescent="0.25">
      <c r="A1144" s="1199">
        <v>1143</v>
      </c>
      <c r="B1144" s="33" t="s">
        <v>3307</v>
      </c>
      <c r="D1144" s="1126" t="s">
        <v>1744</v>
      </c>
    </row>
    <row r="1145" spans="1:4" x14ac:dyDescent="0.25">
      <c r="A1145" s="1199">
        <v>1144</v>
      </c>
      <c r="B1145" s="1147" t="s">
        <v>3308</v>
      </c>
      <c r="D1145" s="1126" t="s">
        <v>1745</v>
      </c>
    </row>
    <row r="1146" spans="1:4" x14ac:dyDescent="0.25">
      <c r="A1146" s="1199">
        <v>1145</v>
      </c>
      <c r="B1146" s="1147" t="s">
        <v>3309</v>
      </c>
      <c r="D1146" s="1126" t="s">
        <v>1746</v>
      </c>
    </row>
    <row r="1147" spans="1:4" x14ac:dyDescent="0.25">
      <c r="A1147" s="1199">
        <v>1146</v>
      </c>
      <c r="B1147" s="1147" t="s">
        <v>3310</v>
      </c>
      <c r="D1147" s="1126" t="s">
        <v>1747</v>
      </c>
    </row>
    <row r="1148" spans="1:4" x14ac:dyDescent="0.25">
      <c r="A1148" s="1199">
        <v>1147</v>
      </c>
      <c r="B1148" s="33" t="s">
        <v>3311</v>
      </c>
      <c r="D1148" s="1126" t="s">
        <v>1748</v>
      </c>
    </row>
    <row r="1149" spans="1:4" x14ac:dyDescent="0.25">
      <c r="A1149" s="1199">
        <v>1148</v>
      </c>
      <c r="B1149" s="1147" t="s">
        <v>3312</v>
      </c>
      <c r="D1149" s="1126" t="s">
        <v>1749</v>
      </c>
    </row>
    <row r="1150" spans="1:4" x14ac:dyDescent="0.25">
      <c r="A1150" s="1199">
        <v>1149</v>
      </c>
      <c r="B1150" s="1147" t="s">
        <v>3313</v>
      </c>
      <c r="D1150" s="1126" t="s">
        <v>1750</v>
      </c>
    </row>
    <row r="1151" spans="1:4" x14ac:dyDescent="0.25">
      <c r="A1151" s="1199">
        <v>1150</v>
      </c>
      <c r="B1151" s="33" t="s">
        <v>3314</v>
      </c>
      <c r="D1151" s="1126" t="s">
        <v>1751</v>
      </c>
    </row>
    <row r="1152" spans="1:4" x14ac:dyDescent="0.25">
      <c r="A1152" s="1199">
        <v>1151</v>
      </c>
      <c r="B1152" s="1147" t="s">
        <v>3315</v>
      </c>
      <c r="D1152" s="1126" t="s">
        <v>1752</v>
      </c>
    </row>
    <row r="1153" spans="1:4" x14ac:dyDescent="0.25">
      <c r="A1153" s="1199">
        <v>1152</v>
      </c>
      <c r="B1153" s="1125" t="s">
        <v>3316</v>
      </c>
      <c r="D1153" s="1126" t="s">
        <v>1754</v>
      </c>
    </row>
    <row r="1154" spans="1:4" x14ac:dyDescent="0.25">
      <c r="A1154" s="1199">
        <v>1153</v>
      </c>
      <c r="B1154" s="1182" t="s">
        <v>3317</v>
      </c>
      <c r="D1154" s="1126" t="s">
        <v>1755</v>
      </c>
    </row>
    <row r="1155" spans="1:4" x14ac:dyDescent="0.25">
      <c r="A1155" s="1199">
        <v>1154</v>
      </c>
      <c r="B1155" s="1182" t="s">
        <v>3318</v>
      </c>
      <c r="D1155" s="1126" t="s">
        <v>1756</v>
      </c>
    </row>
    <row r="1156" spans="1:4" x14ac:dyDescent="0.25">
      <c r="A1156" s="1199">
        <v>1155</v>
      </c>
      <c r="B1156" s="1182" t="s">
        <v>2439</v>
      </c>
      <c r="D1156" s="1126" t="s">
        <v>1757</v>
      </c>
    </row>
    <row r="1157" spans="1:4" ht="15.75" x14ac:dyDescent="0.25">
      <c r="A1157" s="1199">
        <v>1156</v>
      </c>
      <c r="B1157" s="1045" t="s">
        <v>3298</v>
      </c>
      <c r="D1157" s="1126" t="s">
        <v>1758</v>
      </c>
    </row>
    <row r="1158" spans="1:4" x14ac:dyDescent="0.25">
      <c r="A1158" s="1199">
        <v>1157</v>
      </c>
      <c r="B1158" s="1125" t="s">
        <v>3319</v>
      </c>
      <c r="D1158" s="1126" t="s">
        <v>1759</v>
      </c>
    </row>
    <row r="1159" spans="1:4" x14ac:dyDescent="0.25">
      <c r="A1159" s="1199">
        <v>1158</v>
      </c>
      <c r="B1159" s="1265" t="s">
        <v>3320</v>
      </c>
      <c r="D1159" s="1126" t="s">
        <v>1760</v>
      </c>
    </row>
    <row r="1160" spans="1:4" x14ac:dyDescent="0.25">
      <c r="A1160" s="1199">
        <v>1159</v>
      </c>
      <c r="B1160" s="1265" t="s">
        <v>3321</v>
      </c>
      <c r="D1160" s="1126" t="s">
        <v>1761</v>
      </c>
    </row>
    <row r="1161" spans="1:4" x14ac:dyDescent="0.25">
      <c r="A1161" s="1199">
        <v>1160</v>
      </c>
      <c r="B1161" s="1265" t="s">
        <v>3322</v>
      </c>
      <c r="D1161" s="1126" t="s">
        <v>1762</v>
      </c>
    </row>
    <row r="1162" spans="1:4" x14ac:dyDescent="0.25">
      <c r="A1162" s="1199">
        <v>1161</v>
      </c>
      <c r="B1162" s="1265" t="s">
        <v>3323</v>
      </c>
      <c r="D1162" s="1126" t="s">
        <v>1763</v>
      </c>
    </row>
    <row r="1163" spans="1:4" ht="25.5" x14ac:dyDescent="0.25">
      <c r="A1163" s="1199">
        <v>1162</v>
      </c>
      <c r="B1163" s="1114" t="s">
        <v>3324</v>
      </c>
      <c r="D1163" s="1126" t="s">
        <v>1764</v>
      </c>
    </row>
    <row r="1164" spans="1:4" x14ac:dyDescent="0.25">
      <c r="A1164" s="1199">
        <v>1163</v>
      </c>
      <c r="B1164" s="1183" t="s">
        <v>3325</v>
      </c>
      <c r="D1164" s="1126" t="s">
        <v>1765</v>
      </c>
    </row>
    <row r="1165" spans="1:4" x14ac:dyDescent="0.25">
      <c r="A1165" s="1199">
        <v>1164</v>
      </c>
      <c r="B1165" s="1184" t="s">
        <v>3326</v>
      </c>
      <c r="D1165" s="1126" t="s">
        <v>1766</v>
      </c>
    </row>
    <row r="1166" spans="1:4" ht="15.75" x14ac:dyDescent="0.25">
      <c r="A1166" s="1199">
        <v>1165</v>
      </c>
      <c r="B1166" s="1045" t="s">
        <v>3299</v>
      </c>
      <c r="D1166" s="1126" t="s">
        <v>1767</v>
      </c>
    </row>
    <row r="1167" spans="1:4" ht="45" x14ac:dyDescent="0.25">
      <c r="A1167" s="1199">
        <v>1166</v>
      </c>
      <c r="B1167" s="1125" t="s">
        <v>3327</v>
      </c>
      <c r="D1167" s="1126" t="s">
        <v>1768</v>
      </c>
    </row>
    <row r="1168" spans="1:4" x14ac:dyDescent="0.25">
      <c r="A1168" s="1199">
        <v>1167</v>
      </c>
      <c r="B1168" s="1125" t="s">
        <v>3328</v>
      </c>
      <c r="D1168" s="1126" t="s">
        <v>1769</v>
      </c>
    </row>
    <row r="1169" spans="1:4" ht="22.5" x14ac:dyDescent="0.25">
      <c r="A1169" s="1199">
        <v>1168</v>
      </c>
      <c r="B1169" s="1109" t="s">
        <v>3329</v>
      </c>
      <c r="D1169" s="1126" t="s">
        <v>1770</v>
      </c>
    </row>
    <row r="1170" spans="1:4" x14ac:dyDescent="0.25">
      <c r="A1170" s="1199">
        <v>1169</v>
      </c>
      <c r="B1170" s="1109" t="s">
        <v>3330</v>
      </c>
      <c r="D1170" s="1126" t="s">
        <v>1771</v>
      </c>
    </row>
    <row r="1171" spans="1:4" x14ac:dyDescent="0.25">
      <c r="A1171" s="1199">
        <v>1170</v>
      </c>
      <c r="B1171" s="1109" t="s">
        <v>3331</v>
      </c>
      <c r="D1171" s="1126" t="s">
        <v>1773</v>
      </c>
    </row>
    <row r="1172" spans="1:4" ht="22.5" x14ac:dyDescent="0.25">
      <c r="A1172" s="1199">
        <v>1171</v>
      </c>
      <c r="B1172" s="1109" t="s">
        <v>3332</v>
      </c>
      <c r="D1172" s="1126" t="s">
        <v>1774</v>
      </c>
    </row>
    <row r="1173" spans="1:4" x14ac:dyDescent="0.25">
      <c r="A1173" s="1199">
        <v>1172</v>
      </c>
      <c r="B1173" s="1109" t="s">
        <v>3333</v>
      </c>
      <c r="D1173" s="1126" t="s">
        <v>1775</v>
      </c>
    </row>
    <row r="1174" spans="1:4" x14ac:dyDescent="0.25">
      <c r="A1174" s="1199">
        <v>1173</v>
      </c>
      <c r="B1174" s="1109" t="s">
        <v>3334</v>
      </c>
      <c r="D1174" s="1126" t="s">
        <v>1776</v>
      </c>
    </row>
    <row r="1175" spans="1:4" ht="22.5" x14ac:dyDescent="0.25">
      <c r="A1175" s="1199">
        <v>1174</v>
      </c>
      <c r="B1175" s="1109" t="s">
        <v>3335</v>
      </c>
      <c r="D1175" s="1126" t="s">
        <v>1777</v>
      </c>
    </row>
    <row r="1176" spans="1:4" ht="33.75" x14ac:dyDescent="0.25">
      <c r="A1176" s="1199">
        <v>1175</v>
      </c>
      <c r="B1176" s="1109" t="s">
        <v>3336</v>
      </c>
      <c r="D1176" s="1126" t="s">
        <v>1778</v>
      </c>
    </row>
    <row r="1177" spans="1:4" ht="22.5" x14ac:dyDescent="0.25">
      <c r="A1177" s="1199">
        <v>1176</v>
      </c>
      <c r="B1177" s="1109" t="s">
        <v>3337</v>
      </c>
      <c r="D1177" s="1126" t="s">
        <v>1779</v>
      </c>
    </row>
    <row r="1178" spans="1:4" x14ac:dyDescent="0.25">
      <c r="A1178" s="1199">
        <v>1177</v>
      </c>
      <c r="B1178" s="1109" t="s">
        <v>3338</v>
      </c>
      <c r="D1178" s="1126" t="s">
        <v>1780</v>
      </c>
    </row>
    <row r="1179" spans="1:4" ht="52.5" x14ac:dyDescent="0.25">
      <c r="A1179" s="1199">
        <v>1178</v>
      </c>
      <c r="B1179" s="1108" t="s">
        <v>3339</v>
      </c>
      <c r="D1179" s="1126" t="s">
        <v>1781</v>
      </c>
    </row>
    <row r="1180" spans="1:4" ht="45" x14ac:dyDescent="0.25">
      <c r="A1180" s="1199">
        <v>1179</v>
      </c>
      <c r="B1180" s="1109" t="s">
        <v>3340</v>
      </c>
      <c r="D1180" s="1126" t="s">
        <v>1782</v>
      </c>
    </row>
    <row r="1181" spans="1:4" ht="22.5" x14ac:dyDescent="0.25">
      <c r="A1181" s="1199">
        <v>1180</v>
      </c>
      <c r="B1181" s="1109" t="s">
        <v>3341</v>
      </c>
      <c r="D1181" s="1126" t="s">
        <v>1783</v>
      </c>
    </row>
    <row r="1182" spans="1:4" ht="33.75" x14ac:dyDescent="0.25">
      <c r="A1182" s="1199">
        <v>1181</v>
      </c>
      <c r="B1182" s="1109" t="s">
        <v>3342</v>
      </c>
      <c r="D1182" s="1126" t="s">
        <v>1784</v>
      </c>
    </row>
    <row r="1183" spans="1:4" ht="33.75" x14ac:dyDescent="0.25">
      <c r="A1183" s="1199">
        <v>1182</v>
      </c>
      <c r="B1183" s="1109" t="s">
        <v>3343</v>
      </c>
      <c r="D1183" s="1126" t="s">
        <v>1785</v>
      </c>
    </row>
    <row r="1184" spans="1:4" x14ac:dyDescent="0.25">
      <c r="A1184" s="1199">
        <v>1183</v>
      </c>
      <c r="B1184" s="1150" t="s">
        <v>3344</v>
      </c>
      <c r="D1184" s="1126" t="s">
        <v>1786</v>
      </c>
    </row>
    <row r="1185" spans="1:4" x14ac:dyDescent="0.25">
      <c r="A1185" s="1199">
        <v>1184</v>
      </c>
      <c r="B1185" s="1267" t="s">
        <v>3345</v>
      </c>
      <c r="D1185" s="1126" t="s">
        <v>1787</v>
      </c>
    </row>
    <row r="1186" spans="1:4" x14ac:dyDescent="0.25">
      <c r="A1186" s="1199">
        <v>1185</v>
      </c>
      <c r="B1186" s="1125" t="s">
        <v>3346</v>
      </c>
      <c r="D1186" s="1126" t="s">
        <v>1788</v>
      </c>
    </row>
    <row r="1187" spans="1:4" x14ac:dyDescent="0.25">
      <c r="A1187" s="1199">
        <v>1186</v>
      </c>
      <c r="B1187" s="1112" t="s">
        <v>3347</v>
      </c>
      <c r="D1187" s="1126" t="s">
        <v>1789</v>
      </c>
    </row>
    <row r="1188" spans="1:4" x14ac:dyDescent="0.25">
      <c r="A1188" s="1199">
        <v>1187</v>
      </c>
      <c r="B1188" s="1120" t="s">
        <v>3348</v>
      </c>
      <c r="D1188" s="1126" t="s">
        <v>1791</v>
      </c>
    </row>
    <row r="1189" spans="1:4" x14ac:dyDescent="0.25">
      <c r="A1189" s="1199">
        <v>1188</v>
      </c>
      <c r="B1189" s="1120" t="s">
        <v>3349</v>
      </c>
      <c r="D1189" s="1126" t="s">
        <v>1792</v>
      </c>
    </row>
    <row r="1190" spans="1:4" x14ac:dyDescent="0.25">
      <c r="A1190" s="1199">
        <v>1189</v>
      </c>
      <c r="B1190" s="1120" t="s">
        <v>3350</v>
      </c>
      <c r="D1190" s="1126" t="s">
        <v>1793</v>
      </c>
    </row>
    <row r="1191" spans="1:4" x14ac:dyDescent="0.25">
      <c r="A1191" s="1199">
        <v>1190</v>
      </c>
      <c r="B1191" s="1142" t="s">
        <v>3351</v>
      </c>
      <c r="D1191" s="1126" t="s">
        <v>1794</v>
      </c>
    </row>
    <row r="1192" spans="1:4" x14ac:dyDescent="0.25">
      <c r="A1192" s="1199">
        <v>1191</v>
      </c>
      <c r="B1192" s="1145" t="s">
        <v>3352</v>
      </c>
      <c r="D1192" s="1126" t="s">
        <v>1795</v>
      </c>
    </row>
    <row r="1193" spans="1:4" x14ac:dyDescent="0.25">
      <c r="A1193" s="1199">
        <v>1192</v>
      </c>
      <c r="B1193" s="1120" t="s">
        <v>3353</v>
      </c>
      <c r="D1193" s="1126" t="s">
        <v>1796</v>
      </c>
    </row>
    <row r="1194" spans="1:4" x14ac:dyDescent="0.25">
      <c r="A1194" s="1199">
        <v>1193</v>
      </c>
      <c r="B1194" s="1112" t="s">
        <v>3354</v>
      </c>
      <c r="D1194" s="1126" t="s">
        <v>1790</v>
      </c>
    </row>
    <row r="1195" spans="1:4" ht="30" x14ac:dyDescent="0.25">
      <c r="A1195" s="1199">
        <v>1194</v>
      </c>
      <c r="B1195" s="1125" t="s">
        <v>3355</v>
      </c>
      <c r="D1195" s="1126" t="s">
        <v>1797</v>
      </c>
    </row>
    <row r="1196" spans="1:4" x14ac:dyDescent="0.25">
      <c r="A1196" s="1199">
        <v>1195</v>
      </c>
      <c r="B1196" s="1185" t="s">
        <v>3356</v>
      </c>
      <c r="D1196" s="1126" t="s">
        <v>2175</v>
      </c>
    </row>
    <row r="1197" spans="1:4" ht="30" x14ac:dyDescent="0.25">
      <c r="A1197" s="1199">
        <v>1196</v>
      </c>
      <c r="B1197" s="1125" t="s">
        <v>3357</v>
      </c>
      <c r="D1197" s="1126" t="s">
        <v>1801</v>
      </c>
    </row>
    <row r="1198" spans="1:4" x14ac:dyDescent="0.25">
      <c r="A1198" s="1199">
        <v>1197</v>
      </c>
      <c r="B1198" s="1147" t="s">
        <v>3358</v>
      </c>
      <c r="D1198" s="1126" t="s">
        <v>1802</v>
      </c>
    </row>
    <row r="1199" spans="1:4" x14ac:dyDescent="0.25">
      <c r="A1199" s="1199">
        <v>1198</v>
      </c>
      <c r="B1199" s="1125" t="s">
        <v>3359</v>
      </c>
      <c r="D1199" s="1126" t="s">
        <v>1803</v>
      </c>
    </row>
    <row r="1200" spans="1:4" ht="30" x14ac:dyDescent="0.25">
      <c r="A1200" s="1199">
        <v>1199</v>
      </c>
      <c r="B1200" s="1125" t="s">
        <v>3360</v>
      </c>
      <c r="D1200" s="1126" t="s">
        <v>1804</v>
      </c>
    </row>
    <row r="1201" spans="1:4" ht="15.75" x14ac:dyDescent="0.25">
      <c r="A1201" s="1199">
        <v>1200</v>
      </c>
      <c r="B1201" s="1045" t="s">
        <v>3361</v>
      </c>
      <c r="D1201" s="1126" t="s">
        <v>1805</v>
      </c>
    </row>
    <row r="1202" spans="1:4" x14ac:dyDescent="0.25">
      <c r="A1202" s="1199">
        <v>1201</v>
      </c>
      <c r="B1202" s="1125" t="s">
        <v>3362</v>
      </c>
      <c r="D1202" s="1126" t="s">
        <v>1806</v>
      </c>
    </row>
    <row r="1203" spans="1:4" x14ac:dyDescent="0.25">
      <c r="A1203" s="1199">
        <v>1202</v>
      </c>
      <c r="B1203" s="1186" t="s">
        <v>3363</v>
      </c>
      <c r="D1203" s="1126" t="s">
        <v>1807</v>
      </c>
    </row>
    <row r="1204" spans="1:4" x14ac:dyDescent="0.25">
      <c r="A1204" s="1199">
        <v>1203</v>
      </c>
      <c r="B1204" s="1187" t="s">
        <v>3364</v>
      </c>
      <c r="D1204" s="1126" t="s">
        <v>1867</v>
      </c>
    </row>
    <row r="1205" spans="1:4" ht="22.5" x14ac:dyDescent="0.25">
      <c r="A1205" s="1199">
        <v>1204</v>
      </c>
      <c r="B1205" s="1188" t="s">
        <v>3365</v>
      </c>
      <c r="D1205" s="1126" t="s">
        <v>1808</v>
      </c>
    </row>
    <row r="1206" spans="1:4" x14ac:dyDescent="0.25">
      <c r="A1206" s="1199">
        <v>1205</v>
      </c>
      <c r="B1206" s="1187" t="s">
        <v>3366</v>
      </c>
      <c r="D1206" s="1126" t="s">
        <v>2172</v>
      </c>
    </row>
    <row r="1207" spans="1:4" x14ac:dyDescent="0.25">
      <c r="A1207" s="1199">
        <v>1206</v>
      </c>
      <c r="B1207" s="1188" t="s">
        <v>3367</v>
      </c>
      <c r="D1207" s="1126" t="s">
        <v>1809</v>
      </c>
    </row>
    <row r="1208" spans="1:4" x14ac:dyDescent="0.25">
      <c r="A1208" s="1199">
        <v>1207</v>
      </c>
      <c r="B1208" s="1187" t="s">
        <v>3368</v>
      </c>
      <c r="D1208" s="1126" t="s">
        <v>1868</v>
      </c>
    </row>
    <row r="1209" spans="1:4" x14ac:dyDescent="0.25">
      <c r="A1209" s="1199">
        <v>1208</v>
      </c>
      <c r="B1209" s="1188" t="s">
        <v>3369</v>
      </c>
      <c r="D1209" s="1126" t="s">
        <v>1810</v>
      </c>
    </row>
    <row r="1210" spans="1:4" x14ac:dyDescent="0.25">
      <c r="A1210" s="1199">
        <v>1209</v>
      </c>
      <c r="B1210" s="1187" t="s">
        <v>3370</v>
      </c>
      <c r="D1210" s="1126" t="s">
        <v>1811</v>
      </c>
    </row>
    <row r="1211" spans="1:4" ht="45" x14ac:dyDescent="0.25">
      <c r="A1211" s="1199">
        <v>1210</v>
      </c>
      <c r="B1211" s="1188" t="s">
        <v>3371</v>
      </c>
      <c r="D1211" s="1126" t="s">
        <v>1812</v>
      </c>
    </row>
    <row r="1212" spans="1:4" x14ac:dyDescent="0.25">
      <c r="A1212" s="1199">
        <v>1211</v>
      </c>
      <c r="B1212" s="1187" t="s">
        <v>3372</v>
      </c>
      <c r="D1212" s="1126" t="s">
        <v>1869</v>
      </c>
    </row>
    <row r="1213" spans="1:4" ht="22.5" x14ac:dyDescent="0.25">
      <c r="A1213" s="1199">
        <v>1212</v>
      </c>
      <c r="B1213" s="1188" t="s">
        <v>3373</v>
      </c>
      <c r="D1213" s="1126" t="s">
        <v>1813</v>
      </c>
    </row>
    <row r="1214" spans="1:4" x14ac:dyDescent="0.25">
      <c r="A1214" s="1199">
        <v>1213</v>
      </c>
      <c r="B1214" s="1187" t="s">
        <v>3374</v>
      </c>
      <c r="D1214" s="1126" t="s">
        <v>1870</v>
      </c>
    </row>
    <row r="1215" spans="1:4" ht="33.75" x14ac:dyDescent="0.25">
      <c r="A1215" s="1199">
        <v>1214</v>
      </c>
      <c r="B1215" s="1188" t="s">
        <v>3375</v>
      </c>
      <c r="D1215" s="1126" t="s">
        <v>1814</v>
      </c>
    </row>
    <row r="1216" spans="1:4" x14ac:dyDescent="0.25">
      <c r="A1216" s="1199">
        <v>1215</v>
      </c>
      <c r="B1216" s="1188" t="s">
        <v>3376</v>
      </c>
      <c r="D1216" s="1126" t="s">
        <v>1815</v>
      </c>
    </row>
    <row r="1217" spans="1:4" ht="22.5" x14ac:dyDescent="0.25">
      <c r="A1217" s="1199">
        <v>1216</v>
      </c>
      <c r="B1217" s="1188" t="s">
        <v>3377</v>
      </c>
      <c r="D1217" s="1126" t="s">
        <v>1816</v>
      </c>
    </row>
    <row r="1218" spans="1:4" x14ac:dyDescent="0.25">
      <c r="A1218" s="1199">
        <v>1217</v>
      </c>
      <c r="B1218" s="1187" t="s">
        <v>3378</v>
      </c>
      <c r="D1218" s="1126" t="s">
        <v>1827</v>
      </c>
    </row>
    <row r="1219" spans="1:4" x14ac:dyDescent="0.25">
      <c r="A1219" s="1199">
        <v>1218</v>
      </c>
      <c r="B1219" s="1188" t="s">
        <v>3379</v>
      </c>
      <c r="D1219" s="1126" t="s">
        <v>1817</v>
      </c>
    </row>
    <row r="1220" spans="1:4" x14ac:dyDescent="0.25">
      <c r="A1220" s="1199">
        <v>1219</v>
      </c>
      <c r="B1220" s="1187" t="s">
        <v>597</v>
      </c>
      <c r="D1220" s="1126" t="s">
        <v>1828</v>
      </c>
    </row>
    <row r="1221" spans="1:4" ht="22.5" x14ac:dyDescent="0.25">
      <c r="A1221" s="1199">
        <v>1220</v>
      </c>
      <c r="B1221" s="1188" t="s">
        <v>3380</v>
      </c>
      <c r="D1221" s="1126" t="s">
        <v>1818</v>
      </c>
    </row>
    <row r="1222" spans="1:4" ht="22.5" x14ac:dyDescent="0.25">
      <c r="A1222" s="1199">
        <v>1221</v>
      </c>
      <c r="B1222" s="1188" t="s">
        <v>3381</v>
      </c>
      <c r="D1222" s="1126" t="s">
        <v>1819</v>
      </c>
    </row>
    <row r="1223" spans="1:4" ht="22.5" x14ac:dyDescent="0.25">
      <c r="A1223" s="1199">
        <v>1222</v>
      </c>
      <c r="B1223" s="1188" t="s">
        <v>3382</v>
      </c>
      <c r="D1223" s="1126" t="s">
        <v>1820</v>
      </c>
    </row>
    <row r="1224" spans="1:4" x14ac:dyDescent="0.25">
      <c r="A1224" s="1199">
        <v>1223</v>
      </c>
      <c r="B1224" s="1187" t="s">
        <v>3383</v>
      </c>
      <c r="D1224" s="1126" t="s">
        <v>1873</v>
      </c>
    </row>
    <row r="1225" spans="1:4" x14ac:dyDescent="0.25">
      <c r="A1225" s="1199">
        <v>1224</v>
      </c>
      <c r="B1225" s="1188" t="s">
        <v>3384</v>
      </c>
      <c r="D1225" s="1126" t="s">
        <v>1821</v>
      </c>
    </row>
    <row r="1226" spans="1:4" x14ac:dyDescent="0.25">
      <c r="A1226" s="1199">
        <v>1225</v>
      </c>
      <c r="B1226" s="1181" t="s">
        <v>3385</v>
      </c>
      <c r="D1226" s="1126" t="s">
        <v>1875</v>
      </c>
    </row>
    <row r="1227" spans="1:4" ht="45" x14ac:dyDescent="0.25">
      <c r="A1227" s="1199">
        <v>1226</v>
      </c>
      <c r="B1227" s="1181" t="s">
        <v>3386</v>
      </c>
      <c r="D1227" s="1126" t="s">
        <v>1822</v>
      </c>
    </row>
    <row r="1228" spans="1:4" ht="45" x14ac:dyDescent="0.25">
      <c r="A1228" s="1199">
        <v>1227</v>
      </c>
      <c r="B1228" s="1186" t="s">
        <v>3387</v>
      </c>
      <c r="D1228" s="1126" t="s">
        <v>1823</v>
      </c>
    </row>
    <row r="1229" spans="1:4" x14ac:dyDescent="0.25">
      <c r="A1229" s="1199">
        <v>1228</v>
      </c>
      <c r="B1229" s="1188" t="s">
        <v>3388</v>
      </c>
      <c r="D1229" s="1126" t="s">
        <v>1876</v>
      </c>
    </row>
    <row r="1230" spans="1:4" ht="33.75" x14ac:dyDescent="0.25">
      <c r="A1230" s="1199">
        <v>1229</v>
      </c>
      <c r="B1230" s="1188" t="s">
        <v>3389</v>
      </c>
      <c r="D1230" s="1126" t="s">
        <v>1824</v>
      </c>
    </row>
    <row r="1231" spans="1:4" x14ac:dyDescent="0.25">
      <c r="A1231" s="1199">
        <v>1230</v>
      </c>
      <c r="B1231" s="1189" t="s">
        <v>3390</v>
      </c>
      <c r="D1231" s="1126" t="s">
        <v>1877</v>
      </c>
    </row>
    <row r="1232" spans="1:4" ht="45.75" thickBot="1" x14ac:dyDescent="0.3">
      <c r="A1232" s="1199">
        <v>1231</v>
      </c>
      <c r="B1232" s="1189" t="s">
        <v>3391</v>
      </c>
      <c r="D1232" s="1126" t="s">
        <v>1825</v>
      </c>
    </row>
    <row r="1233" spans="1:4" ht="102.75" thickBot="1" x14ac:dyDescent="0.3">
      <c r="A1233" s="1199">
        <v>1232</v>
      </c>
      <c r="B1233" s="1221" t="s">
        <v>3392</v>
      </c>
      <c r="D1233" s="1126" t="s">
        <v>1826</v>
      </c>
    </row>
    <row r="1234" spans="1:4" x14ac:dyDescent="0.25">
      <c r="A1234" s="1199">
        <v>1233</v>
      </c>
      <c r="B1234" s="1072" t="s">
        <v>3393</v>
      </c>
      <c r="D1234" s="1126" t="s">
        <v>1871</v>
      </c>
    </row>
    <row r="1235" spans="1:4" x14ac:dyDescent="0.25">
      <c r="A1235" s="1199">
        <v>1234</v>
      </c>
      <c r="B1235" s="1122" t="s">
        <v>3394</v>
      </c>
      <c r="D1235" s="1126" t="s">
        <v>1829</v>
      </c>
    </row>
    <row r="1236" spans="1:4" x14ac:dyDescent="0.25">
      <c r="A1236" s="1199">
        <v>1235</v>
      </c>
      <c r="B1236" s="1190" t="s">
        <v>3395</v>
      </c>
      <c r="D1236" s="1126" t="s">
        <v>1872</v>
      </c>
    </row>
    <row r="1237" spans="1:4" x14ac:dyDescent="0.25">
      <c r="A1237" s="1199">
        <v>1236</v>
      </c>
      <c r="B1237" s="1190" t="s">
        <v>3396</v>
      </c>
      <c r="D1237" s="1126" t="s">
        <v>1874</v>
      </c>
    </row>
    <row r="1238" spans="1:4" x14ac:dyDescent="0.25">
      <c r="A1238" s="1199">
        <v>1237</v>
      </c>
      <c r="B1238" s="1191" t="s">
        <v>3397</v>
      </c>
      <c r="D1238" s="1126" t="s">
        <v>1878</v>
      </c>
    </row>
    <row r="1239" spans="1:4" x14ac:dyDescent="0.25">
      <c r="A1239" s="1199">
        <v>1238</v>
      </c>
      <c r="B1239" s="1251" t="s">
        <v>3398</v>
      </c>
      <c r="D1239" s="1126" t="s">
        <v>1850</v>
      </c>
    </row>
    <row r="1240" spans="1:4" x14ac:dyDescent="0.25">
      <c r="A1240" s="1199">
        <v>1239</v>
      </c>
      <c r="B1240" s="1251" t="s">
        <v>3399</v>
      </c>
      <c r="D1240" s="1126" t="s">
        <v>1851</v>
      </c>
    </row>
    <row r="1241" spans="1:4" x14ac:dyDescent="0.25">
      <c r="A1241" s="1199">
        <v>1240</v>
      </c>
      <c r="B1241" s="1171" t="s">
        <v>3400</v>
      </c>
      <c r="D1241" s="1126" t="s">
        <v>1853</v>
      </c>
    </row>
    <row r="1242" spans="1:4" x14ac:dyDescent="0.25">
      <c r="A1242" s="1199">
        <v>1241</v>
      </c>
      <c r="B1242" s="1171" t="s">
        <v>3401</v>
      </c>
      <c r="D1242" s="1126" t="s">
        <v>1855</v>
      </c>
    </row>
    <row r="1243" spans="1:4" x14ac:dyDescent="0.25">
      <c r="A1243" s="1199">
        <v>1242</v>
      </c>
      <c r="B1243" s="1171" t="s">
        <v>3402</v>
      </c>
      <c r="D1243" s="1126" t="s">
        <v>1857</v>
      </c>
    </row>
    <row r="1244" spans="1:4" x14ac:dyDescent="0.25">
      <c r="A1244" s="1199">
        <v>1243</v>
      </c>
      <c r="B1244" s="1171" t="s">
        <v>3403</v>
      </c>
      <c r="D1244" s="1126" t="s">
        <v>1859</v>
      </c>
    </row>
    <row r="1245" spans="1:4" x14ac:dyDescent="0.25">
      <c r="A1245" s="1199">
        <v>1244</v>
      </c>
      <c r="B1245" s="1171" t="s">
        <v>3404</v>
      </c>
      <c r="D1245" s="1126" t="s">
        <v>1861</v>
      </c>
    </row>
    <row r="1246" spans="1:4" ht="15.75" x14ac:dyDescent="0.25">
      <c r="A1246" s="1199">
        <v>1245</v>
      </c>
      <c r="B1246" s="1045" t="s">
        <v>3405</v>
      </c>
      <c r="D1246" s="1126" t="s">
        <v>1879</v>
      </c>
    </row>
    <row r="1247" spans="1:4" ht="67.5" x14ac:dyDescent="0.25">
      <c r="A1247" s="1199">
        <v>1246</v>
      </c>
      <c r="B1247" s="1109" t="s">
        <v>3406</v>
      </c>
      <c r="D1247" s="1126" t="s">
        <v>1880</v>
      </c>
    </row>
    <row r="1248" spans="1:4" ht="22.5" x14ac:dyDescent="0.25">
      <c r="A1248" s="1199">
        <v>1247</v>
      </c>
      <c r="B1248" s="1109" t="s">
        <v>3407</v>
      </c>
      <c r="D1248" s="1126" t="s">
        <v>1881</v>
      </c>
    </row>
    <row r="1249" spans="1:4" ht="22.5" x14ac:dyDescent="0.25">
      <c r="A1249" s="1199">
        <v>1248</v>
      </c>
      <c r="B1249" s="1109" t="s">
        <v>3408</v>
      </c>
      <c r="D1249" s="1126" t="s">
        <v>1882</v>
      </c>
    </row>
    <row r="1250" spans="1:4" x14ac:dyDescent="0.25">
      <c r="A1250" s="1199">
        <v>1249</v>
      </c>
      <c r="B1250" s="1109" t="s">
        <v>3409</v>
      </c>
      <c r="D1250" s="1126" t="s">
        <v>1883</v>
      </c>
    </row>
    <row r="1251" spans="1:4" ht="22.5" x14ac:dyDescent="0.25">
      <c r="A1251" s="1199">
        <v>1250</v>
      </c>
      <c r="B1251" s="1109" t="s">
        <v>3410</v>
      </c>
      <c r="D1251" s="1126" t="s">
        <v>1884</v>
      </c>
    </row>
    <row r="1252" spans="1:4" ht="45" x14ac:dyDescent="0.25">
      <c r="A1252" s="1199">
        <v>1251</v>
      </c>
      <c r="B1252" s="1109" t="s">
        <v>3411</v>
      </c>
      <c r="D1252" s="1126" t="s">
        <v>1885</v>
      </c>
    </row>
    <row r="1253" spans="1:4" ht="45" x14ac:dyDescent="0.25">
      <c r="A1253" s="1199">
        <v>1252</v>
      </c>
      <c r="B1253" s="1109" t="s">
        <v>3412</v>
      </c>
      <c r="D1253" s="1126" t="s">
        <v>1886</v>
      </c>
    </row>
    <row r="1254" spans="1:4" ht="22.5" x14ac:dyDescent="0.25">
      <c r="A1254" s="1199">
        <v>1253</v>
      </c>
      <c r="B1254" s="1109" t="s">
        <v>3413</v>
      </c>
      <c r="D1254" s="1126" t="s">
        <v>1887</v>
      </c>
    </row>
    <row r="1255" spans="1:4" ht="67.5" x14ac:dyDescent="0.25">
      <c r="A1255" s="1199">
        <v>1254</v>
      </c>
      <c r="B1255" s="1109" t="s">
        <v>3414</v>
      </c>
      <c r="D1255" s="1126" t="s">
        <v>1888</v>
      </c>
    </row>
    <row r="1256" spans="1:4" ht="56.25" x14ac:dyDescent="0.25">
      <c r="A1256" s="1199">
        <v>1255</v>
      </c>
      <c r="B1256" s="1109" t="s">
        <v>3415</v>
      </c>
      <c r="D1256" s="1126" t="s">
        <v>1889</v>
      </c>
    </row>
    <row r="1257" spans="1:4" ht="56.25" x14ac:dyDescent="0.25">
      <c r="A1257" s="1199">
        <v>1256</v>
      </c>
      <c r="B1257" s="1109" t="s">
        <v>3416</v>
      </c>
      <c r="D1257" s="1126" t="s">
        <v>1890</v>
      </c>
    </row>
    <row r="1258" spans="1:4" ht="34.5" thickBot="1" x14ac:dyDescent="0.3">
      <c r="A1258" s="1199">
        <v>1257</v>
      </c>
      <c r="B1258" s="1109" t="s">
        <v>3417</v>
      </c>
      <c r="D1258" s="1126" t="s">
        <v>1891</v>
      </c>
    </row>
    <row r="1259" spans="1:4" ht="128.25" thickBot="1" x14ac:dyDescent="0.3">
      <c r="A1259" s="1199">
        <v>1258</v>
      </c>
      <c r="B1259" s="1221" t="s">
        <v>3418</v>
      </c>
      <c r="D1259" s="1126" t="s">
        <v>1892</v>
      </c>
    </row>
    <row r="1260" spans="1:4" ht="30" x14ac:dyDescent="0.25">
      <c r="A1260" s="1199">
        <v>1259</v>
      </c>
      <c r="B1260" s="1123" t="s">
        <v>3419</v>
      </c>
      <c r="D1260" s="1126" t="s">
        <v>1893</v>
      </c>
    </row>
    <row r="1261" spans="1:4" ht="56.25" x14ac:dyDescent="0.25">
      <c r="A1261" s="1199">
        <v>1260</v>
      </c>
      <c r="B1261" s="1109" t="s">
        <v>3420</v>
      </c>
      <c r="D1261" s="1126" t="s">
        <v>1894</v>
      </c>
    </row>
    <row r="1262" spans="1:4" ht="31.5" x14ac:dyDescent="0.25">
      <c r="A1262" s="1199">
        <v>1261</v>
      </c>
      <c r="B1262" s="1108" t="s">
        <v>3421</v>
      </c>
      <c r="D1262" s="1126" t="s">
        <v>1895</v>
      </c>
    </row>
    <row r="1263" spans="1:4" x14ac:dyDescent="0.25">
      <c r="A1263" s="1199">
        <v>1262</v>
      </c>
      <c r="B1263" s="15" t="s">
        <v>3422</v>
      </c>
      <c r="D1263" s="1126" t="s">
        <v>1896</v>
      </c>
    </row>
    <row r="1264" spans="1:4" ht="22.5" x14ac:dyDescent="0.25">
      <c r="A1264" s="1199">
        <v>1263</v>
      </c>
      <c r="B1264" s="1109" t="s">
        <v>3423</v>
      </c>
      <c r="D1264" s="1126" t="s">
        <v>1897</v>
      </c>
    </row>
    <row r="1265" spans="1:4" ht="33.75" x14ac:dyDescent="0.25">
      <c r="A1265" s="1199">
        <v>1264</v>
      </c>
      <c r="B1265" s="1109" t="s">
        <v>3424</v>
      </c>
      <c r="D1265" s="1126" t="s">
        <v>1898</v>
      </c>
    </row>
    <row r="1266" spans="1:4" ht="22.5" x14ac:dyDescent="0.25">
      <c r="A1266" s="1199">
        <v>1265</v>
      </c>
      <c r="B1266" s="1109" t="s">
        <v>3425</v>
      </c>
      <c r="D1266" s="1126" t="s">
        <v>1899</v>
      </c>
    </row>
    <row r="1267" spans="1:4" x14ac:dyDescent="0.25">
      <c r="A1267" s="1199">
        <v>1266</v>
      </c>
      <c r="B1267" s="15" t="s">
        <v>3426</v>
      </c>
      <c r="D1267" s="1126" t="s">
        <v>1900</v>
      </c>
    </row>
    <row r="1268" spans="1:4" x14ac:dyDescent="0.25">
      <c r="A1268" s="1199">
        <v>1267</v>
      </c>
      <c r="B1268" s="1122" t="s">
        <v>3427</v>
      </c>
      <c r="D1268" s="1126" t="s">
        <v>1901</v>
      </c>
    </row>
    <row r="1269" spans="1:4" x14ac:dyDescent="0.25">
      <c r="A1269" s="1199">
        <v>1268</v>
      </c>
      <c r="B1269" s="1122" t="s">
        <v>3428</v>
      </c>
      <c r="D1269" s="1126" t="s">
        <v>1902</v>
      </c>
    </row>
    <row r="1270" spans="1:4" ht="22.5" x14ac:dyDescent="0.25">
      <c r="A1270" s="1199">
        <v>1269</v>
      </c>
      <c r="B1270" s="1192" t="s">
        <v>3429</v>
      </c>
      <c r="D1270" s="1126" t="s">
        <v>1903</v>
      </c>
    </row>
    <row r="1271" spans="1:4" x14ac:dyDescent="0.25">
      <c r="A1271" s="1199">
        <v>1270</v>
      </c>
      <c r="B1271" s="15" t="s">
        <v>3430</v>
      </c>
      <c r="D1271" s="1126" t="s">
        <v>1904</v>
      </c>
    </row>
    <row r="1272" spans="1:4" x14ac:dyDescent="0.25">
      <c r="A1272" s="1199">
        <v>1271</v>
      </c>
      <c r="B1272" s="1124" t="s">
        <v>3431</v>
      </c>
      <c r="D1272" s="1126" t="s">
        <v>1919</v>
      </c>
    </row>
    <row r="1273" spans="1:4" x14ac:dyDescent="0.25">
      <c r="A1273" s="1199">
        <v>1272</v>
      </c>
      <c r="B1273" s="1183" t="s">
        <v>3432</v>
      </c>
      <c r="D1273" s="1126" t="s">
        <v>1905</v>
      </c>
    </row>
    <row r="1274" spans="1:4" x14ac:dyDescent="0.25">
      <c r="A1274" s="1199">
        <v>1273</v>
      </c>
      <c r="B1274" s="15" t="s">
        <v>3433</v>
      </c>
      <c r="D1274" s="1126" t="s">
        <v>1906</v>
      </c>
    </row>
    <row r="1275" spans="1:4" x14ac:dyDescent="0.25">
      <c r="A1275" s="1199">
        <v>1274</v>
      </c>
      <c r="B1275" s="1122" t="s">
        <v>3434</v>
      </c>
      <c r="D1275" s="1126" t="s">
        <v>1907</v>
      </c>
    </row>
    <row r="1276" spans="1:4" x14ac:dyDescent="0.25">
      <c r="A1276" s="1199">
        <v>1275</v>
      </c>
      <c r="B1276" s="15" t="s">
        <v>3435</v>
      </c>
      <c r="D1276" s="1126" t="s">
        <v>1908</v>
      </c>
    </row>
    <row r="1277" spans="1:4" ht="45" x14ac:dyDescent="0.25">
      <c r="A1277" s="1199">
        <v>1276</v>
      </c>
      <c r="B1277" s="1109" t="s">
        <v>3436</v>
      </c>
      <c r="D1277" s="1126" t="s">
        <v>1909</v>
      </c>
    </row>
    <row r="1278" spans="1:4" ht="31.5" x14ac:dyDescent="0.25">
      <c r="A1278" s="1199">
        <v>1277</v>
      </c>
      <c r="B1278" s="1108" t="s">
        <v>3437</v>
      </c>
      <c r="D1278" s="1126" t="s">
        <v>1910</v>
      </c>
    </row>
    <row r="1279" spans="1:4" x14ac:dyDescent="0.25">
      <c r="A1279" s="1199">
        <v>1278</v>
      </c>
      <c r="B1279" s="1122" t="s">
        <v>3438</v>
      </c>
      <c r="D1279" s="1126" t="s">
        <v>1911</v>
      </c>
    </row>
    <row r="1280" spans="1:4" x14ac:dyDescent="0.25">
      <c r="A1280" s="1199">
        <v>1279</v>
      </c>
      <c r="B1280" s="1122" t="s">
        <v>3439</v>
      </c>
      <c r="D1280" s="1126" t="s">
        <v>1915</v>
      </c>
    </row>
    <row r="1281" spans="1:4" x14ac:dyDescent="0.25">
      <c r="A1281" s="1199">
        <v>1280</v>
      </c>
      <c r="B1281" s="15" t="s">
        <v>3440</v>
      </c>
      <c r="D1281" s="1126" t="s">
        <v>1912</v>
      </c>
    </row>
    <row r="1282" spans="1:4" ht="45" x14ac:dyDescent="0.25">
      <c r="A1282" s="1199">
        <v>1281</v>
      </c>
      <c r="B1282" s="1109" t="s">
        <v>3441</v>
      </c>
      <c r="D1282" s="1126" t="s">
        <v>1913</v>
      </c>
    </row>
    <row r="1283" spans="1:4" ht="22.5" x14ac:dyDescent="0.25">
      <c r="A1283" s="1199">
        <v>1282</v>
      </c>
      <c r="B1283" s="1109" t="s">
        <v>3442</v>
      </c>
      <c r="D1283" s="1126" t="s">
        <v>1914</v>
      </c>
    </row>
    <row r="1284" spans="1:4" x14ac:dyDescent="0.25">
      <c r="A1284" s="1199">
        <v>1283</v>
      </c>
      <c r="B1284" s="15" t="s">
        <v>3443</v>
      </c>
      <c r="D1284" s="1126" t="s">
        <v>1916</v>
      </c>
    </row>
    <row r="1285" spans="1:4" ht="67.5" x14ac:dyDescent="0.25">
      <c r="A1285" s="1199">
        <v>1284</v>
      </c>
      <c r="B1285" s="1109" t="s">
        <v>3444</v>
      </c>
      <c r="D1285" s="1126" t="s">
        <v>1917</v>
      </c>
    </row>
    <row r="1286" spans="1:4" x14ac:dyDescent="0.25">
      <c r="A1286" s="1199">
        <v>1285</v>
      </c>
      <c r="B1286" s="1249" t="s">
        <v>3445</v>
      </c>
      <c r="D1286" s="1126" t="s">
        <v>1920</v>
      </c>
    </row>
    <row r="1287" spans="1:4" x14ac:dyDescent="0.25">
      <c r="A1287" s="1199">
        <v>1286</v>
      </c>
      <c r="B1287" s="1222" t="s">
        <v>3446</v>
      </c>
      <c r="D1287" s="1126" t="s">
        <v>1922</v>
      </c>
    </row>
    <row r="1288" spans="1:4" x14ac:dyDescent="0.25">
      <c r="A1288" s="1199">
        <v>1287</v>
      </c>
      <c r="B1288" s="1222" t="s">
        <v>3447</v>
      </c>
      <c r="D1288" s="1126" t="s">
        <v>1923</v>
      </c>
    </row>
    <row r="1289" spans="1:4" x14ac:dyDescent="0.25">
      <c r="A1289" s="1199">
        <v>1288</v>
      </c>
      <c r="B1289" s="1223" t="s">
        <v>3448</v>
      </c>
      <c r="D1289" s="1126" t="s">
        <v>1924</v>
      </c>
    </row>
    <row r="1290" spans="1:4" x14ac:dyDescent="0.25">
      <c r="A1290" s="1199">
        <v>1289</v>
      </c>
      <c r="B1290" s="1223" t="s">
        <v>3449</v>
      </c>
      <c r="D1290" s="1126" t="s">
        <v>1925</v>
      </c>
    </row>
    <row r="1291" spans="1:4" x14ac:dyDescent="0.25">
      <c r="A1291" s="1199">
        <v>1290</v>
      </c>
      <c r="B1291" s="1223" t="s">
        <v>3450</v>
      </c>
      <c r="D1291" s="1126" t="s">
        <v>1926</v>
      </c>
    </row>
    <row r="1292" spans="1:4" x14ac:dyDescent="0.25">
      <c r="A1292" s="1199">
        <v>1291</v>
      </c>
      <c r="B1292" s="1223" t="s">
        <v>3451</v>
      </c>
      <c r="D1292" s="1126" t="s">
        <v>1927</v>
      </c>
    </row>
    <row r="1293" spans="1:4" x14ac:dyDescent="0.25">
      <c r="A1293" s="1199">
        <v>1292</v>
      </c>
      <c r="B1293" s="1223" t="s">
        <v>3452</v>
      </c>
      <c r="D1293" s="1126" t="s">
        <v>1928</v>
      </c>
    </row>
    <row r="1294" spans="1:4" x14ac:dyDescent="0.25">
      <c r="A1294" s="1199">
        <v>1293</v>
      </c>
      <c r="B1294" s="1223" t="s">
        <v>3453</v>
      </c>
      <c r="D1294" s="1126" t="s">
        <v>1929</v>
      </c>
    </row>
    <row r="1295" spans="1:4" x14ac:dyDescent="0.25">
      <c r="A1295" s="1199">
        <v>1294</v>
      </c>
      <c r="B1295" s="1223" t="s">
        <v>3454</v>
      </c>
      <c r="D1295" s="1126" t="s">
        <v>1930</v>
      </c>
    </row>
    <row r="1296" spans="1:4" x14ac:dyDescent="0.25">
      <c r="A1296" s="1199">
        <v>1295</v>
      </c>
      <c r="B1296" s="1223" t="s">
        <v>3455</v>
      </c>
      <c r="D1296" s="1126" t="s">
        <v>1931</v>
      </c>
    </row>
    <row r="1297" spans="1:4" x14ac:dyDescent="0.25">
      <c r="A1297" s="1199">
        <v>1296</v>
      </c>
      <c r="B1297" s="1223" t="s">
        <v>3456</v>
      </c>
      <c r="D1297" s="1126" t="s">
        <v>1932</v>
      </c>
    </row>
    <row r="1298" spans="1:4" x14ac:dyDescent="0.25">
      <c r="A1298" s="1199">
        <v>1297</v>
      </c>
      <c r="B1298" s="1223" t="s">
        <v>3457</v>
      </c>
      <c r="D1298" s="1126" t="s">
        <v>1933</v>
      </c>
    </row>
    <row r="1299" spans="1:4" x14ac:dyDescent="0.25">
      <c r="A1299" s="1199">
        <v>1298</v>
      </c>
      <c r="B1299" s="1223" t="s">
        <v>3458</v>
      </c>
      <c r="D1299" s="1126" t="s">
        <v>1934</v>
      </c>
    </row>
    <row r="1300" spans="1:4" x14ac:dyDescent="0.25">
      <c r="A1300" s="1199">
        <v>1299</v>
      </c>
      <c r="B1300" s="1223" t="s">
        <v>3459</v>
      </c>
      <c r="D1300" s="1126" t="s">
        <v>1935</v>
      </c>
    </row>
    <row r="1301" spans="1:4" x14ac:dyDescent="0.25">
      <c r="A1301" s="1199">
        <v>1300</v>
      </c>
      <c r="B1301" s="1224" t="s">
        <v>2433</v>
      </c>
      <c r="D1301" s="1126" t="s">
        <v>1941</v>
      </c>
    </row>
    <row r="1302" spans="1:4" x14ac:dyDescent="0.25">
      <c r="A1302" s="1199">
        <v>1301</v>
      </c>
      <c r="B1302" s="1224" t="s">
        <v>3460</v>
      </c>
      <c r="D1302" s="1126" t="s">
        <v>1942</v>
      </c>
    </row>
    <row r="1303" spans="1:4" x14ac:dyDescent="0.25">
      <c r="A1303" s="1199">
        <v>1302</v>
      </c>
      <c r="B1303" s="1223" t="s">
        <v>3461</v>
      </c>
      <c r="D1303" s="1126" t="s">
        <v>1943</v>
      </c>
    </row>
    <row r="1304" spans="1:4" x14ac:dyDescent="0.25">
      <c r="A1304" s="1199">
        <v>1303</v>
      </c>
      <c r="B1304" s="1193" t="s">
        <v>3462</v>
      </c>
      <c r="D1304" s="1126" t="s">
        <v>1945</v>
      </c>
    </row>
    <row r="1305" spans="1:4" x14ac:dyDescent="0.25">
      <c r="A1305" s="1199">
        <v>1304</v>
      </c>
      <c r="B1305" s="1193" t="s">
        <v>3463</v>
      </c>
      <c r="D1305" s="1126" t="s">
        <v>1946</v>
      </c>
    </row>
    <row r="1306" spans="1:4" x14ac:dyDescent="0.25">
      <c r="A1306" s="1199">
        <v>1305</v>
      </c>
      <c r="B1306" s="1223" t="s">
        <v>3464</v>
      </c>
      <c r="D1306" s="1126" t="s">
        <v>1947</v>
      </c>
    </row>
    <row r="1307" spans="1:4" x14ac:dyDescent="0.25">
      <c r="A1307" s="1199">
        <v>1306</v>
      </c>
      <c r="B1307" s="1223" t="s">
        <v>3465</v>
      </c>
      <c r="D1307" s="1126" t="s">
        <v>1949</v>
      </c>
    </row>
    <row r="1308" spans="1:4" x14ac:dyDescent="0.25">
      <c r="A1308" s="1199">
        <v>1307</v>
      </c>
      <c r="B1308" s="1223" t="s">
        <v>3466</v>
      </c>
      <c r="D1308" s="1126" t="s">
        <v>1950</v>
      </c>
    </row>
    <row r="1309" spans="1:4" x14ac:dyDescent="0.25">
      <c r="A1309" s="1199">
        <v>1308</v>
      </c>
      <c r="B1309" s="1223" t="s">
        <v>3467</v>
      </c>
      <c r="D1309" s="1126" t="s">
        <v>1951</v>
      </c>
    </row>
    <row r="1310" spans="1:4" x14ac:dyDescent="0.25">
      <c r="A1310" s="1199">
        <v>1309</v>
      </c>
      <c r="B1310" s="1223" t="s">
        <v>3468</v>
      </c>
      <c r="D1310" s="1126" t="s">
        <v>1952</v>
      </c>
    </row>
    <row r="1311" spans="1:4" x14ac:dyDescent="0.25">
      <c r="A1311" s="1199">
        <v>1310</v>
      </c>
      <c r="B1311" s="1223" t="s">
        <v>3469</v>
      </c>
      <c r="D1311" s="1126" t="s">
        <v>1948</v>
      </c>
    </row>
    <row r="1312" spans="1:4" x14ac:dyDescent="0.25">
      <c r="A1312" s="1199">
        <v>1311</v>
      </c>
      <c r="B1312" s="1193" t="s">
        <v>3470</v>
      </c>
      <c r="D1312" s="1126" t="s">
        <v>1953</v>
      </c>
    </row>
    <row r="1313" spans="1:4" x14ac:dyDescent="0.25">
      <c r="A1313" s="1199">
        <v>1312</v>
      </c>
      <c r="B1313" s="1224" t="s">
        <v>3471</v>
      </c>
      <c r="D1313" s="1126" t="s">
        <v>1954</v>
      </c>
    </row>
    <row r="1314" spans="1:4" x14ac:dyDescent="0.25">
      <c r="A1314" s="1199">
        <v>1313</v>
      </c>
      <c r="B1314" s="1223" t="s">
        <v>3472</v>
      </c>
      <c r="D1314" s="1126" t="s">
        <v>1955</v>
      </c>
    </row>
    <row r="1315" spans="1:4" x14ac:dyDescent="0.25">
      <c r="A1315" s="1199">
        <v>1314</v>
      </c>
      <c r="B1315" s="1223" t="s">
        <v>3473</v>
      </c>
      <c r="D1315" s="1126" t="s">
        <v>1956</v>
      </c>
    </row>
    <row r="1316" spans="1:4" x14ac:dyDescent="0.25">
      <c r="A1316" s="1199">
        <v>1315</v>
      </c>
      <c r="B1316" s="1223" t="s">
        <v>3474</v>
      </c>
      <c r="D1316" s="1126" t="s">
        <v>1957</v>
      </c>
    </row>
    <row r="1317" spans="1:4" x14ac:dyDescent="0.25">
      <c r="A1317" s="1199">
        <v>1316</v>
      </c>
      <c r="B1317" s="1223" t="s">
        <v>3475</v>
      </c>
      <c r="D1317" s="1126" t="s">
        <v>1958</v>
      </c>
    </row>
    <row r="1318" spans="1:4" x14ac:dyDescent="0.25">
      <c r="A1318" s="1199">
        <v>1317</v>
      </c>
      <c r="B1318" s="1223" t="s">
        <v>3476</v>
      </c>
      <c r="D1318" s="1126" t="s">
        <v>1959</v>
      </c>
    </row>
    <row r="1319" spans="1:4" x14ac:dyDescent="0.25">
      <c r="A1319" s="1199">
        <v>1318</v>
      </c>
      <c r="B1319" s="1223" t="s">
        <v>3477</v>
      </c>
      <c r="D1319" s="1126" t="s">
        <v>1960</v>
      </c>
    </row>
    <row r="1320" spans="1:4" x14ac:dyDescent="0.25">
      <c r="A1320" s="1199">
        <v>1319</v>
      </c>
      <c r="B1320" s="1193" t="s">
        <v>3478</v>
      </c>
      <c r="D1320" s="1126" t="s">
        <v>1961</v>
      </c>
    </row>
    <row r="1321" spans="1:4" x14ac:dyDescent="0.25">
      <c r="A1321" s="1199">
        <v>1320</v>
      </c>
      <c r="B1321" s="1193" t="s">
        <v>3479</v>
      </c>
      <c r="D1321" s="1126" t="s">
        <v>1962</v>
      </c>
    </row>
    <row r="1322" spans="1:4" x14ac:dyDescent="0.25">
      <c r="A1322" s="1199">
        <v>1321</v>
      </c>
      <c r="B1322" s="1193" t="s">
        <v>3480</v>
      </c>
      <c r="D1322" s="1126" t="s">
        <v>1963</v>
      </c>
    </row>
    <row r="1323" spans="1:4" x14ac:dyDescent="0.25">
      <c r="A1323" s="1199">
        <v>1322</v>
      </c>
      <c r="B1323" s="1193" t="s">
        <v>3481</v>
      </c>
      <c r="D1323" s="1126" t="s">
        <v>1964</v>
      </c>
    </row>
    <row r="1324" spans="1:4" x14ac:dyDescent="0.25">
      <c r="A1324" s="1199">
        <v>1323</v>
      </c>
      <c r="B1324" s="1193" t="s">
        <v>260</v>
      </c>
      <c r="D1324" s="1126" t="s">
        <v>1965</v>
      </c>
    </row>
    <row r="1325" spans="1:4" x14ac:dyDescent="0.25">
      <c r="A1325" s="1199">
        <v>1324</v>
      </c>
      <c r="B1325" s="1193" t="s">
        <v>3482</v>
      </c>
      <c r="D1325" s="1126" t="s">
        <v>1966</v>
      </c>
    </row>
    <row r="1326" spans="1:4" x14ac:dyDescent="0.25">
      <c r="A1326" s="1199">
        <v>1325</v>
      </c>
      <c r="B1326" s="1193" t="s">
        <v>3483</v>
      </c>
      <c r="D1326" s="1126" t="s">
        <v>1967</v>
      </c>
    </row>
    <row r="1327" spans="1:4" x14ac:dyDescent="0.25">
      <c r="A1327" s="1199">
        <v>1326</v>
      </c>
      <c r="B1327" s="1193" t="s">
        <v>3484</v>
      </c>
      <c r="D1327" s="1126" t="s">
        <v>1968</v>
      </c>
    </row>
    <row r="1328" spans="1:4" x14ac:dyDescent="0.25">
      <c r="A1328" s="1199">
        <v>1327</v>
      </c>
      <c r="B1328" s="1193" t="s">
        <v>3485</v>
      </c>
      <c r="D1328" s="1126" t="s">
        <v>1969</v>
      </c>
    </row>
    <row r="1329" spans="1:4" x14ac:dyDescent="0.25">
      <c r="A1329" s="1199">
        <v>1328</v>
      </c>
      <c r="B1329" s="1193" t="s">
        <v>3486</v>
      </c>
      <c r="D1329" s="1126" t="s">
        <v>1970</v>
      </c>
    </row>
    <row r="1330" spans="1:4" x14ac:dyDescent="0.25">
      <c r="A1330" s="1199">
        <v>1329</v>
      </c>
      <c r="B1330" s="1193" t="s">
        <v>3487</v>
      </c>
      <c r="D1330" s="1126" t="s">
        <v>1971</v>
      </c>
    </row>
    <row r="1331" spans="1:4" x14ac:dyDescent="0.25">
      <c r="A1331" s="1199">
        <v>1330</v>
      </c>
      <c r="B1331" s="1193" t="s">
        <v>3488</v>
      </c>
      <c r="D1331" s="1126" t="s">
        <v>1972</v>
      </c>
    </row>
    <row r="1332" spans="1:4" x14ac:dyDescent="0.25">
      <c r="A1332" s="1199">
        <v>1331</v>
      </c>
      <c r="B1332" s="1223" t="s">
        <v>3489</v>
      </c>
      <c r="D1332" s="1126" t="s">
        <v>1973</v>
      </c>
    </row>
    <row r="1333" spans="1:4" x14ac:dyDescent="0.25">
      <c r="A1333" s="1199">
        <v>1332</v>
      </c>
      <c r="B1333" s="1223" t="s">
        <v>3490</v>
      </c>
      <c r="D1333" s="1126" t="s">
        <v>1974</v>
      </c>
    </row>
    <row r="1334" spans="1:4" x14ac:dyDescent="0.25">
      <c r="A1334" s="1199">
        <v>1333</v>
      </c>
      <c r="B1334" s="1193" t="s">
        <v>3491</v>
      </c>
      <c r="D1334" s="1126" t="s">
        <v>1975</v>
      </c>
    </row>
    <row r="1335" spans="1:4" x14ac:dyDescent="0.25">
      <c r="A1335" s="1199">
        <v>1334</v>
      </c>
      <c r="B1335" s="1193" t="s">
        <v>174</v>
      </c>
      <c r="D1335" s="1126" t="s">
        <v>1976</v>
      </c>
    </row>
    <row r="1336" spans="1:4" x14ac:dyDescent="0.25">
      <c r="A1336" s="1199">
        <v>1335</v>
      </c>
      <c r="B1336" s="1193" t="s">
        <v>3492</v>
      </c>
      <c r="D1336" s="1126" t="s">
        <v>1977</v>
      </c>
    </row>
    <row r="1337" spans="1:4" x14ac:dyDescent="0.25">
      <c r="A1337" s="1199">
        <v>1336</v>
      </c>
      <c r="B1337" s="1223" t="s">
        <v>3493</v>
      </c>
      <c r="D1337" s="1126" t="s">
        <v>1978</v>
      </c>
    </row>
    <row r="1338" spans="1:4" x14ac:dyDescent="0.25">
      <c r="A1338" s="1199">
        <v>1337</v>
      </c>
      <c r="B1338" s="1223" t="s">
        <v>3494</v>
      </c>
      <c r="D1338" s="1126" t="s">
        <v>1979</v>
      </c>
    </row>
    <row r="1339" spans="1:4" x14ac:dyDescent="0.25">
      <c r="A1339" s="1199">
        <v>1338</v>
      </c>
      <c r="B1339" s="1225" t="s">
        <v>3495</v>
      </c>
      <c r="D1339" s="1126" t="s">
        <v>1980</v>
      </c>
    </row>
    <row r="1340" spans="1:4" x14ac:dyDescent="0.25">
      <c r="A1340" s="1199">
        <v>1339</v>
      </c>
      <c r="B1340" s="1223" t="s">
        <v>3496</v>
      </c>
      <c r="D1340" s="1126" t="s">
        <v>1981</v>
      </c>
    </row>
    <row r="1341" spans="1:4" x14ac:dyDescent="0.25">
      <c r="A1341" s="1199">
        <v>1340</v>
      </c>
      <c r="B1341" s="1223" t="s">
        <v>3497</v>
      </c>
      <c r="D1341" s="1126" t="s">
        <v>1982</v>
      </c>
    </row>
    <row r="1342" spans="1:4" x14ac:dyDescent="0.25">
      <c r="A1342" s="1199">
        <v>1341</v>
      </c>
      <c r="B1342" s="1223" t="s">
        <v>180</v>
      </c>
      <c r="D1342" s="1126" t="s">
        <v>1983</v>
      </c>
    </row>
    <row r="1343" spans="1:4" x14ac:dyDescent="0.25">
      <c r="A1343" s="1199">
        <v>1342</v>
      </c>
      <c r="B1343" s="1223" t="s">
        <v>3498</v>
      </c>
      <c r="D1343" s="1126" t="s">
        <v>1984</v>
      </c>
    </row>
    <row r="1344" spans="1:4" x14ac:dyDescent="0.25">
      <c r="A1344" s="1199">
        <v>1343</v>
      </c>
      <c r="B1344" s="1223" t="s">
        <v>3499</v>
      </c>
      <c r="D1344" s="1126" t="s">
        <v>1985</v>
      </c>
    </row>
    <row r="1345" spans="1:4" x14ac:dyDescent="0.25">
      <c r="A1345" s="1199">
        <v>1344</v>
      </c>
      <c r="B1345" s="1223" t="s">
        <v>3500</v>
      </c>
      <c r="D1345" s="1126" t="s">
        <v>1986</v>
      </c>
    </row>
    <row r="1346" spans="1:4" x14ac:dyDescent="0.25">
      <c r="A1346" s="1199">
        <v>1345</v>
      </c>
      <c r="B1346" s="1223" t="s">
        <v>3501</v>
      </c>
      <c r="D1346" s="1126" t="s">
        <v>1987</v>
      </c>
    </row>
    <row r="1347" spans="1:4" x14ac:dyDescent="0.25">
      <c r="A1347" s="1199">
        <v>1346</v>
      </c>
      <c r="B1347" s="1223" t="s">
        <v>3502</v>
      </c>
      <c r="D1347" s="1126" t="s">
        <v>1988</v>
      </c>
    </row>
    <row r="1348" spans="1:4" x14ac:dyDescent="0.25">
      <c r="A1348" s="1199">
        <v>1347</v>
      </c>
      <c r="B1348" s="1223" t="s">
        <v>3503</v>
      </c>
      <c r="D1348" s="1126" t="s">
        <v>1989</v>
      </c>
    </row>
    <row r="1349" spans="1:4" x14ac:dyDescent="0.25">
      <c r="A1349" s="1199">
        <v>1348</v>
      </c>
      <c r="B1349" s="1223" t="s">
        <v>3504</v>
      </c>
      <c r="D1349" s="1126" t="s">
        <v>1990</v>
      </c>
    </row>
    <row r="1350" spans="1:4" x14ac:dyDescent="0.25">
      <c r="A1350" s="1199">
        <v>1349</v>
      </c>
      <c r="B1350" s="1223" t="s">
        <v>3505</v>
      </c>
      <c r="D1350" s="1126" t="s">
        <v>1991</v>
      </c>
    </row>
    <row r="1351" spans="1:4" x14ac:dyDescent="0.25">
      <c r="A1351" s="1199">
        <v>1350</v>
      </c>
      <c r="B1351" s="1223" t="s">
        <v>3506</v>
      </c>
      <c r="D1351" s="1126" t="s">
        <v>1992</v>
      </c>
    </row>
    <row r="1352" spans="1:4" x14ac:dyDescent="0.25">
      <c r="A1352" s="1199">
        <v>1351</v>
      </c>
      <c r="B1352" s="1223" t="s">
        <v>339</v>
      </c>
      <c r="D1352" s="1126" t="s">
        <v>1993</v>
      </c>
    </row>
    <row r="1353" spans="1:4" x14ac:dyDescent="0.25">
      <c r="A1353" s="1199">
        <v>1352</v>
      </c>
      <c r="B1353" s="1223" t="s">
        <v>3507</v>
      </c>
      <c r="D1353" s="1126" t="s">
        <v>1994</v>
      </c>
    </row>
    <row r="1354" spans="1:4" x14ac:dyDescent="0.25">
      <c r="A1354" s="1199">
        <v>1353</v>
      </c>
      <c r="B1354" s="1223" t="s">
        <v>3508</v>
      </c>
      <c r="D1354" s="1126" t="s">
        <v>1995</v>
      </c>
    </row>
    <row r="1355" spans="1:4" x14ac:dyDescent="0.25">
      <c r="A1355" s="1199">
        <v>1354</v>
      </c>
      <c r="B1355" s="1223" t="s">
        <v>191</v>
      </c>
      <c r="D1355" s="1126" t="s">
        <v>1996</v>
      </c>
    </row>
    <row r="1356" spans="1:4" x14ac:dyDescent="0.25">
      <c r="A1356" s="1199">
        <v>1355</v>
      </c>
      <c r="B1356" s="1223" t="s">
        <v>3509</v>
      </c>
      <c r="D1356" s="1126" t="s">
        <v>1997</v>
      </c>
    </row>
    <row r="1357" spans="1:4" x14ac:dyDescent="0.25">
      <c r="A1357" s="1199">
        <v>1356</v>
      </c>
      <c r="B1357" s="1223" t="s">
        <v>3510</v>
      </c>
      <c r="D1357" s="1126" t="s">
        <v>1998</v>
      </c>
    </row>
    <row r="1358" spans="1:4" x14ac:dyDescent="0.25">
      <c r="A1358" s="1199">
        <v>1357</v>
      </c>
      <c r="B1358" s="1223" t="s">
        <v>3511</v>
      </c>
      <c r="D1358" s="1126" t="s">
        <v>1999</v>
      </c>
    </row>
    <row r="1359" spans="1:4" x14ac:dyDescent="0.25">
      <c r="A1359" s="1199">
        <v>1358</v>
      </c>
      <c r="B1359" s="1223" t="s">
        <v>3512</v>
      </c>
      <c r="D1359" s="1126" t="s">
        <v>2000</v>
      </c>
    </row>
    <row r="1360" spans="1:4" x14ac:dyDescent="0.25">
      <c r="A1360" s="1199">
        <v>1359</v>
      </c>
      <c r="B1360" s="1223" t="s">
        <v>3513</v>
      </c>
      <c r="D1360" s="1126" t="s">
        <v>2001</v>
      </c>
    </row>
    <row r="1361" spans="1:4" x14ac:dyDescent="0.25">
      <c r="A1361" s="1199">
        <v>1360</v>
      </c>
      <c r="B1361" s="1223" t="s">
        <v>3514</v>
      </c>
      <c r="D1361" s="1126" t="s">
        <v>2002</v>
      </c>
    </row>
    <row r="1362" spans="1:4" x14ac:dyDescent="0.25">
      <c r="A1362" s="1199">
        <v>1361</v>
      </c>
      <c r="B1362" s="1223" t="s">
        <v>3515</v>
      </c>
      <c r="D1362" s="1126" t="s">
        <v>2003</v>
      </c>
    </row>
    <row r="1363" spans="1:4" x14ac:dyDescent="0.25">
      <c r="A1363" s="1199">
        <v>1362</v>
      </c>
      <c r="B1363" s="1223" t="s">
        <v>3516</v>
      </c>
      <c r="D1363" s="1126" t="s">
        <v>2004</v>
      </c>
    </row>
    <row r="1364" spans="1:4" x14ac:dyDescent="0.25">
      <c r="A1364" s="1199">
        <v>1363</v>
      </c>
      <c r="B1364" s="1223" t="s">
        <v>3517</v>
      </c>
      <c r="D1364" s="1126" t="s">
        <v>2005</v>
      </c>
    </row>
    <row r="1365" spans="1:4" x14ac:dyDescent="0.25">
      <c r="A1365" s="1199">
        <v>1364</v>
      </c>
      <c r="B1365" s="1223" t="s">
        <v>3518</v>
      </c>
      <c r="D1365" s="1126" t="s">
        <v>2006</v>
      </c>
    </row>
    <row r="1366" spans="1:4" x14ac:dyDescent="0.25">
      <c r="A1366" s="1199">
        <v>1365</v>
      </c>
      <c r="B1366" s="1193" t="s">
        <v>127</v>
      </c>
      <c r="D1366" s="1126" t="s">
        <v>2009</v>
      </c>
    </row>
    <row r="1367" spans="1:4" x14ac:dyDescent="0.25">
      <c r="A1367" s="1199">
        <v>1366</v>
      </c>
      <c r="B1367" s="1193" t="s">
        <v>128</v>
      </c>
      <c r="D1367" s="1126" t="s">
        <v>2010</v>
      </c>
    </row>
    <row r="1368" spans="1:4" x14ac:dyDescent="0.25">
      <c r="A1368" s="1199">
        <v>1367</v>
      </c>
      <c r="B1368" s="1223" t="s">
        <v>129</v>
      </c>
      <c r="D1368" s="1126" t="s">
        <v>2011</v>
      </c>
    </row>
    <row r="1369" spans="1:4" x14ac:dyDescent="0.25">
      <c r="A1369" s="1199">
        <v>1368</v>
      </c>
      <c r="B1369" s="1223" t="s">
        <v>130</v>
      </c>
      <c r="D1369" s="1126" t="s">
        <v>2012</v>
      </c>
    </row>
    <row r="1370" spans="1:4" x14ac:dyDescent="0.25">
      <c r="A1370" s="1199">
        <v>1369</v>
      </c>
      <c r="B1370" s="1225" t="s">
        <v>475</v>
      </c>
      <c r="D1370" s="1126" t="s">
        <v>2013</v>
      </c>
    </row>
    <row r="1371" spans="1:4" x14ac:dyDescent="0.25">
      <c r="A1371" s="1199">
        <v>1370</v>
      </c>
      <c r="B1371" s="1223" t="s">
        <v>131</v>
      </c>
      <c r="D1371" s="1126" t="s">
        <v>2014</v>
      </c>
    </row>
    <row r="1372" spans="1:4" x14ac:dyDescent="0.25">
      <c r="A1372" s="1199">
        <v>1371</v>
      </c>
      <c r="B1372" s="1223" t="s">
        <v>132</v>
      </c>
      <c r="D1372" s="1126" t="s">
        <v>2015</v>
      </c>
    </row>
    <row r="1373" spans="1:4" x14ac:dyDescent="0.25">
      <c r="A1373" s="1199">
        <v>1372</v>
      </c>
      <c r="B1373" s="1223" t="s">
        <v>133</v>
      </c>
      <c r="D1373" s="1126" t="s">
        <v>2016</v>
      </c>
    </row>
    <row r="1374" spans="1:4" x14ac:dyDescent="0.25">
      <c r="A1374" s="1199">
        <v>1373</v>
      </c>
      <c r="B1374" s="1223" t="s">
        <v>134</v>
      </c>
      <c r="D1374" s="1126" t="s">
        <v>2017</v>
      </c>
    </row>
    <row r="1375" spans="1:4" x14ac:dyDescent="0.25">
      <c r="A1375" s="1199">
        <v>1374</v>
      </c>
      <c r="B1375" s="1223" t="s">
        <v>135</v>
      </c>
      <c r="D1375" s="1126" t="s">
        <v>2018</v>
      </c>
    </row>
    <row r="1376" spans="1:4" x14ac:dyDescent="0.25">
      <c r="A1376" s="1199">
        <v>1375</v>
      </c>
      <c r="B1376" s="1223" t="s">
        <v>136</v>
      </c>
      <c r="D1376" s="1126" t="s">
        <v>2019</v>
      </c>
    </row>
    <row r="1377" spans="1:4" x14ac:dyDescent="0.25">
      <c r="A1377" s="1199">
        <v>1376</v>
      </c>
      <c r="B1377" s="1223" t="s">
        <v>137</v>
      </c>
      <c r="D1377" s="1126" t="s">
        <v>2007</v>
      </c>
    </row>
    <row r="1378" spans="1:4" x14ac:dyDescent="0.25">
      <c r="A1378" s="1199">
        <v>1377</v>
      </c>
      <c r="B1378" s="1223" t="s">
        <v>138</v>
      </c>
      <c r="D1378" s="1126" t="s">
        <v>2021</v>
      </c>
    </row>
    <row r="1379" spans="1:4" x14ac:dyDescent="0.25">
      <c r="A1379" s="1199">
        <v>1378</v>
      </c>
      <c r="B1379" s="1223" t="s">
        <v>340</v>
      </c>
      <c r="D1379" s="1126" t="s">
        <v>2022</v>
      </c>
    </row>
    <row r="1380" spans="1:4" x14ac:dyDescent="0.25">
      <c r="A1380" s="1199">
        <v>1379</v>
      </c>
      <c r="B1380" s="1223" t="s">
        <v>139</v>
      </c>
      <c r="D1380" s="1126" t="s">
        <v>2023</v>
      </c>
    </row>
    <row r="1381" spans="1:4" x14ac:dyDescent="0.25">
      <c r="A1381" s="1199">
        <v>1380</v>
      </c>
      <c r="B1381" s="1223" t="s">
        <v>140</v>
      </c>
      <c r="D1381" s="1126" t="s">
        <v>2024</v>
      </c>
    </row>
    <row r="1382" spans="1:4" x14ac:dyDescent="0.25">
      <c r="A1382" s="1199">
        <v>1381</v>
      </c>
      <c r="B1382" s="1223" t="s">
        <v>141</v>
      </c>
      <c r="D1382" s="1126" t="s">
        <v>2025</v>
      </c>
    </row>
    <row r="1383" spans="1:4" x14ac:dyDescent="0.25">
      <c r="A1383" s="1199">
        <v>1382</v>
      </c>
      <c r="B1383" s="1223" t="s">
        <v>341</v>
      </c>
      <c r="D1383" s="1126" t="s">
        <v>2026</v>
      </c>
    </row>
    <row r="1384" spans="1:4" x14ac:dyDescent="0.25">
      <c r="A1384" s="1199">
        <v>1383</v>
      </c>
      <c r="B1384" s="1223" t="s">
        <v>142</v>
      </c>
      <c r="D1384" s="1126" t="s">
        <v>2027</v>
      </c>
    </row>
    <row r="1385" spans="1:4" x14ac:dyDescent="0.25">
      <c r="A1385" s="1199">
        <v>1384</v>
      </c>
      <c r="B1385" s="1223" t="s">
        <v>143</v>
      </c>
      <c r="D1385" s="1126" t="s">
        <v>2028</v>
      </c>
    </row>
    <row r="1386" spans="1:4" x14ac:dyDescent="0.25">
      <c r="A1386" s="1199">
        <v>1385</v>
      </c>
      <c r="B1386" s="1223" t="s">
        <v>144</v>
      </c>
      <c r="D1386" s="1126" t="s">
        <v>2029</v>
      </c>
    </row>
    <row r="1387" spans="1:4" x14ac:dyDescent="0.25">
      <c r="A1387" s="1199">
        <v>1386</v>
      </c>
      <c r="B1387" s="1223" t="s">
        <v>145</v>
      </c>
      <c r="D1387" s="1126" t="s">
        <v>2030</v>
      </c>
    </row>
    <row r="1388" spans="1:4" x14ac:dyDescent="0.25">
      <c r="A1388" s="1199">
        <v>1387</v>
      </c>
      <c r="B1388" s="1223" t="s">
        <v>342</v>
      </c>
      <c r="D1388" s="1126" t="s">
        <v>2031</v>
      </c>
    </row>
    <row r="1389" spans="1:4" x14ac:dyDescent="0.25">
      <c r="A1389" s="1199">
        <v>1388</v>
      </c>
      <c r="B1389" s="1223" t="s">
        <v>146</v>
      </c>
      <c r="D1389" s="1126" t="s">
        <v>2032</v>
      </c>
    </row>
    <row r="1390" spans="1:4" x14ac:dyDescent="0.25">
      <c r="A1390" s="1199">
        <v>1389</v>
      </c>
      <c r="B1390" s="1223" t="s">
        <v>147</v>
      </c>
      <c r="D1390" s="1126" t="s">
        <v>2033</v>
      </c>
    </row>
    <row r="1391" spans="1:4" x14ac:dyDescent="0.25">
      <c r="A1391" s="1199">
        <v>1390</v>
      </c>
      <c r="B1391" s="1223" t="s">
        <v>148</v>
      </c>
      <c r="D1391" s="1126" t="s">
        <v>2034</v>
      </c>
    </row>
    <row r="1392" spans="1:4" x14ac:dyDescent="0.25">
      <c r="A1392" s="1199">
        <v>1391</v>
      </c>
      <c r="B1392" s="1223" t="s">
        <v>149</v>
      </c>
      <c r="D1392" s="1126" t="s">
        <v>2035</v>
      </c>
    </row>
    <row r="1393" spans="1:4" x14ac:dyDescent="0.25">
      <c r="A1393" s="1199">
        <v>1392</v>
      </c>
      <c r="B1393" s="1223" t="s">
        <v>150</v>
      </c>
      <c r="D1393" s="1126" t="s">
        <v>2036</v>
      </c>
    </row>
    <row r="1394" spans="1:4" x14ac:dyDescent="0.25">
      <c r="A1394" s="1199">
        <v>1393</v>
      </c>
      <c r="B1394" s="1223" t="s">
        <v>151</v>
      </c>
      <c r="D1394" s="1126" t="s">
        <v>2037</v>
      </c>
    </row>
    <row r="1395" spans="1:4" x14ac:dyDescent="0.25">
      <c r="A1395" s="1199">
        <v>1394</v>
      </c>
      <c r="B1395" s="1223" t="s">
        <v>152</v>
      </c>
      <c r="D1395" s="1126" t="s">
        <v>2038</v>
      </c>
    </row>
    <row r="1396" spans="1:4" x14ac:dyDescent="0.25">
      <c r="A1396" s="1199">
        <v>1395</v>
      </c>
      <c r="B1396" s="1223" t="s">
        <v>153</v>
      </c>
      <c r="D1396" s="1126" t="s">
        <v>2008</v>
      </c>
    </row>
    <row r="1397" spans="1:4" x14ac:dyDescent="0.25">
      <c r="A1397" s="1199">
        <v>1396</v>
      </c>
      <c r="B1397" s="1193" t="s">
        <v>537</v>
      </c>
      <c r="D1397" s="1126" t="s">
        <v>2020</v>
      </c>
    </row>
    <row r="1398" spans="1:4" x14ac:dyDescent="0.25">
      <c r="A1398" s="1199">
        <v>1397</v>
      </c>
      <c r="B1398" s="1193" t="s">
        <v>536</v>
      </c>
      <c r="D1398" s="1126" t="s">
        <v>2039</v>
      </c>
    </row>
    <row r="1399" spans="1:4" x14ac:dyDescent="0.25">
      <c r="A1399" s="1199">
        <v>1398</v>
      </c>
      <c r="B1399" s="1194" t="s">
        <v>3519</v>
      </c>
      <c r="D1399" s="1126" t="s">
        <v>2040</v>
      </c>
    </row>
    <row r="1400" spans="1:4" x14ac:dyDescent="0.25">
      <c r="A1400" s="1199">
        <v>1399</v>
      </c>
      <c r="B1400" s="1194" t="s">
        <v>3520</v>
      </c>
      <c r="D1400" s="1126" t="s">
        <v>2041</v>
      </c>
    </row>
    <row r="1401" spans="1:4" x14ac:dyDescent="0.25">
      <c r="A1401" s="1199">
        <v>1400</v>
      </c>
      <c r="B1401" s="1194" t="s">
        <v>3521</v>
      </c>
      <c r="D1401" s="1126" t="s">
        <v>2042</v>
      </c>
    </row>
    <row r="1402" spans="1:4" x14ac:dyDescent="0.25">
      <c r="A1402" s="1199">
        <v>1401</v>
      </c>
      <c r="B1402" s="1193" t="s">
        <v>3522</v>
      </c>
      <c r="D1402" s="1126" t="s">
        <v>2043</v>
      </c>
    </row>
    <row r="1403" spans="1:4" x14ac:dyDescent="0.25">
      <c r="A1403" s="1199">
        <v>1402</v>
      </c>
      <c r="B1403" s="1193" t="s">
        <v>3523</v>
      </c>
      <c r="D1403" s="1126" t="s">
        <v>2044</v>
      </c>
    </row>
    <row r="1404" spans="1:4" x14ac:dyDescent="0.25">
      <c r="A1404" s="1199">
        <v>1403</v>
      </c>
      <c r="B1404" s="1193" t="s">
        <v>3524</v>
      </c>
      <c r="D1404" s="1126" t="s">
        <v>2045</v>
      </c>
    </row>
    <row r="1405" spans="1:4" x14ac:dyDescent="0.25">
      <c r="A1405" s="1199">
        <v>1404</v>
      </c>
      <c r="B1405" s="1193" t="s">
        <v>3525</v>
      </c>
      <c r="D1405" s="1126" t="s">
        <v>2046</v>
      </c>
    </row>
    <row r="1406" spans="1:4" x14ac:dyDescent="0.25">
      <c r="A1406" s="1199">
        <v>1405</v>
      </c>
      <c r="B1406" s="1193" t="s">
        <v>3526</v>
      </c>
      <c r="D1406" s="1126" t="s">
        <v>2047</v>
      </c>
    </row>
    <row r="1407" spans="1:4" x14ac:dyDescent="0.25">
      <c r="A1407" s="1199">
        <v>1406</v>
      </c>
      <c r="B1407" s="1193" t="s">
        <v>3527</v>
      </c>
      <c r="D1407" s="1126" t="s">
        <v>2048</v>
      </c>
    </row>
    <row r="1408" spans="1:4" x14ac:dyDescent="0.25">
      <c r="A1408" s="1199">
        <v>1407</v>
      </c>
      <c r="B1408" s="1193" t="s">
        <v>3528</v>
      </c>
      <c r="D1408" s="1126" t="s">
        <v>2049</v>
      </c>
    </row>
    <row r="1409" spans="1:4" x14ac:dyDescent="0.25">
      <c r="A1409" s="1199">
        <v>1408</v>
      </c>
      <c r="B1409" s="1193" t="s">
        <v>3529</v>
      </c>
      <c r="D1409" s="1126" t="s">
        <v>2050</v>
      </c>
    </row>
    <row r="1410" spans="1:4" x14ac:dyDescent="0.25">
      <c r="A1410" s="1199">
        <v>1409</v>
      </c>
      <c r="B1410" s="1194" t="s">
        <v>3530</v>
      </c>
      <c r="D1410" s="1126" t="s">
        <v>2051</v>
      </c>
    </row>
    <row r="1411" spans="1:4" x14ac:dyDescent="0.25">
      <c r="A1411" s="1199">
        <v>1410</v>
      </c>
      <c r="B1411" s="1193" t="s">
        <v>3531</v>
      </c>
      <c r="D1411" s="1126" t="s">
        <v>2052</v>
      </c>
    </row>
    <row r="1412" spans="1:4" x14ac:dyDescent="0.25">
      <c r="A1412" s="1199">
        <v>1411</v>
      </c>
      <c r="B1412" s="1194" t="s">
        <v>3532</v>
      </c>
      <c r="D1412" s="1126" t="s">
        <v>2053</v>
      </c>
    </row>
    <row r="1413" spans="1:4" x14ac:dyDescent="0.25">
      <c r="A1413" s="1199">
        <v>1412</v>
      </c>
      <c r="B1413" s="1193" t="s">
        <v>3533</v>
      </c>
      <c r="D1413" s="1126" t="s">
        <v>2054</v>
      </c>
    </row>
    <row r="1414" spans="1:4" x14ac:dyDescent="0.25">
      <c r="A1414" s="1199">
        <v>1413</v>
      </c>
      <c r="B1414" s="1193" t="s">
        <v>3534</v>
      </c>
      <c r="D1414" s="1126" t="s">
        <v>2055</v>
      </c>
    </row>
    <row r="1415" spans="1:4" x14ac:dyDescent="0.25">
      <c r="A1415" s="1199">
        <v>1414</v>
      </c>
      <c r="B1415" s="1193" t="s">
        <v>3535</v>
      </c>
      <c r="D1415" s="1126" t="s">
        <v>2056</v>
      </c>
    </row>
    <row r="1416" spans="1:4" x14ac:dyDescent="0.25">
      <c r="A1416" s="1199">
        <v>1415</v>
      </c>
      <c r="B1416" s="1193" t="s">
        <v>3536</v>
      </c>
      <c r="D1416" s="1126" t="s">
        <v>2057</v>
      </c>
    </row>
    <row r="1417" spans="1:4" x14ac:dyDescent="0.25">
      <c r="A1417" s="1199">
        <v>1416</v>
      </c>
      <c r="B1417" s="1193" t="s">
        <v>3537</v>
      </c>
      <c r="D1417" s="1126" t="s">
        <v>2058</v>
      </c>
    </row>
    <row r="1418" spans="1:4" x14ac:dyDescent="0.25">
      <c r="A1418" s="1199">
        <v>1417</v>
      </c>
      <c r="B1418" s="1193" t="s">
        <v>3538</v>
      </c>
      <c r="D1418" s="1126" t="s">
        <v>2059</v>
      </c>
    </row>
    <row r="1419" spans="1:4" x14ac:dyDescent="0.25">
      <c r="A1419" s="1199">
        <v>1418</v>
      </c>
      <c r="B1419" s="1193" t="s">
        <v>3539</v>
      </c>
      <c r="D1419" s="1126" t="s">
        <v>2060</v>
      </c>
    </row>
    <row r="1420" spans="1:4" x14ac:dyDescent="0.25">
      <c r="A1420" s="1199">
        <v>1419</v>
      </c>
      <c r="B1420" s="1193" t="s">
        <v>3540</v>
      </c>
      <c r="D1420" s="1126" t="s">
        <v>2061</v>
      </c>
    </row>
    <row r="1421" spans="1:4" x14ac:dyDescent="0.25">
      <c r="A1421" s="1199">
        <v>1420</v>
      </c>
      <c r="B1421" s="1193" t="s">
        <v>3541</v>
      </c>
      <c r="D1421" s="1126" t="s">
        <v>2062</v>
      </c>
    </row>
    <row r="1422" spans="1:4" x14ac:dyDescent="0.25">
      <c r="A1422" s="1199">
        <v>1421</v>
      </c>
      <c r="B1422" s="1193" t="s">
        <v>3542</v>
      </c>
      <c r="D1422" s="1126" t="s">
        <v>2063</v>
      </c>
    </row>
    <row r="1423" spans="1:4" x14ac:dyDescent="0.25">
      <c r="A1423" s="1199">
        <v>1422</v>
      </c>
      <c r="B1423" s="1193" t="s">
        <v>3543</v>
      </c>
      <c r="D1423" s="1126" t="s">
        <v>2064</v>
      </c>
    </row>
    <row r="1424" spans="1:4" x14ac:dyDescent="0.25">
      <c r="A1424" s="1199">
        <v>1423</v>
      </c>
      <c r="B1424" s="1193" t="s">
        <v>3544</v>
      </c>
      <c r="D1424" s="251" t="s">
        <v>2065</v>
      </c>
    </row>
    <row r="1425" spans="1:4" x14ac:dyDescent="0.25">
      <c r="A1425" s="1199">
        <v>1424</v>
      </c>
      <c r="B1425" s="1193" t="s">
        <v>3545</v>
      </c>
      <c r="D1425" s="1126" t="s">
        <v>2066</v>
      </c>
    </row>
    <row r="1426" spans="1:4" x14ac:dyDescent="0.25">
      <c r="A1426" s="1199">
        <v>1425</v>
      </c>
      <c r="B1426" s="1224" t="s">
        <v>3546</v>
      </c>
      <c r="D1426" s="1126" t="s">
        <v>2067</v>
      </c>
    </row>
    <row r="1427" spans="1:4" x14ac:dyDescent="0.25">
      <c r="A1427" s="1199">
        <v>1426</v>
      </c>
      <c r="B1427" s="1224" t="s">
        <v>3547</v>
      </c>
      <c r="D1427" s="1126" t="s">
        <v>2069</v>
      </c>
    </row>
    <row r="1428" spans="1:4" x14ac:dyDescent="0.25">
      <c r="A1428" s="1199">
        <v>1427</v>
      </c>
      <c r="B1428" s="1226" t="s">
        <v>3548</v>
      </c>
      <c r="D1428" s="1126" t="s">
        <v>2070</v>
      </c>
    </row>
    <row r="1429" spans="1:4" x14ac:dyDescent="0.25">
      <c r="A1429" s="1199">
        <v>1428</v>
      </c>
      <c r="B1429" s="1223" t="s">
        <v>3549</v>
      </c>
      <c r="D1429" s="1126" t="s">
        <v>2101</v>
      </c>
    </row>
    <row r="1430" spans="1:4" x14ac:dyDescent="0.25">
      <c r="A1430" s="1199">
        <v>1429</v>
      </c>
      <c r="B1430" s="1223" t="s">
        <v>3550</v>
      </c>
      <c r="D1430" s="1126" t="s">
        <v>2100</v>
      </c>
    </row>
    <row r="1431" spans="1:4" x14ac:dyDescent="0.25">
      <c r="A1431" s="1199">
        <v>1430</v>
      </c>
      <c r="B1431" s="1223" t="s">
        <v>3551</v>
      </c>
      <c r="D1431" s="1126" t="s">
        <v>2071</v>
      </c>
    </row>
    <row r="1432" spans="1:4" x14ac:dyDescent="0.25">
      <c r="A1432" s="1199">
        <v>1431</v>
      </c>
      <c r="B1432" s="1227" t="s">
        <v>3552</v>
      </c>
      <c r="D1432" s="1126" t="s">
        <v>2072</v>
      </c>
    </row>
    <row r="1433" spans="1:4" x14ac:dyDescent="0.25">
      <c r="A1433" s="1199">
        <v>1432</v>
      </c>
      <c r="B1433" s="1227" t="s">
        <v>3553</v>
      </c>
      <c r="D1433" s="1126" t="s">
        <v>2073</v>
      </c>
    </row>
    <row r="1434" spans="1:4" x14ac:dyDescent="0.25">
      <c r="A1434" s="1199">
        <v>1433</v>
      </c>
      <c r="B1434" s="1227" t="s">
        <v>3554</v>
      </c>
      <c r="D1434" s="1126" t="s">
        <v>2074</v>
      </c>
    </row>
    <row r="1435" spans="1:4" x14ac:dyDescent="0.25">
      <c r="A1435" s="1199">
        <v>1434</v>
      </c>
      <c r="B1435" s="1227" t="s">
        <v>3555</v>
      </c>
      <c r="D1435" s="1126" t="s">
        <v>2075</v>
      </c>
    </row>
    <row r="1436" spans="1:4" x14ac:dyDescent="0.25">
      <c r="A1436" s="1199">
        <v>1435</v>
      </c>
      <c r="B1436" s="1227" t="s">
        <v>3556</v>
      </c>
      <c r="D1436" s="1126" t="s">
        <v>2076</v>
      </c>
    </row>
    <row r="1437" spans="1:4" x14ac:dyDescent="0.25">
      <c r="A1437" s="1199">
        <v>1436</v>
      </c>
      <c r="B1437" s="1227" t="s">
        <v>3557</v>
      </c>
      <c r="D1437" s="1126" t="s">
        <v>2077</v>
      </c>
    </row>
    <row r="1438" spans="1:4" x14ac:dyDescent="0.25">
      <c r="A1438" s="1199">
        <v>1437</v>
      </c>
      <c r="B1438" s="1227" t="s">
        <v>3558</v>
      </c>
      <c r="D1438" s="1126" t="s">
        <v>2078</v>
      </c>
    </row>
    <row r="1439" spans="1:4" x14ac:dyDescent="0.25">
      <c r="A1439" s="1199">
        <v>1438</v>
      </c>
      <c r="B1439" s="1227" t="s">
        <v>3559</v>
      </c>
      <c r="D1439" s="1126" t="s">
        <v>2079</v>
      </c>
    </row>
    <row r="1440" spans="1:4" x14ac:dyDescent="0.25">
      <c r="A1440" s="1199">
        <v>1439</v>
      </c>
      <c r="B1440" s="1227" t="s">
        <v>3560</v>
      </c>
      <c r="D1440" s="1126" t="s">
        <v>2080</v>
      </c>
    </row>
    <row r="1441" spans="1:4" x14ac:dyDescent="0.25">
      <c r="A1441" s="1199">
        <v>1440</v>
      </c>
      <c r="B1441" s="1227" t="s">
        <v>3561</v>
      </c>
      <c r="D1441" s="1126" t="s">
        <v>2081</v>
      </c>
    </row>
    <row r="1442" spans="1:4" x14ac:dyDescent="0.25">
      <c r="A1442" s="1199">
        <v>1441</v>
      </c>
      <c r="B1442" s="1227" t="s">
        <v>3562</v>
      </c>
      <c r="D1442" s="1126" t="s">
        <v>2082</v>
      </c>
    </row>
    <row r="1443" spans="1:4" x14ac:dyDescent="0.25">
      <c r="A1443" s="1199">
        <v>1442</v>
      </c>
      <c r="B1443" s="1227" t="s">
        <v>3563</v>
      </c>
      <c r="D1443" s="1126" t="s">
        <v>2083</v>
      </c>
    </row>
    <row r="1444" spans="1:4" x14ac:dyDescent="0.25">
      <c r="A1444" s="1199">
        <v>1443</v>
      </c>
      <c r="B1444" s="1227" t="s">
        <v>3564</v>
      </c>
      <c r="D1444" s="1126" t="s">
        <v>2084</v>
      </c>
    </row>
    <row r="1445" spans="1:4" x14ac:dyDescent="0.25">
      <c r="A1445" s="1199">
        <v>1444</v>
      </c>
      <c r="B1445" s="1227" t="s">
        <v>3565</v>
      </c>
      <c r="D1445" s="1126" t="s">
        <v>2085</v>
      </c>
    </row>
    <row r="1446" spans="1:4" x14ac:dyDescent="0.25">
      <c r="A1446" s="1199">
        <v>1445</v>
      </c>
      <c r="B1446" s="1227" t="s">
        <v>3566</v>
      </c>
      <c r="D1446" s="1126" t="s">
        <v>2086</v>
      </c>
    </row>
    <row r="1447" spans="1:4" x14ac:dyDescent="0.25">
      <c r="A1447" s="1199">
        <v>1446</v>
      </c>
      <c r="B1447" s="1227" t="s">
        <v>3567</v>
      </c>
      <c r="D1447" s="1126" t="s">
        <v>2087</v>
      </c>
    </row>
    <row r="1448" spans="1:4" x14ac:dyDescent="0.25">
      <c r="A1448" s="1199">
        <v>1447</v>
      </c>
      <c r="B1448" s="1227" t="s">
        <v>3568</v>
      </c>
      <c r="D1448" s="1126" t="s">
        <v>2088</v>
      </c>
    </row>
    <row r="1449" spans="1:4" x14ac:dyDescent="0.25">
      <c r="A1449" s="1199">
        <v>1448</v>
      </c>
      <c r="B1449" s="1227" t="s">
        <v>3569</v>
      </c>
      <c r="D1449" s="1126" t="s">
        <v>2089</v>
      </c>
    </row>
    <row r="1450" spans="1:4" x14ac:dyDescent="0.25">
      <c r="A1450" s="1199">
        <v>1449</v>
      </c>
      <c r="B1450" s="1227" t="s">
        <v>3570</v>
      </c>
      <c r="D1450" s="1126" t="s">
        <v>2090</v>
      </c>
    </row>
    <row r="1451" spans="1:4" x14ac:dyDescent="0.25">
      <c r="A1451" s="1199">
        <v>1450</v>
      </c>
      <c r="B1451" s="1227" t="s">
        <v>3571</v>
      </c>
      <c r="D1451" s="1126" t="s">
        <v>2091</v>
      </c>
    </row>
    <row r="1452" spans="1:4" x14ac:dyDescent="0.25">
      <c r="A1452" s="1199">
        <v>1451</v>
      </c>
      <c r="B1452" s="1227" t="s">
        <v>3572</v>
      </c>
      <c r="D1452" s="1126" t="s">
        <v>2092</v>
      </c>
    </row>
    <row r="1453" spans="1:4" x14ac:dyDescent="0.25">
      <c r="A1453" s="1199">
        <v>1452</v>
      </c>
      <c r="B1453" s="1227" t="s">
        <v>3573</v>
      </c>
      <c r="D1453" s="1126" t="s">
        <v>2093</v>
      </c>
    </row>
    <row r="1454" spans="1:4" x14ac:dyDescent="0.25">
      <c r="A1454" s="1199">
        <v>1453</v>
      </c>
      <c r="B1454" s="1227" t="s">
        <v>3574</v>
      </c>
      <c r="D1454" s="1126" t="s">
        <v>2094</v>
      </c>
    </row>
    <row r="1455" spans="1:4" x14ac:dyDescent="0.25">
      <c r="A1455" s="1199">
        <v>1454</v>
      </c>
      <c r="B1455" s="1227" t="s">
        <v>3575</v>
      </c>
      <c r="D1455" s="1126" t="s">
        <v>2095</v>
      </c>
    </row>
    <row r="1456" spans="1:4" x14ac:dyDescent="0.25">
      <c r="A1456" s="1199">
        <v>1455</v>
      </c>
      <c r="B1456" s="1227" t="s">
        <v>3576</v>
      </c>
      <c r="D1456" s="1126" t="s">
        <v>2096</v>
      </c>
    </row>
    <row r="1457" spans="1:4" x14ac:dyDescent="0.25">
      <c r="A1457" s="1199">
        <v>1456</v>
      </c>
      <c r="B1457" s="1227" t="s">
        <v>3577</v>
      </c>
      <c r="D1457" s="1126" t="s">
        <v>2097</v>
      </c>
    </row>
    <row r="1458" spans="1:4" x14ac:dyDescent="0.25">
      <c r="A1458" s="1199">
        <v>1457</v>
      </c>
      <c r="B1458" s="1227" t="s">
        <v>3578</v>
      </c>
      <c r="D1458" s="1126" t="s">
        <v>2098</v>
      </c>
    </row>
    <row r="1459" spans="1:4" x14ac:dyDescent="0.25">
      <c r="A1459" s="1199">
        <v>1458</v>
      </c>
      <c r="B1459" s="1226" t="s">
        <v>3579</v>
      </c>
      <c r="D1459" s="1126" t="s">
        <v>2099</v>
      </c>
    </row>
    <row r="1460" spans="1:4" x14ac:dyDescent="0.25">
      <c r="A1460" s="1199">
        <v>1459</v>
      </c>
      <c r="B1460" s="1228" t="s">
        <v>3580</v>
      </c>
      <c r="D1460" s="1126" t="s">
        <v>2173</v>
      </c>
    </row>
    <row r="1461" spans="1:4" x14ac:dyDescent="0.25">
      <c r="A1461" s="1199">
        <v>1460</v>
      </c>
      <c r="B1461" s="1228" t="s">
        <v>3581</v>
      </c>
      <c r="D1461" s="1126" t="s">
        <v>2102</v>
      </c>
    </row>
    <row r="1462" spans="1:4" x14ac:dyDescent="0.25">
      <c r="A1462" s="1199">
        <v>1461</v>
      </c>
      <c r="B1462" s="1228" t="s">
        <v>3582</v>
      </c>
      <c r="D1462" s="1126" t="s">
        <v>2176</v>
      </c>
    </row>
    <row r="1463" spans="1:4" x14ac:dyDescent="0.25">
      <c r="A1463" s="1199">
        <v>1462</v>
      </c>
      <c r="B1463" s="1228" t="s">
        <v>3583</v>
      </c>
      <c r="D1463" s="1126" t="s">
        <v>2177</v>
      </c>
    </row>
    <row r="1464" spans="1:4" x14ac:dyDescent="0.25">
      <c r="A1464" s="1199">
        <v>1463</v>
      </c>
      <c r="B1464" s="1228" t="s">
        <v>3584</v>
      </c>
      <c r="D1464" s="1126" t="s">
        <v>2103</v>
      </c>
    </row>
    <row r="1465" spans="1:4" x14ac:dyDescent="0.25">
      <c r="A1465" s="1199">
        <v>1464</v>
      </c>
      <c r="B1465" s="1229" t="s">
        <v>3585</v>
      </c>
      <c r="D1465" s="1126" t="s">
        <v>2104</v>
      </c>
    </row>
    <row r="1466" spans="1:4" x14ac:dyDescent="0.25">
      <c r="A1466" s="1199">
        <v>1465</v>
      </c>
      <c r="B1466" s="1230" t="s">
        <v>3586</v>
      </c>
      <c r="D1466" s="1126" t="s">
        <v>2105</v>
      </c>
    </row>
    <row r="1467" spans="1:4" x14ac:dyDescent="0.25">
      <c r="A1467" s="1199">
        <v>1466</v>
      </c>
      <c r="B1467" s="1230" t="s">
        <v>3587</v>
      </c>
      <c r="D1467" s="1126" t="s">
        <v>2106</v>
      </c>
    </row>
    <row r="1468" spans="1:4" x14ac:dyDescent="0.25">
      <c r="A1468" s="1199">
        <v>1467</v>
      </c>
      <c r="B1468" s="1230" t="s">
        <v>3588</v>
      </c>
      <c r="D1468" s="1126" t="s">
        <v>2179</v>
      </c>
    </row>
    <row r="1469" spans="1:4" x14ac:dyDescent="0.25">
      <c r="A1469" s="1199">
        <v>1468</v>
      </c>
      <c r="B1469" s="1231" t="s">
        <v>3589</v>
      </c>
      <c r="D1469" s="1126" t="s">
        <v>2181</v>
      </c>
    </row>
    <row r="1470" spans="1:4" x14ac:dyDescent="0.25">
      <c r="A1470" s="1199">
        <v>1469</v>
      </c>
      <c r="B1470" s="1231" t="s">
        <v>3590</v>
      </c>
      <c r="D1470" s="1126" t="s">
        <v>2180</v>
      </c>
    </row>
    <row r="1471" spans="1:4" x14ac:dyDescent="0.25">
      <c r="A1471" s="1199">
        <v>1470</v>
      </c>
      <c r="B1471" s="1231" t="s">
        <v>3591</v>
      </c>
      <c r="D1471" s="1126" t="s">
        <v>2182</v>
      </c>
    </row>
    <row r="1472" spans="1:4" x14ac:dyDescent="0.25">
      <c r="A1472" s="1199">
        <v>1471</v>
      </c>
      <c r="B1472" s="1232" t="s">
        <v>3592</v>
      </c>
      <c r="D1472" s="1126" t="s">
        <v>2107</v>
      </c>
    </row>
    <row r="1473" spans="1:4" x14ac:dyDescent="0.25">
      <c r="A1473" s="1199">
        <v>1472</v>
      </c>
      <c r="B1473" s="1232" t="s">
        <v>54</v>
      </c>
      <c r="D1473" s="1126" t="s">
        <v>2156</v>
      </c>
    </row>
    <row r="1474" spans="1:4" x14ac:dyDescent="0.25">
      <c r="A1474" s="1199">
        <v>1473</v>
      </c>
      <c r="B1474" s="1232" t="s">
        <v>3593</v>
      </c>
      <c r="D1474" s="1126" t="s">
        <v>2157</v>
      </c>
    </row>
    <row r="1475" spans="1:4" x14ac:dyDescent="0.25">
      <c r="A1475" s="1199">
        <v>1474</v>
      </c>
      <c r="B1475" s="1232" t="s">
        <v>3594</v>
      </c>
      <c r="D1475" s="1126" t="s">
        <v>2108</v>
      </c>
    </row>
    <row r="1476" spans="1:4" x14ac:dyDescent="0.25">
      <c r="A1476" s="1199">
        <v>1475</v>
      </c>
      <c r="B1476" s="1232" t="s">
        <v>3595</v>
      </c>
      <c r="D1476" s="1126" t="s">
        <v>2109</v>
      </c>
    </row>
    <row r="1477" spans="1:4" x14ac:dyDescent="0.25">
      <c r="A1477" s="1199">
        <v>1476</v>
      </c>
      <c r="B1477" s="1232" t="s">
        <v>3596</v>
      </c>
      <c r="D1477" s="1126" t="s">
        <v>2110</v>
      </c>
    </row>
    <row r="1478" spans="1:4" x14ac:dyDescent="0.25">
      <c r="A1478" s="1199">
        <v>1477</v>
      </c>
      <c r="B1478" s="1232" t="s">
        <v>3597</v>
      </c>
      <c r="D1478" s="1126" t="s">
        <v>2111</v>
      </c>
    </row>
    <row r="1479" spans="1:4" x14ac:dyDescent="0.25">
      <c r="A1479" s="1199">
        <v>1478</v>
      </c>
      <c r="B1479" s="1232" t="s">
        <v>3598</v>
      </c>
      <c r="D1479" s="1126" t="s">
        <v>2112</v>
      </c>
    </row>
    <row r="1480" spans="1:4" x14ac:dyDescent="0.25">
      <c r="A1480" s="1199">
        <v>1479</v>
      </c>
      <c r="B1480" s="1232" t="s">
        <v>3599</v>
      </c>
      <c r="D1480" s="1126" t="s">
        <v>2113</v>
      </c>
    </row>
    <row r="1481" spans="1:4" x14ac:dyDescent="0.25">
      <c r="A1481" s="1199">
        <v>1480</v>
      </c>
      <c r="B1481" s="1232" t="s">
        <v>3600</v>
      </c>
      <c r="D1481" s="1126" t="s">
        <v>2114</v>
      </c>
    </row>
    <row r="1482" spans="1:4" x14ac:dyDescent="0.25">
      <c r="A1482" s="1199">
        <v>1481</v>
      </c>
      <c r="B1482" s="1232" t="s">
        <v>3601</v>
      </c>
      <c r="D1482" s="1126" t="s">
        <v>2115</v>
      </c>
    </row>
    <row r="1483" spans="1:4" x14ac:dyDescent="0.25">
      <c r="A1483" s="1199">
        <v>1482</v>
      </c>
      <c r="B1483" s="1232" t="s">
        <v>3602</v>
      </c>
      <c r="D1483" s="1126" t="s">
        <v>2116</v>
      </c>
    </row>
    <row r="1484" spans="1:4" x14ac:dyDescent="0.25">
      <c r="A1484" s="1199">
        <v>1483</v>
      </c>
      <c r="B1484" s="1232" t="s">
        <v>3603</v>
      </c>
      <c r="D1484" s="1126" t="s">
        <v>2117</v>
      </c>
    </row>
    <row r="1485" spans="1:4" x14ac:dyDescent="0.25">
      <c r="A1485" s="1199">
        <v>1484</v>
      </c>
      <c r="B1485" s="1232" t="s">
        <v>3604</v>
      </c>
      <c r="D1485" s="1126" t="s">
        <v>2119</v>
      </c>
    </row>
    <row r="1486" spans="1:4" x14ac:dyDescent="0.25">
      <c r="A1486" s="1199">
        <v>1485</v>
      </c>
      <c r="B1486" s="1232" t="s">
        <v>3605</v>
      </c>
      <c r="D1486" s="1126" t="s">
        <v>2121</v>
      </c>
    </row>
    <row r="1487" spans="1:4" x14ac:dyDescent="0.25">
      <c r="A1487" s="1199">
        <v>1486</v>
      </c>
      <c r="B1487" s="1232" t="s">
        <v>3606</v>
      </c>
      <c r="D1487" s="1126" t="s">
        <v>2122</v>
      </c>
    </row>
    <row r="1488" spans="1:4" x14ac:dyDescent="0.25">
      <c r="A1488" s="1199">
        <v>1487</v>
      </c>
      <c r="B1488" s="1232" t="s">
        <v>3607</v>
      </c>
      <c r="D1488" s="1126" t="s">
        <v>2123</v>
      </c>
    </row>
    <row r="1489" spans="1:4" x14ac:dyDescent="0.25">
      <c r="A1489" s="1199">
        <v>1488</v>
      </c>
      <c r="B1489" s="1232" t="s">
        <v>3608</v>
      </c>
      <c r="D1489" s="1126" t="s">
        <v>2124</v>
      </c>
    </row>
    <row r="1490" spans="1:4" x14ac:dyDescent="0.25">
      <c r="A1490" s="1199">
        <v>1489</v>
      </c>
      <c r="B1490" s="1232" t="s">
        <v>3609</v>
      </c>
      <c r="D1490" s="1126" t="s">
        <v>2125</v>
      </c>
    </row>
    <row r="1491" spans="1:4" x14ac:dyDescent="0.25">
      <c r="A1491" s="1199">
        <v>1490</v>
      </c>
      <c r="B1491" s="1232" t="s">
        <v>3610</v>
      </c>
      <c r="D1491" s="1126" t="s">
        <v>2126</v>
      </c>
    </row>
    <row r="1492" spans="1:4" x14ac:dyDescent="0.25">
      <c r="A1492" s="1199">
        <v>1491</v>
      </c>
      <c r="B1492" s="1232" t="s">
        <v>3611</v>
      </c>
      <c r="D1492" s="1126" t="s">
        <v>2127</v>
      </c>
    </row>
    <row r="1493" spans="1:4" x14ac:dyDescent="0.25">
      <c r="A1493" s="1199">
        <v>1492</v>
      </c>
      <c r="B1493" s="1232" t="s">
        <v>3612</v>
      </c>
      <c r="D1493" s="1126" t="s">
        <v>2128</v>
      </c>
    </row>
    <row r="1494" spans="1:4" x14ac:dyDescent="0.25">
      <c r="A1494" s="1199">
        <v>1493</v>
      </c>
      <c r="B1494" s="1232" t="s">
        <v>3613</v>
      </c>
      <c r="D1494" s="1126" t="s">
        <v>2129</v>
      </c>
    </row>
    <row r="1495" spans="1:4" x14ac:dyDescent="0.25">
      <c r="A1495" s="1199">
        <v>1494</v>
      </c>
      <c r="B1495" s="1232" t="s">
        <v>3614</v>
      </c>
      <c r="D1495" s="1126" t="s">
        <v>2130</v>
      </c>
    </row>
    <row r="1496" spans="1:4" x14ac:dyDescent="0.25">
      <c r="A1496" s="1199">
        <v>1495</v>
      </c>
      <c r="B1496" s="1232" t="s">
        <v>3615</v>
      </c>
      <c r="D1496" s="1126" t="s">
        <v>2131</v>
      </c>
    </row>
    <row r="1497" spans="1:4" x14ac:dyDescent="0.25">
      <c r="A1497" s="1199">
        <v>1496</v>
      </c>
      <c r="B1497" s="1232" t="s">
        <v>3616</v>
      </c>
      <c r="D1497" s="1126" t="s">
        <v>2132</v>
      </c>
    </row>
    <row r="1498" spans="1:4" x14ac:dyDescent="0.25">
      <c r="A1498" s="1199">
        <v>1497</v>
      </c>
      <c r="B1498" s="1232" t="s">
        <v>3617</v>
      </c>
      <c r="D1498" s="1126" t="s">
        <v>2133</v>
      </c>
    </row>
    <row r="1499" spans="1:4" x14ac:dyDescent="0.25">
      <c r="A1499" s="1199">
        <v>1498</v>
      </c>
      <c r="B1499" s="1232" t="s">
        <v>3618</v>
      </c>
      <c r="D1499" s="1126" t="s">
        <v>2134</v>
      </c>
    </row>
    <row r="1500" spans="1:4" x14ac:dyDescent="0.25">
      <c r="A1500" s="1199">
        <v>1499</v>
      </c>
      <c r="B1500" s="1232" t="s">
        <v>3619</v>
      </c>
      <c r="D1500" s="1126" t="s">
        <v>2135</v>
      </c>
    </row>
    <row r="1501" spans="1:4" x14ac:dyDescent="0.25">
      <c r="A1501" s="1199">
        <v>1500</v>
      </c>
      <c r="B1501" s="1232" t="s">
        <v>3620</v>
      </c>
      <c r="D1501" s="1126" t="s">
        <v>2147</v>
      </c>
    </row>
    <row r="1502" spans="1:4" x14ac:dyDescent="0.25">
      <c r="A1502" s="1199">
        <v>1501</v>
      </c>
      <c r="B1502" s="1233" t="s">
        <v>3621</v>
      </c>
      <c r="D1502" s="1126" t="s">
        <v>2138</v>
      </c>
    </row>
    <row r="1503" spans="1:4" x14ac:dyDescent="0.25">
      <c r="A1503" s="1199">
        <v>1502</v>
      </c>
      <c r="B1503" s="1232" t="s">
        <v>3622</v>
      </c>
      <c r="D1503" s="1126" t="s">
        <v>2136</v>
      </c>
    </row>
    <row r="1504" spans="1:4" x14ac:dyDescent="0.25">
      <c r="A1504" s="1199">
        <v>1503</v>
      </c>
      <c r="B1504" s="1232" t="s">
        <v>3623</v>
      </c>
      <c r="D1504" s="1126" t="s">
        <v>2137</v>
      </c>
    </row>
    <row r="1505" spans="1:4" x14ac:dyDescent="0.25">
      <c r="A1505" s="1199">
        <v>1504</v>
      </c>
      <c r="B1505" s="1232" t="s">
        <v>3624</v>
      </c>
      <c r="D1505" s="1126" t="s">
        <v>2139</v>
      </c>
    </row>
    <row r="1506" spans="1:4" x14ac:dyDescent="0.25">
      <c r="A1506" s="1199">
        <v>1505</v>
      </c>
      <c r="B1506" s="1232" t="s">
        <v>3625</v>
      </c>
      <c r="D1506" s="1126" t="s">
        <v>2140</v>
      </c>
    </row>
    <row r="1507" spans="1:4" x14ac:dyDescent="0.25">
      <c r="A1507" s="1199">
        <v>1506</v>
      </c>
      <c r="B1507" s="1232" t="s">
        <v>3626</v>
      </c>
      <c r="D1507" s="1126" t="s">
        <v>2141</v>
      </c>
    </row>
    <row r="1508" spans="1:4" x14ac:dyDescent="0.25">
      <c r="A1508" s="1199">
        <v>1507</v>
      </c>
      <c r="B1508" s="1232" t="s">
        <v>3627</v>
      </c>
      <c r="D1508" s="1126" t="s">
        <v>2142</v>
      </c>
    </row>
    <row r="1509" spans="1:4" x14ac:dyDescent="0.25">
      <c r="A1509" s="1199">
        <v>1508</v>
      </c>
      <c r="B1509" s="1232" t="s">
        <v>3628</v>
      </c>
      <c r="D1509" s="1126" t="s">
        <v>2143</v>
      </c>
    </row>
    <row r="1510" spans="1:4" x14ac:dyDescent="0.25">
      <c r="A1510" s="1199">
        <v>1509</v>
      </c>
      <c r="B1510" s="1232" t="s">
        <v>3629</v>
      </c>
      <c r="D1510" s="1126" t="s">
        <v>2144</v>
      </c>
    </row>
    <row r="1511" spans="1:4" x14ac:dyDescent="0.25">
      <c r="A1511" s="1199">
        <v>1510</v>
      </c>
      <c r="B1511" s="1232" t="s">
        <v>3630</v>
      </c>
      <c r="D1511" s="1126" t="s">
        <v>2145</v>
      </c>
    </row>
    <row r="1512" spans="1:4" x14ac:dyDescent="0.25">
      <c r="A1512" s="1199">
        <v>1511</v>
      </c>
      <c r="B1512" s="1232" t="s">
        <v>3631</v>
      </c>
      <c r="D1512" s="1126" t="s">
        <v>2146</v>
      </c>
    </row>
    <row r="1513" spans="1:4" x14ac:dyDescent="0.25">
      <c r="A1513" s="1199">
        <v>1512</v>
      </c>
      <c r="B1513" s="1232" t="s">
        <v>3632</v>
      </c>
      <c r="D1513" s="1126" t="s">
        <v>2148</v>
      </c>
    </row>
    <row r="1514" spans="1:4" x14ac:dyDescent="0.25">
      <c r="A1514" s="1199">
        <v>1513</v>
      </c>
      <c r="B1514" s="1232" t="s">
        <v>3633</v>
      </c>
      <c r="D1514" s="1126" t="s">
        <v>2149</v>
      </c>
    </row>
    <row r="1515" spans="1:4" x14ac:dyDescent="0.25">
      <c r="A1515" s="1199">
        <v>1514</v>
      </c>
      <c r="B1515" s="1233" t="s">
        <v>3634</v>
      </c>
      <c r="D1515" s="1126" t="s">
        <v>2150</v>
      </c>
    </row>
    <row r="1516" spans="1:4" x14ac:dyDescent="0.25">
      <c r="A1516" s="1199">
        <v>1515</v>
      </c>
      <c r="B1516" s="1232" t="s">
        <v>3635</v>
      </c>
      <c r="D1516" s="1126" t="s">
        <v>2151</v>
      </c>
    </row>
    <row r="1517" spans="1:4" x14ac:dyDescent="0.25">
      <c r="A1517" s="1199">
        <v>1516</v>
      </c>
      <c r="B1517" s="1232" t="s">
        <v>3636</v>
      </c>
      <c r="D1517" s="1126" t="s">
        <v>2152</v>
      </c>
    </row>
    <row r="1518" spans="1:4" x14ac:dyDescent="0.25">
      <c r="A1518" s="1199">
        <v>1517</v>
      </c>
      <c r="B1518" s="1232" t="s">
        <v>3637</v>
      </c>
      <c r="D1518" s="1126" t="s">
        <v>2154</v>
      </c>
    </row>
    <row r="1519" spans="1:4" x14ac:dyDescent="0.25">
      <c r="A1519" s="1199">
        <v>1518</v>
      </c>
      <c r="B1519" s="1232" t="s">
        <v>3638</v>
      </c>
      <c r="D1519" s="1126" t="s">
        <v>2155</v>
      </c>
    </row>
    <row r="1520" spans="1:4" x14ac:dyDescent="0.25">
      <c r="A1520" s="1199">
        <v>1519</v>
      </c>
      <c r="B1520" s="1232" t="s">
        <v>3639</v>
      </c>
      <c r="D1520" s="1126" t="s">
        <v>2158</v>
      </c>
    </row>
    <row r="1521" spans="1:4" x14ac:dyDescent="0.25">
      <c r="A1521" s="1199">
        <v>1520</v>
      </c>
      <c r="B1521" s="1232" t="s">
        <v>3640</v>
      </c>
      <c r="D1521" s="1126" t="s">
        <v>2159</v>
      </c>
    </row>
    <row r="1522" spans="1:4" x14ac:dyDescent="0.25">
      <c r="A1522" s="1199">
        <v>1521</v>
      </c>
      <c r="B1522" s="1232" t="s">
        <v>3244</v>
      </c>
      <c r="D1522" s="1126" t="s">
        <v>2160</v>
      </c>
    </row>
    <row r="1523" spans="1:4" x14ac:dyDescent="0.25">
      <c r="A1523" s="1199">
        <v>1522</v>
      </c>
      <c r="B1523" s="1232" t="s">
        <v>3641</v>
      </c>
      <c r="D1523" s="1126" t="s">
        <v>2161</v>
      </c>
    </row>
    <row r="1524" spans="1:4" x14ac:dyDescent="0.25">
      <c r="A1524" s="1199">
        <v>1523</v>
      </c>
      <c r="B1524" s="1232" t="s">
        <v>3642</v>
      </c>
      <c r="D1524" s="1126" t="s">
        <v>2162</v>
      </c>
    </row>
    <row r="1525" spans="1:4" x14ac:dyDescent="0.25">
      <c r="A1525" s="1199">
        <v>1524</v>
      </c>
      <c r="B1525" s="1232" t="s">
        <v>3643</v>
      </c>
      <c r="D1525" s="1126" t="s">
        <v>2163</v>
      </c>
    </row>
    <row r="1526" spans="1:4" x14ac:dyDescent="0.25">
      <c r="A1526" s="1199">
        <v>1525</v>
      </c>
      <c r="B1526" s="1232" t="s">
        <v>3644</v>
      </c>
      <c r="D1526" s="1126" t="s">
        <v>2164</v>
      </c>
    </row>
    <row r="1527" spans="1:4" x14ac:dyDescent="0.25">
      <c r="A1527" s="1199">
        <v>1526</v>
      </c>
      <c r="B1527" s="1232" t="s">
        <v>3645</v>
      </c>
      <c r="D1527" s="1126" t="s">
        <v>2165</v>
      </c>
    </row>
    <row r="1528" spans="1:4" x14ac:dyDescent="0.25">
      <c r="A1528" s="1199">
        <v>1527</v>
      </c>
      <c r="B1528" s="1232" t="s">
        <v>3646</v>
      </c>
      <c r="D1528" s="1126" t="s">
        <v>2167</v>
      </c>
    </row>
    <row r="1529" spans="1:4" x14ac:dyDescent="0.25">
      <c r="A1529" s="1199">
        <v>1528</v>
      </c>
      <c r="B1529" s="1232" t="s">
        <v>3647</v>
      </c>
      <c r="D1529" s="1126" t="s">
        <v>2169</v>
      </c>
    </row>
    <row r="1530" spans="1:4" x14ac:dyDescent="0.25">
      <c r="A1530" s="1199">
        <v>1529</v>
      </c>
      <c r="B1530" s="1232" t="s">
        <v>3648</v>
      </c>
      <c r="D1530" s="1126" t="s">
        <v>2170</v>
      </c>
    </row>
    <row r="1531" spans="1:4" x14ac:dyDescent="0.25">
      <c r="A1531" s="1199">
        <v>1530</v>
      </c>
      <c r="B1531" s="1226" t="s">
        <v>3649</v>
      </c>
      <c r="D1531" s="1126" t="s">
        <v>2171</v>
      </c>
    </row>
    <row r="1532" spans="1:4" x14ac:dyDescent="0.25">
      <c r="A1532" s="1199">
        <v>1531</v>
      </c>
      <c r="B1532" s="1232" t="s">
        <v>2784</v>
      </c>
      <c r="D1532" s="1126" t="s">
        <v>2174</v>
      </c>
    </row>
    <row r="1533" spans="1:4" x14ac:dyDescent="0.25">
      <c r="A1533" s="1199">
        <v>1532</v>
      </c>
      <c r="B1533" s="1232" t="s">
        <v>3650</v>
      </c>
      <c r="D1533" s="1126" t="s">
        <v>2178</v>
      </c>
    </row>
    <row r="1534" spans="1:4" x14ac:dyDescent="0.25">
      <c r="A1534" s="1199">
        <v>1533</v>
      </c>
      <c r="B1534" s="482" t="s">
        <v>3651</v>
      </c>
      <c r="D1534" s="1126" t="s">
        <v>2183</v>
      </c>
    </row>
    <row r="1535" spans="1:4" x14ac:dyDescent="0.25">
      <c r="A1535" s="1199">
        <v>1534</v>
      </c>
      <c r="B1535" s="482" t="s">
        <v>3652</v>
      </c>
      <c r="D1535" s="1126" t="s">
        <v>2184</v>
      </c>
    </row>
    <row r="1536" spans="1:4" x14ac:dyDescent="0.25">
      <c r="A1536" s="1199">
        <v>1535</v>
      </c>
      <c r="B1536" s="539" t="s">
        <v>3653</v>
      </c>
      <c r="D1536" s="1126" t="s">
        <v>2185</v>
      </c>
    </row>
    <row r="1537" spans="1:4" x14ac:dyDescent="0.25">
      <c r="A1537" s="1199">
        <v>1536</v>
      </c>
      <c r="B1537" s="482" t="s">
        <v>3654</v>
      </c>
      <c r="D1537" s="1126" t="s">
        <v>2186</v>
      </c>
    </row>
    <row r="1538" spans="1:4" x14ac:dyDescent="0.25">
      <c r="A1538" s="1199">
        <v>1537</v>
      </c>
      <c r="B1538" s="482" t="s">
        <v>3655</v>
      </c>
      <c r="D1538" s="1126" t="s">
        <v>2187</v>
      </c>
    </row>
    <row r="1539" spans="1:4" x14ac:dyDescent="0.25">
      <c r="A1539" s="1199">
        <v>1538</v>
      </c>
      <c r="B1539" s="482" t="s">
        <v>3656</v>
      </c>
      <c r="D1539" s="1126" t="s">
        <v>2188</v>
      </c>
    </row>
    <row r="1540" spans="1:4" x14ac:dyDescent="0.25">
      <c r="A1540" s="1199">
        <v>1539</v>
      </c>
      <c r="B1540" s="482" t="s">
        <v>3657</v>
      </c>
      <c r="D1540" s="1126" t="s">
        <v>2189</v>
      </c>
    </row>
    <row r="1541" spans="1:4" s="1197" customFormat="1" x14ac:dyDescent="0.25">
      <c r="A1541" s="1199">
        <v>1540</v>
      </c>
      <c r="B1541" s="1234" t="s">
        <v>3658</v>
      </c>
      <c r="C1541" s="251"/>
      <c r="D1541" s="1196" t="s">
        <v>1718</v>
      </c>
    </row>
  </sheetData>
  <sheetProtection sheet="1" objects="1" scenarios="1" formatCells="0" formatColumns="0" formatRows="0"/>
  <autoFilter ref="A1:E1541"/>
  <phoneticPr fontId="35" type="noConversion"/>
  <hyperlinks>
    <hyperlink ref="B23" r:id="rId1"/>
    <hyperlink ref="B25" r:id="rId2"/>
  </hyperlinks>
  <pageMargins left="0.7" right="0.7" top="0.78740157499999996" bottom="0.78740157499999996" header="0.3" footer="0.3"/>
  <pageSetup paperSize="9" scale="10" fitToHeight="4" orientation="portrait" r:id="rId3"/>
  <headerFooter>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N93"/>
  <sheetViews>
    <sheetView zoomScaleNormal="100" workbookViewId="0">
      <pane ySplit="3" topLeftCell="A4" activePane="bottomLeft" state="frozen"/>
      <selection pane="bottomLeft" activeCell="B53" sqref="B53:K53"/>
    </sheetView>
  </sheetViews>
  <sheetFormatPr defaultColWidth="11.42578125" defaultRowHeight="12.75" x14ac:dyDescent="0.2"/>
  <cols>
    <col min="1" max="1" width="4.7109375" style="1097" customWidth="1"/>
    <col min="2" max="2" width="12.7109375" style="1097" customWidth="1"/>
    <col min="3" max="3" width="15.7109375" style="1097" customWidth="1"/>
    <col min="4" max="10" width="12.7109375" style="1097" customWidth="1"/>
    <col min="11" max="11" width="12.7109375" style="672" customWidth="1"/>
    <col min="12" max="12" width="4.7109375" style="672" customWidth="1"/>
    <col min="13" max="16384" width="11.42578125" style="672"/>
  </cols>
  <sheetData>
    <row r="1" spans="1:14" ht="13.5" customHeight="1" thickBot="1" x14ac:dyDescent="0.25">
      <c r="A1" s="1348" t="s">
        <v>246</v>
      </c>
      <c r="B1" s="793" t="str">
        <f>Translations!$B$2</f>
        <v>Obszar nawigacji:</v>
      </c>
      <c r="C1" s="791"/>
      <c r="D1" s="1339" t="str">
        <f>Translations!$B$18</f>
        <v>Spis treści</v>
      </c>
      <c r="E1" s="1339"/>
      <c r="F1" s="1339" t="str">
        <f>Translations!$B$19</f>
        <v>Poprzedni arkusz</v>
      </c>
      <c r="G1" s="1339"/>
      <c r="H1" s="1339" t="str">
        <f>Translations!$B$3</f>
        <v>Następny arkusz</v>
      </c>
      <c r="I1" s="1339"/>
      <c r="J1" s="1339" t="str">
        <f>Translations!$B$4</f>
        <v>Podsumowanie</v>
      </c>
      <c r="K1" s="1339"/>
      <c r="L1" s="199"/>
    </row>
    <row r="2" spans="1:14" ht="13.5" thickBot="1" x14ac:dyDescent="0.25">
      <c r="A2" s="1349"/>
      <c r="B2" s="1339" t="str">
        <f>Translations!$B$5</f>
        <v>Początek arkusza</v>
      </c>
      <c r="C2" s="1339"/>
      <c r="D2" s="1340"/>
      <c r="E2" s="1341"/>
      <c r="F2" s="1341"/>
      <c r="G2" s="1341"/>
      <c r="H2" s="1341"/>
      <c r="I2" s="1341"/>
      <c r="J2" s="1341"/>
      <c r="K2" s="1341"/>
      <c r="L2" s="199"/>
    </row>
    <row r="3" spans="1:14" ht="13.5" thickBot="1" x14ac:dyDescent="0.25">
      <c r="A3" s="1350"/>
      <c r="B3" s="1339" t="str">
        <f>Translations!$B$6</f>
        <v>Koniec arkusza</v>
      </c>
      <c r="C3" s="1339"/>
      <c r="D3" s="1351"/>
      <c r="E3" s="1334"/>
      <c r="F3" s="1334"/>
      <c r="G3" s="1334"/>
      <c r="H3" s="1334"/>
      <c r="I3" s="1334"/>
      <c r="J3" s="1334"/>
      <c r="K3" s="1334"/>
      <c r="L3" s="199"/>
    </row>
    <row r="4" spans="1:14" x14ac:dyDescent="0.2">
      <c r="A4" s="197"/>
      <c r="B4" s="197"/>
      <c r="C4" s="197"/>
      <c r="D4" s="197"/>
      <c r="E4" s="197"/>
      <c r="F4" s="197"/>
      <c r="G4" s="197"/>
      <c r="H4" s="197"/>
      <c r="I4" s="197"/>
      <c r="J4" s="197"/>
      <c r="K4" s="199"/>
      <c r="L4" s="199"/>
    </row>
    <row r="5" spans="1:14" ht="18" x14ac:dyDescent="0.2">
      <c r="A5" s="14"/>
      <c r="B5" s="1371" t="str">
        <f>Translations!$B$20</f>
        <v>WYTYCZNE I WARUNKI</v>
      </c>
      <c r="C5" s="1371"/>
      <c r="D5" s="1371"/>
      <c r="E5" s="1371"/>
      <c r="F5" s="1371"/>
      <c r="G5" s="1371"/>
      <c r="H5" s="1371"/>
      <c r="I5" s="1371"/>
      <c r="J5" s="1371"/>
      <c r="K5" s="197"/>
      <c r="L5" s="199"/>
    </row>
    <row r="6" spans="1:14" x14ac:dyDescent="0.2">
      <c r="A6" s="14"/>
      <c r="B6" s="1372"/>
      <c r="C6" s="1372"/>
      <c r="D6" s="1372"/>
      <c r="E6" s="1372"/>
      <c r="F6" s="1372"/>
      <c r="G6" s="1372"/>
      <c r="H6" s="1372"/>
      <c r="I6" s="1372"/>
      <c r="J6" s="1372"/>
      <c r="K6" s="1372"/>
      <c r="L6" s="199"/>
    </row>
    <row r="7" spans="1:14" s="1033" customFormat="1" ht="15.75" x14ac:dyDescent="0.25">
      <c r="A7" s="12"/>
      <c r="B7" s="1384" t="str">
        <f>Translations!$B$21</f>
        <v>Ogólne informacje o formularzu</v>
      </c>
      <c r="C7" s="1384"/>
      <c r="D7" s="1384"/>
      <c r="E7" s="1384"/>
      <c r="F7" s="1384"/>
      <c r="G7" s="1384"/>
      <c r="H7" s="1384"/>
      <c r="I7" s="1384"/>
      <c r="J7" s="1384"/>
      <c r="K7" s="1384"/>
      <c r="L7" s="5"/>
      <c r="N7" s="672"/>
    </row>
    <row r="8" spans="1:14" s="1033" customFormat="1" x14ac:dyDescent="0.2">
      <c r="A8" s="201"/>
      <c r="B8" s="201"/>
      <c r="C8" s="201"/>
      <c r="D8" s="201"/>
      <c r="E8" s="201"/>
      <c r="F8" s="201"/>
      <c r="G8" s="201"/>
      <c r="H8" s="201"/>
      <c r="I8" s="201"/>
      <c r="J8" s="21"/>
      <c r="K8" s="21"/>
      <c r="L8" s="5"/>
      <c r="N8" s="672"/>
    </row>
    <row r="9" spans="1:14" s="1033" customFormat="1" ht="38.25" customHeight="1" x14ac:dyDescent="0.2">
      <c r="A9" s="283">
        <v>1</v>
      </c>
      <c r="B9" s="1363" t="str">
        <f>Translations!$B$22</f>
        <v>Dyrektywa 2003/87/WE, ostatnio zmieniona dyrektywą (UE) 2018/410 (zwana dalej „dyrektywą w sprawie EU ETS”), zawiera wymóg, zgodnie z którym państwa członkowskie muszą przydzielać instalacjom bezpłatne uprawnienia na podstawie w pełni zharmonizowanych w całej Wspólnocie zasad (art. 10a ust. 1). Dyrektywa jest dostępna pod adresem:</v>
      </c>
      <c r="C9" s="1364"/>
      <c r="D9" s="1364"/>
      <c r="E9" s="1364"/>
      <c r="F9" s="1364"/>
      <c r="G9" s="1364"/>
      <c r="H9" s="1364"/>
      <c r="I9" s="1364"/>
      <c r="J9" s="1364"/>
      <c r="K9" s="1364"/>
      <c r="L9" s="5"/>
      <c r="N9" s="672"/>
    </row>
    <row r="10" spans="1:14" s="1033" customFormat="1" x14ac:dyDescent="0.2">
      <c r="A10" s="201"/>
      <c r="B10" s="1380" t="str">
        <f>Translations!$B$23</f>
        <v>https://eur-lex.europa.eu/eli/dir/2003/87/2018-04-08?locale=pl</v>
      </c>
      <c r="C10" s="1381"/>
      <c r="D10" s="1381"/>
      <c r="E10" s="1381"/>
      <c r="F10" s="1381"/>
      <c r="G10" s="1381"/>
      <c r="H10" s="1381"/>
      <c r="I10" s="1381"/>
      <c r="J10" s="1381"/>
      <c r="K10" s="1381"/>
      <c r="L10" s="5"/>
      <c r="N10" s="672"/>
    </row>
    <row r="11" spans="1:14" s="1033" customFormat="1" ht="38.25" customHeight="1" x14ac:dyDescent="0.2">
      <c r="A11" s="283">
        <f>A9+1</f>
        <v>2</v>
      </c>
      <c r="B11" s="1363" t="str">
        <f>Translations!$B$24</f>
        <v>Te zasady przydziału bezpłatnych uprawnień (zwane dalej „FAR” – ang. free allocation rules) są zawarte w rozporządzeniu delegowanym Komisji (UE) 2019/331 z dnia 19 grudnia 2018 r. w sprawie ustanowienia przejściowych zasad dotyczących zharmonizowanego przydziału bezpłatnych uprawnień do emisji w całej Unii na podstawie art. 10a dyrektywy 2003/87/WE Parlamentu Europejskiego i Rady. Są dostępne pod adresem:</v>
      </c>
      <c r="C11" s="1364"/>
      <c r="D11" s="1364"/>
      <c r="E11" s="1364"/>
      <c r="F11" s="1364"/>
      <c r="G11" s="1364"/>
      <c r="H11" s="1364"/>
      <c r="I11" s="1364"/>
      <c r="J11" s="1364"/>
      <c r="K11" s="1364"/>
      <c r="L11" s="5"/>
      <c r="N11" s="672"/>
    </row>
    <row r="12" spans="1:14" s="1033" customFormat="1" x14ac:dyDescent="0.2">
      <c r="A12" s="201"/>
      <c r="B12" s="1378" t="str">
        <f>Translations!$B$25</f>
        <v>https://eur-lex.europa.eu/eli/reg_del/2019/331/oj?locale=pl</v>
      </c>
      <c r="C12" s="1379"/>
      <c r="D12" s="1379"/>
      <c r="E12" s="1379"/>
      <c r="F12" s="1379"/>
      <c r="G12" s="1379"/>
      <c r="H12" s="1379"/>
      <c r="I12" s="1379"/>
      <c r="J12" s="1379"/>
      <c r="K12" s="1379"/>
      <c r="L12" s="5"/>
      <c r="N12" s="672"/>
    </row>
    <row r="13" spans="1:14" s="1033" customFormat="1" ht="38.25" customHeight="1" x14ac:dyDescent="0.2">
      <c r="A13" s="283">
        <f>A11+1</f>
        <v>3</v>
      </c>
      <c r="B13" s="1363" t="str">
        <f>Translations!$B$26</f>
        <v>Zasadniczym elementem FAR jest gromadzenie danych przez państwa członkowskie w celu zebrania od prowadzących instalacje wszystkich istotnych informacji potrzebnych a) państwom członkowskim do obliczania wstępnego przydziału bezpłatnych uprawnień oraz b) Komisji do aktualizacji wartości wskaźników.</v>
      </c>
      <c r="C13" s="1364"/>
      <c r="D13" s="1364"/>
      <c r="E13" s="1364"/>
      <c r="F13" s="1364"/>
      <c r="G13" s="1364"/>
      <c r="H13" s="1364"/>
      <c r="I13" s="1364"/>
      <c r="J13" s="1364"/>
      <c r="K13" s="1364"/>
      <c r="L13" s="5"/>
      <c r="N13" s="672"/>
    </row>
    <row r="14" spans="1:14" s="1033" customFormat="1" ht="25.5" customHeight="1" x14ac:dyDescent="0.2">
      <c r="A14" s="283">
        <f>A13+1</f>
        <v>4</v>
      </c>
      <c r="B14" s="1363" t="str">
        <f>Translations!$B$27</f>
        <v>Niniejszy dokument stanowi formularz na potrzeby gromadzenia danych sporządzony w imieniu Komisji przez jej konsultantów (Umweltbundesamt GmbH Austria i SQ Consult).</v>
      </c>
      <c r="C14" s="1364"/>
      <c r="D14" s="1364"/>
      <c r="E14" s="1364"/>
      <c r="F14" s="1364"/>
      <c r="G14" s="1364"/>
      <c r="H14" s="1364"/>
      <c r="I14" s="1364"/>
      <c r="J14" s="1364"/>
      <c r="K14" s="1364"/>
      <c r="L14" s="5"/>
      <c r="N14" s="672"/>
    </row>
    <row r="15" spans="1:14" s="1033" customFormat="1" ht="12.75" customHeight="1" x14ac:dyDescent="0.2">
      <c r="A15" s="283"/>
      <c r="B15" s="1363" t="str">
        <f>Translations!$B$28</f>
        <v xml:space="preserve">Opinie wyrażone w niniejszym dokumencie odzwierciedlają opinie autorów, lecz niekoniecznie opinie Komisji Europejskiej. </v>
      </c>
      <c r="C15" s="1364"/>
      <c r="D15" s="1364"/>
      <c r="E15" s="1364"/>
      <c r="F15" s="1364"/>
      <c r="G15" s="1364"/>
      <c r="H15" s="1364"/>
      <c r="I15" s="1364"/>
      <c r="J15" s="1364"/>
      <c r="K15" s="1364"/>
      <c r="L15" s="5"/>
      <c r="N15" s="672"/>
    </row>
    <row r="16" spans="1:14" s="1033" customFormat="1" ht="25.5" customHeight="1" x14ac:dyDescent="0.2">
      <c r="A16" s="283">
        <f>A14+1</f>
        <v>5</v>
      </c>
      <c r="B16" s="1373" t="str">
        <f>Translations!$B$29</f>
        <v>Jest to pierwsza opublikowana (ostateczna) wersja z dnia 4 marca 2019 r.</v>
      </c>
      <c r="C16" s="1374"/>
      <c r="D16" s="1374"/>
      <c r="E16" s="1374"/>
      <c r="F16" s="1374"/>
      <c r="G16" s="1374"/>
      <c r="H16" s="1374"/>
      <c r="I16" s="1374"/>
      <c r="J16" s="1374"/>
      <c r="K16" s="1374"/>
      <c r="L16" s="5"/>
      <c r="N16" s="672"/>
    </row>
    <row r="17" spans="1:14" s="1033" customFormat="1" x14ac:dyDescent="0.2">
      <c r="A17" s="201"/>
      <c r="B17" s="201"/>
      <c r="C17" s="201"/>
      <c r="D17" s="201"/>
      <c r="E17" s="201"/>
      <c r="F17" s="201"/>
      <c r="G17" s="201"/>
      <c r="H17" s="201"/>
      <c r="I17" s="201"/>
      <c r="J17" s="21"/>
      <c r="K17" s="21"/>
      <c r="L17" s="5"/>
      <c r="N17" s="672"/>
    </row>
    <row r="18" spans="1:14" s="1033" customFormat="1" ht="15.75" x14ac:dyDescent="0.25">
      <c r="A18" s="12"/>
      <c r="B18" s="1384" t="str">
        <f>Translations!$B$30</f>
        <v>Jak korzystać z niniejszego dokumentu</v>
      </c>
      <c r="C18" s="1384"/>
      <c r="D18" s="1384"/>
      <c r="E18" s="1384"/>
      <c r="F18" s="1384"/>
      <c r="G18" s="1384"/>
      <c r="H18" s="1384"/>
      <c r="I18" s="1384"/>
      <c r="J18" s="1384"/>
      <c r="K18" s="1384"/>
      <c r="L18" s="5"/>
      <c r="N18" s="672"/>
    </row>
    <row r="19" spans="1:14" s="1033" customFormat="1" x14ac:dyDescent="0.2">
      <c r="A19" s="201"/>
      <c r="B19" s="201"/>
      <c r="C19" s="201"/>
      <c r="D19" s="201"/>
      <c r="E19" s="201"/>
      <c r="F19" s="201"/>
      <c r="G19" s="201"/>
      <c r="H19" s="201"/>
      <c r="I19" s="201"/>
      <c r="J19" s="21"/>
      <c r="K19" s="21"/>
      <c r="L19" s="5"/>
      <c r="N19" s="672"/>
    </row>
    <row r="20" spans="1:14" s="1033" customFormat="1" x14ac:dyDescent="0.2">
      <c r="A20" s="283">
        <f>A16+1</f>
        <v>6</v>
      </c>
      <c r="B20" s="1363" t="str">
        <f>Translations!$B$31</f>
        <v>Należy włączyć autosumowanie (które znajduje się w menu „Formuły”).</v>
      </c>
      <c r="C20" s="1364"/>
      <c r="D20" s="1364"/>
      <c r="E20" s="1364"/>
      <c r="F20" s="1364"/>
      <c r="G20" s="1364"/>
      <c r="H20" s="1364"/>
      <c r="I20" s="1364"/>
      <c r="J20" s="1364"/>
      <c r="K20" s="1364"/>
      <c r="L20" s="5"/>
      <c r="N20" s="672"/>
    </row>
    <row r="21" spans="1:14" s="1033" customFormat="1" ht="51" customHeight="1" x14ac:dyDescent="0.2">
      <c r="A21" s="279"/>
      <c r="B21" s="1363" t="str">
        <f>Translations!$B$32</f>
        <v>Zaleca się przejrzenie najpierw całego dokumentu od początku do końca. Istnieje kilka funkcji, które poprowadzą Państwa przez cały formularz i które zależą od wprowadzonych wcześniej danych, takich jak zmiana koloru komórek, w przypadku gdy wprowadzenie danych nie jest konieczne (zob. kody kolorów poniżej). Niekiedy jednak przed przejściem do następnego etapu należy najpierw kontynuować wprowadzanie danych w kolejnym arkuszu (np. „H_specialBM” wymaga wprowadzenia danych przed sfinalizowaniem „F-ProductBM”, w przypadku gdy ma zastosowanie załącznik III do FAR).</v>
      </c>
      <c r="C21" s="1364"/>
      <c r="D21" s="1364"/>
      <c r="E21" s="1364"/>
      <c r="F21" s="1364"/>
      <c r="G21" s="1364"/>
      <c r="H21" s="1364"/>
      <c r="I21" s="1364"/>
      <c r="J21" s="1364"/>
      <c r="K21" s="1364"/>
      <c r="L21" s="5"/>
      <c r="N21" s="672"/>
    </row>
    <row r="22" spans="1:14" s="1033" customFormat="1" ht="38.25" customHeight="1" x14ac:dyDescent="0.2">
      <c r="A22" s="283"/>
      <c r="B22" s="1363" t="str">
        <f>Translations!$B$33</f>
        <v>Szczególnie ważne jest wypełnienie arkusza „A_InstallationData” części A.II.2 (wybrany okres odniesienia) i A.III (definicja podinstalacji). Podanie w tym miejscu niepoprawnych informacji może spowodować błędne wyniki obliczeń lub brak możliwości prawidłowego wprowadzenia danych dotyczących podinstalacji.</v>
      </c>
      <c r="C22" s="1364"/>
      <c r="D22" s="1364"/>
      <c r="E22" s="1364"/>
      <c r="F22" s="1364"/>
      <c r="G22" s="1364"/>
      <c r="H22" s="1364"/>
      <c r="I22" s="1364"/>
      <c r="J22" s="1364"/>
      <c r="K22" s="1364"/>
      <c r="L22" s="5"/>
      <c r="N22" s="672"/>
    </row>
    <row r="23" spans="1:14" s="1033" customFormat="1" ht="39.950000000000003" customHeight="1" x14ac:dyDescent="0.2">
      <c r="A23" s="283">
        <f>A20+1</f>
        <v>7</v>
      </c>
      <c r="B23" s="1363" t="str">
        <f>Translations!$B$34</f>
        <v>Jeśli zachodzi potrzeba podania wartości zerowej, należy ją wpisać, a nie zostawiać pustą komórkę. W przypadku pustej komórki właściwy organ (CA) nie wie, czy wartość nie została podana, jest nieistotna czy nieznana. Zawsze należy podawać wartości potrzebne do obliczeń (szczególnie zero, gdyż niektóre formuły nie podają wyników, dopóki nie zostaną wypełnione wymagane komórki).</v>
      </c>
      <c r="C23" s="1364"/>
      <c r="D23" s="1364"/>
      <c r="E23" s="1364"/>
      <c r="F23" s="1364"/>
      <c r="G23" s="1364"/>
      <c r="H23" s="1364"/>
      <c r="I23" s="1364"/>
      <c r="J23" s="1364"/>
      <c r="K23" s="1364"/>
      <c r="L23" s="5"/>
      <c r="N23" s="672"/>
    </row>
    <row r="24" spans="1:14" s="1033" customFormat="1" ht="39.950000000000003" customHeight="1" x14ac:dyDescent="0.2">
      <c r="A24" s="283">
        <f>A23+1</f>
        <v>8</v>
      </c>
      <c r="B24" s="1363" t="str">
        <f>Translations!$B$35</f>
        <v>W kilku polach można wybrać spośród określonych z góry danych. Aby dokonać wyboru z listy rozwijanej, należy kliknąć strzałkę widoczną na prawej krawędzi komórki albo wybrać komórkę, a następnie nacisnąć „Alt+strzałka w dół”. Niektóre pola umożliwiają wpisywanie własnego tekstu, nawet jeśli istnieje przy nich lista rozwijana. Tak jest w przypadku, gdy listy rozwijane zawierają puste pozycje.</v>
      </c>
      <c r="C24" s="1364"/>
      <c r="D24" s="1364"/>
      <c r="E24" s="1364"/>
      <c r="F24" s="1364"/>
      <c r="G24" s="1364"/>
      <c r="H24" s="1364"/>
      <c r="I24" s="1364"/>
      <c r="J24" s="1364"/>
      <c r="K24" s="1364"/>
      <c r="L24" s="5"/>
      <c r="N24" s="672"/>
    </row>
    <row r="25" spans="1:14" s="1033" customFormat="1" ht="38.25" customHeight="1" x14ac:dyDescent="0.2">
      <c r="A25" s="283">
        <f>A24+1</f>
        <v>9</v>
      </c>
      <c r="B25" s="1363" t="str">
        <f>Translations!$B$36</f>
        <v>Jeśli wprowadzone dane są niekompletne, pojawi się komunikat o błędzie. Należy jednak pamiętać, że niepojawienie się komunikatu o błędzie nie gwarantuje poprawnych obliczeń, ponieważ nie zawsze możliwe jest sprawdzenie kompletności danych. Jeśli w zielonym polu nie pojawi się żaden wynik, można przyjąć, że nadal brakuje niektórych danych.</v>
      </c>
      <c r="C25" s="1364"/>
      <c r="D25" s="1364"/>
      <c r="E25" s="1364"/>
      <c r="F25" s="1364"/>
      <c r="G25" s="1364"/>
      <c r="H25" s="1364"/>
      <c r="I25" s="1364"/>
      <c r="J25" s="1364"/>
      <c r="K25" s="1364"/>
      <c r="L25" s="5"/>
      <c r="N25" s="672"/>
    </row>
    <row r="26" spans="1:14" s="1033" customFormat="1" ht="12.75" customHeight="1" x14ac:dyDescent="0.2">
      <c r="A26" s="283"/>
      <c r="B26" s="1363" t="str">
        <f>Translations!$B$37</f>
        <v>Należy zwrócić szczególną uwagę na zgodność danych z wyświetlanymi jednostkami.</v>
      </c>
      <c r="C26" s="1364"/>
      <c r="D26" s="1364"/>
      <c r="E26" s="1364"/>
      <c r="F26" s="1364"/>
      <c r="G26" s="1364"/>
      <c r="H26" s="1364"/>
      <c r="I26" s="1364"/>
      <c r="J26" s="1364"/>
      <c r="K26" s="1364"/>
      <c r="L26" s="5"/>
      <c r="N26" s="672"/>
    </row>
    <row r="27" spans="1:14" s="1033" customFormat="1" ht="12.75" customHeight="1" x14ac:dyDescent="0.2">
      <c r="A27" s="283"/>
      <c r="B27" s="282" t="str">
        <f>Translations!$B$38</f>
        <v>Komunikaty o błędzie są często bardzo krótkie z uwagi na niewielką ilość miejsca. Do najważniejszych należą:</v>
      </c>
      <c r="C27" s="21"/>
      <c r="D27" s="21"/>
      <c r="E27" s="21"/>
      <c r="F27" s="21"/>
      <c r="G27" s="21"/>
      <c r="H27" s="21"/>
      <c r="I27" s="21"/>
      <c r="J27" s="21"/>
      <c r="K27" s="21"/>
      <c r="L27" s="5"/>
      <c r="N27" s="672"/>
    </row>
    <row r="28" spans="1:14" s="1033" customFormat="1" ht="25.5" customHeight="1" x14ac:dyDescent="0.2">
      <c r="A28" s="283"/>
      <c r="B28" s="282"/>
      <c r="C28" s="1294" t="str">
        <f>EUconst_Incomplete</f>
        <v>wpis niekompletny!</v>
      </c>
      <c r="D28" s="1385" t="str">
        <f>Translations!$B$39</f>
        <v>Oznacza, że dane nie wystarczą do wykonania obliczenia (np. w danym roku brakuje współczynnika emisji).</v>
      </c>
      <c r="E28" s="1386"/>
      <c r="F28" s="1386"/>
      <c r="G28" s="1386"/>
      <c r="H28" s="1386"/>
      <c r="I28" s="1386"/>
      <c r="J28" s="1386"/>
      <c r="K28" s="1386"/>
      <c r="L28" s="5"/>
      <c r="N28" s="672"/>
    </row>
    <row r="29" spans="1:14" s="1033" customFormat="1" ht="12.75" customHeight="1" x14ac:dyDescent="0.2">
      <c r="A29" s="283"/>
      <c r="B29" s="282"/>
      <c r="C29" s="1032" t="str">
        <f>EUconst_Inconsistent</f>
        <v>niezgodność!</v>
      </c>
      <c r="D29" s="1385" t="str">
        <f>Translations!$B$40</f>
        <v>Wybrane jednostki są niespójne, a obliczenia wykonane na ich podstawie dadzą błędne wyniki.</v>
      </c>
      <c r="E29" s="1386"/>
      <c r="F29" s="1386"/>
      <c r="G29" s="1386"/>
      <c r="H29" s="1386"/>
      <c r="I29" s="1386"/>
      <c r="J29" s="1386"/>
      <c r="K29" s="1386"/>
      <c r="L29" s="5"/>
      <c r="N29" s="672"/>
    </row>
    <row r="30" spans="1:14" s="1033" customFormat="1" ht="12.75" customHeight="1" x14ac:dyDescent="0.2">
      <c r="A30" s="283"/>
      <c r="B30" s="282"/>
      <c r="C30" s="1032" t="str">
        <f>EUconst_Negative</f>
        <v>wartość ujemna!</v>
      </c>
      <c r="D30" s="1385" t="str">
        <f>Translations!$B$41</f>
        <v>W tym obliczeniu nie są dozwolone wartości ujemne.</v>
      </c>
      <c r="E30" s="1386"/>
      <c r="F30" s="1386"/>
      <c r="G30" s="1386"/>
      <c r="H30" s="1386"/>
      <c r="I30" s="1386"/>
      <c r="J30" s="1386"/>
      <c r="K30" s="1386"/>
      <c r="L30" s="5"/>
      <c r="N30" s="672"/>
    </row>
    <row r="31" spans="1:14" s="1033" customFormat="1" ht="12.75" customHeight="1" x14ac:dyDescent="0.2">
      <c r="A31" s="283"/>
      <c r="B31" s="282"/>
      <c r="C31" s="1032" t="str">
        <f>EUconst_NotEligible</f>
        <v>A.II.1.a-g!</v>
      </c>
      <c r="D31" s="1385" t="str">
        <f>Translations!$B$42</f>
        <v>To są odniesienia do części dokumentu. Oznacza to, że w odnośnych częściach brakuje danych.</v>
      </c>
      <c r="E31" s="1386"/>
      <c r="F31" s="1386"/>
      <c r="G31" s="1386"/>
      <c r="H31" s="1386"/>
      <c r="I31" s="1386"/>
      <c r="J31" s="1386"/>
      <c r="K31" s="1386"/>
      <c r="L31" s="5"/>
      <c r="N31" s="672"/>
    </row>
    <row r="32" spans="1:14" s="1033" customFormat="1" ht="12.75" customHeight="1" x14ac:dyDescent="0.2">
      <c r="A32" s="283"/>
      <c r="B32" s="282"/>
      <c r="C32" s="282"/>
      <c r="D32" s="282"/>
      <c r="E32" s="282"/>
      <c r="F32" s="282"/>
      <c r="G32" s="282"/>
      <c r="H32" s="282"/>
      <c r="I32" s="282"/>
      <c r="J32" s="282"/>
      <c r="K32" s="282"/>
      <c r="L32" s="5"/>
      <c r="N32" s="672"/>
    </row>
    <row r="33" spans="1:14" s="1034" customFormat="1" ht="12.75" customHeight="1" x14ac:dyDescent="0.2">
      <c r="A33" s="283">
        <f>A25+1</f>
        <v>10</v>
      </c>
      <c r="B33" s="1369" t="str">
        <f>Translations!$B$43</f>
        <v>Kody kolorów i czcionki:</v>
      </c>
      <c r="C33" s="1370"/>
      <c r="D33" s="1370"/>
      <c r="E33" s="1370"/>
      <c r="F33" s="1370"/>
      <c r="G33" s="1370"/>
      <c r="H33" s="1370"/>
      <c r="I33" s="1370"/>
      <c r="J33" s="1370"/>
      <c r="K33" s="1370"/>
      <c r="L33" s="208"/>
      <c r="N33" s="672"/>
    </row>
    <row r="34" spans="1:14" s="1034" customFormat="1" ht="12.75" customHeight="1" x14ac:dyDescent="0.2">
      <c r="A34" s="207"/>
      <c r="B34" s="1375" t="str">
        <f>Translations!$B$44</f>
        <v>Czarny wytłuszczony tekst:</v>
      </c>
      <c r="C34" s="1370"/>
      <c r="D34" s="1358" t="str">
        <f>Translations!$B$45</f>
        <v>Jest to tekst określający dane, których wprowadzenie jest obowiązkowe.</v>
      </c>
      <c r="E34" s="1358"/>
      <c r="F34" s="1358"/>
      <c r="G34" s="1358"/>
      <c r="H34" s="1358"/>
      <c r="I34" s="1358"/>
      <c r="J34" s="1358"/>
      <c r="K34" s="1359"/>
      <c r="L34" s="208"/>
      <c r="N34" s="672"/>
    </row>
    <row r="35" spans="1:14" s="1034" customFormat="1" x14ac:dyDescent="0.2">
      <c r="A35" s="207"/>
      <c r="B35" s="1376" t="str">
        <f>Translations!$B$46</f>
        <v>Mniejszy tekst kursywą:</v>
      </c>
      <c r="C35" s="1377"/>
      <c r="D35" s="1358" t="str">
        <f>Translations!$B$47</f>
        <v xml:space="preserve">Ten tekst zawiera dodatkowe wyjaśnienia. </v>
      </c>
      <c r="E35" s="1358"/>
      <c r="F35" s="1358"/>
      <c r="G35" s="1358"/>
      <c r="H35" s="1358"/>
      <c r="I35" s="1358"/>
      <c r="J35" s="1358"/>
      <c r="K35" s="1359"/>
      <c r="L35" s="208"/>
      <c r="N35" s="672"/>
    </row>
    <row r="36" spans="1:14" s="1034" customFormat="1" ht="25.5" customHeight="1" x14ac:dyDescent="0.2">
      <c r="A36" s="207"/>
      <c r="B36" s="1388"/>
      <c r="C36" s="1389"/>
      <c r="D36" s="1358" t="str">
        <f>Translations!$B$48</f>
        <v>Żółte pola oznaczają dane, których wprowadzenie jest obowiązkowe. Jeśli jednak dany temat nie dotyczy instalacji, nie trzeba wprowadzać danych.</v>
      </c>
      <c r="E36" s="1358"/>
      <c r="F36" s="1358"/>
      <c r="G36" s="1358"/>
      <c r="H36" s="1358"/>
      <c r="I36" s="1358"/>
      <c r="J36" s="1358"/>
      <c r="K36" s="1359"/>
      <c r="L36" s="208"/>
      <c r="N36" s="672"/>
    </row>
    <row r="37" spans="1:14" s="1034" customFormat="1" x14ac:dyDescent="0.2">
      <c r="A37" s="207"/>
      <c r="B37" s="1390"/>
      <c r="C37" s="1389"/>
      <c r="D37" s="1394" t="str">
        <f>Translations!$B$49</f>
        <v>Jasnożółte pola wskazują, że wprowadzenie danych nie jest obowiązkowe.</v>
      </c>
      <c r="E37" s="1370"/>
      <c r="F37" s="1370"/>
      <c r="G37" s="1370"/>
      <c r="H37" s="1370"/>
      <c r="I37" s="1370"/>
      <c r="J37" s="1370"/>
      <c r="K37" s="1370"/>
      <c r="L37" s="208"/>
      <c r="N37" s="672"/>
    </row>
    <row r="38" spans="1:14" s="1034" customFormat="1" ht="25.5" customHeight="1" x14ac:dyDescent="0.2">
      <c r="A38" s="207"/>
      <c r="B38" s="1395"/>
      <c r="C38" s="1383"/>
      <c r="D38" s="1394" t="str">
        <f>Translations!$B$50</f>
        <v>Zielone pola ukazują automatycznie obliczone wyniki. Czerwony tekst pokazuje komunikaty o błędzie (brakujące dane itp.).</v>
      </c>
      <c r="E38" s="1370"/>
      <c r="F38" s="1370"/>
      <c r="G38" s="1370"/>
      <c r="H38" s="1370"/>
      <c r="I38" s="1370"/>
      <c r="J38" s="1370"/>
      <c r="K38" s="1370"/>
      <c r="L38" s="208"/>
      <c r="N38" s="672"/>
    </row>
    <row r="39" spans="1:14" s="1034" customFormat="1" ht="12.75" customHeight="1" x14ac:dyDescent="0.2">
      <c r="A39" s="207"/>
      <c r="B39" s="1382"/>
      <c r="C39" s="1383"/>
      <c r="D39" s="1358" t="str">
        <f>Translations!$B$51</f>
        <v>Zacienione pola wskazują, że w tym miejscu nie trzeba wpisywać danych, ponieważ zostały one już wprowadzone w innym polu.</v>
      </c>
      <c r="E39" s="1358"/>
      <c r="F39" s="1358"/>
      <c r="G39" s="1358"/>
      <c r="H39" s="1358"/>
      <c r="I39" s="1358"/>
      <c r="J39" s="1358"/>
      <c r="K39" s="1359"/>
      <c r="L39" s="208"/>
      <c r="N39" s="672"/>
    </row>
    <row r="40" spans="1:14" s="1034" customFormat="1" ht="12.75" customHeight="1" x14ac:dyDescent="0.2">
      <c r="A40" s="207"/>
      <c r="B40" s="1367"/>
      <c r="C40" s="1367"/>
      <c r="D40" s="1358" t="str">
        <f>Translations!$B$52</f>
        <v>Państwa członkowskie powinny wypełnić szare zacienione pola przed opublikowaniem własnych wersji formularza.</v>
      </c>
      <c r="E40" s="1370"/>
      <c r="F40" s="1370"/>
      <c r="G40" s="1370"/>
      <c r="H40" s="1370"/>
      <c r="I40" s="1370"/>
      <c r="J40" s="1370"/>
      <c r="K40" s="1370"/>
      <c r="L40" s="208"/>
      <c r="N40" s="672"/>
    </row>
    <row r="41" spans="1:14" s="1034" customFormat="1" x14ac:dyDescent="0.2">
      <c r="A41" s="207"/>
      <c r="B41" s="1368"/>
      <c r="C41" s="1368"/>
      <c r="D41" s="1358" t="str">
        <f>Translations!$B$53</f>
        <v>Jasnoszare pola służą do nawigacji i wstawiania hiperłączy.</v>
      </c>
      <c r="E41" s="1370"/>
      <c r="F41" s="1370"/>
      <c r="G41" s="1370"/>
      <c r="H41" s="1370"/>
      <c r="I41" s="1370"/>
      <c r="J41" s="1370"/>
      <c r="K41" s="1370"/>
      <c r="L41" s="208"/>
      <c r="N41" s="672"/>
    </row>
    <row r="42" spans="1:14" s="1034" customFormat="1" x14ac:dyDescent="0.2">
      <c r="A42" s="207"/>
      <c r="B42" s="209"/>
      <c r="C42" s="210"/>
      <c r="D42" s="207"/>
      <c r="E42" s="207"/>
      <c r="F42" s="207"/>
      <c r="G42" s="207"/>
      <c r="H42" s="207"/>
      <c r="I42" s="207"/>
      <c r="J42" s="207"/>
      <c r="K42" s="208"/>
      <c r="L42" s="208"/>
      <c r="N42" s="672"/>
    </row>
    <row r="43" spans="1:14" s="1033" customFormat="1" ht="51" customHeight="1" x14ac:dyDescent="0.2">
      <c r="A43" s="283">
        <f>A33+1</f>
        <v>11</v>
      </c>
      <c r="B43" s="1363" t="str">
        <f>Translations!$B$54</f>
        <v>Panele nawigacyjne w górnej części każdego arkusza zawierają hiperłącza umożliwiające szybki dostęp do poszczególnych miejsc wprowadzania danych. Pierwszy wiersz („Spis treści”, „Poprzedni arkusz”, „Następny arkusz”, „Podsumowanie”) oraz punkty „Początek arkusza” i „Koniec arkusza” są takie same we wszystkich arkuszach. W zależności od arkusza dodawane są kolejne pozycje menu. Jeśli kolor tła któregoś obszaru hiperłącza zmieni się na czerwony, oznacza to, że w tej części brakuje danych.</v>
      </c>
      <c r="C43" s="1364"/>
      <c r="D43" s="1364"/>
      <c r="E43" s="1364"/>
      <c r="F43" s="1364"/>
      <c r="G43" s="1364"/>
      <c r="H43" s="1364"/>
      <c r="I43" s="1364"/>
      <c r="J43" s="1364"/>
      <c r="K43" s="1364"/>
      <c r="L43" s="5"/>
      <c r="N43" s="672"/>
    </row>
    <row r="44" spans="1:14" s="1033" customFormat="1" ht="51" customHeight="1" x14ac:dyDescent="0.2">
      <c r="A44" s="283">
        <f>A43+1</f>
        <v>12</v>
      </c>
      <c r="B44" s="1363" t="str">
        <f>Translations!$B$55</f>
        <v>Niniejszy formularz zabezpieczono przed wprowadzaniem danych, z wyjątkiem żółtych pól. W celu zapewnienia przejrzystości nie ustanowiono jednak hasła. Pozwala to na pełne przeglądanie wszystkich formuł. Podczas korzystania z niniejszego dokumentu w celu wprowadzania danych zaleca się stosowanie zabezpieczenia. Arkusze powinny być chronione przez cały czas, z wyjątkiem momentu sprawdzenia poprawności formuł. Zaleca się wykonanie tego w oddzielnym dokumencie.</v>
      </c>
      <c r="C44" s="1364"/>
      <c r="D44" s="1364"/>
      <c r="E44" s="1364"/>
      <c r="F44" s="1364"/>
      <c r="G44" s="1364"/>
      <c r="H44" s="1364"/>
      <c r="I44" s="1364"/>
      <c r="J44" s="1364"/>
      <c r="K44" s="1364"/>
      <c r="L44" s="5"/>
      <c r="N44" s="672"/>
    </row>
    <row r="45" spans="1:14" s="1033" customFormat="1" ht="51" customHeight="1" x14ac:dyDescent="0.2">
      <c r="A45" s="283">
        <f>A44+1</f>
        <v>13</v>
      </c>
      <c r="B45" s="1365" t="str">
        <f>Translations!$B$56</f>
        <v>Aby zabezpieczyć formuły przed niezamierzonymi zmianami, które zwykle prowadzą do błędnych lub mylących wyników,
niezmiernie ważne jest, by NIE UŻYWAĆ funkcji WYTNIJ I WKLEJ.
Jeśli chcą Państwo przenieść dane, należy najpierw je SKOPIOWAĆ i WKLEIĆ, a następnie usunąć niepotrzebne dane we wcześniejszym (błędnym) miejscu.</v>
      </c>
      <c r="C45" s="1366"/>
      <c r="D45" s="1366"/>
      <c r="E45" s="1366"/>
      <c r="F45" s="1366"/>
      <c r="G45" s="1366"/>
      <c r="H45" s="1366"/>
      <c r="I45" s="1366"/>
      <c r="J45" s="1366"/>
      <c r="K45" s="1366"/>
      <c r="L45" s="5"/>
      <c r="N45" s="672"/>
    </row>
    <row r="46" spans="1:14" s="1033" customFormat="1" ht="51" customHeight="1" x14ac:dyDescent="0.2">
      <c r="A46" s="283">
        <f>A45+1</f>
        <v>14</v>
      </c>
      <c r="B46" s="1363" t="str">
        <f>Translations!$B$57</f>
        <v>Pola z danymi nie zostały zoptymalizowane pod względem formatowania liczb i innych typów formatowania. Zabezpieczenie arkusza zostało jednak ograniczone, aby umożliwić Państwu korzystanie z własnych formatów. W szczególności mogą Państwo wybrać liczbę wyświetlanych miejsc po przecinku. Liczba miejsc po przecinku zasadniczo nie jest związana z dokładnością obliczenia. Zasadniczo należy wyłączyć opcję Excela „Dokładność jak wyświetlono”. Więcej informacji na ten temat można uzyskać, korzystając z funkcji „Pomoc” w programie MS Excel.</v>
      </c>
      <c r="C46" s="1364"/>
      <c r="D46" s="1364"/>
      <c r="E46" s="1364"/>
      <c r="F46" s="1364"/>
      <c r="G46" s="1364"/>
      <c r="H46" s="1364"/>
      <c r="I46" s="1364"/>
      <c r="J46" s="1364"/>
      <c r="K46" s="1364"/>
      <c r="L46" s="5"/>
      <c r="N46" s="672"/>
    </row>
    <row r="47" spans="1:14" s="1033" customFormat="1" ht="12.75" customHeight="1" thickBot="1" x14ac:dyDescent="0.25">
      <c r="A47" s="279"/>
      <c r="B47" s="1363"/>
      <c r="C47" s="1364"/>
      <c r="D47" s="1364"/>
      <c r="E47" s="1364"/>
      <c r="F47" s="1364"/>
      <c r="G47" s="1364"/>
      <c r="H47" s="1364"/>
      <c r="I47" s="1364"/>
      <c r="J47" s="1364"/>
      <c r="K47" s="1364"/>
      <c r="L47" s="5"/>
      <c r="N47" s="672"/>
    </row>
    <row r="48" spans="1:14" s="1033" customFormat="1" ht="89.25" customHeight="1" thickBot="1" x14ac:dyDescent="0.25">
      <c r="A48" s="283">
        <f>A46+1</f>
        <v>15</v>
      </c>
      <c r="B48" s="1360" t="str">
        <f>Translations!$B$58</f>
        <v>ZASTRZEŻENIE: Wszystkie formuły opracowano dokładnie i starannie. Nie można jednak całkowicie wykluczyć ryzyka błędów.
Jak już wcześniej wspomniano, zapewniono pełną przejrzystość w celu sprawdzenia poprawności obliczeń. Ani autorzy niniejszego dokumentu, ani Komisja Europejska nie ponoszą odpowiedzialności za ewentualne szkody wynikające z nieprawidłowych lub mylących wyników obliczeń.
Pełną odpowiedzialność za przekazanie poprawnych danych właściwemu organowi ponosi użytkownik niniejszego dokumentu (tzn. prowadzący instalację objętą EU ETS).</v>
      </c>
      <c r="C48" s="1361"/>
      <c r="D48" s="1361"/>
      <c r="E48" s="1361"/>
      <c r="F48" s="1361"/>
      <c r="G48" s="1361"/>
      <c r="H48" s="1361"/>
      <c r="I48" s="1361"/>
      <c r="J48" s="1361"/>
      <c r="K48" s="1362"/>
      <c r="L48" s="5"/>
      <c r="N48" s="672"/>
    </row>
    <row r="49" spans="1:14" x14ac:dyDescent="0.2">
      <c r="A49" s="197"/>
      <c r="B49" s="197"/>
      <c r="C49" s="197"/>
      <c r="D49" s="197"/>
      <c r="E49" s="197"/>
      <c r="F49" s="197"/>
      <c r="G49" s="197"/>
      <c r="H49" s="197"/>
      <c r="I49" s="197"/>
      <c r="J49" s="197"/>
      <c r="K49" s="199"/>
      <c r="L49" s="199"/>
    </row>
    <row r="50" spans="1:14" x14ac:dyDescent="0.2">
      <c r="A50" s="197"/>
      <c r="B50" s="197"/>
      <c r="C50" s="197"/>
      <c r="D50" s="197"/>
      <c r="E50" s="197"/>
      <c r="F50" s="197"/>
      <c r="G50" s="197"/>
      <c r="H50" s="197"/>
      <c r="I50" s="197"/>
      <c r="J50" s="197"/>
      <c r="K50" s="199"/>
      <c r="L50" s="199"/>
    </row>
    <row r="51" spans="1:14" s="1033" customFormat="1" ht="15.75" x14ac:dyDescent="0.25">
      <c r="A51" s="12"/>
      <c r="B51" s="1384" t="str">
        <f>Translations!$B$59</f>
        <v>Informacje dotyczące państwa członkowskiego:</v>
      </c>
      <c r="C51" s="1384"/>
      <c r="D51" s="1384"/>
      <c r="E51" s="1384"/>
      <c r="F51" s="1384"/>
      <c r="G51" s="1384"/>
      <c r="H51" s="1384"/>
      <c r="I51" s="1384"/>
      <c r="J51" s="1384"/>
      <c r="K51" s="1384"/>
      <c r="L51" s="5"/>
      <c r="N51" s="672"/>
    </row>
    <row r="52" spans="1:14" s="1033" customFormat="1" x14ac:dyDescent="0.2">
      <c r="A52" s="201"/>
      <c r="B52" s="201"/>
      <c r="C52" s="201"/>
      <c r="D52" s="201"/>
      <c r="E52" s="201"/>
      <c r="F52" s="201"/>
      <c r="G52" s="201"/>
      <c r="H52" s="201"/>
      <c r="I52" s="201"/>
      <c r="J52" s="21"/>
      <c r="K52" s="21"/>
      <c r="L52" s="5"/>
      <c r="N52" s="672"/>
    </row>
    <row r="53" spans="1:14" s="1033" customFormat="1" ht="15" customHeight="1" x14ac:dyDescent="0.2">
      <c r="A53" s="21"/>
      <c r="B53" s="1393" t="str">
        <f>Translations!$B$60</f>
        <v>Niniejsze sprawozdanie należy przekazać właściwemu organowi na poniższy adres:</v>
      </c>
      <c r="C53" s="1393"/>
      <c r="D53" s="1393"/>
      <c r="E53" s="1393"/>
      <c r="F53" s="1393"/>
      <c r="G53" s="1393"/>
      <c r="H53" s="1393"/>
      <c r="I53" s="1393"/>
      <c r="J53" s="1393"/>
      <c r="K53" s="1393"/>
      <c r="L53" s="5"/>
      <c r="N53" s="672"/>
    </row>
    <row r="54" spans="1:14" x14ac:dyDescent="0.2">
      <c r="A54" s="207"/>
      <c r="B54" s="207"/>
      <c r="C54" s="207"/>
      <c r="D54" s="207"/>
      <c r="E54" s="207"/>
      <c r="F54" s="207"/>
      <c r="G54" s="207"/>
      <c r="H54" s="207"/>
      <c r="I54" s="207"/>
      <c r="J54" s="207"/>
      <c r="K54" s="208"/>
      <c r="L54" s="199"/>
    </row>
    <row r="55" spans="1:14" x14ac:dyDescent="0.2">
      <c r="A55" s="207"/>
      <c r="B55" s="207"/>
      <c r="C55" s="207"/>
      <c r="D55" s="1398" t="str">
        <f>Translations!$B$61</f>
        <v>KOBiZE
ul. Chmielna 132/134
00-805 Warszawa
ksw@kobize.pl</v>
      </c>
      <c r="E55" s="1399"/>
      <c r="F55" s="1399"/>
      <c r="G55" s="1400"/>
      <c r="H55" s="207"/>
      <c r="I55" s="207"/>
      <c r="J55" s="207"/>
      <c r="K55" s="208"/>
      <c r="L55" s="199"/>
    </row>
    <row r="56" spans="1:14" x14ac:dyDescent="0.2">
      <c r="A56" s="207"/>
      <c r="B56" s="207"/>
      <c r="C56" s="207"/>
      <c r="D56" s="1401"/>
      <c r="E56" s="1402"/>
      <c r="F56" s="1402"/>
      <c r="G56" s="1403"/>
      <c r="H56" s="207"/>
      <c r="I56" s="207"/>
      <c r="J56" s="207"/>
      <c r="K56" s="208"/>
      <c r="L56" s="199"/>
    </row>
    <row r="57" spans="1:14" x14ac:dyDescent="0.2">
      <c r="A57" s="207"/>
      <c r="B57" s="207"/>
      <c r="C57" s="207"/>
      <c r="D57" s="1401"/>
      <c r="E57" s="1402"/>
      <c r="F57" s="1402"/>
      <c r="G57" s="1403"/>
      <c r="H57" s="207"/>
      <c r="I57" s="207"/>
      <c r="J57" s="207"/>
      <c r="K57" s="208"/>
      <c r="L57" s="199"/>
    </row>
    <row r="58" spans="1:14" x14ac:dyDescent="0.2">
      <c r="A58" s="207"/>
      <c r="B58" s="197"/>
      <c r="C58" s="207"/>
      <c r="D58" s="1401"/>
      <c r="E58" s="1402"/>
      <c r="F58" s="1402"/>
      <c r="G58" s="1403"/>
      <c r="H58" s="207"/>
      <c r="I58" s="207"/>
      <c r="J58" s="207"/>
      <c r="K58" s="208"/>
      <c r="L58" s="199"/>
    </row>
    <row r="59" spans="1:14" x14ac:dyDescent="0.2">
      <c r="A59" s="207"/>
      <c r="B59" s="207"/>
      <c r="C59" s="207"/>
      <c r="D59" s="1401"/>
      <c r="E59" s="1402"/>
      <c r="F59" s="1402"/>
      <c r="G59" s="1403"/>
      <c r="H59" s="207"/>
      <c r="I59" s="207"/>
      <c r="J59" s="207"/>
      <c r="K59" s="208"/>
      <c r="L59" s="199"/>
    </row>
    <row r="60" spans="1:14" x14ac:dyDescent="0.2">
      <c r="A60" s="207"/>
      <c r="B60" s="207"/>
      <c r="C60" s="207"/>
      <c r="D60" s="1401"/>
      <c r="E60" s="1402"/>
      <c r="F60" s="1402"/>
      <c r="G60" s="1403"/>
      <c r="H60" s="207"/>
      <c r="I60" s="207"/>
      <c r="J60" s="207"/>
      <c r="K60" s="208"/>
      <c r="L60" s="199"/>
    </row>
    <row r="61" spans="1:14" x14ac:dyDescent="0.2">
      <c r="A61" s="207"/>
      <c r="B61" s="207"/>
      <c r="C61" s="207"/>
      <c r="D61" s="1401"/>
      <c r="E61" s="1402"/>
      <c r="F61" s="1402"/>
      <c r="G61" s="1403"/>
      <c r="H61" s="207"/>
      <c r="I61" s="207"/>
      <c r="J61" s="207"/>
      <c r="K61" s="208"/>
      <c r="L61" s="199"/>
    </row>
    <row r="62" spans="1:14" x14ac:dyDescent="0.2">
      <c r="A62" s="207"/>
      <c r="B62" s="207"/>
      <c r="C62" s="207"/>
      <c r="D62" s="1404"/>
      <c r="E62" s="1405"/>
      <c r="F62" s="1405"/>
      <c r="G62" s="1406"/>
      <c r="H62" s="207"/>
      <c r="I62" s="207"/>
      <c r="J62" s="207"/>
      <c r="K62" s="208"/>
      <c r="L62" s="199"/>
    </row>
    <row r="63" spans="1:14" x14ac:dyDescent="0.2">
      <c r="A63" s="207"/>
      <c r="B63" s="207"/>
      <c r="C63" s="207"/>
      <c r="D63" s="207"/>
      <c r="E63" s="207"/>
      <c r="F63" s="207"/>
      <c r="G63" s="207"/>
      <c r="H63" s="207"/>
      <c r="I63" s="207"/>
      <c r="J63" s="207"/>
      <c r="K63" s="208"/>
      <c r="L63" s="199"/>
    </row>
    <row r="64" spans="1:14" x14ac:dyDescent="0.2">
      <c r="A64" s="197"/>
      <c r="B64" s="197"/>
      <c r="C64" s="197"/>
      <c r="D64" s="197"/>
      <c r="E64" s="197"/>
      <c r="F64" s="197"/>
      <c r="G64" s="197"/>
      <c r="H64" s="197"/>
      <c r="I64" s="197"/>
      <c r="J64" s="197"/>
      <c r="K64" s="199"/>
      <c r="L64" s="199"/>
    </row>
    <row r="65" spans="1:14" ht="15.75" x14ac:dyDescent="0.2">
      <c r="A65" s="199"/>
      <c r="B65" s="1397" t="str">
        <f>Translations!$B$62</f>
        <v>Źródła informacji:</v>
      </c>
      <c r="C65" s="1397"/>
      <c r="D65" s="1397"/>
      <c r="E65" s="1397"/>
      <c r="F65" s="1397"/>
      <c r="G65" s="1397"/>
      <c r="H65" s="1397"/>
      <c r="I65" s="1397"/>
      <c r="J65" s="1397"/>
      <c r="K65" s="1397"/>
      <c r="L65" s="199"/>
    </row>
    <row r="66" spans="1:14" x14ac:dyDescent="0.2">
      <c r="A66" s="199"/>
      <c r="B66" s="1375" t="str">
        <f>Translations!$B$63</f>
        <v>Strony internetowe UE:</v>
      </c>
      <c r="C66" s="1370"/>
      <c r="D66" s="1370"/>
      <c r="E66" s="1370"/>
      <c r="F66" s="1370"/>
      <c r="G66" s="1370"/>
      <c r="H66" s="1370"/>
      <c r="I66" s="1370"/>
      <c r="J66" s="1370"/>
      <c r="K66" s="1370"/>
      <c r="L66" s="199"/>
    </row>
    <row r="67" spans="1:14" x14ac:dyDescent="0.2">
      <c r="A67" s="199"/>
      <c r="B67" s="1393" t="str">
        <f>Translations!$B$64</f>
        <v>Przepisy UE:</v>
      </c>
      <c r="C67" s="1393"/>
      <c r="D67" s="1396" t="str">
        <f>Translations!$B$65</f>
        <v xml:space="preserve">http://eur-lex.europa.eu/pl/index.htm </v>
      </c>
      <c r="E67" s="1370"/>
      <c r="F67" s="1370"/>
      <c r="G67" s="1370"/>
      <c r="H67" s="1370"/>
      <c r="I67" s="1370"/>
      <c r="J67" s="1370"/>
      <c r="K67" s="1370"/>
      <c r="L67" s="199"/>
    </row>
    <row r="68" spans="1:14" x14ac:dyDescent="0.2">
      <c r="A68" s="199"/>
      <c r="B68" s="1393" t="str">
        <f>Translations!$B$66</f>
        <v>Ogólne informacje dotyczące systemu EU ETS:</v>
      </c>
      <c r="C68" s="1393"/>
      <c r="D68" s="1396" t="str">
        <f>Translations!$B$67</f>
        <v>https://ec.europa.eu/clima/policies/ets_pl</v>
      </c>
      <c r="E68" s="1370"/>
      <c r="F68" s="1370"/>
      <c r="G68" s="1370"/>
      <c r="H68" s="1370"/>
      <c r="I68" s="1370"/>
      <c r="J68" s="1370"/>
      <c r="K68" s="1370"/>
      <c r="L68" s="199"/>
    </row>
    <row r="69" spans="1:14" x14ac:dyDescent="0.2">
      <c r="A69" s="197"/>
      <c r="B69" s="197"/>
      <c r="C69" s="280"/>
      <c r="D69" s="3"/>
      <c r="E69" s="3"/>
      <c r="F69" s="3"/>
      <c r="G69" s="3"/>
      <c r="H69" s="3"/>
      <c r="I69" s="197"/>
      <c r="J69" s="197"/>
      <c r="K69" s="199"/>
      <c r="L69" s="199"/>
    </row>
    <row r="70" spans="1:14" x14ac:dyDescent="0.2">
      <c r="A70" s="199"/>
      <c r="B70" s="1375" t="str">
        <f>Translations!$B$68</f>
        <v>Inne strony internetowe:</v>
      </c>
      <c r="C70" s="1370"/>
      <c r="D70" s="1370"/>
      <c r="E70" s="1370"/>
      <c r="F70" s="1370"/>
      <c r="G70" s="1370"/>
      <c r="H70" s="1370"/>
      <c r="I70" s="1370"/>
      <c r="J70" s="1370"/>
      <c r="K70" s="1370"/>
      <c r="L70" s="199"/>
    </row>
    <row r="71" spans="1:14" x14ac:dyDescent="0.2">
      <c r="A71" s="199"/>
      <c r="B71" s="1391" t="s">
        <v>3664</v>
      </c>
      <c r="C71" s="1392"/>
      <c r="D71" s="1392"/>
      <c r="E71" s="1392"/>
      <c r="F71" s="1392"/>
      <c r="G71" s="1392"/>
      <c r="H71" s="1392"/>
      <c r="I71" s="1392"/>
      <c r="J71" s="1392"/>
      <c r="K71" s="1392"/>
      <c r="L71" s="199"/>
    </row>
    <row r="72" spans="1:14" x14ac:dyDescent="0.2">
      <c r="A72" s="199"/>
      <c r="B72" s="1392"/>
      <c r="C72" s="1392"/>
      <c r="D72" s="1392"/>
      <c r="E72" s="1392"/>
      <c r="F72" s="1392"/>
      <c r="G72" s="1392"/>
      <c r="H72" s="1392"/>
      <c r="I72" s="1392"/>
      <c r="J72" s="1392"/>
      <c r="K72" s="1392"/>
      <c r="L72" s="199"/>
    </row>
    <row r="73" spans="1:14" x14ac:dyDescent="0.2">
      <c r="A73" s="199"/>
      <c r="B73" s="1393" t="str">
        <f>Translations!$B$70</f>
        <v>Pomoc techniczna:</v>
      </c>
      <c r="C73" s="1393"/>
      <c r="D73" s="1393"/>
      <c r="E73" s="1393"/>
      <c r="F73" s="1393"/>
      <c r="G73" s="1393"/>
      <c r="H73" s="1393"/>
      <c r="I73" s="1393"/>
      <c r="J73" s="1393"/>
      <c r="K73" s="1393"/>
      <c r="L73" s="199"/>
    </row>
    <row r="74" spans="1:14" x14ac:dyDescent="0.2">
      <c r="A74" s="199"/>
      <c r="B74" s="1391" t="s">
        <v>3665</v>
      </c>
      <c r="C74" s="1392"/>
      <c r="D74" s="1392"/>
      <c r="E74" s="1392"/>
      <c r="F74" s="1392"/>
      <c r="G74" s="1392"/>
      <c r="H74" s="1392"/>
      <c r="I74" s="1392"/>
      <c r="J74" s="1392"/>
      <c r="K74" s="1392"/>
      <c r="L74" s="199"/>
    </row>
    <row r="75" spans="1:14" x14ac:dyDescent="0.2">
      <c r="A75" s="199"/>
      <c r="B75" s="1392"/>
      <c r="C75" s="1392"/>
      <c r="D75" s="1392"/>
      <c r="E75" s="1392"/>
      <c r="F75" s="1392"/>
      <c r="G75" s="1392"/>
      <c r="H75" s="1392"/>
      <c r="I75" s="1392"/>
      <c r="J75" s="1392"/>
      <c r="K75" s="1392"/>
      <c r="L75" s="199"/>
    </row>
    <row r="76" spans="1:14" x14ac:dyDescent="0.2">
      <c r="A76" s="199"/>
      <c r="B76" s="3"/>
      <c r="C76" s="3"/>
      <c r="D76" s="3"/>
      <c r="E76" s="3"/>
      <c r="F76" s="3"/>
      <c r="G76" s="3"/>
      <c r="H76" s="3"/>
      <c r="I76" s="3"/>
      <c r="J76" s="3"/>
      <c r="K76" s="3"/>
      <c r="L76" s="199"/>
    </row>
    <row r="77" spans="1:14" s="1034" customFormat="1" x14ac:dyDescent="0.2">
      <c r="A77" s="208"/>
      <c r="B77" s="207"/>
      <c r="C77" s="207"/>
      <c r="D77" s="207"/>
      <c r="E77" s="207"/>
      <c r="F77" s="207"/>
      <c r="G77" s="207"/>
      <c r="H77" s="207"/>
      <c r="I77" s="207"/>
      <c r="J77" s="207"/>
      <c r="K77" s="207"/>
      <c r="L77" s="208"/>
      <c r="N77" s="672"/>
    </row>
    <row r="78" spans="1:14" ht="15.75" x14ac:dyDescent="0.2">
      <c r="A78" s="199"/>
      <c r="B78" s="1407" t="str">
        <f>Translations!$B$72</f>
        <v>Szczegółowe wytyczne przekazywane przez państwo członkowskie:</v>
      </c>
      <c r="C78" s="1407"/>
      <c r="D78" s="1407"/>
      <c r="E78" s="1407"/>
      <c r="F78" s="1407"/>
      <c r="G78" s="1407"/>
      <c r="H78" s="1407"/>
      <c r="I78" s="1407"/>
      <c r="J78" s="1407"/>
      <c r="K78" s="1407"/>
      <c r="L78" s="199"/>
    </row>
    <row r="79" spans="1:14" x14ac:dyDescent="0.2">
      <c r="A79" s="199"/>
      <c r="B79" s="1392"/>
      <c r="C79" s="1392"/>
      <c r="D79" s="1392"/>
      <c r="E79" s="1392"/>
      <c r="F79" s="1392"/>
      <c r="G79" s="1392"/>
      <c r="H79" s="1392"/>
      <c r="I79" s="1392"/>
      <c r="J79" s="1392"/>
      <c r="K79" s="1392"/>
      <c r="L79" s="199"/>
    </row>
    <row r="80" spans="1:14" x14ac:dyDescent="0.2">
      <c r="A80" s="199"/>
      <c r="B80" s="1392"/>
      <c r="C80" s="1392"/>
      <c r="D80" s="1392"/>
      <c r="E80" s="1392"/>
      <c r="F80" s="1392"/>
      <c r="G80" s="1392"/>
      <c r="H80" s="1392"/>
      <c r="I80" s="1392"/>
      <c r="J80" s="1392"/>
      <c r="K80" s="1392"/>
      <c r="L80" s="199"/>
    </row>
    <row r="81" spans="1:12" x14ac:dyDescent="0.2">
      <c r="A81" s="199"/>
      <c r="B81" s="1392"/>
      <c r="C81" s="1392"/>
      <c r="D81" s="1392"/>
      <c r="E81" s="1392"/>
      <c r="F81" s="1392"/>
      <c r="G81" s="1392"/>
      <c r="H81" s="1392"/>
      <c r="I81" s="1392"/>
      <c r="J81" s="1392"/>
      <c r="K81" s="1392"/>
      <c r="L81" s="199"/>
    </row>
    <row r="82" spans="1:12" x14ac:dyDescent="0.2">
      <c r="A82" s="199"/>
      <c r="B82" s="1392"/>
      <c r="C82" s="1392"/>
      <c r="D82" s="1392"/>
      <c r="E82" s="1392"/>
      <c r="F82" s="1392"/>
      <c r="G82" s="1392"/>
      <c r="H82" s="1392"/>
      <c r="I82" s="1392"/>
      <c r="J82" s="1392"/>
      <c r="K82" s="1392"/>
      <c r="L82" s="199"/>
    </row>
    <row r="83" spans="1:12" x14ac:dyDescent="0.2">
      <c r="A83" s="199"/>
      <c r="B83" s="1392"/>
      <c r="C83" s="1392"/>
      <c r="D83" s="1392"/>
      <c r="E83" s="1392"/>
      <c r="F83" s="1392"/>
      <c r="G83" s="1392"/>
      <c r="H83" s="1392"/>
      <c r="I83" s="1392"/>
      <c r="J83" s="1392"/>
      <c r="K83" s="1392"/>
      <c r="L83" s="199"/>
    </row>
    <row r="84" spans="1:12" x14ac:dyDescent="0.2">
      <c r="A84" s="199"/>
      <c r="B84" s="1392"/>
      <c r="C84" s="1392"/>
      <c r="D84" s="1392"/>
      <c r="E84" s="1392"/>
      <c r="F84" s="1392"/>
      <c r="G84" s="1392"/>
      <c r="H84" s="1392"/>
      <c r="I84" s="1392"/>
      <c r="J84" s="1392"/>
      <c r="K84" s="1392"/>
      <c r="L84" s="199"/>
    </row>
    <row r="85" spans="1:12" x14ac:dyDescent="0.2">
      <c r="A85" s="199"/>
      <c r="B85" s="1392"/>
      <c r="C85" s="1392"/>
      <c r="D85" s="1392"/>
      <c r="E85" s="1392"/>
      <c r="F85" s="1392"/>
      <c r="G85" s="1392"/>
      <c r="H85" s="1392"/>
      <c r="I85" s="1392"/>
      <c r="J85" s="1392"/>
      <c r="K85" s="1392"/>
      <c r="L85" s="199"/>
    </row>
    <row r="86" spans="1:12" x14ac:dyDescent="0.2">
      <c r="A86" s="199"/>
      <c r="B86" s="1392"/>
      <c r="C86" s="1392"/>
      <c r="D86" s="1392"/>
      <c r="E86" s="1392"/>
      <c r="F86" s="1392"/>
      <c r="G86" s="1392"/>
      <c r="H86" s="1392"/>
      <c r="I86" s="1392"/>
      <c r="J86" s="1392"/>
      <c r="K86" s="1392"/>
      <c r="L86" s="199"/>
    </row>
    <row r="87" spans="1:12" x14ac:dyDescent="0.2">
      <c r="A87" s="199"/>
      <c r="B87" s="1392"/>
      <c r="C87" s="1392"/>
      <c r="D87" s="1392"/>
      <c r="E87" s="1392"/>
      <c r="F87" s="1392"/>
      <c r="G87" s="1392"/>
      <c r="H87" s="1392"/>
      <c r="I87" s="1392"/>
      <c r="J87" s="1392"/>
      <c r="K87" s="1392"/>
      <c r="L87" s="199"/>
    </row>
    <row r="88" spans="1:12" x14ac:dyDescent="0.2">
      <c r="A88" s="199"/>
      <c r="B88" s="1392"/>
      <c r="C88" s="1392"/>
      <c r="D88" s="1392"/>
      <c r="E88" s="1392"/>
      <c r="F88" s="1392"/>
      <c r="G88" s="1392"/>
      <c r="H88" s="1392"/>
      <c r="I88" s="1392"/>
      <c r="J88" s="1392"/>
      <c r="K88" s="1392"/>
      <c r="L88" s="199"/>
    </row>
    <row r="89" spans="1:12" x14ac:dyDescent="0.2">
      <c r="A89" s="199"/>
      <c r="B89" s="1392"/>
      <c r="C89" s="1392"/>
      <c r="D89" s="1392"/>
      <c r="E89" s="1392"/>
      <c r="F89" s="1392"/>
      <c r="G89" s="1392"/>
      <c r="H89" s="1392"/>
      <c r="I89" s="1392"/>
      <c r="J89" s="1392"/>
      <c r="K89" s="1392"/>
      <c r="L89" s="199"/>
    </row>
    <row r="90" spans="1:12" x14ac:dyDescent="0.2">
      <c r="A90" s="199"/>
      <c r="B90" s="1392"/>
      <c r="C90" s="1392"/>
      <c r="D90" s="1392"/>
      <c r="E90" s="1392"/>
      <c r="F90" s="1392"/>
      <c r="G90" s="1392"/>
      <c r="H90" s="1392"/>
      <c r="I90" s="1392"/>
      <c r="J90" s="1392"/>
      <c r="K90" s="1392"/>
      <c r="L90" s="199"/>
    </row>
    <row r="91" spans="1:12" x14ac:dyDescent="0.2">
      <c r="A91" s="199"/>
      <c r="B91" s="3"/>
      <c r="C91" s="3"/>
      <c r="D91" s="3"/>
      <c r="E91" s="3"/>
      <c r="F91" s="3"/>
      <c r="G91" s="3"/>
      <c r="H91" s="3"/>
      <c r="I91" s="3"/>
      <c r="J91" s="3"/>
      <c r="K91" s="3"/>
      <c r="L91" s="199"/>
    </row>
    <row r="92" spans="1:12" x14ac:dyDescent="0.2">
      <c r="A92" s="199"/>
      <c r="B92" s="1387" t="str">
        <f>Translations!$B$73</f>
        <v xml:space="preserve">&lt;&lt;&lt; Proszę kliknąć tutaj, aby przejść do kolejnego arkusza &gt;&gt;&gt; </v>
      </c>
      <c r="C92" s="1387"/>
      <c r="D92" s="1387"/>
      <c r="E92" s="1387"/>
      <c r="F92" s="1387"/>
      <c r="G92" s="1387"/>
      <c r="H92" s="1387"/>
      <c r="I92" s="1387"/>
      <c r="J92" s="1387"/>
      <c r="K92" s="1387"/>
      <c r="L92" s="199"/>
    </row>
    <row r="93" spans="1:12" x14ac:dyDescent="0.2">
      <c r="A93" s="672"/>
      <c r="B93" s="1096"/>
      <c r="C93" s="1096"/>
      <c r="D93" s="1096"/>
      <c r="E93" s="1096"/>
      <c r="F93" s="1096"/>
      <c r="G93" s="1096"/>
      <c r="H93" s="1096"/>
      <c r="I93" s="1096"/>
      <c r="J93" s="1096"/>
      <c r="K93" s="1096"/>
    </row>
  </sheetData>
  <sheetProtection sheet="1" objects="1" scenarios="1" formatCells="0" formatColumns="0" formatRows="0"/>
  <mergeCells count="90">
    <mergeCell ref="B87:K87"/>
    <mergeCell ref="B88:K88"/>
    <mergeCell ref="B89:K89"/>
    <mergeCell ref="B90:K90"/>
    <mergeCell ref="B83:K83"/>
    <mergeCell ref="B84:K84"/>
    <mergeCell ref="B85:K85"/>
    <mergeCell ref="B86:K86"/>
    <mergeCell ref="B79:K79"/>
    <mergeCell ref="B80:K80"/>
    <mergeCell ref="B81:K81"/>
    <mergeCell ref="B82:K82"/>
    <mergeCell ref="B68:C68"/>
    <mergeCell ref="D68:K68"/>
    <mergeCell ref="B78:K78"/>
    <mergeCell ref="B71:K71"/>
    <mergeCell ref="B72:K72"/>
    <mergeCell ref="B67:C67"/>
    <mergeCell ref="D37:K37"/>
    <mergeCell ref="D38:K38"/>
    <mergeCell ref="D40:K40"/>
    <mergeCell ref="D41:K41"/>
    <mergeCell ref="B38:C38"/>
    <mergeCell ref="D67:K67"/>
    <mergeCell ref="B51:K51"/>
    <mergeCell ref="B66:K66"/>
    <mergeCell ref="B53:K53"/>
    <mergeCell ref="B65:K65"/>
    <mergeCell ref="D55:G62"/>
    <mergeCell ref="B92:K92"/>
    <mergeCell ref="A1:A3"/>
    <mergeCell ref="H2:I2"/>
    <mergeCell ref="J2:K2"/>
    <mergeCell ref="D3:E3"/>
    <mergeCell ref="F3:G3"/>
    <mergeCell ref="H3:I3"/>
    <mergeCell ref="J3:K3"/>
    <mergeCell ref="B2:C2"/>
    <mergeCell ref="D2:E2"/>
    <mergeCell ref="B36:C36"/>
    <mergeCell ref="B37:C37"/>
    <mergeCell ref="B74:K74"/>
    <mergeCell ref="B75:K75"/>
    <mergeCell ref="B70:K70"/>
    <mergeCell ref="B73:K73"/>
    <mergeCell ref="D1:E1"/>
    <mergeCell ref="F1:G1"/>
    <mergeCell ref="H1:I1"/>
    <mergeCell ref="J1:K1"/>
    <mergeCell ref="B47:K47"/>
    <mergeCell ref="B3:C3"/>
    <mergeCell ref="B12:K12"/>
    <mergeCell ref="B10:K10"/>
    <mergeCell ref="B9:K9"/>
    <mergeCell ref="B39:C39"/>
    <mergeCell ref="B7:K7"/>
    <mergeCell ref="B18:K18"/>
    <mergeCell ref="D28:K28"/>
    <mergeCell ref="D29:K29"/>
    <mergeCell ref="D30:K30"/>
    <mergeCell ref="D31:K31"/>
    <mergeCell ref="F2:G2"/>
    <mergeCell ref="B40:C40"/>
    <mergeCell ref="B41:C41"/>
    <mergeCell ref="B43:K43"/>
    <mergeCell ref="B33:K33"/>
    <mergeCell ref="B5:J5"/>
    <mergeCell ref="B6:K6"/>
    <mergeCell ref="D39:K39"/>
    <mergeCell ref="B24:K24"/>
    <mergeCell ref="B22:K22"/>
    <mergeCell ref="B25:K25"/>
    <mergeCell ref="B16:K16"/>
    <mergeCell ref="B21:K21"/>
    <mergeCell ref="B34:C34"/>
    <mergeCell ref="B35:C35"/>
    <mergeCell ref="B26:K26"/>
    <mergeCell ref="B23:K23"/>
    <mergeCell ref="B20:K20"/>
    <mergeCell ref="B15:K15"/>
    <mergeCell ref="B11:K11"/>
    <mergeCell ref="B13:K13"/>
    <mergeCell ref="B14:K14"/>
    <mergeCell ref="D36:K36"/>
    <mergeCell ref="D35:K35"/>
    <mergeCell ref="D34:K34"/>
    <mergeCell ref="B48:K48"/>
    <mergeCell ref="B44:K44"/>
    <mergeCell ref="B45:K45"/>
    <mergeCell ref="B46:K46"/>
  </mergeCells>
  <phoneticPr fontId="7" type="noConversion"/>
  <hyperlinks>
    <hyperlink ref="D67" r:id="rId1" display="http://eur-lex.europa.eu/en/index.htm "/>
    <hyperlink ref="D68" r:id="rId2" display="http://ec.europa.eu/clima/policies/ets/index_en.htm"/>
    <hyperlink ref="B10:K10" r:id="rId3" display="http://ec.europa.eu/clima/documentation/ets/docs/decision_benchmarking_15_dec_en.pdf. "/>
    <hyperlink ref="B10" r:id="rId4" display="https://eur-lex.europa.eu/eli/dir/2003/87/2018-04-08"/>
    <hyperlink ref="D1:E1" location="JUMP_TOC_Home" display="Table of contents"/>
    <hyperlink ref="J1:K1" location="JUMP_K_I" display="Summary"/>
    <hyperlink ref="B92:K92" location="JUMP_A_I" display="&lt;&lt;&lt; Click here to proceed to next sheet &gt;&gt;&gt; "/>
    <hyperlink ref="B2:C2" location="JUMP_Guidelines_Home" display="Top of sheet"/>
    <hyperlink ref="B3:C3" location="JUMP_Guidelines_Bottom" display="End of sheet"/>
    <hyperlink ref="F1:G1" location="JUMP_TOC_Home" display="Previous sheet"/>
    <hyperlink ref="H1:I1" location="JUMP_A_I" display="Next sheet"/>
    <hyperlink ref="B12" r:id="rId5" display="https://ec.europa.eu/info/law/better-regulation/initiatives/ares-2018-5486983_en"/>
    <hyperlink ref="B12:K12" r:id="rId6" display="http://data.europa.eu/eli/reg_del/2019/331/oj"/>
    <hyperlink ref="B71" r:id="rId7"/>
    <hyperlink ref="B74" r:id="rId8"/>
  </hyperlinks>
  <pageMargins left="0.78740157480314965" right="0.78740157480314965" top="0.78740157480314965" bottom="0.78740157480314965" header="0.39370078740157483" footer="0.39370078740157483"/>
  <pageSetup paperSize="9" scale="64" fitToHeight="2" orientation="portrait" r:id="rId9"/>
  <headerFooter alignWithMargins="0">
    <oddHeader>&amp;L&amp;F; &amp;A&amp;R&amp;D; &amp;T</oddHeader>
    <oddFooter>&amp;C&amp;P / &amp;N</oddFooter>
  </headerFooter>
  <rowBreaks count="1" manualBreakCount="1">
    <brk id="64" max="1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indexed="57"/>
    <pageSetUpPr fitToPage="1"/>
  </sheetPr>
  <dimension ref="A1:E90"/>
  <sheetViews>
    <sheetView workbookViewId="0">
      <selection activeCell="B3" sqref="B3"/>
    </sheetView>
  </sheetViews>
  <sheetFormatPr defaultColWidth="11.42578125" defaultRowHeight="12.75" x14ac:dyDescent="0.2"/>
  <cols>
    <col min="1" max="1" width="23.42578125" style="196" customWidth="1"/>
    <col min="2" max="2" width="34.7109375" style="196" customWidth="1"/>
    <col min="3" max="3" width="15.140625" style="196" customWidth="1"/>
    <col min="4" max="4" width="15.42578125" style="196" customWidth="1"/>
    <col min="5" max="16384" width="11.42578125" style="196"/>
  </cols>
  <sheetData>
    <row r="1" spans="1:5" ht="13.5" thickBot="1" x14ac:dyDescent="0.25">
      <c r="A1" s="198" t="s">
        <v>276</v>
      </c>
    </row>
    <row r="2" spans="1:5" ht="13.5" thickBot="1" x14ac:dyDescent="0.25">
      <c r="A2" s="253" t="s">
        <v>277</v>
      </c>
      <c r="B2" s="254" t="s">
        <v>647</v>
      </c>
    </row>
    <row r="3" spans="1:5" ht="13.5" thickBot="1" x14ac:dyDescent="0.25">
      <c r="A3" s="255" t="s">
        <v>275</v>
      </c>
      <c r="B3" s="256">
        <v>43559</v>
      </c>
      <c r="C3" s="257" t="str">
        <f>IF(ISNUMBER(MATCH(B3,A14:A26,0)),VLOOKUP(B3,A14:B26,2,FALSE),"---")</f>
        <v>NIMs P4 baseline_COM_pl_040419.xls</v>
      </c>
      <c r="D3" s="258"/>
      <c r="E3" s="259"/>
    </row>
    <row r="4" spans="1:5" x14ac:dyDescent="0.2">
      <c r="A4" s="260" t="s">
        <v>280</v>
      </c>
      <c r="B4" s="261" t="s">
        <v>281</v>
      </c>
    </row>
    <row r="5" spans="1:5" ht="13.5" thickBot="1" x14ac:dyDescent="0.25">
      <c r="A5" s="262" t="s">
        <v>279</v>
      </c>
      <c r="B5" s="263" t="s">
        <v>111</v>
      </c>
    </row>
    <row r="7" spans="1:5" x14ac:dyDescent="0.2">
      <c r="A7" s="264" t="s">
        <v>278</v>
      </c>
    </row>
    <row r="8" spans="1:5" x14ac:dyDescent="0.2">
      <c r="A8" s="578" t="s">
        <v>501</v>
      </c>
      <c r="B8" s="239"/>
      <c r="C8" s="508" t="s">
        <v>502</v>
      </c>
    </row>
    <row r="9" spans="1:5" x14ac:dyDescent="0.2">
      <c r="A9" s="578" t="s">
        <v>506</v>
      </c>
      <c r="B9" s="239"/>
      <c r="C9" s="508" t="s">
        <v>503</v>
      </c>
    </row>
    <row r="10" spans="1:5" x14ac:dyDescent="0.2">
      <c r="A10" s="578" t="s">
        <v>507</v>
      </c>
      <c r="B10" s="239"/>
      <c r="C10" s="508" t="s">
        <v>504</v>
      </c>
    </row>
    <row r="11" spans="1:5" x14ac:dyDescent="0.2">
      <c r="A11" s="578" t="s">
        <v>647</v>
      </c>
      <c r="B11" s="239"/>
      <c r="C11" s="508" t="s">
        <v>505</v>
      </c>
    </row>
    <row r="12" spans="1:5" x14ac:dyDescent="0.2">
      <c r="A12" s="203"/>
    </row>
    <row r="13" spans="1:5" x14ac:dyDescent="0.2">
      <c r="A13" s="491" t="s">
        <v>0</v>
      </c>
      <c r="B13" s="492" t="s">
        <v>125</v>
      </c>
      <c r="C13" s="492" t="s">
        <v>25</v>
      </c>
      <c r="D13" s="493"/>
    </row>
    <row r="14" spans="1:5" x14ac:dyDescent="0.2">
      <c r="A14" s="494">
        <v>43376</v>
      </c>
      <c r="B14" s="495" t="s">
        <v>636</v>
      </c>
      <c r="C14" s="496" t="s">
        <v>515</v>
      </c>
      <c r="D14" s="497"/>
    </row>
    <row r="15" spans="1:5" x14ac:dyDescent="0.2">
      <c r="A15" s="498">
        <v>43413</v>
      </c>
      <c r="B15" s="499" t="s">
        <v>637</v>
      </c>
      <c r="C15" s="500" t="s">
        <v>545</v>
      </c>
      <c r="D15" s="501"/>
    </row>
    <row r="16" spans="1:5" x14ac:dyDescent="0.2">
      <c r="A16" s="498">
        <v>43445</v>
      </c>
      <c r="B16" s="499" t="str">
        <f t="shared" ref="B16:B28" si="0">IF(ISBLANK($A16),"---", VLOOKUP($B$2,$A$8:$C$11,3,0) &amp; "_" &amp; VLOOKUP($B$4,$A$31:$B$63,2,0)&amp;"_"&amp;VLOOKUP($B$5,$A$66:$B$90,2,0)&amp;"_"&amp; TEXT(DAY($A16),"0#")&amp; TEXT(MONTH($A16),"0#")&amp; TEXT(YEAR($A16)-2000,"0#")&amp;".xls")</f>
        <v>NIMs P4 baseline_COM_pl_111218.xls</v>
      </c>
      <c r="C16" s="500" t="s">
        <v>629</v>
      </c>
      <c r="D16" s="501"/>
    </row>
    <row r="17" spans="1:4" x14ac:dyDescent="0.2">
      <c r="A17" s="498">
        <v>43448</v>
      </c>
      <c r="B17" s="499" t="str">
        <f t="shared" si="0"/>
        <v>NIMs P4 baseline_COM_pl_141218.xls</v>
      </c>
      <c r="C17" s="500" t="s">
        <v>639</v>
      </c>
      <c r="D17" s="501"/>
    </row>
    <row r="18" spans="1:4" x14ac:dyDescent="0.2">
      <c r="A18" s="498">
        <v>43490</v>
      </c>
      <c r="B18" s="499" t="str">
        <f t="shared" si="0"/>
        <v>NIMs P4 baseline_COM_pl_250119.xls</v>
      </c>
      <c r="C18" s="500" t="s">
        <v>646</v>
      </c>
      <c r="D18" s="501"/>
    </row>
    <row r="19" spans="1:4" x14ac:dyDescent="0.2">
      <c r="A19" s="498">
        <v>43528</v>
      </c>
      <c r="B19" s="499" t="str">
        <f t="shared" si="0"/>
        <v>NIMs P4 baseline_COM_pl_040319.xls</v>
      </c>
      <c r="C19" s="502" t="s">
        <v>2191</v>
      </c>
      <c r="D19" s="501"/>
    </row>
    <row r="20" spans="1:4" x14ac:dyDescent="0.2">
      <c r="A20" s="498">
        <v>43559</v>
      </c>
      <c r="B20" s="499" t="str">
        <f t="shared" si="0"/>
        <v>NIMs P4 baseline_COM_pl_040419.xls</v>
      </c>
      <c r="C20" s="500" t="s">
        <v>3667</v>
      </c>
      <c r="D20" s="501"/>
    </row>
    <row r="21" spans="1:4" x14ac:dyDescent="0.2">
      <c r="A21" s="498"/>
      <c r="B21" s="499" t="str">
        <f t="shared" si="0"/>
        <v>---</v>
      </c>
      <c r="C21" s="500"/>
      <c r="D21" s="501"/>
    </row>
    <row r="22" spans="1:4" x14ac:dyDescent="0.2">
      <c r="A22" s="498"/>
      <c r="B22" s="499" t="str">
        <f t="shared" si="0"/>
        <v>---</v>
      </c>
      <c r="C22" s="500"/>
      <c r="D22" s="501"/>
    </row>
    <row r="23" spans="1:4" x14ac:dyDescent="0.2">
      <c r="A23" s="498"/>
      <c r="B23" s="499" t="str">
        <f t="shared" si="0"/>
        <v>---</v>
      </c>
      <c r="C23" s="500"/>
      <c r="D23" s="501"/>
    </row>
    <row r="24" spans="1:4" x14ac:dyDescent="0.2">
      <c r="A24" s="498"/>
      <c r="B24" s="499" t="str">
        <f t="shared" si="0"/>
        <v>---</v>
      </c>
      <c r="C24" s="500"/>
      <c r="D24" s="501"/>
    </row>
    <row r="25" spans="1:4" x14ac:dyDescent="0.2">
      <c r="A25" s="498"/>
      <c r="B25" s="499" t="str">
        <f t="shared" si="0"/>
        <v>---</v>
      </c>
      <c r="C25" s="500"/>
      <c r="D25" s="501"/>
    </row>
    <row r="26" spans="1:4" x14ac:dyDescent="0.2">
      <c r="A26" s="498"/>
      <c r="B26" s="499" t="str">
        <f t="shared" si="0"/>
        <v>---</v>
      </c>
      <c r="C26" s="500"/>
      <c r="D26" s="501"/>
    </row>
    <row r="27" spans="1:4" x14ac:dyDescent="0.2">
      <c r="A27" s="498"/>
      <c r="B27" s="499" t="str">
        <f t="shared" si="0"/>
        <v>---</v>
      </c>
      <c r="C27" s="500"/>
      <c r="D27" s="501"/>
    </row>
    <row r="28" spans="1:4" x14ac:dyDescent="0.2">
      <c r="A28" s="503"/>
      <c r="B28" s="507" t="str">
        <f t="shared" si="0"/>
        <v>---</v>
      </c>
      <c r="C28" s="504"/>
      <c r="D28" s="505"/>
    </row>
    <row r="30" spans="1:4" x14ac:dyDescent="0.2">
      <c r="A30" s="198" t="s">
        <v>280</v>
      </c>
    </row>
    <row r="31" spans="1:4" x14ac:dyDescent="0.2">
      <c r="A31" s="252" t="s">
        <v>281</v>
      </c>
      <c r="B31" s="252" t="s">
        <v>126</v>
      </c>
    </row>
    <row r="32" spans="1:4" x14ac:dyDescent="0.2">
      <c r="A32" s="252" t="s">
        <v>389</v>
      </c>
      <c r="B32" s="252" t="s">
        <v>343</v>
      </c>
    </row>
    <row r="33" spans="1:2" x14ac:dyDescent="0.2">
      <c r="A33" s="252" t="s">
        <v>174</v>
      </c>
      <c r="B33" s="252" t="s">
        <v>127</v>
      </c>
    </row>
    <row r="34" spans="1:2" x14ac:dyDescent="0.2">
      <c r="A34" s="252" t="s">
        <v>175</v>
      </c>
      <c r="B34" s="252" t="s">
        <v>128</v>
      </c>
    </row>
    <row r="35" spans="1:2" x14ac:dyDescent="0.2">
      <c r="A35" s="252" t="s">
        <v>176</v>
      </c>
      <c r="B35" s="252" t="s">
        <v>129</v>
      </c>
    </row>
    <row r="36" spans="1:2" x14ac:dyDescent="0.2">
      <c r="A36" s="252" t="s">
        <v>474</v>
      </c>
      <c r="B36" s="252" t="s">
        <v>475</v>
      </c>
    </row>
    <row r="37" spans="1:2" x14ac:dyDescent="0.2">
      <c r="A37" s="252" t="s">
        <v>177</v>
      </c>
      <c r="B37" s="252" t="s">
        <v>130</v>
      </c>
    </row>
    <row r="38" spans="1:2" x14ac:dyDescent="0.2">
      <c r="A38" s="252" t="s">
        <v>178</v>
      </c>
      <c r="B38" s="252" t="s">
        <v>131</v>
      </c>
    </row>
    <row r="39" spans="1:2" x14ac:dyDescent="0.2">
      <c r="A39" s="252" t="s">
        <v>179</v>
      </c>
      <c r="B39" s="252" t="s">
        <v>132</v>
      </c>
    </row>
    <row r="40" spans="1:2" x14ac:dyDescent="0.2">
      <c r="A40" s="252" t="s">
        <v>180</v>
      </c>
      <c r="B40" s="252" t="s">
        <v>133</v>
      </c>
    </row>
    <row r="41" spans="1:2" x14ac:dyDescent="0.2">
      <c r="A41" s="252" t="s">
        <v>181</v>
      </c>
      <c r="B41" s="252" t="s">
        <v>134</v>
      </c>
    </row>
    <row r="42" spans="1:2" x14ac:dyDescent="0.2">
      <c r="A42" s="252" t="s">
        <v>182</v>
      </c>
      <c r="B42" s="252" t="s">
        <v>135</v>
      </c>
    </row>
    <row r="43" spans="1:2" x14ac:dyDescent="0.2">
      <c r="A43" s="252" t="s">
        <v>183</v>
      </c>
      <c r="B43" s="252" t="s">
        <v>136</v>
      </c>
    </row>
    <row r="44" spans="1:2" x14ac:dyDescent="0.2">
      <c r="A44" s="252" t="s">
        <v>184</v>
      </c>
      <c r="B44" s="252" t="s">
        <v>137</v>
      </c>
    </row>
    <row r="45" spans="1:2" x14ac:dyDescent="0.2">
      <c r="A45" s="252" t="s">
        <v>185</v>
      </c>
      <c r="B45" s="252" t="s">
        <v>138</v>
      </c>
    </row>
    <row r="46" spans="1:2" x14ac:dyDescent="0.2">
      <c r="A46" s="252" t="s">
        <v>194</v>
      </c>
      <c r="B46" s="252" t="s">
        <v>476</v>
      </c>
    </row>
    <row r="47" spans="1:2" x14ac:dyDescent="0.2">
      <c r="A47" s="252" t="s">
        <v>186</v>
      </c>
      <c r="B47" s="252" t="s">
        <v>139</v>
      </c>
    </row>
    <row r="48" spans="1:2" x14ac:dyDescent="0.2">
      <c r="A48" s="252" t="s">
        <v>187</v>
      </c>
      <c r="B48" s="252" t="s">
        <v>140</v>
      </c>
    </row>
    <row r="49" spans="1:2" x14ac:dyDescent="0.2">
      <c r="A49" s="252" t="s">
        <v>188</v>
      </c>
      <c r="B49" s="252" t="s">
        <v>141</v>
      </c>
    </row>
    <row r="50" spans="1:2" x14ac:dyDescent="0.2">
      <c r="A50" s="252" t="s">
        <v>339</v>
      </c>
      <c r="B50" s="252" t="s">
        <v>341</v>
      </c>
    </row>
    <row r="51" spans="1:2" x14ac:dyDescent="0.2">
      <c r="A51" s="252" t="s">
        <v>189</v>
      </c>
      <c r="B51" s="252" t="s">
        <v>142</v>
      </c>
    </row>
    <row r="52" spans="1:2" x14ac:dyDescent="0.2">
      <c r="A52" s="252" t="s">
        <v>190</v>
      </c>
      <c r="B52" s="252" t="s">
        <v>143</v>
      </c>
    </row>
    <row r="53" spans="1:2" x14ac:dyDescent="0.2">
      <c r="A53" s="252" t="s">
        <v>191</v>
      </c>
      <c r="B53" s="252" t="s">
        <v>144</v>
      </c>
    </row>
    <row r="54" spans="1:2" x14ac:dyDescent="0.2">
      <c r="A54" s="252" t="s">
        <v>192</v>
      </c>
      <c r="B54" s="252" t="s">
        <v>145</v>
      </c>
    </row>
    <row r="55" spans="1:2" x14ac:dyDescent="0.2">
      <c r="A55" s="252" t="s">
        <v>338</v>
      </c>
      <c r="B55" s="252" t="s">
        <v>342</v>
      </c>
    </row>
    <row r="56" spans="1:2" x14ac:dyDescent="0.2">
      <c r="A56" s="252" t="s">
        <v>193</v>
      </c>
      <c r="B56" s="252" t="s">
        <v>146</v>
      </c>
    </row>
    <row r="57" spans="1:2" x14ac:dyDescent="0.2">
      <c r="A57" s="252" t="s">
        <v>399</v>
      </c>
      <c r="B57" s="252" t="s">
        <v>147</v>
      </c>
    </row>
    <row r="58" spans="1:2" x14ac:dyDescent="0.2">
      <c r="A58" s="252" t="s">
        <v>400</v>
      </c>
      <c r="B58" s="252" t="s">
        <v>148</v>
      </c>
    </row>
    <row r="59" spans="1:2" x14ac:dyDescent="0.2">
      <c r="A59" s="252" t="s">
        <v>401</v>
      </c>
      <c r="B59" s="252" t="s">
        <v>149</v>
      </c>
    </row>
    <row r="60" spans="1:2" x14ac:dyDescent="0.2">
      <c r="A60" s="252" t="s">
        <v>402</v>
      </c>
      <c r="B60" s="252" t="s">
        <v>150</v>
      </c>
    </row>
    <row r="61" spans="1:2" x14ac:dyDescent="0.2">
      <c r="A61" s="252" t="s">
        <v>390</v>
      </c>
      <c r="B61" s="252" t="s">
        <v>151</v>
      </c>
    </row>
    <row r="62" spans="1:2" x14ac:dyDescent="0.2">
      <c r="A62" s="252" t="s">
        <v>391</v>
      </c>
      <c r="B62" s="252" t="s">
        <v>152</v>
      </c>
    </row>
    <row r="63" spans="1:2" x14ac:dyDescent="0.2">
      <c r="A63" s="252" t="s">
        <v>392</v>
      </c>
      <c r="B63" s="252" t="s">
        <v>153</v>
      </c>
    </row>
    <row r="65" spans="1:2" x14ac:dyDescent="0.2">
      <c r="A65" s="204" t="s">
        <v>1</v>
      </c>
    </row>
    <row r="66" spans="1:2" x14ac:dyDescent="0.2">
      <c r="A66" s="506" t="s">
        <v>282</v>
      </c>
      <c r="B66" s="506" t="s">
        <v>283</v>
      </c>
    </row>
    <row r="67" spans="1:2" x14ac:dyDescent="0.2">
      <c r="A67" s="506" t="s">
        <v>284</v>
      </c>
      <c r="B67" s="506" t="s">
        <v>285</v>
      </c>
    </row>
    <row r="68" spans="1:2" x14ac:dyDescent="0.2">
      <c r="A68" s="506" t="s">
        <v>477</v>
      </c>
      <c r="B68" s="506" t="s">
        <v>478</v>
      </c>
    </row>
    <row r="69" spans="1:2" x14ac:dyDescent="0.2">
      <c r="A69" s="506" t="s">
        <v>286</v>
      </c>
      <c r="B69" s="506" t="s">
        <v>287</v>
      </c>
    </row>
    <row r="70" spans="1:2" x14ac:dyDescent="0.2">
      <c r="A70" s="506" t="s">
        <v>288</v>
      </c>
      <c r="B70" s="506" t="s">
        <v>289</v>
      </c>
    </row>
    <row r="71" spans="1:2" x14ac:dyDescent="0.2">
      <c r="A71" s="506" t="s">
        <v>290</v>
      </c>
      <c r="B71" s="506" t="s">
        <v>291</v>
      </c>
    </row>
    <row r="72" spans="1:2" x14ac:dyDescent="0.2">
      <c r="A72" s="506" t="s">
        <v>292</v>
      </c>
      <c r="B72" s="506" t="s">
        <v>293</v>
      </c>
    </row>
    <row r="73" spans="1:2" x14ac:dyDescent="0.2">
      <c r="A73" s="506" t="s">
        <v>294</v>
      </c>
      <c r="B73" s="506" t="s">
        <v>295</v>
      </c>
    </row>
    <row r="74" spans="1:2" x14ac:dyDescent="0.2">
      <c r="A74" s="506" t="s">
        <v>296</v>
      </c>
      <c r="B74" s="506" t="s">
        <v>297</v>
      </c>
    </row>
    <row r="75" spans="1:2" x14ac:dyDescent="0.2">
      <c r="A75" s="506" t="s">
        <v>298</v>
      </c>
      <c r="B75" s="506" t="s">
        <v>299</v>
      </c>
    </row>
    <row r="76" spans="1:2" x14ac:dyDescent="0.2">
      <c r="A76" s="506" t="s">
        <v>479</v>
      </c>
      <c r="B76" s="506" t="s">
        <v>480</v>
      </c>
    </row>
    <row r="77" spans="1:2" x14ac:dyDescent="0.2">
      <c r="A77" s="506" t="s">
        <v>300</v>
      </c>
      <c r="B77" s="506" t="s">
        <v>301</v>
      </c>
    </row>
    <row r="78" spans="1:2" x14ac:dyDescent="0.2">
      <c r="A78" s="506" t="s">
        <v>302</v>
      </c>
      <c r="B78" s="506" t="s">
        <v>102</v>
      </c>
    </row>
    <row r="79" spans="1:2" x14ac:dyDescent="0.2">
      <c r="A79" s="506" t="s">
        <v>103</v>
      </c>
      <c r="B79" s="506" t="s">
        <v>104</v>
      </c>
    </row>
    <row r="80" spans="1:2" x14ac:dyDescent="0.2">
      <c r="A80" s="506" t="s">
        <v>105</v>
      </c>
      <c r="B80" s="506" t="s">
        <v>106</v>
      </c>
    </row>
    <row r="81" spans="1:2" x14ac:dyDescent="0.2">
      <c r="A81" s="506" t="s">
        <v>107</v>
      </c>
      <c r="B81" s="506" t="s">
        <v>108</v>
      </c>
    </row>
    <row r="82" spans="1:2" x14ac:dyDescent="0.2">
      <c r="A82" s="506" t="s">
        <v>379</v>
      </c>
      <c r="B82" s="506" t="s">
        <v>380</v>
      </c>
    </row>
    <row r="83" spans="1:2" x14ac:dyDescent="0.2">
      <c r="A83" s="506" t="s">
        <v>109</v>
      </c>
      <c r="B83" s="506" t="s">
        <v>110</v>
      </c>
    </row>
    <row r="84" spans="1:2" x14ac:dyDescent="0.2">
      <c r="A84" s="506" t="s">
        <v>111</v>
      </c>
      <c r="B84" s="506" t="s">
        <v>112</v>
      </c>
    </row>
    <row r="85" spans="1:2" x14ac:dyDescent="0.2">
      <c r="A85" s="506" t="s">
        <v>113</v>
      </c>
      <c r="B85" s="506" t="s">
        <v>114</v>
      </c>
    </row>
    <row r="86" spans="1:2" x14ac:dyDescent="0.2">
      <c r="A86" s="506" t="s">
        <v>115</v>
      </c>
      <c r="B86" s="506" t="s">
        <v>116</v>
      </c>
    </row>
    <row r="87" spans="1:2" x14ac:dyDescent="0.2">
      <c r="A87" s="506" t="s">
        <v>117</v>
      </c>
      <c r="B87" s="506" t="s">
        <v>118</v>
      </c>
    </row>
    <row r="88" spans="1:2" x14ac:dyDescent="0.2">
      <c r="A88" s="506" t="s">
        <v>119</v>
      </c>
      <c r="B88" s="506" t="s">
        <v>120</v>
      </c>
    </row>
    <row r="89" spans="1:2" x14ac:dyDescent="0.2">
      <c r="A89" s="506" t="s">
        <v>121</v>
      </c>
      <c r="B89" s="506" t="s">
        <v>122</v>
      </c>
    </row>
    <row r="90" spans="1:2" x14ac:dyDescent="0.2">
      <c r="A90" s="506" t="s">
        <v>123</v>
      </c>
      <c r="B90" s="506" t="s">
        <v>124</v>
      </c>
    </row>
  </sheetData>
  <sheetProtection sheet="1" objects="1" scenarios="1" formatCells="0" formatColumns="0" formatRows="0"/>
  <phoneticPr fontId="7" type="noConversion"/>
  <dataValidations count="4">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$A$8:$A$11</formula1>
    </dataValidation>
    <dataValidation type="list" allowBlank="1" showInputMessage="1" showErrorMessage="1" sqref="B3">
      <formula1>$A$14:$A$26</formula1>
    </dataValidation>
  </dataValidations>
  <pageMargins left="0.78740157499999996" right="0.78740157499999996" top="0.984251969" bottom="0.984251969" header="0.5" footer="0.5"/>
  <pageSetup paperSize="9" scale="64" orientation="portrait" r:id="rId1"/>
  <headerFooter alignWithMargins="0">
    <oddHeader>&amp;L&amp;F; &amp;A&amp;R&amp;D ;&amp;T</oddHeader>
    <oddFooter>&amp;C&amp;P / &amp;N</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tabColor indexed="11"/>
    <pageSetUpPr fitToPage="1"/>
  </sheetPr>
  <dimension ref="A1:X383"/>
  <sheetViews>
    <sheetView tabSelected="1" topLeftCell="B1" zoomScaleNormal="100" workbookViewId="0">
      <pane ySplit="4" topLeftCell="A5" activePane="bottomLeft" state="frozen"/>
      <selection activeCell="B2" sqref="B2"/>
      <selection pane="bottomLeft" activeCell="B2" sqref="B2:D4"/>
    </sheetView>
  </sheetViews>
  <sheetFormatPr defaultColWidth="11.42578125" defaultRowHeight="12.75" x14ac:dyDescent="0.2"/>
  <cols>
    <col min="1" max="1" width="5.140625" style="2" hidden="1" customWidth="1"/>
    <col min="2" max="2" width="2.7109375" style="700" customWidth="1"/>
    <col min="3" max="4" width="4.7109375" style="700" customWidth="1"/>
    <col min="5" max="14" width="12.7109375" style="700" customWidth="1"/>
    <col min="15" max="15" width="4.7109375" style="700" customWidth="1"/>
    <col min="16" max="16" width="12.7109375" style="430" hidden="1" customWidth="1"/>
    <col min="17" max="24" width="11.42578125" style="430" hidden="1" customWidth="1"/>
    <col min="25" max="16384" width="11.42578125" style="700"/>
  </cols>
  <sheetData>
    <row r="1" spans="1:24" s="2" customFormat="1" ht="13.5" hidden="1" thickBot="1" x14ac:dyDescent="0.25">
      <c r="A1" s="2" t="s">
        <v>101</v>
      </c>
      <c r="P1" s="430" t="s">
        <v>101</v>
      </c>
      <c r="Q1" s="430" t="s">
        <v>101</v>
      </c>
      <c r="R1" s="430" t="s">
        <v>101</v>
      </c>
      <c r="S1" s="430" t="s">
        <v>101</v>
      </c>
      <c r="T1" s="430" t="s">
        <v>101</v>
      </c>
      <c r="U1" s="430" t="s">
        <v>101</v>
      </c>
      <c r="V1" s="430" t="s">
        <v>101</v>
      </c>
      <c r="W1" s="430" t="s">
        <v>101</v>
      </c>
      <c r="X1" s="430" t="s">
        <v>101</v>
      </c>
    </row>
    <row r="2" spans="1:24" ht="13.5" thickBot="1" x14ac:dyDescent="0.25">
      <c r="B2" s="1548" t="str">
        <f>Translations!$B$74</f>
        <v>A. Dane dotyczące instalacji</v>
      </c>
      <c r="C2" s="1549"/>
      <c r="D2" s="1550"/>
      <c r="E2" s="790" t="str">
        <f>Translations!$B$2</f>
        <v>Obszar nawigacji:</v>
      </c>
      <c r="F2" s="793"/>
      <c r="G2" s="1558" t="str">
        <f>Translations!$B$18</f>
        <v>Spis treści</v>
      </c>
      <c r="H2" s="1339"/>
      <c r="I2" s="1339" t="str">
        <f>Translations!$B$19</f>
        <v>Poprzedni arkusz</v>
      </c>
      <c r="J2" s="1339"/>
      <c r="K2" s="1339" t="str">
        <f>Translations!$B$3</f>
        <v>Następny arkusz</v>
      </c>
      <c r="L2" s="1339"/>
      <c r="M2" s="1339" t="str">
        <f>Translations!$B$4</f>
        <v>Podsumowanie</v>
      </c>
      <c r="N2" s="1339"/>
      <c r="O2" s="7"/>
      <c r="P2" s="626"/>
    </row>
    <row r="3" spans="1:24" ht="13.5" thickBot="1" x14ac:dyDescent="0.25">
      <c r="B3" s="1551"/>
      <c r="C3" s="1552"/>
      <c r="D3" s="1553"/>
      <c r="E3" s="1339" t="str">
        <f>Translations!$B$5</f>
        <v>Początek arkusza</v>
      </c>
      <c r="F3" s="1542"/>
      <c r="G3" s="1543" t="str">
        <f>Translations!$B$75</f>
        <v>Identyfikator instalacji</v>
      </c>
      <c r="H3" s="1544"/>
      <c r="I3" s="1544" t="str">
        <f>Translations!$B$76</f>
        <v>Osoby wyznaczone do kontaktów</v>
      </c>
      <c r="J3" s="1544"/>
      <c r="K3" s="1544" t="str">
        <f>Translations!$B$77</f>
        <v>Weryfikator</v>
      </c>
      <c r="L3" s="1544"/>
      <c r="M3" s="1544" t="str">
        <f>Translations!$B$78</f>
        <v>Dodatkowe informacje</v>
      </c>
      <c r="N3" s="1544"/>
      <c r="O3" s="7"/>
      <c r="P3" s="626"/>
    </row>
    <row r="4" spans="1:24" ht="13.5" customHeight="1" thickBot="1" x14ac:dyDescent="0.25">
      <c r="B4" s="1554"/>
      <c r="C4" s="1555"/>
      <c r="D4" s="1556"/>
      <c r="E4" s="1339" t="str">
        <f>Translations!$B$6</f>
        <v>Koniec arkusza</v>
      </c>
      <c r="F4" s="1339"/>
      <c r="G4" s="1557" t="str">
        <f>Translations!$B$79</f>
        <v>Kwalifikowalność</v>
      </c>
      <c r="H4" s="1545"/>
      <c r="I4" s="1545" t="str">
        <f>Translations!$B$80</f>
        <v>Okres odniesienia</v>
      </c>
      <c r="J4" s="1545"/>
      <c r="K4" s="1546" t="str">
        <f>Translations!$B$81</f>
        <v>Podinstalacje</v>
      </c>
      <c r="L4" s="1547"/>
      <c r="M4" s="1545" t="str">
        <f>Translations!$B$82</f>
        <v>Połączenia techniczne</v>
      </c>
      <c r="N4" s="1545"/>
      <c r="O4" s="7"/>
      <c r="P4" s="626"/>
    </row>
    <row r="5" spans="1:24" x14ac:dyDescent="0.2">
      <c r="B5" s="3"/>
      <c r="C5" s="4"/>
      <c r="D5" s="5"/>
      <c r="E5" s="5"/>
      <c r="F5" s="6"/>
      <c r="G5" s="6"/>
      <c r="H5" s="6"/>
      <c r="I5" s="3"/>
      <c r="J5" s="3"/>
      <c r="K5" s="3"/>
      <c r="L5" s="3"/>
      <c r="M5" s="7"/>
      <c r="N5" s="7"/>
      <c r="O5" s="7"/>
      <c r="P5" s="626"/>
    </row>
    <row r="6" spans="1:24" ht="38.25" customHeight="1" x14ac:dyDescent="0.2">
      <c r="B6" s="3"/>
      <c r="C6" s="9" t="s">
        <v>262</v>
      </c>
      <c r="D6" s="1371" t="str">
        <f>Translations!$B$83</f>
        <v>Arkusz „InstallationData” (Dane dotyczące instalacji) – OGÓLNE INFORMACJE O NINIEJSZYM SPRAWOZDANIU</v>
      </c>
      <c r="E6" s="1370"/>
      <c r="F6" s="1370"/>
      <c r="G6" s="1370"/>
      <c r="H6" s="1370"/>
      <c r="I6" s="1370"/>
      <c r="J6" s="1370"/>
      <c r="K6" s="1370"/>
      <c r="L6" s="1370"/>
      <c r="M6" s="1370"/>
      <c r="N6" s="1370"/>
      <c r="O6" s="7"/>
      <c r="P6" s="627" t="s">
        <v>75</v>
      </c>
      <c r="Q6" s="627" t="s">
        <v>75</v>
      </c>
      <c r="R6" s="627" t="s">
        <v>75</v>
      </c>
      <c r="S6" s="627" t="s">
        <v>75</v>
      </c>
      <c r="T6" s="627" t="s">
        <v>75</v>
      </c>
      <c r="U6" s="627" t="s">
        <v>75</v>
      </c>
      <c r="V6" s="627" t="s">
        <v>75</v>
      </c>
      <c r="W6" s="627" t="s">
        <v>75</v>
      </c>
      <c r="X6" s="627" t="s">
        <v>75</v>
      </c>
    </row>
    <row r="7" spans="1:24" x14ac:dyDescent="0.2">
      <c r="B7" s="3"/>
      <c r="C7" s="3"/>
      <c r="D7" s="3"/>
      <c r="E7" s="3"/>
      <c r="F7" s="3"/>
      <c r="G7" s="3"/>
      <c r="H7" s="3"/>
      <c r="I7" s="3"/>
      <c r="J7" s="3"/>
      <c r="K7" s="3"/>
      <c r="L7" s="3"/>
      <c r="M7" s="7"/>
      <c r="N7" s="7"/>
      <c r="O7" s="7"/>
      <c r="P7" s="628" t="s">
        <v>274</v>
      </c>
      <c r="Q7" s="628" t="s">
        <v>274</v>
      </c>
      <c r="R7" s="628" t="s">
        <v>274</v>
      </c>
      <c r="S7" s="628" t="s">
        <v>274</v>
      </c>
      <c r="T7" s="628" t="s">
        <v>274</v>
      </c>
      <c r="U7" s="628" t="s">
        <v>274</v>
      </c>
      <c r="V7" s="628" t="s">
        <v>274</v>
      </c>
      <c r="W7" s="628" t="s">
        <v>274</v>
      </c>
      <c r="X7" s="628" t="s">
        <v>274</v>
      </c>
    </row>
    <row r="8" spans="1:24" ht="15.75" x14ac:dyDescent="0.25">
      <c r="B8" s="3"/>
      <c r="C8" s="12" t="s">
        <v>407</v>
      </c>
      <c r="D8" s="1384" t="str">
        <f>Translations!$B$84</f>
        <v>Dane identyfikacje instalacji</v>
      </c>
      <c r="E8" s="1384"/>
      <c r="F8" s="1384"/>
      <c r="G8" s="1384"/>
      <c r="H8" s="1384"/>
      <c r="I8" s="1384"/>
      <c r="J8" s="1384"/>
      <c r="K8" s="1384"/>
      <c r="L8" s="1384"/>
      <c r="M8" s="1384"/>
      <c r="N8" s="1384"/>
      <c r="O8" s="7"/>
      <c r="P8" s="626"/>
    </row>
    <row r="9" spans="1:24" ht="5.0999999999999996" customHeight="1" x14ac:dyDescent="0.2">
      <c r="B9" s="3"/>
      <c r="C9" s="3"/>
      <c r="D9" s="3"/>
      <c r="E9" s="3"/>
      <c r="F9" s="3"/>
      <c r="G9" s="3"/>
      <c r="H9" s="3"/>
      <c r="I9" s="3"/>
      <c r="J9" s="3"/>
      <c r="K9" s="3"/>
      <c r="L9" s="3"/>
      <c r="M9" s="7"/>
      <c r="N9" s="7"/>
      <c r="O9" s="7"/>
      <c r="P9" s="626"/>
    </row>
    <row r="10" spans="1:24" ht="15" x14ac:dyDescent="0.25">
      <c r="B10" s="20"/>
      <c r="C10" s="18">
        <v>1</v>
      </c>
      <c r="D10" s="1439" t="str">
        <f>Translations!$B$85</f>
        <v>Informacje ogólne:</v>
      </c>
      <c r="E10" s="1370"/>
      <c r="F10" s="1370"/>
      <c r="G10" s="1370"/>
      <c r="H10" s="1370"/>
      <c r="I10" s="1370"/>
      <c r="J10" s="1370"/>
      <c r="K10" s="1370"/>
      <c r="L10" s="1370"/>
      <c r="M10" s="1370"/>
      <c r="N10" s="1370"/>
      <c r="O10" s="20"/>
    </row>
    <row r="11" spans="1:24" ht="5.0999999999999996" customHeight="1" x14ac:dyDescent="0.2">
      <c r="B11" s="3"/>
      <c r="C11" s="3"/>
      <c r="D11" s="3"/>
      <c r="E11" s="3"/>
      <c r="F11" s="3"/>
      <c r="G11" s="3"/>
      <c r="H11" s="3"/>
      <c r="I11" s="3"/>
      <c r="J11" s="3"/>
      <c r="K11" s="3"/>
      <c r="L11" s="3"/>
      <c r="M11" s="7"/>
      <c r="N11" s="7"/>
      <c r="O11" s="7"/>
      <c r="P11" s="626"/>
    </row>
    <row r="12" spans="1:24" x14ac:dyDescent="0.2">
      <c r="B12" s="20"/>
      <c r="C12" s="20"/>
      <c r="D12" s="213" t="s">
        <v>173</v>
      </c>
      <c r="E12" s="1375" t="str">
        <f>Translations!$B$86</f>
        <v>Nazwa instalacji:</v>
      </c>
      <c r="F12" s="1370"/>
      <c r="G12" s="1370"/>
      <c r="H12" s="1370"/>
      <c r="I12" s="1432"/>
      <c r="J12" s="1497" t="s">
        <v>3683</v>
      </c>
      <c r="K12" s="1498"/>
      <c r="L12" s="1498"/>
      <c r="M12" s="1498"/>
      <c r="N12" s="1499"/>
      <c r="O12" s="20"/>
    </row>
    <row r="13" spans="1:24" x14ac:dyDescent="0.2">
      <c r="B13" s="20"/>
      <c r="C13" s="20"/>
      <c r="D13" s="16"/>
      <c r="E13" s="1408" t="str">
        <f>Translations!$B$87</f>
        <v>Nazwa powinna być taka sama jak nazwa używana w korespondencji z właściwym organem.</v>
      </c>
      <c r="F13" s="1370"/>
      <c r="G13" s="1370"/>
      <c r="H13" s="1370"/>
      <c r="I13" s="1370"/>
      <c r="J13" s="1370"/>
      <c r="K13" s="1370"/>
      <c r="L13" s="1370"/>
      <c r="M13" s="1370"/>
      <c r="N13" s="1370"/>
      <c r="O13" s="20"/>
    </row>
    <row r="14" spans="1:24" ht="5.0999999999999996" customHeight="1" x14ac:dyDescent="0.2">
      <c r="B14" s="3"/>
      <c r="C14" s="3"/>
      <c r="D14" s="3"/>
      <c r="E14" s="3"/>
      <c r="F14" s="3"/>
      <c r="G14" s="3"/>
      <c r="H14" s="3"/>
      <c r="I14" s="3"/>
      <c r="J14" s="3"/>
      <c r="K14" s="3"/>
      <c r="L14" s="3"/>
      <c r="M14" s="7"/>
      <c r="N14" s="7"/>
      <c r="O14" s="7"/>
      <c r="P14" s="626"/>
    </row>
    <row r="15" spans="1:24" x14ac:dyDescent="0.2">
      <c r="B15" s="20"/>
      <c r="C15" s="20"/>
      <c r="D15" s="213" t="s">
        <v>353</v>
      </c>
      <c r="E15" s="1375" t="str">
        <f>Translations!$B$88</f>
        <v>Państwo członkowskie, w którym znajduje się instalacja:</v>
      </c>
      <c r="F15" s="1370"/>
      <c r="G15" s="1370"/>
      <c r="H15" s="1370"/>
      <c r="I15" s="1432"/>
      <c r="J15" s="1497" t="s">
        <v>3511</v>
      </c>
      <c r="K15" s="1498"/>
      <c r="L15" s="1498"/>
      <c r="M15" s="1498"/>
      <c r="N15" s="1499"/>
      <c r="O15" s="20"/>
    </row>
    <row r="16" spans="1:24" x14ac:dyDescent="0.2">
      <c r="B16" s="20"/>
      <c r="C16" s="20"/>
      <c r="D16" s="16"/>
      <c r="E16" s="1408" t="str">
        <f>Translations!$B$89</f>
        <v>„Państwo członkowskie” oznacza: państwo uczestniczące w EU ETS, tj. państwa członkowskie UE oraz Islandię, Norwegię i Liechtenstein.</v>
      </c>
      <c r="F16" s="1370"/>
      <c r="G16" s="1370"/>
      <c r="H16" s="1370"/>
      <c r="I16" s="1370"/>
      <c r="J16" s="1370"/>
      <c r="K16" s="1370"/>
      <c r="L16" s="1370"/>
      <c r="M16" s="1370"/>
      <c r="N16" s="1370"/>
      <c r="O16" s="20"/>
    </row>
    <row r="17" spans="2:17" ht="5.0999999999999996" customHeight="1" x14ac:dyDescent="0.2">
      <c r="B17" s="3"/>
      <c r="C17" s="3"/>
      <c r="D17" s="3"/>
      <c r="E17" s="3"/>
      <c r="F17" s="3"/>
      <c r="G17" s="3"/>
      <c r="H17" s="3"/>
      <c r="I17" s="3"/>
      <c r="J17" s="3"/>
      <c r="K17" s="3"/>
      <c r="L17" s="3"/>
      <c r="M17" s="7"/>
      <c r="N17" s="7"/>
      <c r="O17" s="7"/>
      <c r="P17" s="626"/>
    </row>
    <row r="18" spans="2:17" x14ac:dyDescent="0.2">
      <c r="B18" s="20"/>
      <c r="C18" s="20"/>
      <c r="D18" s="213" t="s">
        <v>11</v>
      </c>
      <c r="E18" s="1500" t="str">
        <f>Translations!$B$90</f>
        <v>Czy ta instalacja była już wcześniej objęta EU ETS?</v>
      </c>
      <c r="F18" s="1370"/>
      <c r="G18" s="1370"/>
      <c r="H18" s="1370"/>
      <c r="I18" s="1432"/>
      <c r="J18" s="230" t="b">
        <v>1</v>
      </c>
      <c r="K18" s="20"/>
      <c r="L18" s="20"/>
      <c r="M18" s="20"/>
      <c r="N18" s="20"/>
      <c r="O18" s="20"/>
    </row>
    <row r="19" spans="2:17" ht="5.0999999999999996" customHeight="1" x14ac:dyDescent="0.2">
      <c r="B19" s="3"/>
      <c r="C19" s="3"/>
      <c r="D19" s="3"/>
      <c r="E19" s="3"/>
      <c r="F19" s="3"/>
      <c r="G19" s="3"/>
      <c r="H19" s="3"/>
      <c r="I19" s="3"/>
      <c r="J19" s="3"/>
      <c r="K19" s="3"/>
      <c r="L19" s="3"/>
      <c r="M19" s="7"/>
      <c r="N19" s="7"/>
      <c r="O19" s="7"/>
      <c r="P19" s="626"/>
    </row>
    <row r="20" spans="2:17" x14ac:dyDescent="0.2">
      <c r="B20" s="20"/>
      <c r="C20" s="20"/>
      <c r="D20" s="213" t="s">
        <v>356</v>
      </c>
      <c r="E20" s="1375" t="str">
        <f>Translations!$B$91</f>
        <v>Niepowtarzalny identyfikator nadany przez właściwy organ:</v>
      </c>
      <c r="F20" s="1370"/>
      <c r="G20" s="1370"/>
      <c r="H20" s="1370"/>
      <c r="I20" s="1432"/>
      <c r="J20" s="1497" t="s">
        <v>3668</v>
      </c>
      <c r="K20" s="1498"/>
      <c r="L20" s="1498"/>
      <c r="M20" s="1498"/>
      <c r="N20" s="1499"/>
      <c r="O20" s="20"/>
    </row>
    <row r="21" spans="2:17" ht="25.5" customHeight="1" x14ac:dyDescent="0.2">
      <c r="B21" s="20"/>
      <c r="C21" s="20"/>
      <c r="D21" s="20"/>
      <c r="E21" s="1408" t="str">
        <f>Translations!$B$92</f>
        <v>Nr KPRU. Jest to identyfikator stosowany przez właściwy organ do celów korespondencji z instalacją, np. w przypadku przydziału bezpłatnych uprawnień we wcześniejszych okresach.</v>
      </c>
      <c r="F21" s="1370"/>
      <c r="G21" s="1370"/>
      <c r="H21" s="1370"/>
      <c r="I21" s="1370"/>
      <c r="J21" s="1370"/>
      <c r="K21" s="1370"/>
      <c r="L21" s="1370"/>
      <c r="M21" s="1370"/>
      <c r="N21" s="1370"/>
      <c r="O21" s="20"/>
    </row>
    <row r="22" spans="2:17" ht="12.75" customHeight="1" x14ac:dyDescent="0.2">
      <c r="B22" s="20"/>
      <c r="C22" s="20"/>
      <c r="D22" s="20"/>
      <c r="E22" s="1408" t="str">
        <f>Translations!$B$93</f>
        <v>W przypadku instalacji, których wcześniej nie uwzględniono w EU ETS, prowadzący instalacje proszeni są o skontaktowanie się z właściwym organem w celu otrzymania takiego identyfikatora.</v>
      </c>
      <c r="F22" s="1370"/>
      <c r="G22" s="1370"/>
      <c r="H22" s="1370"/>
      <c r="I22" s="1370"/>
      <c r="J22" s="1370"/>
      <c r="K22" s="1370"/>
      <c r="L22" s="1370"/>
      <c r="M22" s="1370"/>
      <c r="N22" s="1370"/>
      <c r="O22" s="20"/>
    </row>
    <row r="23" spans="2:17" ht="12.75" customHeight="1" x14ac:dyDescent="0.2">
      <c r="B23" s="20"/>
      <c r="C23" s="20"/>
      <c r="D23" s="20"/>
      <c r="E23" s="1408" t="str">
        <f>Translations!$B$94</f>
        <v xml:space="preserve">Właściwe organy muszą zapewnić dostępność niepowtarzalnego identyfikatora przed przekazaniem Komisji Europejskiej jakichkolwiek danych. </v>
      </c>
      <c r="F23" s="1370"/>
      <c r="G23" s="1370"/>
      <c r="H23" s="1370"/>
      <c r="I23" s="1370"/>
      <c r="J23" s="1370"/>
      <c r="K23" s="1370"/>
      <c r="L23" s="1370"/>
      <c r="M23" s="1370"/>
      <c r="N23" s="1370"/>
      <c r="O23" s="20"/>
    </row>
    <row r="24" spans="2:17" ht="5.0999999999999996" customHeight="1" x14ac:dyDescent="0.2">
      <c r="B24" s="3"/>
      <c r="C24" s="3"/>
      <c r="D24" s="3"/>
      <c r="E24" s="3"/>
      <c r="F24" s="3"/>
      <c r="G24" s="3"/>
      <c r="H24" s="3"/>
      <c r="I24" s="3"/>
      <c r="J24" s="3"/>
      <c r="K24" s="3"/>
      <c r="L24" s="3"/>
      <c r="M24" s="7"/>
      <c r="N24" s="7"/>
      <c r="O24" s="7"/>
      <c r="P24" s="626"/>
    </row>
    <row r="25" spans="2:17" x14ac:dyDescent="0.2">
      <c r="B25" s="20"/>
      <c r="C25" s="20"/>
      <c r="D25" s="213" t="s">
        <v>12</v>
      </c>
      <c r="E25" s="1375" t="str">
        <f>Translations!$B$95</f>
        <v>Kod identyfikacyjny instalacji w rejestrze:</v>
      </c>
      <c r="F25" s="1370"/>
      <c r="G25" s="1370"/>
      <c r="H25" s="1370"/>
      <c r="I25" s="1432"/>
      <c r="J25" s="1559">
        <v>9999</v>
      </c>
      <c r="K25" s="1560"/>
      <c r="L25" s="1560"/>
      <c r="M25" s="1560"/>
      <c r="N25" s="1561"/>
      <c r="O25" s="20"/>
    </row>
    <row r="26" spans="2:17" x14ac:dyDescent="0.2">
      <c r="B26" s="20"/>
      <c r="C26" s="20"/>
      <c r="D26" s="20"/>
      <c r="E26" s="1408" t="str">
        <f>Translations!$B$96</f>
        <v>Jest to zwykle liczba naturalna, tzn. kod inny niż identyfikator zezwolenia stosowany w rejestrze (EUTL).</v>
      </c>
      <c r="F26" s="1370"/>
      <c r="G26" s="1370"/>
      <c r="H26" s="1370"/>
      <c r="I26" s="1370"/>
      <c r="J26" s="1370"/>
      <c r="K26" s="1370"/>
      <c r="L26" s="1370"/>
      <c r="M26" s="1370"/>
      <c r="N26" s="1370"/>
      <c r="O26" s="20"/>
    </row>
    <row r="27" spans="2:17" ht="38.25" customHeight="1" x14ac:dyDescent="0.2">
      <c r="B27" s="20"/>
      <c r="C27" s="20"/>
      <c r="D27" s="20"/>
      <c r="E27" s="1408" t="str">
        <f>Translations!$B$97</f>
        <v>Ten numer identyfikacyjny w rejestrze (niepowtarzalny identyfikator) zostanie automatycznie wyświetlony w lit. f) poniżej wraz z kodem państwa członkowskiego wybranego w lit. b). Np. jeżeli instalacja mająca w rejestrze numer identyfikacyjny 123456 znajduje się w Polsce, powstanie nr „PL000000000123456”. Jeżeli Państwa instalacja otrzymała przydział bezpłatnych uprawnień w poprzednim etapie EU ETS, proszę dopilnować, aby niepowtarzalny identyfikator był identyczny z numerem identyfikacyjnym w poprzednim etapie.</v>
      </c>
      <c r="F27" s="1370"/>
      <c r="G27" s="1370"/>
      <c r="H27" s="1370"/>
      <c r="I27" s="1370"/>
      <c r="J27" s="1370"/>
      <c r="K27" s="1370"/>
      <c r="L27" s="1370"/>
      <c r="M27" s="1370"/>
      <c r="N27" s="1370"/>
      <c r="O27" s="20"/>
      <c r="P27" s="626"/>
    </row>
    <row r="28" spans="2:17" ht="5.0999999999999996" customHeight="1" x14ac:dyDescent="0.2">
      <c r="B28" s="3"/>
      <c r="C28" s="3"/>
      <c r="D28" s="3"/>
      <c r="E28" s="3"/>
      <c r="F28" s="3"/>
      <c r="G28" s="3"/>
      <c r="H28" s="3"/>
      <c r="I28" s="3"/>
      <c r="J28" s="3"/>
      <c r="K28" s="3"/>
      <c r="L28" s="3"/>
      <c r="M28" s="7"/>
      <c r="N28" s="7"/>
      <c r="O28" s="7"/>
      <c r="P28" s="626"/>
    </row>
    <row r="29" spans="2:17" x14ac:dyDescent="0.2">
      <c r="B29" s="20"/>
      <c r="C29" s="20"/>
      <c r="D29" s="213" t="s">
        <v>13</v>
      </c>
      <c r="E29" s="1375" t="str">
        <f>Translations!$B$98</f>
        <v>Niepowtarzalny identyfikator zgłaszany Komisji:</v>
      </c>
      <c r="F29" s="1370"/>
      <c r="G29" s="1370"/>
      <c r="H29" s="1370"/>
      <c r="I29" s="1432"/>
      <c r="J29" s="1564" t="str">
        <f>IF(AND(NOT(ISBLANK(J15)),ISNUMBER(J25)),CONCATENATE(INDEX(EUconst_MSlistEUTLcodes,MATCH(J15,EUconst_MSlist,0)),TEXT(J25,"000000000000000")),"")</f>
        <v>PL000000000009999</v>
      </c>
      <c r="K29" s="1565"/>
      <c r="L29" s="1565"/>
      <c r="M29" s="1565"/>
      <c r="N29" s="1566"/>
      <c r="O29" s="7"/>
      <c r="P29" s="806" t="s">
        <v>562</v>
      </c>
      <c r="Q29" s="437"/>
    </row>
    <row r="30" spans="2:17" ht="5.0999999999999996" customHeight="1" x14ac:dyDescent="0.2">
      <c r="B30" s="3"/>
      <c r="C30" s="3"/>
      <c r="D30" s="3"/>
      <c r="E30" s="3"/>
      <c r="F30" s="3"/>
      <c r="G30" s="3"/>
      <c r="H30" s="3"/>
      <c r="I30" s="3"/>
      <c r="J30" s="3"/>
      <c r="K30" s="3"/>
      <c r="L30" s="3"/>
      <c r="M30" s="7"/>
      <c r="N30" s="7"/>
      <c r="O30" s="7"/>
      <c r="P30" s="626"/>
    </row>
    <row r="31" spans="2:17" x14ac:dyDescent="0.2">
      <c r="B31" s="20"/>
      <c r="C31" s="20"/>
      <c r="D31" s="213" t="s">
        <v>87</v>
      </c>
      <c r="E31" s="1328" t="str">
        <f>Translations!$B$99</f>
        <v>Informacje dotyczące zezwolenia na emisję gazów cieplarnianych:</v>
      </c>
      <c r="F31" s="1343"/>
      <c r="G31" s="1343"/>
      <c r="H31" s="1343"/>
      <c r="I31" s="1343"/>
      <c r="J31" s="1370"/>
      <c r="K31" s="1370"/>
      <c r="L31" s="1370"/>
      <c r="M31" s="1370"/>
      <c r="N31" s="1370"/>
      <c r="O31" s="7"/>
    </row>
    <row r="32" spans="2:17" x14ac:dyDescent="0.2">
      <c r="B32" s="20"/>
      <c r="C32" s="20"/>
      <c r="D32" s="20"/>
      <c r="E32" s="1408" t="str">
        <f>Translations!$B$100</f>
        <v>W tym miejscu proszę podać informacje dotyczące zezwolenia na emisję gazów cieplarnianych (=zezwolenie wydane zgodnie z art. 5 i 6 dyrektywy w sprawie EU ETS).</v>
      </c>
      <c r="F32" s="1370"/>
      <c r="G32" s="1370"/>
      <c r="H32" s="1370"/>
      <c r="I32" s="1370"/>
      <c r="J32" s="1370"/>
      <c r="K32" s="1370"/>
      <c r="L32" s="1370"/>
      <c r="M32" s="1370"/>
      <c r="N32" s="1370"/>
      <c r="O32" s="7"/>
    </row>
    <row r="33" spans="2:16" x14ac:dyDescent="0.2">
      <c r="B33" s="20"/>
      <c r="C33" s="20"/>
      <c r="D33" s="20"/>
      <c r="E33" s="1408" t="str">
        <f>Translations!$B$101</f>
        <v>Jeśli właściwy organ posiada już taką informację, Państwa członkowskie mogą potraktować jej podanie jako nieobowiązkowe.</v>
      </c>
      <c r="F33" s="1370"/>
      <c r="G33" s="1370"/>
      <c r="H33" s="1370"/>
      <c r="I33" s="1370"/>
      <c r="J33" s="1370"/>
      <c r="K33" s="1370"/>
      <c r="L33" s="1370"/>
      <c r="M33" s="1370"/>
      <c r="N33" s="1370"/>
      <c r="O33" s="7"/>
    </row>
    <row r="34" spans="2:16" x14ac:dyDescent="0.2">
      <c r="B34" s="20"/>
      <c r="C34" s="20"/>
      <c r="D34" s="216"/>
      <c r="E34" s="214"/>
      <c r="F34" s="1465" t="str">
        <f>Translations!$B$102</f>
        <v>Nazwa właściwego organu:</v>
      </c>
      <c r="G34" s="1370"/>
      <c r="H34" s="1370"/>
      <c r="I34" s="1432"/>
      <c r="J34" s="1497"/>
      <c r="K34" s="1498"/>
      <c r="L34" s="1498"/>
      <c r="M34" s="1498"/>
      <c r="N34" s="1499"/>
      <c r="O34" s="7"/>
    </row>
    <row r="35" spans="2:16" ht="5.0999999999999996" customHeight="1" x14ac:dyDescent="0.2">
      <c r="B35" s="3"/>
      <c r="C35" s="3"/>
      <c r="D35" s="3"/>
      <c r="E35" s="3"/>
      <c r="F35" s="3"/>
      <c r="G35" s="3"/>
      <c r="H35" s="3"/>
      <c r="I35" s="3"/>
      <c r="J35" s="3"/>
      <c r="K35" s="3"/>
      <c r="L35" s="3"/>
      <c r="M35" s="7"/>
      <c r="N35" s="7"/>
      <c r="O35" s="7"/>
      <c r="P35" s="626"/>
    </row>
    <row r="36" spans="2:16" ht="25.5" customHeight="1" x14ac:dyDescent="0.2">
      <c r="B36" s="20"/>
      <c r="C36" s="20"/>
      <c r="D36" s="213"/>
      <c r="E36" s="214"/>
      <c r="F36" s="1501" t="str">
        <f>Translations!$B$103</f>
        <v>Pierwsze zezwolenie na emisję gazów cieplarnianych uzyskane w momencie objęcia instalacji systemem ETS po raz pierwszy:</v>
      </c>
      <c r="G36" s="1377"/>
      <c r="H36" s="1377"/>
      <c r="I36" s="1377"/>
      <c r="J36" s="1377"/>
      <c r="K36" s="1377"/>
      <c r="L36" s="1377"/>
      <c r="M36" s="1377"/>
      <c r="N36" s="1377"/>
      <c r="O36" s="7"/>
    </row>
    <row r="37" spans="2:16" x14ac:dyDescent="0.2">
      <c r="B37" s="20"/>
      <c r="C37" s="20"/>
      <c r="D37" s="216"/>
      <c r="E37" s="342" t="s">
        <v>2</v>
      </c>
      <c r="F37" s="1471" t="str">
        <f>Translations!$B$104</f>
        <v>Numer identyfikacyjny zezwolenia:</v>
      </c>
      <c r="G37" s="1472"/>
      <c r="H37" s="1472"/>
      <c r="I37" s="1473"/>
      <c r="J37" s="1474"/>
      <c r="K37" s="1475"/>
      <c r="L37" s="1475"/>
      <c r="M37" s="1475"/>
      <c r="N37" s="1475"/>
      <c r="O37" s="7"/>
    </row>
    <row r="38" spans="2:16" x14ac:dyDescent="0.2">
      <c r="B38" s="20"/>
      <c r="C38" s="20"/>
      <c r="D38" s="216"/>
      <c r="E38" s="342" t="s">
        <v>3</v>
      </c>
      <c r="F38" s="1476" t="str">
        <f>Translations!$B$105</f>
        <v>Data wydania:</v>
      </c>
      <c r="G38" s="1477"/>
      <c r="H38" s="1477"/>
      <c r="I38" s="1478"/>
      <c r="J38" s="1467"/>
      <c r="K38" s="1468"/>
      <c r="L38" s="1468"/>
      <c r="M38" s="1468"/>
      <c r="N38" s="1468"/>
      <c r="O38" s="7"/>
    </row>
    <row r="39" spans="2:16" ht="5.0999999999999996" customHeight="1" x14ac:dyDescent="0.2">
      <c r="B39" s="3"/>
      <c r="C39" s="3"/>
      <c r="D39" s="3"/>
      <c r="E39" s="341"/>
      <c r="F39" s="3"/>
      <c r="G39" s="3"/>
      <c r="H39" s="3"/>
      <c r="I39" s="3"/>
      <c r="J39" s="3"/>
      <c r="K39" s="3"/>
      <c r="L39" s="3"/>
      <c r="M39" s="7"/>
      <c r="N39" s="7"/>
      <c r="O39" s="7"/>
      <c r="P39" s="626"/>
    </row>
    <row r="40" spans="2:16" x14ac:dyDescent="0.2">
      <c r="B40" s="20"/>
      <c r="C40" s="20"/>
      <c r="D40" s="213"/>
      <c r="E40" s="342"/>
      <c r="F40" s="1501" t="str">
        <f>Translations!$B$106</f>
        <v>Ostatnia aktualizacja zezwolenia (w stosownych przypadkach):</v>
      </c>
      <c r="G40" s="1377"/>
      <c r="H40" s="1377"/>
      <c r="I40" s="1377"/>
      <c r="J40" s="1377"/>
      <c r="K40" s="1377"/>
      <c r="L40" s="1377"/>
      <c r="M40" s="1377"/>
      <c r="N40" s="1377"/>
      <c r="O40" s="7"/>
    </row>
    <row r="41" spans="2:16" x14ac:dyDescent="0.2">
      <c r="B41" s="20"/>
      <c r="C41" s="20"/>
      <c r="D41" s="216"/>
      <c r="E41" s="342" t="s">
        <v>4</v>
      </c>
      <c r="F41" s="1471" t="str">
        <f>Translations!$B$104</f>
        <v>Numer identyfikacyjny zezwolenia:</v>
      </c>
      <c r="G41" s="1472"/>
      <c r="H41" s="1472"/>
      <c r="I41" s="1473"/>
      <c r="J41" s="1562"/>
      <c r="K41" s="1563"/>
      <c r="L41" s="1563"/>
      <c r="M41" s="1563"/>
      <c r="N41" s="1563"/>
      <c r="O41" s="7"/>
    </row>
    <row r="42" spans="2:16" x14ac:dyDescent="0.2">
      <c r="B42" s="20"/>
      <c r="C42" s="20"/>
      <c r="D42" s="216"/>
      <c r="E42" s="342" t="s">
        <v>6</v>
      </c>
      <c r="F42" s="1476" t="str">
        <f>Translations!$B$105</f>
        <v>Data wydania:</v>
      </c>
      <c r="G42" s="1477"/>
      <c r="H42" s="1477"/>
      <c r="I42" s="1478"/>
      <c r="J42" s="1467"/>
      <c r="K42" s="1468"/>
      <c r="L42" s="1468"/>
      <c r="M42" s="1468"/>
      <c r="N42" s="1468"/>
      <c r="O42" s="7"/>
    </row>
    <row r="43" spans="2:16" ht="5.0999999999999996" customHeight="1" x14ac:dyDescent="0.2">
      <c r="B43" s="3"/>
      <c r="C43" s="3"/>
      <c r="D43" s="3"/>
      <c r="E43" s="3"/>
      <c r="F43" s="3"/>
      <c r="G43" s="3"/>
      <c r="H43" s="3"/>
      <c r="I43" s="3"/>
      <c r="J43" s="3"/>
      <c r="K43" s="3"/>
      <c r="L43" s="3"/>
      <c r="M43" s="7"/>
      <c r="N43" s="7"/>
      <c r="O43" s="7"/>
      <c r="P43" s="626"/>
    </row>
    <row r="44" spans="2:16" x14ac:dyDescent="0.2">
      <c r="B44" s="20"/>
      <c r="C44" s="20"/>
      <c r="D44" s="213" t="s">
        <v>88</v>
      </c>
      <c r="E44" s="1375" t="str">
        <f>Translations!$B$107</f>
        <v>Data rozpoczęcia działalności instalacji:</v>
      </c>
      <c r="F44" s="1370"/>
      <c r="G44" s="1370"/>
      <c r="H44" s="1370"/>
      <c r="I44" s="1432"/>
      <c r="J44" s="288"/>
      <c r="K44" s="215"/>
      <c r="L44" s="215"/>
      <c r="M44" s="20"/>
      <c r="N44" s="20"/>
      <c r="O44" s="7"/>
    </row>
    <row r="45" spans="2:16" x14ac:dyDescent="0.2">
      <c r="B45" s="20"/>
      <c r="C45" s="20"/>
      <c r="D45" s="16"/>
      <c r="E45" s="1408" t="str">
        <f>Translations!$B$108</f>
        <v>Dane te są istotne wyłącznie w przypadku, gdy instalacja jako całość zaczęła działać po dniu 1 stycznia 2014 r.</v>
      </c>
      <c r="F45" s="1370"/>
      <c r="G45" s="1370"/>
      <c r="H45" s="1370"/>
      <c r="I45" s="1370"/>
      <c r="J45" s="1370"/>
      <c r="K45" s="1370"/>
      <c r="L45" s="1370"/>
      <c r="M45" s="1370"/>
      <c r="N45" s="1370"/>
      <c r="O45" s="7"/>
    </row>
    <row r="46" spans="2:16" ht="5.0999999999999996" customHeight="1" x14ac:dyDescent="0.2">
      <c r="B46" s="3"/>
      <c r="C46" s="3"/>
      <c r="D46" s="3"/>
      <c r="E46" s="3"/>
      <c r="F46" s="3"/>
      <c r="G46" s="3"/>
      <c r="H46" s="3"/>
      <c r="I46" s="3"/>
      <c r="J46" s="3"/>
      <c r="K46" s="3"/>
      <c r="L46" s="3"/>
      <c r="M46" s="7"/>
      <c r="N46" s="7"/>
      <c r="O46" s="7"/>
      <c r="P46" s="626"/>
    </row>
    <row r="47" spans="2:16" x14ac:dyDescent="0.2">
      <c r="B47" s="20"/>
      <c r="C47" s="20"/>
      <c r="D47" s="213" t="s">
        <v>89</v>
      </c>
      <c r="E47" s="1375" t="str">
        <f>Translations!$B$109</f>
        <v>Instalacja ta jest instalacją dotychczas działającą:</v>
      </c>
      <c r="F47" s="1370"/>
      <c r="G47" s="1370"/>
      <c r="H47" s="1370"/>
      <c r="I47" s="1432"/>
      <c r="J47" s="230" t="b">
        <v>1</v>
      </c>
      <c r="K47" s="215"/>
      <c r="L47" s="215"/>
      <c r="M47" s="20"/>
      <c r="N47" s="20"/>
      <c r="O47" s="7"/>
    </row>
    <row r="48" spans="2:16" x14ac:dyDescent="0.2">
      <c r="B48" s="20"/>
      <c r="C48" s="20"/>
      <c r="D48" s="16"/>
      <c r="E48" s="1408" t="str">
        <f>Translations!$B$110</f>
        <v>Instalacja jest instalacją dotychczas działającą, jeżeli po raz pierwszy uzyskała zezwolenie na emisję gazów cieplarnianych najpóźniej w dniu:</v>
      </c>
      <c r="F48" s="1370"/>
      <c r="G48" s="1370"/>
      <c r="H48" s="1370"/>
      <c r="I48" s="1370"/>
      <c r="J48" s="1370"/>
      <c r="K48" s="1370"/>
      <c r="L48" s="1370"/>
      <c r="M48" s="1370"/>
      <c r="N48" s="1370"/>
      <c r="O48" s="7"/>
    </row>
    <row r="49" spans="2:16" x14ac:dyDescent="0.2">
      <c r="B49" s="20"/>
      <c r="C49" s="20"/>
      <c r="D49" s="16"/>
      <c r="E49" s="123" t="s">
        <v>408</v>
      </c>
      <c r="F49" s="1408" t="str">
        <f>Translations!$B$111</f>
        <v>30 czerwca 2019 r. w odniesieniu do okresu 2021–2025, na który przydzielane są uprawnienia, lub</v>
      </c>
      <c r="G49" s="1370"/>
      <c r="H49" s="1370"/>
      <c r="I49" s="1370"/>
      <c r="J49" s="1370"/>
      <c r="K49" s="1370"/>
      <c r="L49" s="1370"/>
      <c r="M49" s="1370"/>
      <c r="N49" s="1370"/>
      <c r="O49" s="7"/>
    </row>
    <row r="50" spans="2:16" x14ac:dyDescent="0.2">
      <c r="B50" s="20"/>
      <c r="C50" s="20"/>
      <c r="D50" s="16"/>
      <c r="E50" s="123" t="s">
        <v>408</v>
      </c>
      <c r="F50" s="1408" t="str">
        <f>Translations!$B$112</f>
        <v>30 czerwca 2024 r. w odniesieniu do okresu 2026–2030.</v>
      </c>
      <c r="G50" s="1370"/>
      <c r="H50" s="1370"/>
      <c r="I50" s="1370"/>
      <c r="J50" s="1370"/>
      <c r="K50" s="1370"/>
      <c r="L50" s="1370"/>
      <c r="M50" s="1370"/>
      <c r="N50" s="1370"/>
      <c r="O50" s="7"/>
    </row>
    <row r="51" spans="2:16" x14ac:dyDescent="0.2">
      <c r="B51" s="20"/>
      <c r="C51" s="20"/>
      <c r="D51" s="16"/>
      <c r="E51" s="1408" t="str">
        <f>Translations!$B$113</f>
        <v>Wszystkie instalacje, które nie są instalacjami dotychczas działającymi według powyższych kryteriów, właściwy organ uznaje za „nowe instalacje”.</v>
      </c>
      <c r="F51" s="1370"/>
      <c r="G51" s="1370"/>
      <c r="H51" s="1370"/>
      <c r="I51" s="1370"/>
      <c r="J51" s="1370"/>
      <c r="K51" s="1370"/>
      <c r="L51" s="1370"/>
      <c r="M51" s="1370"/>
      <c r="N51" s="1370"/>
      <c r="O51" s="7"/>
    </row>
    <row r="52" spans="2:16" x14ac:dyDescent="0.2">
      <c r="B52" s="20"/>
      <c r="C52" s="20"/>
      <c r="D52" s="16"/>
      <c r="E52" s="1408" t="str">
        <f>Translations!$B$114</f>
        <v xml:space="preserve">Nowe instalacje nie są zgłaszane Komisji na mocy krajowych środków wykonawczych na podstawie art. 11 dyrektywy w sprawie EU ETS. </v>
      </c>
      <c r="F52" s="1370"/>
      <c r="G52" s="1370"/>
      <c r="H52" s="1370"/>
      <c r="I52" s="1370"/>
      <c r="J52" s="1370"/>
      <c r="K52" s="1370"/>
      <c r="L52" s="1370"/>
      <c r="M52" s="1370"/>
      <c r="N52" s="1370"/>
      <c r="O52" s="7"/>
    </row>
    <row r="53" spans="2:16" x14ac:dyDescent="0.2">
      <c r="B53" s="20"/>
      <c r="C53" s="20"/>
      <c r="D53" s="16"/>
      <c r="E53" s="1408" t="str">
        <f>Translations!$B$115</f>
        <v xml:space="preserve">W związku z powyższym niniejszy formularz nie jest przeznaczony dla nowych instalacji. </v>
      </c>
      <c r="F53" s="1370"/>
      <c r="G53" s="1370"/>
      <c r="H53" s="1370"/>
      <c r="I53" s="1370"/>
      <c r="J53" s="1370"/>
      <c r="K53" s="1370"/>
      <c r="L53" s="1370"/>
      <c r="M53" s="1370"/>
      <c r="N53" s="1370"/>
      <c r="O53" s="7"/>
    </row>
    <row r="54" spans="2:16" ht="5.0999999999999996" customHeight="1" x14ac:dyDescent="0.2">
      <c r="B54" s="3"/>
      <c r="C54" s="3"/>
      <c r="D54" s="3"/>
      <c r="E54" s="3"/>
      <c r="F54" s="3"/>
      <c r="G54" s="3"/>
      <c r="H54" s="3"/>
      <c r="I54" s="3"/>
      <c r="J54" s="3"/>
      <c r="K54" s="3"/>
      <c r="L54" s="3"/>
      <c r="M54" s="7"/>
      <c r="N54" s="7"/>
      <c r="O54" s="7"/>
      <c r="P54" s="626"/>
    </row>
    <row r="55" spans="2:16" x14ac:dyDescent="0.2">
      <c r="B55" s="20"/>
      <c r="C55" s="20"/>
      <c r="D55" s="213" t="s">
        <v>218</v>
      </c>
      <c r="E55" s="1500" t="str">
        <f>Translations!$B$116</f>
        <v>Dane dotyczące prowadzącego instalację:</v>
      </c>
      <c r="F55" s="1370"/>
      <c r="G55" s="1370"/>
      <c r="H55" s="1370"/>
      <c r="I55" s="1370"/>
      <c r="J55" s="1370"/>
      <c r="K55" s="1370"/>
      <c r="L55" s="1370"/>
      <c r="M55" s="1370"/>
      <c r="N55" s="1370"/>
      <c r="O55" s="7"/>
    </row>
    <row r="56" spans="2:16" ht="25.5" customHeight="1" x14ac:dyDescent="0.2">
      <c r="B56" s="20"/>
      <c r="C56" s="20"/>
      <c r="D56" s="16"/>
      <c r="E56" s="1416" t="str">
        <f>Translations!$B$117</f>
        <v>„Prowadzący instalację” oznacza każdą osobę [fizyczną lub prawną], która prowadzi lub kontroluje instalację lub, w przypadku gdy jest to przewidziane w ustawodawstwie krajowym, której powierzono decydujące uprawnienia ekonomiczne dotyczące technicznego funkcjonowania instalacji.</v>
      </c>
      <c r="F56" s="1459"/>
      <c r="G56" s="1459"/>
      <c r="H56" s="1459"/>
      <c r="I56" s="1459"/>
      <c r="J56" s="1459"/>
      <c r="K56" s="1459"/>
      <c r="L56" s="1459"/>
      <c r="M56" s="1459"/>
      <c r="N56" s="1459"/>
      <c r="O56" s="7"/>
    </row>
    <row r="57" spans="2:16" x14ac:dyDescent="0.2">
      <c r="B57" s="20"/>
      <c r="C57" s="20"/>
      <c r="D57" s="216"/>
      <c r="E57" s="214"/>
      <c r="F57" s="342" t="s">
        <v>2</v>
      </c>
      <c r="G57" s="1471" t="str">
        <f>Translations!$B$118</f>
        <v>Nazwa prowadzącego instalację:</v>
      </c>
      <c r="H57" s="1472"/>
      <c r="I57" s="1473"/>
      <c r="J57" s="1474" t="s">
        <v>3684</v>
      </c>
      <c r="K57" s="1475"/>
      <c r="L57" s="1475"/>
      <c r="M57" s="1475"/>
      <c r="N57" s="1475"/>
      <c r="O57" s="7"/>
    </row>
    <row r="58" spans="2:16" x14ac:dyDescent="0.2">
      <c r="B58" s="20"/>
      <c r="C58" s="20"/>
      <c r="D58" s="216"/>
      <c r="E58" s="214"/>
      <c r="F58" s="342" t="s">
        <v>3</v>
      </c>
      <c r="G58" s="1479" t="str">
        <f>Translations!$B$119</f>
        <v>Ulica, numer:</v>
      </c>
      <c r="H58" s="1480"/>
      <c r="I58" s="1481"/>
      <c r="J58" s="1469"/>
      <c r="K58" s="1470"/>
      <c r="L58" s="1470"/>
      <c r="M58" s="1470"/>
      <c r="N58" s="1470"/>
      <c r="O58" s="7"/>
    </row>
    <row r="59" spans="2:16" x14ac:dyDescent="0.2">
      <c r="B59" s="20"/>
      <c r="C59" s="20"/>
      <c r="D59" s="216"/>
      <c r="E59" s="214"/>
      <c r="F59" s="342" t="s">
        <v>4</v>
      </c>
      <c r="G59" s="1479" t="str">
        <f>Translations!$B$120</f>
        <v>Kod pocztowy:</v>
      </c>
      <c r="H59" s="1480"/>
      <c r="I59" s="1481"/>
      <c r="J59" s="1469"/>
      <c r="K59" s="1470"/>
      <c r="L59" s="1470"/>
      <c r="M59" s="1470"/>
      <c r="N59" s="1470"/>
      <c r="O59" s="7"/>
    </row>
    <row r="60" spans="2:16" x14ac:dyDescent="0.2">
      <c r="B60" s="20"/>
      <c r="C60" s="20"/>
      <c r="D60" s="216"/>
      <c r="E60" s="214"/>
      <c r="F60" s="342" t="s">
        <v>6</v>
      </c>
      <c r="G60" s="1479" t="str">
        <f>Translations!$B$121</f>
        <v>Miejscowość:</v>
      </c>
      <c r="H60" s="1480"/>
      <c r="I60" s="1481"/>
      <c r="J60" s="1469"/>
      <c r="K60" s="1470"/>
      <c r="L60" s="1470"/>
      <c r="M60" s="1470"/>
      <c r="N60" s="1470"/>
      <c r="O60" s="7"/>
    </row>
    <row r="61" spans="2:16" x14ac:dyDescent="0.2">
      <c r="B61" s="20"/>
      <c r="C61" s="20"/>
      <c r="D61" s="216"/>
      <c r="E61" s="214"/>
      <c r="F61" s="342" t="s">
        <v>316</v>
      </c>
      <c r="G61" s="1479" t="str">
        <f>Translations!$B$122</f>
        <v>Państwo:</v>
      </c>
      <c r="H61" s="1480"/>
      <c r="I61" s="1481"/>
      <c r="J61" s="1469"/>
      <c r="K61" s="1470"/>
      <c r="L61" s="1470"/>
      <c r="M61" s="1470"/>
      <c r="N61" s="1470"/>
      <c r="O61" s="7"/>
    </row>
    <row r="62" spans="2:16" x14ac:dyDescent="0.2">
      <c r="B62" s="20"/>
      <c r="C62" s="20"/>
      <c r="D62" s="216"/>
      <c r="E62" s="214"/>
      <c r="F62" s="342" t="s">
        <v>317</v>
      </c>
      <c r="G62" s="1479" t="str">
        <f>Translations!$B$123</f>
        <v>Imię i nazwisko upoważnionego przedstawiciela:</v>
      </c>
      <c r="H62" s="1480"/>
      <c r="I62" s="1481"/>
      <c r="J62" s="1469"/>
      <c r="K62" s="1470"/>
      <c r="L62" s="1470"/>
      <c r="M62" s="1470"/>
      <c r="N62" s="1470"/>
      <c r="O62" s="7"/>
    </row>
    <row r="63" spans="2:16" x14ac:dyDescent="0.2">
      <c r="B63" s="20"/>
      <c r="C63" s="20"/>
      <c r="D63" s="216"/>
      <c r="E63" s="214"/>
      <c r="F63" s="342" t="s">
        <v>318</v>
      </c>
      <c r="G63" s="1479" t="str">
        <f>Translations!$B$124</f>
        <v>E-mail:</v>
      </c>
      <c r="H63" s="1480"/>
      <c r="I63" s="1481"/>
      <c r="J63" s="1469"/>
      <c r="K63" s="1470"/>
      <c r="L63" s="1470"/>
      <c r="M63" s="1470"/>
      <c r="N63" s="1470"/>
      <c r="O63" s="7"/>
    </row>
    <row r="64" spans="2:16" x14ac:dyDescent="0.2">
      <c r="B64" s="20"/>
      <c r="C64" s="20"/>
      <c r="D64" s="216"/>
      <c r="E64" s="214"/>
      <c r="F64" s="342" t="s">
        <v>319</v>
      </c>
      <c r="G64" s="1479" t="str">
        <f>Translations!$B$125</f>
        <v>Telefon:</v>
      </c>
      <c r="H64" s="1480"/>
      <c r="I64" s="1481"/>
      <c r="J64" s="1469"/>
      <c r="K64" s="1470"/>
      <c r="L64" s="1470"/>
      <c r="M64" s="1470"/>
      <c r="N64" s="1470"/>
      <c r="O64" s="7"/>
    </row>
    <row r="65" spans="2:16" x14ac:dyDescent="0.2">
      <c r="B65" s="20"/>
      <c r="C65" s="20"/>
      <c r="D65" s="216"/>
      <c r="E65" s="214"/>
      <c r="F65" s="342" t="s">
        <v>320</v>
      </c>
      <c r="G65" s="1476" t="str">
        <f>Translations!$B$126</f>
        <v>Faks:</v>
      </c>
      <c r="H65" s="1477"/>
      <c r="I65" s="1478"/>
      <c r="J65" s="1467"/>
      <c r="K65" s="1468"/>
      <c r="L65" s="1468"/>
      <c r="M65" s="1468"/>
      <c r="N65" s="1468"/>
      <c r="O65" s="7"/>
    </row>
    <row r="66" spans="2:16" ht="5.0999999999999996" customHeight="1" x14ac:dyDescent="0.2">
      <c r="B66" s="3"/>
      <c r="C66" s="3"/>
      <c r="D66" s="3"/>
      <c r="E66" s="3"/>
      <c r="F66" s="3"/>
      <c r="G66" s="3"/>
      <c r="H66" s="3"/>
      <c r="I66" s="3"/>
      <c r="J66" s="3"/>
      <c r="K66" s="3"/>
      <c r="L66" s="3"/>
      <c r="M66" s="7"/>
      <c r="N66" s="7"/>
      <c r="O66" s="7"/>
      <c r="P66" s="626"/>
    </row>
    <row r="67" spans="2:16" x14ac:dyDescent="0.2">
      <c r="B67" s="20"/>
      <c r="C67" s="20"/>
      <c r="D67" s="213" t="s">
        <v>219</v>
      </c>
      <c r="E67" s="1500" t="str">
        <f>Translations!$B$127</f>
        <v>Adres instalacji:</v>
      </c>
      <c r="F67" s="1370"/>
      <c r="G67" s="1370"/>
      <c r="H67" s="1370"/>
      <c r="I67" s="1370"/>
      <c r="J67" s="1370"/>
      <c r="K67" s="1370"/>
      <c r="L67" s="1370"/>
      <c r="M67" s="1370"/>
      <c r="N67" s="1370"/>
      <c r="O67" s="7"/>
    </row>
    <row r="68" spans="2:16" x14ac:dyDescent="0.2">
      <c r="B68" s="20"/>
      <c r="C68" s="20"/>
      <c r="D68" s="216"/>
      <c r="E68" s="214"/>
      <c r="F68" s="342" t="s">
        <v>2</v>
      </c>
      <c r="G68" s="1471" t="str">
        <f>Translations!$B$119</f>
        <v>Ulica, numer:</v>
      </c>
      <c r="H68" s="1472"/>
      <c r="I68" s="1473"/>
      <c r="J68" s="1474"/>
      <c r="K68" s="1475"/>
      <c r="L68" s="1475"/>
      <c r="M68" s="1475"/>
      <c r="N68" s="1475"/>
      <c r="O68" s="7"/>
    </row>
    <row r="69" spans="2:16" x14ac:dyDescent="0.2">
      <c r="B69" s="20"/>
      <c r="C69" s="20"/>
      <c r="D69" s="216"/>
      <c r="E69" s="214"/>
      <c r="F69" s="342" t="s">
        <v>3</v>
      </c>
      <c r="G69" s="1479" t="str">
        <f>Translations!$B$120</f>
        <v>Kod pocztowy:</v>
      </c>
      <c r="H69" s="1480"/>
      <c r="I69" s="1481"/>
      <c r="J69" s="1469"/>
      <c r="K69" s="1470"/>
      <c r="L69" s="1470"/>
      <c r="M69" s="1470"/>
      <c r="N69" s="1470"/>
      <c r="O69" s="7"/>
    </row>
    <row r="70" spans="2:16" x14ac:dyDescent="0.2">
      <c r="B70" s="20"/>
      <c r="C70" s="20"/>
      <c r="D70" s="216"/>
      <c r="E70" s="214"/>
      <c r="F70" s="342" t="s">
        <v>4</v>
      </c>
      <c r="G70" s="1479" t="str">
        <f>Translations!$B$121</f>
        <v>Miejscowość:</v>
      </c>
      <c r="H70" s="1480"/>
      <c r="I70" s="1481"/>
      <c r="J70" s="1469"/>
      <c r="K70" s="1470"/>
      <c r="L70" s="1470"/>
      <c r="M70" s="1470"/>
      <c r="N70" s="1470"/>
      <c r="O70" s="7"/>
    </row>
    <row r="71" spans="2:16" x14ac:dyDescent="0.2">
      <c r="B71" s="20"/>
      <c r="C71" s="20"/>
      <c r="D71" s="216"/>
      <c r="E71" s="214"/>
      <c r="F71" s="342" t="s">
        <v>6</v>
      </c>
      <c r="G71" s="1476" t="str">
        <f>Translations!$B$122</f>
        <v>Państwo:</v>
      </c>
      <c r="H71" s="1477"/>
      <c r="I71" s="1478"/>
      <c r="J71" s="1467"/>
      <c r="K71" s="1468"/>
      <c r="L71" s="1468"/>
      <c r="M71" s="1468"/>
      <c r="N71" s="1468"/>
      <c r="O71" s="7"/>
    </row>
    <row r="72" spans="2:16" ht="5.0999999999999996" customHeight="1" x14ac:dyDescent="0.2">
      <c r="B72" s="3"/>
      <c r="C72" s="3"/>
      <c r="D72" s="3"/>
      <c r="E72" s="3"/>
      <c r="F72" s="3"/>
      <c r="G72" s="3"/>
      <c r="H72" s="3"/>
      <c r="I72" s="3"/>
      <c r="J72" s="3"/>
      <c r="K72" s="3"/>
      <c r="L72" s="3"/>
      <c r="M72" s="7"/>
      <c r="N72" s="7"/>
      <c r="O72" s="7"/>
      <c r="P72" s="626"/>
    </row>
    <row r="73" spans="2:16" ht="15" x14ac:dyDescent="0.25">
      <c r="B73" s="20"/>
      <c r="C73" s="18">
        <v>2</v>
      </c>
      <c r="D73" s="1439" t="str">
        <f>Translations!$B$128</f>
        <v>Osoby wyznaczone do kontaktów:</v>
      </c>
      <c r="E73" s="1370"/>
      <c r="F73" s="1370"/>
      <c r="G73" s="1370"/>
      <c r="H73" s="1370"/>
      <c r="I73" s="1370"/>
      <c r="J73" s="1370"/>
      <c r="K73" s="1370"/>
      <c r="L73" s="1370"/>
      <c r="M73" s="1370"/>
      <c r="N73" s="1370"/>
      <c r="O73" s="7"/>
    </row>
    <row r="74" spans="2:16" x14ac:dyDescent="0.2">
      <c r="B74" s="20"/>
      <c r="C74" s="20"/>
      <c r="D74" s="20"/>
      <c r="E74" s="1408" t="str">
        <f>Translations!$B$129</f>
        <v>W tym miejscu proszę wskazać osoby, z którymi właściwy organ może kontaktować się w razie pytań dotyczących niniejszego sprawozdania, w tym jego weryfikacji.</v>
      </c>
      <c r="F74" s="1370"/>
      <c r="G74" s="1370"/>
      <c r="H74" s="1370"/>
      <c r="I74" s="1370"/>
      <c r="J74" s="1370"/>
      <c r="K74" s="1370"/>
      <c r="L74" s="1370"/>
      <c r="M74" s="1370"/>
      <c r="N74" s="1370"/>
      <c r="O74" s="7"/>
    </row>
    <row r="75" spans="2:16" ht="5.0999999999999996" customHeight="1" x14ac:dyDescent="0.2">
      <c r="B75" s="3"/>
      <c r="C75" s="3"/>
      <c r="D75" s="3"/>
      <c r="E75" s="3"/>
      <c r="F75" s="3"/>
      <c r="G75" s="3"/>
      <c r="H75" s="3"/>
      <c r="I75" s="3"/>
      <c r="J75" s="3"/>
      <c r="K75" s="3"/>
      <c r="L75" s="3"/>
      <c r="M75" s="7"/>
      <c r="N75" s="7"/>
      <c r="O75" s="7"/>
      <c r="P75" s="626"/>
    </row>
    <row r="76" spans="2:16" x14ac:dyDescent="0.2">
      <c r="B76" s="20"/>
      <c r="C76" s="20"/>
      <c r="D76" s="213" t="s">
        <v>173</v>
      </c>
      <c r="E76" s="1375" t="str">
        <f>Translations!$B$130</f>
        <v>Upoważniony przedstawiciel prowadzącego instalację odpowiedzialny za tę instalację:</v>
      </c>
      <c r="F76" s="1370"/>
      <c r="G76" s="1370"/>
      <c r="H76" s="1370"/>
      <c r="I76" s="1370"/>
      <c r="J76" s="1370"/>
      <c r="K76" s="1370"/>
      <c r="L76" s="1370"/>
      <c r="M76" s="1370"/>
      <c r="N76" s="1370"/>
      <c r="O76" s="7"/>
    </row>
    <row r="77" spans="2:16" x14ac:dyDescent="0.2">
      <c r="B77" s="20"/>
      <c r="C77" s="20"/>
      <c r="D77" s="216"/>
      <c r="E77" s="214"/>
      <c r="F77" s="342" t="s">
        <v>2</v>
      </c>
      <c r="G77" s="1471" t="str">
        <f>Translations!$B$131</f>
        <v>Imię i nazwisko:</v>
      </c>
      <c r="H77" s="1472"/>
      <c r="I77" s="1473"/>
      <c r="J77" s="1474"/>
      <c r="K77" s="1475"/>
      <c r="L77" s="1475"/>
      <c r="M77" s="1475"/>
      <c r="N77" s="1475"/>
      <c r="O77" s="7"/>
    </row>
    <row r="78" spans="2:16" x14ac:dyDescent="0.2">
      <c r="B78" s="20"/>
      <c r="C78" s="20"/>
      <c r="D78" s="216"/>
      <c r="E78" s="214"/>
      <c r="F78" s="342" t="s">
        <v>3</v>
      </c>
      <c r="G78" s="1479" t="str">
        <f>Translations!$B$124</f>
        <v>E-mail:</v>
      </c>
      <c r="H78" s="1480"/>
      <c r="I78" s="1481"/>
      <c r="J78" s="1469"/>
      <c r="K78" s="1470"/>
      <c r="L78" s="1470"/>
      <c r="M78" s="1470"/>
      <c r="N78" s="1470"/>
      <c r="O78" s="7"/>
    </row>
    <row r="79" spans="2:16" x14ac:dyDescent="0.2">
      <c r="B79" s="20"/>
      <c r="C79" s="20"/>
      <c r="D79" s="216"/>
      <c r="E79" s="214"/>
      <c r="F79" s="342" t="s">
        <v>4</v>
      </c>
      <c r="G79" s="1479" t="str">
        <f>Translations!$B$125</f>
        <v>Telefon:</v>
      </c>
      <c r="H79" s="1480"/>
      <c r="I79" s="1481"/>
      <c r="J79" s="1469"/>
      <c r="K79" s="1470"/>
      <c r="L79" s="1470"/>
      <c r="M79" s="1470"/>
      <c r="N79" s="1470"/>
      <c r="O79" s="7"/>
    </row>
    <row r="80" spans="2:16" x14ac:dyDescent="0.2">
      <c r="B80" s="20"/>
      <c r="C80" s="20"/>
      <c r="D80" s="216"/>
      <c r="E80" s="214"/>
      <c r="F80" s="342" t="s">
        <v>6</v>
      </c>
      <c r="G80" s="1476" t="str">
        <f>Translations!$B$126</f>
        <v>Faks:</v>
      </c>
      <c r="H80" s="1477"/>
      <c r="I80" s="1478"/>
      <c r="J80" s="1467"/>
      <c r="K80" s="1468"/>
      <c r="L80" s="1468"/>
      <c r="M80" s="1468"/>
      <c r="N80" s="1468"/>
      <c r="O80" s="7"/>
    </row>
    <row r="81" spans="2:16" ht="5.0999999999999996" customHeight="1" x14ac:dyDescent="0.2">
      <c r="B81" s="3"/>
      <c r="C81" s="3"/>
      <c r="D81" s="3"/>
      <c r="E81" s="3"/>
      <c r="F81" s="3"/>
      <c r="G81" s="3"/>
      <c r="H81" s="3"/>
      <c r="I81" s="3"/>
      <c r="J81" s="3"/>
      <c r="K81" s="3"/>
      <c r="L81" s="3"/>
      <c r="M81" s="7"/>
      <c r="N81" s="7"/>
      <c r="O81" s="7"/>
      <c r="P81" s="626"/>
    </row>
    <row r="82" spans="2:16" x14ac:dyDescent="0.2">
      <c r="B82" s="20"/>
      <c r="C82" s="20"/>
      <c r="D82" s="213" t="s">
        <v>353</v>
      </c>
      <c r="E82" s="1375" t="str">
        <f>Translations!$B$132</f>
        <v>Główna osoba wyznaczona do kontaktów w kwestiach technicznych odnoszących się do danych dotyczących instalacji, jeżeli jest inna niż w lit. a):</v>
      </c>
      <c r="F82" s="1370"/>
      <c r="G82" s="1370"/>
      <c r="H82" s="1370"/>
      <c r="I82" s="1370"/>
      <c r="J82" s="1370"/>
      <c r="K82" s="1370"/>
      <c r="L82" s="1370"/>
      <c r="M82" s="1370"/>
      <c r="N82" s="1370"/>
      <c r="O82" s="7"/>
    </row>
    <row r="83" spans="2:16" x14ac:dyDescent="0.2">
      <c r="B83" s="20"/>
      <c r="C83" s="20"/>
      <c r="D83" s="216"/>
      <c r="E83" s="214"/>
      <c r="F83" s="342" t="s">
        <v>2</v>
      </c>
      <c r="G83" s="1471" t="str">
        <f>Translations!$B$131</f>
        <v>Imię i nazwisko:</v>
      </c>
      <c r="H83" s="1472"/>
      <c r="I83" s="1473"/>
      <c r="J83" s="1562"/>
      <c r="K83" s="1563"/>
      <c r="L83" s="1563"/>
      <c r="M83" s="1563"/>
      <c r="N83" s="1563"/>
      <c r="O83" s="7"/>
    </row>
    <row r="84" spans="2:16" x14ac:dyDescent="0.2">
      <c r="B84" s="20"/>
      <c r="C84" s="20"/>
      <c r="D84" s="216"/>
      <c r="E84" s="214"/>
      <c r="F84" s="342" t="s">
        <v>3</v>
      </c>
      <c r="G84" s="1479" t="str">
        <f>Translations!$B$124</f>
        <v>E-mail:</v>
      </c>
      <c r="H84" s="1480"/>
      <c r="I84" s="1481"/>
      <c r="J84" s="1525"/>
      <c r="K84" s="1526"/>
      <c r="L84" s="1526"/>
      <c r="M84" s="1526"/>
      <c r="N84" s="1526"/>
      <c r="O84" s="7"/>
    </row>
    <row r="85" spans="2:16" x14ac:dyDescent="0.2">
      <c r="B85" s="20"/>
      <c r="C85" s="20"/>
      <c r="D85" s="216"/>
      <c r="E85" s="214"/>
      <c r="F85" s="342" t="s">
        <v>4</v>
      </c>
      <c r="G85" s="1479" t="str">
        <f>Translations!$B$125</f>
        <v>Telefon:</v>
      </c>
      <c r="H85" s="1480"/>
      <c r="I85" s="1481"/>
      <c r="J85" s="1525"/>
      <c r="K85" s="1526"/>
      <c r="L85" s="1526"/>
      <c r="M85" s="1526"/>
      <c r="N85" s="1526"/>
      <c r="O85" s="7"/>
    </row>
    <row r="86" spans="2:16" x14ac:dyDescent="0.2">
      <c r="B86" s="20"/>
      <c r="C86" s="20"/>
      <c r="D86" s="216"/>
      <c r="E86" s="214"/>
      <c r="F86" s="342" t="s">
        <v>6</v>
      </c>
      <c r="G86" s="1476" t="str">
        <f>Translations!$B$126</f>
        <v>Faks:</v>
      </c>
      <c r="H86" s="1477"/>
      <c r="I86" s="1478"/>
      <c r="J86" s="1467"/>
      <c r="K86" s="1468"/>
      <c r="L86" s="1468"/>
      <c r="M86" s="1468"/>
      <c r="N86" s="1468"/>
      <c r="O86" s="7"/>
    </row>
    <row r="87" spans="2:16" ht="5.0999999999999996" customHeight="1" x14ac:dyDescent="0.2">
      <c r="B87" s="3"/>
      <c r="C87" s="3"/>
      <c r="D87" s="3"/>
      <c r="E87" s="3"/>
      <c r="F87" s="3"/>
      <c r="G87" s="3"/>
      <c r="H87" s="3"/>
      <c r="I87" s="3"/>
      <c r="J87" s="3"/>
      <c r="K87" s="3"/>
      <c r="L87" s="3"/>
      <c r="M87" s="7"/>
      <c r="N87" s="7"/>
      <c r="O87" s="7"/>
      <c r="P87" s="626"/>
    </row>
    <row r="88" spans="2:16" ht="15" x14ac:dyDescent="0.25">
      <c r="B88" s="20"/>
      <c r="C88" s="18">
        <v>3</v>
      </c>
      <c r="D88" s="1439" t="str">
        <f>Translations!$B$133</f>
        <v>Weryfikator wyznaczony do niniejszego raportu dotyczącego danych podstawowych:</v>
      </c>
      <c r="E88" s="1370"/>
      <c r="F88" s="1370"/>
      <c r="G88" s="1370"/>
      <c r="H88" s="1370"/>
      <c r="I88" s="1370"/>
      <c r="J88" s="1370"/>
      <c r="K88" s="1370"/>
      <c r="L88" s="1370"/>
      <c r="M88" s="1370"/>
      <c r="N88" s="1370"/>
      <c r="O88" s="7"/>
    </row>
    <row r="89" spans="2:16" ht="5.0999999999999996" customHeight="1" x14ac:dyDescent="0.2">
      <c r="B89" s="3"/>
      <c r="C89" s="3"/>
      <c r="D89" s="3"/>
      <c r="E89" s="3"/>
      <c r="F89" s="3"/>
      <c r="G89" s="3"/>
      <c r="H89" s="3"/>
      <c r="I89" s="3"/>
      <c r="J89" s="3"/>
      <c r="K89" s="3"/>
      <c r="L89" s="3"/>
      <c r="M89" s="7"/>
      <c r="N89" s="7"/>
      <c r="O89" s="7"/>
      <c r="P89" s="626"/>
    </row>
    <row r="90" spans="2:16" x14ac:dyDescent="0.2">
      <c r="B90" s="20"/>
      <c r="C90" s="20"/>
      <c r="D90" s="217" t="s">
        <v>173</v>
      </c>
      <c r="E90" s="1524" t="str">
        <f>Translations!$B$134</f>
        <v>Imię, nazwisko i adres weryfikatora niniejszego raportu dotyczącego danych podstawowych:</v>
      </c>
      <c r="F90" s="1370"/>
      <c r="G90" s="1370"/>
      <c r="H90" s="1370"/>
      <c r="I90" s="1370"/>
      <c r="J90" s="1370"/>
      <c r="K90" s="1370"/>
      <c r="L90" s="1370"/>
      <c r="M90" s="1370"/>
      <c r="N90" s="1370"/>
      <c r="O90" s="7"/>
    </row>
    <row r="91" spans="2:16" x14ac:dyDescent="0.2">
      <c r="B91" s="20"/>
      <c r="C91" s="20"/>
      <c r="D91" s="218"/>
      <c r="E91" s="217"/>
      <c r="F91" s="342" t="s">
        <v>2</v>
      </c>
      <c r="G91" s="1569" t="str">
        <f>Translations!$B$135</f>
        <v>Nazwa przedsiębiorstwa:</v>
      </c>
      <c r="H91" s="1569"/>
      <c r="I91" s="1570"/>
      <c r="J91" s="1474"/>
      <c r="K91" s="1475"/>
      <c r="L91" s="1475"/>
      <c r="M91" s="1475"/>
      <c r="N91" s="1475"/>
      <c r="O91" s="7"/>
    </row>
    <row r="92" spans="2:16" x14ac:dyDescent="0.2">
      <c r="B92" s="20"/>
      <c r="C92" s="20"/>
      <c r="D92" s="218"/>
      <c r="E92" s="219"/>
      <c r="F92" s="342" t="s">
        <v>3</v>
      </c>
      <c r="G92" s="1479" t="str">
        <f>Translations!$B$119</f>
        <v>Ulica, numer:</v>
      </c>
      <c r="H92" s="1480"/>
      <c r="I92" s="1481"/>
      <c r="J92" s="1469"/>
      <c r="K92" s="1470"/>
      <c r="L92" s="1470"/>
      <c r="M92" s="1470"/>
      <c r="N92" s="1470"/>
      <c r="O92" s="7"/>
    </row>
    <row r="93" spans="2:16" x14ac:dyDescent="0.2">
      <c r="B93" s="20"/>
      <c r="C93" s="20"/>
      <c r="D93" s="220"/>
      <c r="E93" s="219"/>
      <c r="F93" s="342" t="s">
        <v>4</v>
      </c>
      <c r="G93" s="1482" t="str">
        <f>Translations!$B$121</f>
        <v>Miejscowość:</v>
      </c>
      <c r="H93" s="1480"/>
      <c r="I93" s="1481"/>
      <c r="J93" s="1469"/>
      <c r="K93" s="1470"/>
      <c r="L93" s="1470"/>
      <c r="M93" s="1470"/>
      <c r="N93" s="1470"/>
      <c r="O93" s="7"/>
    </row>
    <row r="94" spans="2:16" x14ac:dyDescent="0.2">
      <c r="B94" s="20"/>
      <c r="C94" s="20"/>
      <c r="D94" s="220"/>
      <c r="E94" s="219"/>
      <c r="F94" s="342" t="s">
        <v>6</v>
      </c>
      <c r="G94" s="1482" t="str">
        <f>Translations!$B$136</f>
        <v>Kod pocztowy:</v>
      </c>
      <c r="H94" s="1480"/>
      <c r="I94" s="1481"/>
      <c r="J94" s="1469"/>
      <c r="K94" s="1470"/>
      <c r="L94" s="1470"/>
      <c r="M94" s="1470"/>
      <c r="N94" s="1470"/>
      <c r="O94" s="7"/>
    </row>
    <row r="95" spans="2:16" x14ac:dyDescent="0.2">
      <c r="B95" s="20"/>
      <c r="C95" s="20"/>
      <c r="D95" s="220"/>
      <c r="E95" s="219"/>
      <c r="F95" s="342" t="s">
        <v>316</v>
      </c>
      <c r="G95" s="1493" t="str">
        <f>Translations!$B$122</f>
        <v>Państwo:</v>
      </c>
      <c r="H95" s="1477"/>
      <c r="I95" s="1478"/>
      <c r="J95" s="1567"/>
      <c r="K95" s="1568"/>
      <c r="L95" s="1568"/>
      <c r="M95" s="1568"/>
      <c r="N95" s="1568"/>
      <c r="O95" s="7"/>
    </row>
    <row r="96" spans="2:16" ht="5.0999999999999996" customHeight="1" x14ac:dyDescent="0.2">
      <c r="B96" s="3"/>
      <c r="C96" s="3"/>
      <c r="D96" s="3"/>
      <c r="E96" s="3"/>
      <c r="F96" s="3"/>
      <c r="G96" s="7"/>
      <c r="H96" s="7"/>
      <c r="I96" s="3"/>
      <c r="J96" s="3"/>
      <c r="K96" s="3"/>
      <c r="L96" s="3"/>
      <c r="M96" s="7"/>
      <c r="N96" s="7"/>
      <c r="O96" s="7"/>
      <c r="P96" s="626"/>
    </row>
    <row r="97" spans="2:16" x14ac:dyDescent="0.2">
      <c r="B97" s="20"/>
      <c r="C97" s="20"/>
      <c r="D97" s="217" t="s">
        <v>353</v>
      </c>
      <c r="E97" s="1489" t="str">
        <f>Translations!$B$137</f>
        <v>Upoważniony przedstawiciel weryfikatora:</v>
      </c>
      <c r="F97" s="1370"/>
      <c r="G97" s="1370"/>
      <c r="H97" s="1370"/>
      <c r="I97" s="1370"/>
      <c r="J97" s="1370"/>
      <c r="K97" s="1370"/>
      <c r="L97" s="1370"/>
      <c r="M97" s="1370"/>
      <c r="N97" s="1370"/>
      <c r="O97" s="7"/>
    </row>
    <row r="98" spans="2:16" x14ac:dyDescent="0.2">
      <c r="B98" s="20"/>
      <c r="C98" s="20"/>
      <c r="D98" s="220"/>
      <c r="E98" s="1408" t="str">
        <f>Translations!$B$138</f>
        <v>Wyznaczona osoba powinna znać treść niniejszego raportu. Najlepiej, aby był to główny weryfikator wyznaczony do niniejszego raportu.</v>
      </c>
      <c r="F98" s="1370"/>
      <c r="G98" s="1370"/>
      <c r="H98" s="1370"/>
      <c r="I98" s="1370"/>
      <c r="J98" s="1370"/>
      <c r="K98" s="1370"/>
      <c r="L98" s="1370"/>
      <c r="M98" s="1370"/>
      <c r="N98" s="1370"/>
      <c r="O98" s="7"/>
    </row>
    <row r="99" spans="2:16" x14ac:dyDescent="0.2">
      <c r="B99" s="20"/>
      <c r="C99" s="20"/>
      <c r="D99" s="220"/>
      <c r="E99" s="219"/>
      <c r="F99" s="342" t="s">
        <v>2</v>
      </c>
      <c r="G99" s="1569" t="str">
        <f>Translations!$B$131</f>
        <v>Imię i nazwisko:</v>
      </c>
      <c r="H99" s="1569"/>
      <c r="I99" s="1570"/>
      <c r="J99" s="1474"/>
      <c r="K99" s="1475"/>
      <c r="L99" s="1475"/>
      <c r="M99" s="1475"/>
      <c r="N99" s="1475"/>
      <c r="O99" s="7"/>
    </row>
    <row r="100" spans="2:16" x14ac:dyDescent="0.2">
      <c r="B100" s="20"/>
      <c r="C100" s="20"/>
      <c r="D100" s="218"/>
      <c r="E100" s="219"/>
      <c r="F100" s="342" t="s">
        <v>3</v>
      </c>
      <c r="G100" s="1482" t="str">
        <f>Translations!$B$139</f>
        <v>E-mail:</v>
      </c>
      <c r="H100" s="1482"/>
      <c r="I100" s="1492"/>
      <c r="J100" s="1469"/>
      <c r="K100" s="1470"/>
      <c r="L100" s="1470"/>
      <c r="M100" s="1470"/>
      <c r="N100" s="1470"/>
      <c r="O100" s="7"/>
    </row>
    <row r="101" spans="2:16" x14ac:dyDescent="0.2">
      <c r="B101" s="20"/>
      <c r="C101" s="20"/>
      <c r="D101" s="218"/>
      <c r="E101" s="219"/>
      <c r="F101" s="342" t="s">
        <v>4</v>
      </c>
      <c r="G101" s="1482" t="str">
        <f>Translations!$B$140</f>
        <v>Numer telefonu:</v>
      </c>
      <c r="H101" s="1482"/>
      <c r="I101" s="1492"/>
      <c r="J101" s="1469"/>
      <c r="K101" s="1470"/>
      <c r="L101" s="1470"/>
      <c r="M101" s="1470"/>
      <c r="N101" s="1470"/>
      <c r="O101" s="7"/>
    </row>
    <row r="102" spans="2:16" x14ac:dyDescent="0.2">
      <c r="B102" s="20"/>
      <c r="C102" s="20"/>
      <c r="D102" s="216"/>
      <c r="E102" s="214"/>
      <c r="F102" s="342" t="s">
        <v>6</v>
      </c>
      <c r="G102" s="1476" t="str">
        <f>Translations!$B$126</f>
        <v>Faks:</v>
      </c>
      <c r="H102" s="1477"/>
      <c r="I102" s="1478"/>
      <c r="J102" s="1490"/>
      <c r="K102" s="1491"/>
      <c r="L102" s="1491"/>
      <c r="M102" s="1491"/>
      <c r="N102" s="1491"/>
      <c r="O102" s="7"/>
    </row>
    <row r="103" spans="2:16" ht="5.0999999999999996" customHeight="1" x14ac:dyDescent="0.2">
      <c r="B103" s="3"/>
      <c r="C103" s="3"/>
      <c r="D103" s="3"/>
      <c r="E103" s="3"/>
      <c r="F103" s="3"/>
      <c r="G103" s="3"/>
      <c r="H103" s="3"/>
      <c r="I103" s="3"/>
      <c r="J103" s="3"/>
      <c r="K103" s="3"/>
      <c r="L103" s="3"/>
      <c r="M103" s="7"/>
      <c r="N103" s="7"/>
      <c r="O103" s="7"/>
      <c r="P103" s="626"/>
    </row>
    <row r="104" spans="2:16" ht="12.75" customHeight="1" x14ac:dyDescent="0.2">
      <c r="B104" s="20"/>
      <c r="C104" s="20"/>
      <c r="D104" s="217" t="s">
        <v>11</v>
      </c>
      <c r="E104" s="1489" t="str">
        <f>Translations!$B$141</f>
        <v>Informacje dotyczące akredytacji weryfikatora:</v>
      </c>
      <c r="F104" s="1370"/>
      <c r="G104" s="1370"/>
      <c r="H104" s="1370"/>
      <c r="I104" s="1370"/>
      <c r="J104" s="1370"/>
      <c r="K104" s="1370"/>
      <c r="L104" s="1370"/>
      <c r="M104" s="1370"/>
      <c r="N104" s="1370"/>
      <c r="O104" s="7"/>
    </row>
    <row r="105" spans="2:16" x14ac:dyDescent="0.2">
      <c r="B105" s="20"/>
      <c r="C105" s="20"/>
      <c r="D105" s="218"/>
      <c r="E105" s="217"/>
      <c r="F105" s="342" t="s">
        <v>2</v>
      </c>
      <c r="G105" s="1569" t="str">
        <f>Translations!$B$142</f>
        <v>Akredytujące państwo członkowskie:</v>
      </c>
      <c r="H105" s="1569"/>
      <c r="I105" s="1570"/>
      <c r="J105" s="1474"/>
      <c r="K105" s="1475"/>
      <c r="L105" s="1475"/>
      <c r="M105" s="1475"/>
      <c r="N105" s="1475"/>
      <c r="O105" s="7"/>
    </row>
    <row r="106" spans="2:16" x14ac:dyDescent="0.2">
      <c r="B106" s="20"/>
      <c r="C106" s="20"/>
      <c r="D106" s="218"/>
      <c r="E106" s="217"/>
      <c r="F106" s="342" t="s">
        <v>3</v>
      </c>
      <c r="G106" s="1482" t="str">
        <f>Translations!$B$143</f>
        <v>Nazwa krajowej jednostki akredytującej:</v>
      </c>
      <c r="H106" s="1482"/>
      <c r="I106" s="1492"/>
      <c r="J106" s="1469"/>
      <c r="K106" s="1470"/>
      <c r="L106" s="1470"/>
      <c r="M106" s="1470"/>
      <c r="N106" s="1470"/>
      <c r="O106" s="7"/>
    </row>
    <row r="107" spans="2:16" ht="25.5" customHeight="1" x14ac:dyDescent="0.2">
      <c r="B107" s="20"/>
      <c r="C107" s="20"/>
      <c r="D107" s="218"/>
      <c r="E107" s="217"/>
      <c r="F107" s="342" t="s">
        <v>4</v>
      </c>
      <c r="G107" s="1493" t="str">
        <f>Translations!$B$144</f>
        <v>Numer rejestracyjny wydany przez jednostkę akredytującą:</v>
      </c>
      <c r="H107" s="1493"/>
      <c r="I107" s="1494"/>
      <c r="J107" s="1567"/>
      <c r="K107" s="1568"/>
      <c r="L107" s="1568"/>
      <c r="M107" s="1568"/>
      <c r="N107" s="1568"/>
      <c r="O107" s="7"/>
    </row>
    <row r="108" spans="2:16" ht="5.0999999999999996" customHeight="1" x14ac:dyDescent="0.2">
      <c r="B108" s="3"/>
      <c r="C108" s="3"/>
      <c r="D108" s="3"/>
      <c r="E108" s="3"/>
      <c r="F108" s="3"/>
      <c r="G108" s="7"/>
      <c r="H108" s="7"/>
      <c r="I108" s="3"/>
      <c r="J108" s="3"/>
      <c r="K108" s="3"/>
      <c r="L108" s="3"/>
      <c r="M108" s="7"/>
      <c r="N108" s="7"/>
      <c r="O108" s="7"/>
      <c r="P108" s="626"/>
    </row>
    <row r="109" spans="2:16" ht="15" x14ac:dyDescent="0.25">
      <c r="B109" s="20"/>
      <c r="C109" s="18">
        <v>4</v>
      </c>
      <c r="D109" s="1439" t="str">
        <f>Translations!$B$145</f>
        <v>Dalsze informacje dotyczące instalacji:</v>
      </c>
      <c r="E109" s="1370"/>
      <c r="F109" s="1370"/>
      <c r="G109" s="1370"/>
      <c r="H109" s="1370"/>
      <c r="I109" s="1370"/>
      <c r="J109" s="1370"/>
      <c r="K109" s="1370"/>
      <c r="L109" s="1370"/>
      <c r="M109" s="1370"/>
      <c r="N109" s="1370"/>
      <c r="O109" s="7"/>
    </row>
    <row r="110" spans="2:16" ht="5.0999999999999996" customHeight="1" x14ac:dyDescent="0.2">
      <c r="B110" s="3"/>
      <c r="C110" s="3"/>
      <c r="D110" s="3"/>
      <c r="E110" s="3"/>
      <c r="F110" s="3"/>
      <c r="G110" s="3"/>
      <c r="H110" s="3"/>
      <c r="I110" s="3"/>
      <c r="J110" s="3"/>
      <c r="K110" s="3"/>
      <c r="L110" s="3"/>
      <c r="M110" s="7"/>
      <c r="N110" s="7"/>
      <c r="O110" s="7"/>
      <c r="P110" s="626"/>
    </row>
    <row r="111" spans="2:16" x14ac:dyDescent="0.2">
      <c r="B111" s="20"/>
      <c r="C111" s="20"/>
      <c r="D111" s="213" t="s">
        <v>173</v>
      </c>
      <c r="E111" s="1375" t="str">
        <f>Translations!$B$146</f>
        <v>Działania zgodnie z załącznikiem I do dyrektywy w sprawie EU ETS:</v>
      </c>
      <c r="F111" s="1370"/>
      <c r="G111" s="1370"/>
      <c r="H111" s="1370"/>
      <c r="I111" s="1370"/>
      <c r="J111" s="1370"/>
      <c r="K111" s="1370"/>
      <c r="L111" s="1370"/>
      <c r="M111" s="1370"/>
      <c r="N111" s="1370"/>
      <c r="O111" s="7"/>
    </row>
    <row r="112" spans="2:16" x14ac:dyDescent="0.2">
      <c r="B112" s="20"/>
      <c r="C112" s="20"/>
      <c r="D112" s="16"/>
      <c r="E112" s="1408" t="str">
        <f>Translations!$B$147</f>
        <v>Informacje te są istotne dla właściwych organów, ponieważ mogły zaistnieć zmiany w porównaniu z poprzednimi etapami ETS.</v>
      </c>
      <c r="F112" s="1370"/>
      <c r="G112" s="1370"/>
      <c r="H112" s="1370"/>
      <c r="I112" s="1370"/>
      <c r="J112" s="1370"/>
      <c r="K112" s="1370"/>
      <c r="L112" s="1370"/>
      <c r="M112" s="1370"/>
      <c r="N112" s="1370"/>
      <c r="O112" s="7"/>
    </row>
    <row r="113" spans="2:16" x14ac:dyDescent="0.2">
      <c r="B113" s="20"/>
      <c r="C113" s="20"/>
      <c r="D113" s="16"/>
      <c r="E113" s="1408" t="str">
        <f>Translations!$B$148</f>
        <v>W miarę możliwości należy uporządkować listę według emisji bezpośrednich, zaczynając od działania powodującego najwyższe emisje bezpośrednie.</v>
      </c>
      <c r="F113" s="1370"/>
      <c r="G113" s="1370"/>
      <c r="H113" s="1370"/>
      <c r="I113" s="1370"/>
      <c r="J113" s="1370"/>
      <c r="K113" s="1370"/>
      <c r="L113" s="1370"/>
      <c r="M113" s="1370"/>
      <c r="N113" s="1370"/>
      <c r="O113" s="7"/>
    </row>
    <row r="114" spans="2:16" ht="13.5" thickBot="1" x14ac:dyDescent="0.25">
      <c r="B114" s="20"/>
      <c r="C114" s="20"/>
      <c r="D114" s="216"/>
      <c r="E114" s="221" t="str">
        <f>Translations!$B$149</f>
        <v>Numer</v>
      </c>
      <c r="F114" s="222" t="str">
        <f>Translations!$B$150</f>
        <v>Nazwa działania (załącznik I do dyrektywy w sprawie EU ETS)</v>
      </c>
      <c r="G114" s="223"/>
      <c r="H114" s="224"/>
      <c r="I114" s="224"/>
      <c r="J114" s="225"/>
      <c r="K114" s="225"/>
      <c r="L114" s="225"/>
      <c r="M114" s="22"/>
      <c r="N114" s="22"/>
      <c r="O114" s="7"/>
      <c r="P114" s="430" t="s">
        <v>310</v>
      </c>
    </row>
    <row r="115" spans="2:16" ht="25.5" customHeight="1" x14ac:dyDescent="0.2">
      <c r="B115" s="20"/>
      <c r="C115" s="20"/>
      <c r="D115" s="216"/>
      <c r="E115" s="226">
        <v>1</v>
      </c>
      <c r="F115" s="1485" t="s">
        <v>3551</v>
      </c>
      <c r="G115" s="1486"/>
      <c r="H115" s="1486"/>
      <c r="I115" s="1486"/>
      <c r="J115" s="1486"/>
      <c r="K115" s="1486"/>
      <c r="L115" s="1486"/>
      <c r="M115" s="1486"/>
      <c r="N115" s="1486"/>
      <c r="O115" s="7"/>
      <c r="P115" s="629">
        <f t="shared" ref="P115:P120" si="0">IF(ISBLANK(F115),"",MATCH(F115,EUconst_AnnexIActivities,0))</f>
        <v>1</v>
      </c>
    </row>
    <row r="116" spans="2:16" ht="25.5" customHeight="1" x14ac:dyDescent="0.2">
      <c r="B116" s="20"/>
      <c r="C116" s="20"/>
      <c r="D116" s="216"/>
      <c r="E116" s="227">
        <f>E115+1</f>
        <v>2</v>
      </c>
      <c r="F116" s="1483"/>
      <c r="G116" s="1484"/>
      <c r="H116" s="1484"/>
      <c r="I116" s="1484"/>
      <c r="J116" s="1484"/>
      <c r="K116" s="1484"/>
      <c r="L116" s="1484"/>
      <c r="M116" s="1484"/>
      <c r="N116" s="1484"/>
      <c r="O116" s="7"/>
      <c r="P116" s="630" t="str">
        <f t="shared" si="0"/>
        <v/>
      </c>
    </row>
    <row r="117" spans="2:16" ht="25.5" customHeight="1" x14ac:dyDescent="0.2">
      <c r="B117" s="20"/>
      <c r="C117" s="20"/>
      <c r="D117" s="216"/>
      <c r="E117" s="227">
        <f>E116+1</f>
        <v>3</v>
      </c>
      <c r="F117" s="1483"/>
      <c r="G117" s="1484"/>
      <c r="H117" s="1484"/>
      <c r="I117" s="1484"/>
      <c r="J117" s="1484"/>
      <c r="K117" s="1484"/>
      <c r="L117" s="1484"/>
      <c r="M117" s="1484"/>
      <c r="N117" s="1484"/>
      <c r="O117" s="7"/>
      <c r="P117" s="630" t="str">
        <f t="shared" si="0"/>
        <v/>
      </c>
    </row>
    <row r="118" spans="2:16" ht="25.5" customHeight="1" x14ac:dyDescent="0.2">
      <c r="B118" s="20"/>
      <c r="C118" s="20"/>
      <c r="D118" s="216"/>
      <c r="E118" s="227">
        <f>E117+1</f>
        <v>4</v>
      </c>
      <c r="F118" s="1483"/>
      <c r="G118" s="1484"/>
      <c r="H118" s="1484"/>
      <c r="I118" s="1484"/>
      <c r="J118" s="1484"/>
      <c r="K118" s="1484"/>
      <c r="L118" s="1484"/>
      <c r="M118" s="1484"/>
      <c r="N118" s="1484"/>
      <c r="O118" s="7"/>
      <c r="P118" s="630" t="str">
        <f t="shared" si="0"/>
        <v/>
      </c>
    </row>
    <row r="119" spans="2:16" ht="25.5" customHeight="1" x14ac:dyDescent="0.2">
      <c r="B119" s="20"/>
      <c r="C119" s="20"/>
      <c r="D119" s="216"/>
      <c r="E119" s="227">
        <f>E118+1</f>
        <v>5</v>
      </c>
      <c r="F119" s="1483"/>
      <c r="G119" s="1484"/>
      <c r="H119" s="1484"/>
      <c r="I119" s="1484"/>
      <c r="J119" s="1484"/>
      <c r="K119" s="1484"/>
      <c r="L119" s="1484"/>
      <c r="M119" s="1484"/>
      <c r="N119" s="1484"/>
      <c r="O119" s="7"/>
      <c r="P119" s="630" t="str">
        <f t="shared" si="0"/>
        <v/>
      </c>
    </row>
    <row r="120" spans="2:16" ht="25.5" customHeight="1" thickBot="1" x14ac:dyDescent="0.25">
      <c r="B120" s="20"/>
      <c r="C120" s="20"/>
      <c r="D120" s="216"/>
      <c r="E120" s="228">
        <v>6</v>
      </c>
      <c r="F120" s="1487"/>
      <c r="G120" s="1488"/>
      <c r="H120" s="1488"/>
      <c r="I120" s="1488"/>
      <c r="J120" s="1488"/>
      <c r="K120" s="1488"/>
      <c r="L120" s="1488"/>
      <c r="M120" s="1488"/>
      <c r="N120" s="1488"/>
      <c r="O120" s="7"/>
      <c r="P120" s="631" t="str">
        <f t="shared" si="0"/>
        <v/>
      </c>
    </row>
    <row r="121" spans="2:16" ht="5.0999999999999996" customHeight="1" x14ac:dyDescent="0.2">
      <c r="B121" s="20"/>
      <c r="C121" s="20"/>
      <c r="D121" s="216"/>
      <c r="E121" s="214"/>
      <c r="F121" s="16"/>
      <c r="G121" s="16"/>
      <c r="H121" s="7"/>
      <c r="I121" s="7"/>
      <c r="J121" s="215"/>
      <c r="K121" s="215"/>
      <c r="L121" s="215"/>
      <c r="M121" s="20"/>
      <c r="N121" s="20"/>
      <c r="O121" s="7"/>
    </row>
    <row r="122" spans="2:16" x14ac:dyDescent="0.2">
      <c r="B122" s="20"/>
      <c r="C122" s="20"/>
      <c r="D122" s="213" t="s">
        <v>353</v>
      </c>
      <c r="E122" s="1375" t="str">
        <f>Translations!$B$151</f>
        <v>Pod jakim kodem NACE Państwa przedsiębiorstwo zgłosiło wartość dodaną na potrzeby statystyki strukturalnej dotyczącej przedsiębiorstw?</v>
      </c>
      <c r="F122" s="1370"/>
      <c r="G122" s="1370"/>
      <c r="H122" s="1370"/>
      <c r="I122" s="1370"/>
      <c r="J122" s="1370"/>
      <c r="K122" s="1370"/>
      <c r="L122" s="1370"/>
      <c r="M122" s="1370"/>
      <c r="N122" s="1370"/>
      <c r="O122" s="7"/>
    </row>
    <row r="123" spans="2:16" x14ac:dyDescent="0.2">
      <c r="B123" s="20"/>
      <c r="C123" s="20"/>
      <c r="D123" s="16"/>
      <c r="E123" s="1408" t="str">
        <f>Translations!$B$152</f>
        <v>Jeśli nie mają Państwo pewności, jakie wartości należy podać, proszę skontaktować się z właściwym krajowym urzędem statystycznym.</v>
      </c>
      <c r="F123" s="1370"/>
      <c r="G123" s="1370"/>
      <c r="H123" s="1370"/>
      <c r="I123" s="1370"/>
      <c r="J123" s="1370"/>
      <c r="K123" s="1370"/>
      <c r="L123" s="1370"/>
      <c r="M123" s="1370"/>
      <c r="N123" s="1370"/>
      <c r="O123" s="7"/>
    </row>
    <row r="124" spans="2:16" ht="12.75" customHeight="1" x14ac:dyDescent="0.2">
      <c r="B124" s="20"/>
      <c r="C124" s="20"/>
      <c r="D124" s="16"/>
      <c r="E124" s="1408" t="str">
        <f>Translations!$B$153</f>
        <v xml:space="preserve">Klasyfikację NACE Rev. 2.0 można znaleźć pod adresem: </v>
      </c>
      <c r="F124" s="1370"/>
      <c r="G124" s="1370"/>
      <c r="H124" s="1370"/>
      <c r="I124" s="1370"/>
      <c r="J124" s="1370"/>
      <c r="K124" s="1370"/>
      <c r="L124" s="1370"/>
      <c r="M124" s="1370"/>
      <c r="N124" s="1370"/>
      <c r="O124" s="7"/>
    </row>
    <row r="125" spans="2:16" ht="12.75" customHeight="1" x14ac:dyDescent="0.2">
      <c r="B125" s="20"/>
      <c r="C125" s="20"/>
      <c r="D125" s="16"/>
      <c r="E125" s="1455" t="str">
        <f>Translations!$B$154</f>
        <v>http://ec.europa.eu/eurostat/ramon/nomenclatures/index.cfm?TargetUrl=LST_CLS_DLD&amp;StrNom=NACE_REV2&amp;StrLanguageCode=EN&amp;StrLayoutCode=HIERARCHIChttp://ec.europa.eu/eurostat/ramon/nomenclatures/index.cfm?TargetUrl=LST_CLS_DLD&amp;StrNom=NACE_REV2&amp;StrLanguageCode=EN&amp;StrLayoutCode=HIERARCHIC</v>
      </c>
      <c r="F125" s="1455"/>
      <c r="G125" s="1455"/>
      <c r="H125" s="1455"/>
      <c r="I125" s="1455"/>
      <c r="J125" s="1455"/>
      <c r="K125" s="1455"/>
      <c r="L125" s="1455"/>
      <c r="M125" s="1455"/>
      <c r="N125" s="1455"/>
      <c r="O125" s="7"/>
    </row>
    <row r="126" spans="2:16" x14ac:dyDescent="0.2">
      <c r="B126" s="20"/>
      <c r="C126" s="20"/>
      <c r="D126" s="16"/>
      <c r="E126" s="1448" t="str">
        <f>Translations!$B$155</f>
        <v>Kody NACE należy wpisywać w formacie 4-cyfrowym („nnnn”), tj. bez kropek ani innych separatorów.</v>
      </c>
      <c r="F126" s="1434"/>
      <c r="G126" s="1434"/>
      <c r="H126" s="1434"/>
      <c r="I126" s="1434"/>
      <c r="J126" s="1434"/>
      <c r="K126" s="1434"/>
      <c r="L126" s="1434"/>
      <c r="M126" s="1434"/>
      <c r="N126" s="1434"/>
      <c r="O126" s="7"/>
    </row>
    <row r="127" spans="2:16" x14ac:dyDescent="0.2">
      <c r="B127" s="20"/>
      <c r="C127" s="20"/>
      <c r="D127" s="16"/>
      <c r="E127" s="1408" t="str">
        <f>Translations!$B$156</f>
        <v>W przypadku niewpisania dokładnie 4 cyfr otrzymają Państwo komunikat o błędzie.</v>
      </c>
      <c r="F127" s="1370"/>
      <c r="G127" s="1370"/>
      <c r="H127" s="1370"/>
      <c r="I127" s="1370"/>
      <c r="J127" s="1370"/>
      <c r="K127" s="1370"/>
      <c r="L127" s="1370"/>
      <c r="M127" s="1370"/>
      <c r="N127" s="1370"/>
      <c r="O127" s="7"/>
    </row>
    <row r="128" spans="2:16" x14ac:dyDescent="0.2">
      <c r="B128" s="20"/>
      <c r="C128" s="20"/>
      <c r="D128" s="216"/>
      <c r="E128" s="340"/>
      <c r="F128" s="1465" t="str">
        <f>Translations!$B$157</f>
        <v>Kod NACE zgłaszany zgodnie z klasyfikacją NACE Rev. 2:</v>
      </c>
      <c r="G128" s="1370"/>
      <c r="H128" s="1370"/>
      <c r="I128" s="1370"/>
      <c r="J128" s="1370"/>
      <c r="K128" s="1432"/>
      <c r="L128" s="360" t="s">
        <v>3685</v>
      </c>
      <c r="M128" s="20"/>
      <c r="N128" s="20"/>
      <c r="O128" s="7"/>
      <c r="P128" s="806" t="s">
        <v>561</v>
      </c>
    </row>
    <row r="129" spans="1:24" ht="5.0999999999999996" customHeight="1" x14ac:dyDescent="0.2">
      <c r="B129" s="20"/>
      <c r="C129" s="20"/>
      <c r="D129" s="216"/>
      <c r="E129" s="214"/>
      <c r="F129" s="16"/>
      <c r="G129" s="16"/>
      <c r="H129" s="7"/>
      <c r="I129" s="7"/>
      <c r="J129" s="215"/>
      <c r="K129" s="215"/>
      <c r="L129" s="215"/>
      <c r="M129" s="20"/>
      <c r="N129" s="20"/>
      <c r="O129" s="7"/>
    </row>
    <row r="130" spans="1:24" x14ac:dyDescent="0.2">
      <c r="B130" s="20"/>
      <c r="C130" s="20"/>
      <c r="D130" s="213" t="s">
        <v>11</v>
      </c>
      <c r="E130" s="1375" t="str">
        <f>Translations!$B$158</f>
        <v>Proszę podać kod identyfikacyjny instalacji w EPRTR (w stosownych przypadkach):</v>
      </c>
      <c r="F130" s="1370"/>
      <c r="G130" s="1370"/>
      <c r="H130" s="1370"/>
      <c r="I130" s="1370"/>
      <c r="J130" s="1370"/>
      <c r="K130" s="1432"/>
      <c r="L130" s="1571"/>
      <c r="M130" s="1572"/>
      <c r="N130" s="1573"/>
      <c r="O130" s="7"/>
    </row>
    <row r="131" spans="1:24" x14ac:dyDescent="0.2">
      <c r="B131" s="20"/>
      <c r="C131" s="20"/>
      <c r="D131" s="16"/>
      <c r="E131" s="1408" t="str">
        <f>Translations!$B$159</f>
        <v>EPRTR to Europejski Rejestr Uwalniania i Transferu Zanieczyszczeń.</v>
      </c>
      <c r="F131" s="1370"/>
      <c r="G131" s="1370"/>
      <c r="H131" s="1370"/>
      <c r="I131" s="1370"/>
      <c r="J131" s="1370"/>
      <c r="K131" s="1370"/>
      <c r="L131" s="1370"/>
      <c r="M131" s="1370"/>
      <c r="N131" s="1370"/>
      <c r="O131" s="7"/>
    </row>
    <row r="132" spans="1:24" x14ac:dyDescent="0.2">
      <c r="B132" s="20"/>
      <c r="C132" s="20"/>
      <c r="D132" s="16"/>
      <c r="E132" s="1408" t="str">
        <f>Translations!$B$160</f>
        <v>Informacja ta jest potrzebna właściwym organom do przeprowadzenia kontroli spójności oraz zestawienia źródeł informacji dotyczących środowiska.</v>
      </c>
      <c r="F132" s="1370"/>
      <c r="G132" s="1370"/>
      <c r="H132" s="1370"/>
      <c r="I132" s="1370"/>
      <c r="J132" s="1370"/>
      <c r="K132" s="1370"/>
      <c r="L132" s="1370"/>
      <c r="M132" s="1370"/>
      <c r="N132" s="1370"/>
      <c r="O132" s="7"/>
    </row>
    <row r="133" spans="1:24" ht="5.0999999999999996" customHeight="1" x14ac:dyDescent="0.2">
      <c r="B133" s="3"/>
      <c r="C133" s="3"/>
      <c r="D133" s="3"/>
      <c r="E133" s="3"/>
      <c r="F133" s="3"/>
      <c r="G133" s="3"/>
      <c r="H133" s="3"/>
      <c r="I133" s="3"/>
      <c r="J133" s="3"/>
      <c r="K133" s="3"/>
      <c r="L133" s="3"/>
      <c r="M133" s="7"/>
      <c r="N133" s="7"/>
      <c r="O133" s="7"/>
      <c r="P133" s="626"/>
    </row>
    <row r="134" spans="1:24" ht="12.75" customHeight="1" x14ac:dyDescent="0.2">
      <c r="B134" s="20"/>
      <c r="C134" s="20"/>
      <c r="D134" s="213" t="s">
        <v>356</v>
      </c>
      <c r="E134" s="1375" t="str">
        <f>Translations!$B$161</f>
        <v>Kwalifikowalność do wyłączenia na podstawie art. 27 dyrektywy w sprawie EU ETS</v>
      </c>
      <c r="F134" s="1370"/>
      <c r="G134" s="1370"/>
      <c r="H134" s="1370"/>
      <c r="I134" s="1370"/>
      <c r="J134" s="1370"/>
      <c r="K134" s="1370"/>
      <c r="L134" s="1370"/>
      <c r="M134" s="1370"/>
      <c r="N134" s="1370"/>
      <c r="O134" s="7"/>
    </row>
    <row r="135" spans="1:24" x14ac:dyDescent="0.2">
      <c r="B135" s="20"/>
      <c r="C135" s="20"/>
      <c r="D135" s="213"/>
      <c r="E135" s="1408" t="str">
        <f>Translations!$B$162</f>
        <v>Na podstawie art. 27 dyrektywy w sprawie EU ETS następujące rodzaje instalacji mogą zostać wyłączone z EU ETS, jeżeli zastosują równoważne środki:</v>
      </c>
      <c r="F135" s="1370"/>
      <c r="G135" s="1370"/>
      <c r="H135" s="1370"/>
      <c r="I135" s="1370"/>
      <c r="J135" s="1370"/>
      <c r="K135" s="1370"/>
      <c r="L135" s="1370"/>
      <c r="M135" s="1370"/>
      <c r="N135" s="1370"/>
      <c r="O135" s="7"/>
    </row>
    <row r="136" spans="1:24" ht="25.5" customHeight="1" x14ac:dyDescent="0.2">
      <c r="B136" s="20"/>
      <c r="C136" s="20"/>
      <c r="D136" s="213"/>
      <c r="E136" s="123" t="s">
        <v>408</v>
      </c>
      <c r="F136" s="1408" t="str">
        <f>Translations!$B$163</f>
        <v>instalacje, w których przypadku zgłoszone właściwemu organowi emisje, z pominięciem emisji z biomasy, w każdym z ostatnich trzech lat wynosiły mniej niż 25 000 ton ekwiwalentu dwutlenku węgla i które podczas spalania mają nominalną moc cieplną poniżej 35 MW.</v>
      </c>
      <c r="G136" s="1370"/>
      <c r="H136" s="1370"/>
      <c r="I136" s="1370"/>
      <c r="J136" s="1370"/>
      <c r="K136" s="1370"/>
      <c r="L136" s="1370"/>
      <c r="M136" s="1370"/>
      <c r="N136" s="1370"/>
      <c r="O136" s="7"/>
    </row>
    <row r="137" spans="1:24" ht="12.75" customHeight="1" x14ac:dyDescent="0.2">
      <c r="B137" s="20"/>
      <c r="C137" s="20"/>
      <c r="D137" s="213"/>
      <c r="E137" s="123"/>
      <c r="F137" s="1408" t="str">
        <f>Translations!$B$164</f>
        <v>W przypadku gromadzenia danych w 2019 r. te trzy lata to 2016–2018. W przypadku gromadzenia danych w 2024 r. te trzy lata to 2021–2023.</v>
      </c>
      <c r="G137" s="1370"/>
      <c r="H137" s="1370"/>
      <c r="I137" s="1370"/>
      <c r="J137" s="1370"/>
      <c r="K137" s="1370"/>
      <c r="L137" s="1370"/>
      <c r="M137" s="1370"/>
      <c r="N137" s="1370"/>
      <c r="O137" s="7"/>
    </row>
    <row r="138" spans="1:24" x14ac:dyDescent="0.2">
      <c r="B138" s="20"/>
      <c r="C138" s="20"/>
      <c r="D138" s="213"/>
      <c r="E138" s="123" t="s">
        <v>408</v>
      </c>
      <c r="F138" s="1408" t="str">
        <f>Translations!$B$165</f>
        <v>Instalacje, które są szpitalami.</v>
      </c>
      <c r="G138" s="1370"/>
      <c r="H138" s="1370"/>
      <c r="I138" s="1370"/>
      <c r="J138" s="1370"/>
      <c r="K138" s="1370"/>
      <c r="L138" s="1370"/>
      <c r="M138" s="1370"/>
      <c r="N138" s="1370"/>
      <c r="O138" s="7"/>
    </row>
    <row r="139" spans="1:24" ht="5.0999999999999996" customHeight="1" thickBot="1" x14ac:dyDescent="0.25">
      <c r="B139" s="20"/>
      <c r="C139" s="20"/>
      <c r="D139" s="213"/>
      <c r="E139" s="213"/>
      <c r="F139" s="213"/>
      <c r="G139" s="213"/>
      <c r="H139" s="213"/>
      <c r="I139" s="213"/>
      <c r="J139" s="213"/>
      <c r="K139" s="213"/>
      <c r="L139" s="213"/>
      <c r="M139" s="213"/>
      <c r="N139" s="213"/>
      <c r="O139" s="7"/>
    </row>
    <row r="140" spans="1:24" ht="12.75" customHeight="1" thickBot="1" x14ac:dyDescent="0.25">
      <c r="B140" s="20"/>
      <c r="C140" s="20"/>
      <c r="D140" s="1"/>
      <c r="E140" s="340" t="s">
        <v>2</v>
      </c>
      <c r="F140" s="1437" t="str">
        <f>Translations!$B$166</f>
        <v>Czy instalacja emitowała mniej niż 25 000 ton, a jej nominalna moc cieplna wynosi poniżej 35 MW?</v>
      </c>
      <c r="G140" s="1437"/>
      <c r="H140" s="1437"/>
      <c r="I140" s="1437"/>
      <c r="J140" s="1437"/>
      <c r="K140" s="1437"/>
      <c r="L140" s="1438"/>
      <c r="M140" s="1435" t="b">
        <v>0</v>
      </c>
      <c r="N140" s="1436"/>
      <c r="O140" s="7"/>
      <c r="W140" s="1008" t="s">
        <v>625</v>
      </c>
      <c r="X140" s="1009" t="b">
        <f>MSconst_RequireArt27Info</f>
        <v>1</v>
      </c>
    </row>
    <row r="141" spans="1:24" s="706" customFormat="1" ht="5.0999999999999996" customHeight="1" x14ac:dyDescent="0.2">
      <c r="A141" s="488"/>
      <c r="B141" s="489"/>
      <c r="C141" s="489"/>
      <c r="D141" s="490"/>
      <c r="E141" s="490"/>
      <c r="F141" s="490"/>
      <c r="G141" s="490"/>
      <c r="H141" s="490"/>
      <c r="I141" s="490"/>
      <c r="J141" s="490"/>
      <c r="K141" s="490"/>
      <c r="L141" s="490"/>
      <c r="M141" s="490"/>
      <c r="N141" s="490"/>
      <c r="O141" s="7"/>
      <c r="P141" s="632"/>
      <c r="Q141" s="632"/>
      <c r="R141" s="632"/>
      <c r="S141" s="632"/>
      <c r="T141" s="632"/>
      <c r="U141" s="632"/>
      <c r="V141" s="632"/>
      <c r="W141" s="632"/>
      <c r="X141" s="632"/>
    </row>
    <row r="142" spans="1:24" ht="12.75" customHeight="1" x14ac:dyDescent="0.2">
      <c r="B142" s="20"/>
      <c r="C142" s="20"/>
      <c r="D142" s="1"/>
      <c r="E142" s="340" t="s">
        <v>3</v>
      </c>
      <c r="F142" s="1437" t="str">
        <f>Translations!$B$167</f>
        <v>Czy instalacja jest szpitalem?</v>
      </c>
      <c r="G142" s="1437"/>
      <c r="H142" s="1437"/>
      <c r="I142" s="1437"/>
      <c r="J142" s="1437"/>
      <c r="K142" s="1437"/>
      <c r="L142" s="1438"/>
      <c r="M142" s="1435" t="b">
        <v>0</v>
      </c>
      <c r="N142" s="1436"/>
      <c r="O142" s="7"/>
    </row>
    <row r="143" spans="1:24" ht="5.0999999999999996" customHeight="1" x14ac:dyDescent="0.2">
      <c r="B143" s="20"/>
      <c r="C143" s="20"/>
      <c r="D143" s="490"/>
      <c r="E143" s="490"/>
      <c r="F143" s="490"/>
      <c r="G143" s="490"/>
      <c r="H143" s="490"/>
      <c r="I143" s="490"/>
      <c r="J143" s="490"/>
      <c r="K143" s="490"/>
      <c r="L143" s="490"/>
      <c r="M143" s="490"/>
      <c r="N143" s="490"/>
      <c r="O143" s="7"/>
    </row>
    <row r="144" spans="1:24" ht="12.75" customHeight="1" x14ac:dyDescent="0.2">
      <c r="B144" s="20"/>
      <c r="C144" s="20"/>
      <c r="D144" s="490"/>
      <c r="E144" s="340" t="s">
        <v>4</v>
      </c>
      <c r="F144" s="1437" t="str">
        <f>Translations!$B$168</f>
        <v>Instalacja kwalifikuje się do wyłączenia na podstawie art. 27 dyrektywy w sprawie EU ETS:</v>
      </c>
      <c r="G144" s="1437"/>
      <c r="H144" s="1437"/>
      <c r="I144" s="1437"/>
      <c r="J144" s="1437"/>
      <c r="K144" s="1437"/>
      <c r="L144" s="1438"/>
      <c r="M144" s="1495" t="b">
        <f>IF(AND(ISBLANK(M140),ISBLANK(M142)),"",IF(OR(M140,M142),TRUE,FALSE))</f>
        <v>0</v>
      </c>
      <c r="N144" s="1496"/>
      <c r="O144" s="7"/>
    </row>
    <row r="145" spans="2:24" ht="5.0999999999999996" customHeight="1" x14ac:dyDescent="0.2">
      <c r="B145" s="20"/>
      <c r="C145" s="20"/>
      <c r="D145" s="216"/>
      <c r="E145" s="216"/>
      <c r="F145" s="216"/>
      <c r="G145" s="216"/>
      <c r="H145" s="216"/>
      <c r="I145" s="216"/>
      <c r="J145" s="216"/>
      <c r="K145" s="216"/>
      <c r="L145" s="216"/>
      <c r="M145" s="216"/>
      <c r="N145" s="216"/>
      <c r="O145" s="7"/>
    </row>
    <row r="146" spans="2:24" ht="5.0999999999999996" customHeight="1" x14ac:dyDescent="0.2">
      <c r="B146" s="3"/>
      <c r="C146" s="3"/>
      <c r="D146" s="3"/>
      <c r="E146" s="3"/>
      <c r="F146" s="3"/>
      <c r="G146" s="3"/>
      <c r="H146" s="3"/>
      <c r="I146" s="3"/>
      <c r="J146" s="3"/>
      <c r="K146" s="3"/>
      <c r="L146" s="3"/>
      <c r="M146" s="7"/>
      <c r="N146" s="7"/>
      <c r="O146" s="7"/>
      <c r="P146" s="626"/>
    </row>
    <row r="147" spans="2:24" ht="12.75" customHeight="1" x14ac:dyDescent="0.2">
      <c r="B147" s="20"/>
      <c r="C147" s="20"/>
      <c r="D147" s="14" t="s">
        <v>12</v>
      </c>
      <c r="E147" s="1466" t="str">
        <f>Translations!$B$169</f>
        <v>Kwalifikowalność do wyłączenia na podstawie art. 27a dyrektywy w sprawie EU ETS</v>
      </c>
      <c r="F147" s="1364"/>
      <c r="G147" s="1364"/>
      <c r="H147" s="1364"/>
      <c r="I147" s="1364"/>
      <c r="J147" s="1364"/>
      <c r="K147" s="1364"/>
      <c r="L147" s="1364"/>
      <c r="M147" s="1364"/>
      <c r="N147" s="1364"/>
      <c r="O147" s="7"/>
    </row>
    <row r="148" spans="2:24" ht="12.75" customHeight="1" x14ac:dyDescent="0.2">
      <c r="B148" s="20"/>
      <c r="C148" s="20"/>
      <c r="D148" s="213"/>
      <c r="E148" s="1408" t="str">
        <f>Translations!$B$170</f>
        <v>Na podstawie art. 27a dyrektywy w sprawie EU ETS państwa członkowskie mogą, po konsultacji z prowadzącym instalację, wyłączyć z EU ETS następujące rodzaje instalacji:</v>
      </c>
      <c r="F148" s="1370"/>
      <c r="G148" s="1370"/>
      <c r="H148" s="1370"/>
      <c r="I148" s="1370"/>
      <c r="J148" s="1370"/>
      <c r="K148" s="1370"/>
      <c r="L148" s="1370"/>
      <c r="M148" s="1370"/>
      <c r="N148" s="1370"/>
      <c r="O148" s="7"/>
    </row>
    <row r="149" spans="2:24" ht="25.5" customHeight="1" x14ac:dyDescent="0.2">
      <c r="B149" s="20"/>
      <c r="C149" s="20"/>
      <c r="D149" s="213"/>
      <c r="E149" s="123" t="s">
        <v>408</v>
      </c>
      <c r="F149" s="1408" t="str">
        <f>Translations!$B$171</f>
        <v>instalacje, w których przypadku zgłoszone właściwemu organowi emisje, z pominięciem emisji z biomasy, w każdym z ostatnich trzech lat nie przekraczały 2 500 ton ekwiwalentu dwutlenku węgla;</v>
      </c>
      <c r="G149" s="1370"/>
      <c r="H149" s="1370"/>
      <c r="I149" s="1370"/>
      <c r="J149" s="1370"/>
      <c r="K149" s="1370"/>
      <c r="L149" s="1370"/>
      <c r="M149" s="1370"/>
      <c r="N149" s="1370"/>
      <c r="O149" s="7"/>
    </row>
    <row r="150" spans="2:24" x14ac:dyDescent="0.2">
      <c r="B150" s="20"/>
      <c r="C150" s="20"/>
      <c r="D150" s="213"/>
      <c r="E150" s="123" t="s">
        <v>408</v>
      </c>
      <c r="F150" s="1408" t="str">
        <f>Translations!$B$172</f>
        <v>jednostki rezerwowe lub zapasowe, które pracowały mniej niż 300 godzin rocznie w każdym z trzech lat,</v>
      </c>
      <c r="G150" s="1370"/>
      <c r="H150" s="1370"/>
      <c r="I150" s="1370"/>
      <c r="J150" s="1370"/>
      <c r="K150" s="1370"/>
      <c r="L150" s="1370"/>
      <c r="M150" s="1370"/>
      <c r="N150" s="1370"/>
      <c r="O150" s="7"/>
    </row>
    <row r="151" spans="2:24" ht="5.0999999999999996" customHeight="1" thickBot="1" x14ac:dyDescent="0.25">
      <c r="B151" s="20"/>
      <c r="C151" s="20"/>
      <c r="D151" s="213"/>
      <c r="E151" s="213"/>
      <c r="F151" s="213"/>
      <c r="G151" s="213"/>
      <c r="H151" s="213"/>
      <c r="I151" s="213"/>
      <c r="J151" s="213"/>
      <c r="K151" s="213"/>
      <c r="L151" s="213"/>
      <c r="M151" s="213"/>
      <c r="N151" s="213"/>
      <c r="O151" s="7"/>
    </row>
    <row r="152" spans="2:24" ht="12.75" customHeight="1" thickBot="1" x14ac:dyDescent="0.25">
      <c r="B152" s="20"/>
      <c r="C152" s="20"/>
      <c r="D152" s="1"/>
      <c r="E152" s="340" t="s">
        <v>2</v>
      </c>
      <c r="F152" s="1437" t="str">
        <f>Translations!$B$173</f>
        <v>Czy instalacja emitowała mniej niż 2 500 ton ekwiwalentu CO2 rocznie?</v>
      </c>
      <c r="G152" s="1437"/>
      <c r="H152" s="1437"/>
      <c r="I152" s="1437"/>
      <c r="J152" s="1437"/>
      <c r="K152" s="1437"/>
      <c r="L152" s="1438"/>
      <c r="M152" s="1435" t="b">
        <v>0</v>
      </c>
      <c r="N152" s="1436"/>
      <c r="O152" s="7"/>
      <c r="W152" s="1008" t="s">
        <v>626</v>
      </c>
      <c r="X152" s="1009" t="b">
        <f>MSconst_RequireArt27aInfo</f>
        <v>1</v>
      </c>
    </row>
    <row r="153" spans="2:24" ht="5.0999999999999996" customHeight="1" x14ac:dyDescent="0.2">
      <c r="B153" s="20"/>
      <c r="C153" s="20"/>
      <c r="D153" s="490"/>
      <c r="E153" s="490"/>
      <c r="F153" s="490"/>
      <c r="G153" s="490"/>
      <c r="H153" s="490"/>
      <c r="I153" s="490"/>
      <c r="J153" s="490"/>
      <c r="K153" s="490"/>
      <c r="L153" s="490"/>
      <c r="M153" s="490"/>
      <c r="N153" s="490"/>
      <c r="O153" s="7"/>
    </row>
    <row r="154" spans="2:24" ht="12.75" customHeight="1" x14ac:dyDescent="0.2">
      <c r="B154" s="20"/>
      <c r="C154" s="20"/>
      <c r="D154" s="1"/>
      <c r="E154" s="340" t="s">
        <v>3</v>
      </c>
      <c r="F154" s="1437" t="str">
        <f>Translations!$B$174</f>
        <v>Czy w instalacji są jednostki rezerwowe lub zapasowe, które pracowały nie więcej niż 300 godzin rocznie?</v>
      </c>
      <c r="G154" s="1437"/>
      <c r="H154" s="1437"/>
      <c r="I154" s="1437"/>
      <c r="J154" s="1437"/>
      <c r="K154" s="1437"/>
      <c r="L154" s="1438"/>
      <c r="M154" s="1435" t="b">
        <v>0</v>
      </c>
      <c r="N154" s="1436"/>
      <c r="O154" s="7"/>
    </row>
    <row r="155" spans="2:24" ht="5.0999999999999996" customHeight="1" x14ac:dyDescent="0.2">
      <c r="B155" s="20"/>
      <c r="C155" s="20"/>
      <c r="D155" s="490"/>
      <c r="E155" s="490"/>
      <c r="F155" s="490"/>
      <c r="G155" s="490"/>
      <c r="H155" s="490"/>
      <c r="I155" s="490"/>
      <c r="J155" s="490"/>
      <c r="K155" s="490"/>
      <c r="L155" s="490"/>
      <c r="M155" s="490"/>
      <c r="N155" s="490"/>
      <c r="O155" s="7"/>
    </row>
    <row r="156" spans="2:24" ht="12.75" customHeight="1" x14ac:dyDescent="0.2">
      <c r="B156" s="20"/>
      <c r="C156" s="20"/>
      <c r="D156" s="490"/>
      <c r="E156" s="340" t="s">
        <v>4</v>
      </c>
      <c r="F156" s="1437" t="str">
        <f>Translations!$B$175</f>
        <v>Instalacja lub jej części kwalifikują się do wyłączenia na podstawie art. 27a dyrektywy w sprawie EU ETS:</v>
      </c>
      <c r="G156" s="1437"/>
      <c r="H156" s="1437"/>
      <c r="I156" s="1437"/>
      <c r="J156" s="1437"/>
      <c r="K156" s="1437"/>
      <c r="L156" s="1438"/>
      <c r="M156" s="1495" t="b">
        <f>IF(AND(ISBLANK(M152),ISBLANK(M154)),"",IF(OR(M152,M154),TRUE,FALSE))</f>
        <v>0</v>
      </c>
      <c r="N156" s="1496"/>
      <c r="O156" s="7"/>
    </row>
    <row r="157" spans="2:24" ht="5.0999999999999996" customHeight="1" x14ac:dyDescent="0.2">
      <c r="B157" s="20"/>
      <c r="C157" s="20"/>
      <c r="D157" s="216"/>
      <c r="E157" s="214"/>
      <c r="F157" s="16"/>
      <c r="G157" s="16"/>
      <c r="H157" s="7"/>
      <c r="I157" s="7"/>
      <c r="J157" s="215"/>
      <c r="K157" s="215"/>
      <c r="L157" s="215"/>
      <c r="M157" s="20"/>
      <c r="N157" s="20"/>
      <c r="O157" s="7"/>
    </row>
    <row r="158" spans="2:24" ht="12.75" customHeight="1" x14ac:dyDescent="0.2">
      <c r="B158" s="20"/>
      <c r="C158" s="20"/>
      <c r="D158" s="14" t="s">
        <v>13</v>
      </c>
      <c r="E158" s="1466" t="str">
        <f>Translations!$B$176</f>
        <v>Roczne emisje z trzech poprzednich lat do celów kontroli wiarygodności danych podanych w lit. d) powyżej</v>
      </c>
      <c r="F158" s="1364"/>
      <c r="G158" s="1364"/>
      <c r="H158" s="1364"/>
      <c r="I158" s="1364"/>
      <c r="J158" s="1364"/>
      <c r="K158" s="1364"/>
      <c r="L158" s="1364"/>
      <c r="M158" s="1364"/>
      <c r="N158" s="1364"/>
      <c r="O158" s="7"/>
    </row>
    <row r="159" spans="2:24" ht="12.75" customHeight="1" x14ac:dyDescent="0.2">
      <c r="B159" s="20"/>
      <c r="C159" s="20"/>
      <c r="D159" s="213"/>
      <c r="E159" s="1408" t="str">
        <f>Translations!$B$177</f>
        <v>Następujące dane są pobierane automatycznie z arkusza „D_Emissions”.</v>
      </c>
      <c r="F159" s="1370"/>
      <c r="G159" s="1370"/>
      <c r="H159" s="1370"/>
      <c r="I159" s="1370"/>
      <c r="J159" s="1370"/>
      <c r="K159" s="1370"/>
      <c r="L159" s="1370"/>
      <c r="M159" s="1370"/>
      <c r="N159" s="1370"/>
      <c r="O159" s="7"/>
    </row>
    <row r="160" spans="2:24" ht="25.5" x14ac:dyDescent="0.2">
      <c r="B160" s="20"/>
      <c r="C160" s="20"/>
      <c r="D160" s="216"/>
      <c r="E160" s="214"/>
      <c r="F160" s="16"/>
      <c r="G160" s="16"/>
      <c r="H160" s="215"/>
      <c r="I160" s="215"/>
      <c r="J160" s="34" t="str">
        <f>EUconst_Unit</f>
        <v>Jednostka</v>
      </c>
      <c r="K160" s="624">
        <f>K$330</f>
        <v>2016</v>
      </c>
      <c r="L160" s="396">
        <f>L$330</f>
        <v>2017</v>
      </c>
      <c r="M160" s="396">
        <f>M$330</f>
        <v>2018</v>
      </c>
      <c r="N160" s="1312" t="str">
        <f>Translations!$B$178</f>
        <v>Wartość maksymalna</v>
      </c>
      <c r="O160" s="7"/>
    </row>
    <row r="161" spans="2:16" x14ac:dyDescent="0.2">
      <c r="B161" s="20"/>
      <c r="C161" s="20"/>
      <c r="D161" s="216"/>
      <c r="E161" s="340"/>
      <c r="F161" s="223" t="str">
        <f>Translations!$B$179</f>
        <v>Roczne emisje do celów kontroli wiarygodności:</v>
      </c>
      <c r="G161" s="223"/>
      <c r="H161" s="225"/>
      <c r="I161" s="225"/>
      <c r="J161" s="572" t="str">
        <f>EUconst_tCO2epa</f>
        <v>t CO2e/rok</v>
      </c>
      <c r="K161" s="536">
        <f>D_Emissions!K58</f>
        <v>152976.0267966</v>
      </c>
      <c r="L161" s="536">
        <f>D_Emissions!L58</f>
        <v>132702.0955344</v>
      </c>
      <c r="M161" s="536">
        <f>D_Emissions!M58</f>
        <v>150089.32827</v>
      </c>
      <c r="N161" s="538">
        <f>IF(COUNT(K161:M161)&gt;0,MAX(K161:M161),"")</f>
        <v>152976.0267966</v>
      </c>
      <c r="O161" s="7"/>
      <c r="P161" s="437"/>
    </row>
    <row r="162" spans="2:16" ht="5.0999999999999996" customHeight="1" x14ac:dyDescent="0.2">
      <c r="B162" s="3"/>
      <c r="C162" s="3"/>
      <c r="D162" s="3"/>
      <c r="E162" s="3"/>
      <c r="F162" s="3"/>
      <c r="G162" s="3"/>
      <c r="H162" s="3"/>
      <c r="I162" s="3"/>
      <c r="J162" s="3"/>
      <c r="K162" s="3"/>
      <c r="L162" s="3"/>
      <c r="M162" s="7"/>
      <c r="N162" s="7"/>
      <c r="O162" s="7"/>
      <c r="P162" s="626"/>
    </row>
    <row r="163" spans="2:16" x14ac:dyDescent="0.2">
      <c r="B163" s="20"/>
      <c r="C163" s="20"/>
      <c r="D163" s="14" t="s">
        <v>87</v>
      </c>
      <c r="E163" s="1375" t="str">
        <f>Translations!$B$180</f>
        <v>Czy instalacja została włączona?</v>
      </c>
      <c r="F163" s="1370"/>
      <c r="G163" s="1370"/>
      <c r="H163" s="1370"/>
      <c r="I163" s="1432"/>
      <c r="J163" s="230" t="b">
        <v>0</v>
      </c>
      <c r="K163" s="215"/>
      <c r="L163" s="215"/>
      <c r="M163" s="20"/>
      <c r="N163" s="20"/>
      <c r="O163" s="7"/>
    </row>
    <row r="164" spans="2:16" ht="25.5" customHeight="1" x14ac:dyDescent="0.2">
      <c r="B164" s="20"/>
      <c r="C164" s="20"/>
      <c r="D164" s="16"/>
      <c r="E164" s="1408" t="str">
        <f>Translations!$B$181</f>
        <v>Proszę podać informacje, jeżeli instalacja nie prowadzi żadnego działania spośród działań przewidzianych w załączniku I do dyrektywy w sprawie EU ETS, ale została jednostronnie włączona przez państwo członkowskie na podstawie art. 24 tej dyrektywy.</v>
      </c>
      <c r="F164" s="1370"/>
      <c r="G164" s="1370"/>
      <c r="H164" s="1370"/>
      <c r="I164" s="1370"/>
      <c r="J164" s="1370"/>
      <c r="K164" s="1370"/>
      <c r="L164" s="1370"/>
      <c r="M164" s="1370"/>
      <c r="N164" s="1370"/>
      <c r="O164" s="7"/>
    </row>
    <row r="165" spans="2:16" x14ac:dyDescent="0.2">
      <c r="B165" s="20"/>
      <c r="C165" s="20"/>
      <c r="D165" s="216"/>
      <c r="E165" s="214"/>
      <c r="F165" s="16"/>
      <c r="G165" s="16"/>
      <c r="H165" s="215"/>
      <c r="I165" s="215"/>
      <c r="J165" s="215"/>
      <c r="K165" s="215"/>
      <c r="L165" s="215"/>
      <c r="M165" s="20"/>
      <c r="N165" s="20"/>
      <c r="O165" s="7"/>
    </row>
    <row r="166" spans="2:16" ht="15.75" x14ac:dyDescent="0.25">
      <c r="B166" s="3"/>
      <c r="C166" s="12" t="s">
        <v>352</v>
      </c>
      <c r="D166" s="1384" t="str">
        <f>Translations!$B$182</f>
        <v>Informacje o niniejszym raporcie dotyczącym danych podstawowych</v>
      </c>
      <c r="E166" s="1384"/>
      <c r="F166" s="1384"/>
      <c r="G166" s="1384"/>
      <c r="H166" s="1384"/>
      <c r="I166" s="1384"/>
      <c r="J166" s="1384"/>
      <c r="K166" s="1384"/>
      <c r="L166" s="1384"/>
      <c r="M166" s="1384"/>
      <c r="N166" s="1384"/>
      <c r="O166" s="7"/>
      <c r="P166" s="626"/>
    </row>
    <row r="167" spans="2:16" ht="5.0999999999999996" customHeight="1" x14ac:dyDescent="0.2">
      <c r="B167" s="3"/>
      <c r="C167" s="3"/>
      <c r="D167" s="3"/>
      <c r="E167" s="3"/>
      <c r="F167" s="3"/>
      <c r="G167" s="3"/>
      <c r="H167" s="3"/>
      <c r="I167" s="3"/>
      <c r="J167" s="3"/>
      <c r="K167" s="3"/>
      <c r="L167" s="3"/>
      <c r="M167" s="7"/>
      <c r="N167" s="7"/>
      <c r="O167" s="7"/>
      <c r="P167" s="626"/>
    </row>
    <row r="168" spans="2:16" ht="15" x14ac:dyDescent="0.25">
      <c r="B168" s="20"/>
      <c r="C168" s="18">
        <v>1</v>
      </c>
      <c r="D168" s="1439" t="str">
        <f>Translations!$B$183</f>
        <v>Kwalifikowalność do przydziału bezpłatnych uprawnień:</v>
      </c>
      <c r="E168" s="1370"/>
      <c r="F168" s="1370"/>
      <c r="G168" s="1370"/>
      <c r="H168" s="1370"/>
      <c r="I168" s="1370"/>
      <c r="J168" s="1370"/>
      <c r="K168" s="1370"/>
      <c r="L168" s="1370"/>
      <c r="M168" s="1370"/>
      <c r="N168" s="1370"/>
      <c r="O168" s="7"/>
    </row>
    <row r="169" spans="2:16" ht="5.0999999999999996" customHeight="1" x14ac:dyDescent="0.2">
      <c r="B169" s="3"/>
      <c r="C169" s="3"/>
      <c r="D169" s="3"/>
      <c r="E169" s="3"/>
      <c r="F169" s="3"/>
      <c r="G169" s="3"/>
      <c r="H169" s="3"/>
      <c r="I169" s="3"/>
      <c r="J169" s="3"/>
      <c r="K169" s="3"/>
      <c r="L169" s="3"/>
      <c r="M169" s="7"/>
      <c r="N169" s="7"/>
      <c r="O169" s="7"/>
      <c r="P169" s="626"/>
    </row>
    <row r="170" spans="2:16" x14ac:dyDescent="0.2">
      <c r="B170" s="20"/>
      <c r="C170" s="20"/>
      <c r="D170" s="213" t="s">
        <v>173</v>
      </c>
      <c r="E170" s="1375" t="str">
        <f>Translations!$B$184</f>
        <v>Czy instalacja jest wytwórcą energii elektrycznej zgodnie z art. 3 lit. u) dyrektywy?</v>
      </c>
      <c r="F170" s="1370"/>
      <c r="G170" s="1370"/>
      <c r="H170" s="1370"/>
      <c r="I170" s="1370"/>
      <c r="J170" s="1370"/>
      <c r="K170" s="1370"/>
      <c r="L170" s="1432"/>
      <c r="M170" s="1463" t="b">
        <v>0</v>
      </c>
      <c r="N170" s="1464"/>
      <c r="O170" s="7"/>
    </row>
    <row r="171" spans="2:16" ht="25.5" customHeight="1" x14ac:dyDescent="0.2">
      <c r="B171" s="20"/>
      <c r="C171" s="20"/>
      <c r="D171" s="16"/>
      <c r="E171" s="1416" t="str">
        <f>Translations!$B$185</f>
        <v>Art. 3 lit. u) stanowi: „wytwórca energii elektrycznej” oznacza instalację, która od dnia 1 stycznia 2005 r. włącznie wytwarzała energię elektryczną przeznaczoną do sprzedaży osobom trzecim i w której nie prowadzi się innych działań wymienionych w załączniku I niż „spalanie paliw”.</v>
      </c>
      <c r="F171" s="1416"/>
      <c r="G171" s="1416"/>
      <c r="H171" s="1416"/>
      <c r="I171" s="1416"/>
      <c r="J171" s="1416"/>
      <c r="K171" s="1416"/>
      <c r="L171" s="1416"/>
      <c r="M171" s="1416"/>
      <c r="N171" s="1416"/>
      <c r="O171" s="7"/>
    </row>
    <row r="172" spans="2:16" x14ac:dyDescent="0.2">
      <c r="B172" s="20"/>
      <c r="C172" s="20"/>
      <c r="D172" s="16"/>
      <c r="E172" s="1408" t="str">
        <f>Translations!$B$186</f>
        <v>Komisja przedstawiła wytyczne w sprawie identyfikowania wytwórców energii elektrycznej.</v>
      </c>
      <c r="F172" s="1370"/>
      <c r="G172" s="1370"/>
      <c r="H172" s="1370"/>
      <c r="I172" s="1370"/>
      <c r="J172" s="1370"/>
      <c r="K172" s="1370"/>
      <c r="L172" s="1370"/>
      <c r="M172" s="1370"/>
      <c r="N172" s="1370"/>
      <c r="O172" s="7"/>
    </row>
    <row r="173" spans="2:16" ht="5.0999999999999996" customHeight="1" x14ac:dyDescent="0.2">
      <c r="B173" s="3"/>
      <c r="C173" s="3"/>
      <c r="D173" s="3"/>
      <c r="E173" s="3"/>
      <c r="F173" s="3"/>
      <c r="G173" s="3"/>
      <c r="H173" s="3"/>
      <c r="I173" s="3"/>
      <c r="J173" s="3"/>
      <c r="K173" s="3"/>
      <c r="L173" s="3"/>
      <c r="M173" s="7"/>
      <c r="N173" s="7"/>
      <c r="O173" s="7"/>
      <c r="P173" s="626"/>
    </row>
    <row r="174" spans="2:16" x14ac:dyDescent="0.2">
      <c r="B174" s="20"/>
      <c r="C174" s="20"/>
      <c r="D174" s="14" t="s">
        <v>353</v>
      </c>
      <c r="E174" s="1375" t="str">
        <f>Translations!$B$187</f>
        <v>Czy instalacja jest instalacją służącą do wychwytywania CO2, transportu CO2 lub składowania CO2?</v>
      </c>
      <c r="F174" s="1370"/>
      <c r="G174" s="1370"/>
      <c r="H174" s="1370"/>
      <c r="I174" s="1370"/>
      <c r="J174" s="1370"/>
      <c r="K174" s="1370"/>
      <c r="L174" s="1432"/>
      <c r="M174" s="1463" t="b">
        <v>0</v>
      </c>
      <c r="N174" s="1464"/>
      <c r="O174" s="7"/>
    </row>
    <row r="175" spans="2:16" ht="5.0999999999999996" customHeight="1" x14ac:dyDescent="0.2">
      <c r="B175" s="3"/>
      <c r="C175" s="3"/>
      <c r="D175" s="3"/>
      <c r="E175" s="3"/>
      <c r="F175" s="3"/>
      <c r="G175" s="3"/>
      <c r="H175" s="3"/>
      <c r="I175" s="3"/>
      <c r="J175" s="3"/>
      <c r="K175" s="3"/>
      <c r="L175" s="3"/>
      <c r="M175" s="7"/>
      <c r="N175" s="7"/>
      <c r="O175" s="7"/>
      <c r="P175" s="626"/>
    </row>
    <row r="176" spans="2:16" x14ac:dyDescent="0.2">
      <c r="B176" s="20"/>
      <c r="C176" s="20"/>
      <c r="D176" s="213" t="s">
        <v>11</v>
      </c>
      <c r="E176" s="1375" t="str">
        <f>Translations!$B$188</f>
        <v>Instalację tę uznaje się za objętą art. 10a ust. 3 dyrektywy w sprawie EU ETS:</v>
      </c>
      <c r="F176" s="1370"/>
      <c r="G176" s="1370"/>
      <c r="H176" s="1370"/>
      <c r="I176" s="1370"/>
      <c r="J176" s="1370"/>
      <c r="K176" s="1370"/>
      <c r="L176" s="1432"/>
      <c r="M176" s="1495" t="b">
        <f>IF(AND(ISBLANK(M170),ISBLANK(M174)),"",IF(OR(M170,M174),TRUE,FALSE))</f>
        <v>0</v>
      </c>
      <c r="N176" s="1496"/>
      <c r="O176" s="7"/>
    </row>
    <row r="177" spans="2:16" x14ac:dyDescent="0.2">
      <c r="B177" s="20"/>
      <c r="C177" s="20"/>
      <c r="D177" s="20"/>
      <c r="E177" s="1408" t="str">
        <f>Translations!$B$189</f>
        <v xml:space="preserve">Jeśli na pytanie a) lub b) udzielono odpowiedzi twierdzącej, odpowiedź na pytanie c) jest automatycznie twierdząca. </v>
      </c>
      <c r="F177" s="1370"/>
      <c r="G177" s="1370"/>
      <c r="H177" s="1370"/>
      <c r="I177" s="1370"/>
      <c r="J177" s="1370"/>
      <c r="K177" s="1370"/>
      <c r="L177" s="1370"/>
      <c r="M177" s="1370"/>
      <c r="N177" s="1370"/>
      <c r="O177" s="7"/>
    </row>
    <row r="178" spans="2:16" ht="25.5" customHeight="1" x14ac:dyDescent="0.2">
      <c r="B178" s="20"/>
      <c r="C178" s="20"/>
      <c r="D178" s="20"/>
      <c r="E178" s="1408" t="str">
        <f>Translations!$B$190</f>
        <v>Współczynnik liniowy, o którym mowa w art. 10a ust. 4 dyrektywy, stosuje się do przydziałów dla instalacji objętych art. 10a ust. 3 dyrektywy z wyjątkiem każdego roku, w którym te przydziały są dostosowywane w sposób jednolity zgodnie z art. 10a ust. 5 dyrektywy (zob. również art. 16 ust. 8 FAR).</v>
      </c>
      <c r="F178" s="1370"/>
      <c r="G178" s="1370"/>
      <c r="H178" s="1370"/>
      <c r="I178" s="1370"/>
      <c r="J178" s="1370"/>
      <c r="K178" s="1370"/>
      <c r="L178" s="1370"/>
      <c r="M178" s="1370"/>
      <c r="N178" s="1370"/>
      <c r="O178" s="7"/>
      <c r="P178" s="437"/>
    </row>
    <row r="179" spans="2:16" ht="5.0999999999999996" customHeight="1" x14ac:dyDescent="0.2">
      <c r="B179" s="3"/>
      <c r="C179" s="3"/>
      <c r="D179" s="3"/>
      <c r="E179" s="3"/>
      <c r="F179" s="3"/>
      <c r="G179" s="3"/>
      <c r="H179" s="3"/>
      <c r="I179" s="3"/>
      <c r="J179" s="3"/>
      <c r="K179" s="3"/>
      <c r="L179" s="3"/>
      <c r="M179" s="7"/>
      <c r="N179" s="7"/>
      <c r="O179" s="7"/>
      <c r="P179" s="626"/>
    </row>
    <row r="180" spans="2:16" x14ac:dyDescent="0.2">
      <c r="B180" s="20"/>
      <c r="C180" s="20"/>
      <c r="D180" s="213" t="s">
        <v>356</v>
      </c>
      <c r="E180" s="1375" t="str">
        <f>Translations!$B$191</f>
        <v>Czy instalacja wytwarza ciepło, które nie jest wykorzystywane do produkcji energii elektrycznej?</v>
      </c>
      <c r="F180" s="1370"/>
      <c r="G180" s="1370"/>
      <c r="H180" s="1370"/>
      <c r="I180" s="1370"/>
      <c r="J180" s="1370"/>
      <c r="K180" s="1370"/>
      <c r="L180" s="1432"/>
      <c r="M180" s="1463" t="b">
        <v>1</v>
      </c>
      <c r="N180" s="1464"/>
      <c r="O180" s="7"/>
    </row>
    <row r="181" spans="2:16" ht="5.0999999999999996" customHeight="1" x14ac:dyDescent="0.2">
      <c r="B181" s="3"/>
      <c r="C181" s="3"/>
      <c r="D181" s="3"/>
      <c r="E181" s="3"/>
      <c r="F181" s="3"/>
      <c r="G181" s="3"/>
      <c r="H181" s="3"/>
      <c r="I181" s="3"/>
      <c r="J181" s="3"/>
      <c r="K181" s="3"/>
      <c r="L181" s="3"/>
      <c r="M181" s="7"/>
      <c r="N181" s="7"/>
      <c r="O181" s="7"/>
      <c r="P181" s="626"/>
    </row>
    <row r="182" spans="2:16" x14ac:dyDescent="0.2">
      <c r="B182" s="20"/>
      <c r="C182" s="20"/>
      <c r="D182" s="20"/>
      <c r="E182" s="1579" t="str">
        <f>IF(CNTR_HasEntries_A_I,IF(COUNTA(M170,M174,M180)&lt;3,EUconst_ERR_Mandatory_abd,""),"")</f>
        <v/>
      </c>
      <c r="F182" s="1579"/>
      <c r="G182" s="1579"/>
      <c r="H182" s="1579"/>
      <c r="I182" s="1579"/>
      <c r="J182" s="1579"/>
      <c r="K182" s="1579"/>
      <c r="L182" s="1579"/>
      <c r="M182" s="1579"/>
      <c r="N182" s="1579"/>
      <c r="O182" s="7"/>
    </row>
    <row r="183" spans="2:16" ht="5.0999999999999996" customHeight="1" x14ac:dyDescent="0.2">
      <c r="B183" s="3"/>
      <c r="C183" s="3"/>
      <c r="D183" s="3"/>
      <c r="E183" s="3"/>
      <c r="F183" s="3"/>
      <c r="G183" s="3"/>
      <c r="H183" s="3"/>
      <c r="I183" s="3"/>
      <c r="J183" s="3"/>
      <c r="K183" s="3"/>
      <c r="L183" s="3"/>
      <c r="M183" s="7"/>
      <c r="N183" s="7"/>
      <c r="O183" s="7"/>
      <c r="P183" s="626"/>
    </row>
    <row r="184" spans="2:16" ht="13.5" thickBot="1" x14ac:dyDescent="0.25">
      <c r="B184" s="20"/>
      <c r="C184" s="20"/>
      <c r="D184" s="20"/>
      <c r="E184" s="20"/>
      <c r="F184" s="20"/>
      <c r="G184" s="20"/>
      <c r="H184" s="20"/>
      <c r="I184" s="20"/>
      <c r="J184" s="20"/>
      <c r="K184" s="20"/>
      <c r="L184" s="20"/>
      <c r="M184" s="20"/>
      <c r="N184" s="20"/>
      <c r="O184" s="7"/>
    </row>
    <row r="185" spans="2:16" ht="5.0999999999999996" customHeight="1" x14ac:dyDescent="0.2">
      <c r="B185" s="3"/>
      <c r="C185" s="150"/>
      <c r="D185" s="149"/>
      <c r="E185" s="149"/>
      <c r="F185" s="149"/>
      <c r="G185" s="149"/>
      <c r="H185" s="149"/>
      <c r="I185" s="149"/>
      <c r="J185" s="149"/>
      <c r="K185" s="149"/>
      <c r="L185" s="149"/>
      <c r="M185" s="148"/>
      <c r="N185" s="148"/>
      <c r="O185" s="1235"/>
      <c r="P185" s="626"/>
    </row>
    <row r="186" spans="2:16" x14ac:dyDescent="0.2">
      <c r="B186" s="20"/>
      <c r="C186" s="147"/>
      <c r="D186" s="355" t="s">
        <v>12</v>
      </c>
      <c r="E186" s="1328" t="str">
        <f>Translations!$B$192</f>
        <v>Potwierdzenie niekwalifikowalności do przydziału bezpłatnych uprawnień:</v>
      </c>
      <c r="F186" s="1343"/>
      <c r="G186" s="1343"/>
      <c r="H186" s="1343"/>
      <c r="I186" s="1343"/>
      <c r="J186" s="1343"/>
      <c r="K186" s="1343"/>
      <c r="L186" s="1343"/>
      <c r="M186" s="1343"/>
      <c r="N186" s="1343"/>
      <c r="O186" s="1236"/>
    </row>
    <row r="187" spans="2:16" ht="5.0999999999999996" customHeight="1" x14ac:dyDescent="0.2">
      <c r="B187" s="3"/>
      <c r="C187" s="146"/>
      <c r="D187" s="5"/>
      <c r="E187" s="5"/>
      <c r="F187" s="5"/>
      <c r="G187" s="5"/>
      <c r="H187" s="5"/>
      <c r="I187" s="5"/>
      <c r="J187" s="5"/>
      <c r="K187" s="5"/>
      <c r="L187" s="5"/>
      <c r="M187" s="26"/>
      <c r="N187" s="26"/>
      <c r="O187" s="1236"/>
      <c r="P187" s="626"/>
    </row>
    <row r="188" spans="2:16" ht="25.5" customHeight="1" x14ac:dyDescent="0.2">
      <c r="B188" s="20"/>
      <c r="C188" s="147"/>
      <c r="D188" s="20"/>
      <c r="E188" s="1536" t="str">
        <f>Translations!$B$193</f>
        <v>Jeśli odpowiedź na pytanie a) lub b) jest twierdząca, a na pytanie d) – przecząca, instalacja nie kwalifikuje się do przydziału bezpłatnych uprawnień na podstawie art. 10a dyrektywy w sprawie EU ETS. Jeśli dotyczy to Państwa instalacji, proszę to potwierdzić w tym miejscu:</v>
      </c>
      <c r="F188" s="1536"/>
      <c r="G188" s="1536"/>
      <c r="H188" s="1536"/>
      <c r="I188" s="1536"/>
      <c r="J188" s="1536"/>
      <c r="K188" s="1536"/>
      <c r="L188" s="1536"/>
      <c r="M188" s="1536"/>
      <c r="N188" s="1536"/>
      <c r="O188" s="1236"/>
    </row>
    <row r="189" spans="2:16" ht="25.5" customHeight="1" x14ac:dyDescent="0.2">
      <c r="B189" s="20"/>
      <c r="C189" s="147"/>
      <c r="D189" s="20"/>
      <c r="E189" s="1581"/>
      <c r="F189" s="1582"/>
      <c r="G189" s="1582"/>
      <c r="H189" s="1582"/>
      <c r="I189" s="1582"/>
      <c r="J189" s="1582"/>
      <c r="K189" s="1582"/>
      <c r="L189" s="1582"/>
      <c r="M189" s="1582"/>
      <c r="N189" s="1583"/>
      <c r="O189" s="1236"/>
    </row>
    <row r="190" spans="2:16" ht="5.0999999999999996" customHeight="1" x14ac:dyDescent="0.2">
      <c r="B190" s="3"/>
      <c r="C190" s="146"/>
      <c r="D190" s="5"/>
      <c r="E190" s="5"/>
      <c r="F190" s="5"/>
      <c r="G190" s="5"/>
      <c r="H190" s="5"/>
      <c r="I190" s="5"/>
      <c r="J190" s="5"/>
      <c r="K190" s="5"/>
      <c r="L190" s="5"/>
      <c r="M190" s="26"/>
      <c r="N190" s="26"/>
      <c r="O190" s="1236"/>
      <c r="P190" s="626"/>
    </row>
    <row r="191" spans="2:16" x14ac:dyDescent="0.2">
      <c r="B191" s="20"/>
      <c r="C191" s="147"/>
      <c r="D191" s="20"/>
      <c r="E191" s="1580" t="str">
        <f>Translations!$B$194</f>
        <v>Ważne uwagi:</v>
      </c>
      <c r="F191" s="1343"/>
      <c r="G191" s="1343"/>
      <c r="H191" s="1343"/>
      <c r="I191" s="1343"/>
      <c r="J191" s="1343"/>
      <c r="K191" s="1343"/>
      <c r="L191" s="1343"/>
      <c r="M191" s="1343"/>
      <c r="N191" s="1343"/>
      <c r="O191" s="1236"/>
    </row>
    <row r="192" spans="2:16" ht="39.950000000000003" customHeight="1" x14ac:dyDescent="0.2">
      <c r="B192" s="20"/>
      <c r="C192" s="147"/>
      <c r="D192" s="20"/>
      <c r="E192" s="1536" t="str">
        <f>Translations!$B$195</f>
        <v>Jeśli instalacja nie kwalifikuje się do przydziału bezpłatnych uprawnień na podstawie art. 10a dyrektywy w sprawie EU ETS, nie ma obowiązku podawania dalszych danych w kolejnych arkuszach. Obowiązkowo należy wypełnić tylko ten arkusz („A_InstallationData”).</v>
      </c>
      <c r="F192" s="1536"/>
      <c r="G192" s="1536"/>
      <c r="H192" s="1536"/>
      <c r="I192" s="1536"/>
      <c r="J192" s="1536"/>
      <c r="K192" s="1536"/>
      <c r="L192" s="1536"/>
      <c r="M192" s="1536"/>
      <c r="N192" s="1536"/>
      <c r="O192" s="1236"/>
    </row>
    <row r="193" spans="2:16" x14ac:dyDescent="0.2">
      <c r="B193" s="20"/>
      <c r="C193" s="147"/>
      <c r="D193" s="20"/>
      <c r="E193" s="1536" t="str">
        <f>Translations!$B$196</f>
        <v>Jeśli nie jest wymagane zgłaszanie dalszych danych, nie ma również potrzeby weryfikacji niniejszego raportu.</v>
      </c>
      <c r="F193" s="1536"/>
      <c r="G193" s="1536"/>
      <c r="H193" s="1536"/>
      <c r="I193" s="1536"/>
      <c r="J193" s="1536"/>
      <c r="K193" s="1536"/>
      <c r="L193" s="1536"/>
      <c r="M193" s="1536"/>
      <c r="N193" s="1536"/>
      <c r="O193" s="1236"/>
    </row>
    <row r="194" spans="2:16" ht="38.25" customHeight="1" x14ac:dyDescent="0.2">
      <c r="B194" s="20"/>
      <c r="C194" s="147"/>
      <c r="D194" s="20"/>
      <c r="E194" s="1536" t="str">
        <f>Translations!$B$197</f>
        <v>Niniejszy raport, w szczególności odpowiedzi udzielone w lit. a)–f), nie ma wpływu na ewentualne przydziały bezpłatnych uprawnień na podstawie art. 10c dyrektywy w sprawie EU ETS („możliwość przejściowego przydziału bezpłatnych uprawnień na modernizację sektora energetycznego”).</v>
      </c>
      <c r="F194" s="1536"/>
      <c r="G194" s="1536"/>
      <c r="H194" s="1536"/>
      <c r="I194" s="1536"/>
      <c r="J194" s="1536"/>
      <c r="K194" s="1536"/>
      <c r="L194" s="1536"/>
      <c r="M194" s="1536"/>
      <c r="N194" s="1536"/>
      <c r="O194" s="1236"/>
    </row>
    <row r="195" spans="2:16" x14ac:dyDescent="0.2">
      <c r="B195" s="20"/>
      <c r="C195" s="147"/>
      <c r="D195" s="20"/>
      <c r="E195" s="20"/>
      <c r="F195" s="20"/>
      <c r="G195" s="20"/>
      <c r="H195" s="20"/>
      <c r="I195" s="20"/>
      <c r="J195" s="20"/>
      <c r="K195" s="20"/>
      <c r="L195" s="20"/>
      <c r="M195" s="20"/>
      <c r="N195" s="20"/>
      <c r="O195" s="1236"/>
    </row>
    <row r="196" spans="2:16" x14ac:dyDescent="0.2">
      <c r="B196" s="20"/>
      <c r="C196" s="147"/>
      <c r="D196" s="355" t="s">
        <v>13</v>
      </c>
      <c r="E196" s="1328" t="str">
        <f>Translations!$B$198</f>
        <v>Wniosek o przydział bezpłatnych uprawnień:</v>
      </c>
      <c r="F196" s="1343"/>
      <c r="G196" s="1343"/>
      <c r="H196" s="1343"/>
      <c r="I196" s="1343"/>
      <c r="J196" s="1343"/>
      <c r="K196" s="1343"/>
      <c r="L196" s="1343"/>
      <c r="M196" s="1343"/>
      <c r="N196" s="1343"/>
      <c r="O196" s="1236"/>
    </row>
    <row r="197" spans="2:16" ht="5.0999999999999996" customHeight="1" x14ac:dyDescent="0.2">
      <c r="B197" s="3"/>
      <c r="C197" s="146"/>
      <c r="D197" s="5"/>
      <c r="E197" s="5"/>
      <c r="F197" s="5"/>
      <c r="G197" s="5"/>
      <c r="H197" s="5"/>
      <c r="I197" s="5"/>
      <c r="J197" s="5"/>
      <c r="K197" s="5"/>
      <c r="L197" s="5"/>
      <c r="M197" s="26"/>
      <c r="N197" s="26"/>
      <c r="O197" s="1236"/>
      <c r="P197" s="626"/>
    </row>
    <row r="198" spans="2:16" ht="39.950000000000003" customHeight="1" x14ac:dyDescent="0.2">
      <c r="B198" s="20"/>
      <c r="C198" s="147"/>
      <c r="D198" s="20"/>
      <c r="E198" s="1536" t="str">
        <f>Translations!$B$199</f>
        <v>Jeśli obie odpowiedzi na pytania a) i b) są przeczące lub jeśli odpowiedź na pytanie d) jest twierdząca, instalacja może być uznana za kwalifikującą się do przydziału bezpłatnych uprawnień na podstawie art. 10a dyrektywy w sprawie EU ETS. Jeśli dotyczy to Państwa instalacji, proszę w tym miejscu potwierdzić, że wnoszą Państwo o przydział bezpłatnych uprawnień na podstawie art. 10a:</v>
      </c>
      <c r="F198" s="1536"/>
      <c r="G198" s="1536"/>
      <c r="H198" s="1536"/>
      <c r="I198" s="1536"/>
      <c r="J198" s="1536"/>
      <c r="K198" s="1536"/>
      <c r="L198" s="1536"/>
      <c r="M198" s="1536"/>
      <c r="N198" s="1536"/>
      <c r="O198" s="1236"/>
    </row>
    <row r="199" spans="2:16" ht="25.5" customHeight="1" x14ac:dyDescent="0.2">
      <c r="B199" s="20"/>
      <c r="C199" s="147"/>
      <c r="D199" s="20"/>
      <c r="E199" s="1456" t="s">
        <v>3484</v>
      </c>
      <c r="F199" s="1457"/>
      <c r="G199" s="1457"/>
      <c r="H199" s="1457"/>
      <c r="I199" s="1457"/>
      <c r="J199" s="1457"/>
      <c r="K199" s="1457"/>
      <c r="L199" s="1457"/>
      <c r="M199" s="1457"/>
      <c r="N199" s="1458"/>
      <c r="O199" s="1236"/>
    </row>
    <row r="200" spans="2:16" ht="5.0999999999999996" customHeight="1" x14ac:dyDescent="0.2">
      <c r="B200" s="20"/>
      <c r="C200" s="147"/>
      <c r="D200" s="20"/>
      <c r="E200" s="20"/>
      <c r="F200" s="20"/>
      <c r="G200" s="20"/>
      <c r="H200" s="20"/>
      <c r="I200" s="20"/>
      <c r="J200" s="20"/>
      <c r="K200" s="20"/>
      <c r="L200" s="20"/>
      <c r="M200" s="20"/>
      <c r="N200" s="20"/>
      <c r="O200" s="1236"/>
    </row>
    <row r="201" spans="2:16" x14ac:dyDescent="0.2">
      <c r="B201" s="20"/>
      <c r="C201" s="147"/>
      <c r="D201" s="20"/>
      <c r="E201" s="1579" t="str">
        <f>IF(CNTR_HasEntries_A_I,IF(OR(AND(E189="",E199=""),AND(E189&lt;&gt;"",E199&lt;&gt;"")),EUconst_ERR_Mandatory_ef,""),"")</f>
        <v/>
      </c>
      <c r="F201" s="1579"/>
      <c r="G201" s="1579"/>
      <c r="H201" s="1579"/>
      <c r="I201" s="1579"/>
      <c r="J201" s="1579"/>
      <c r="K201" s="1579"/>
      <c r="L201" s="1579"/>
      <c r="M201" s="1579"/>
      <c r="N201" s="1579"/>
      <c r="O201" s="1236"/>
    </row>
    <row r="202" spans="2:16" ht="5.0999999999999996" customHeight="1" thickBot="1" x14ac:dyDescent="0.25">
      <c r="B202" s="3"/>
      <c r="C202" s="145"/>
      <c r="D202" s="144"/>
      <c r="E202" s="144"/>
      <c r="F202" s="144"/>
      <c r="G202" s="144"/>
      <c r="H202" s="144"/>
      <c r="I202" s="144"/>
      <c r="J202" s="144"/>
      <c r="K202" s="144"/>
      <c r="L202" s="144"/>
      <c r="M202" s="143"/>
      <c r="N202" s="143"/>
      <c r="O202" s="1237"/>
      <c r="P202" s="626"/>
    </row>
    <row r="203" spans="2:16" ht="13.5" thickBot="1" x14ac:dyDescent="0.25">
      <c r="B203" s="20"/>
      <c r="C203" s="20"/>
      <c r="D203" s="20"/>
      <c r="E203" s="20"/>
      <c r="F203" s="20"/>
      <c r="G203" s="20"/>
      <c r="H203" s="20"/>
      <c r="I203" s="20"/>
      <c r="J203" s="20"/>
      <c r="K203" s="20"/>
      <c r="L203" s="20"/>
      <c r="M203" s="20"/>
      <c r="N203" s="20"/>
      <c r="O203" s="7"/>
    </row>
    <row r="204" spans="2:16" ht="5.0999999999999996" customHeight="1" x14ac:dyDescent="0.2">
      <c r="B204" s="3"/>
      <c r="C204" s="150"/>
      <c r="D204" s="149"/>
      <c r="E204" s="149"/>
      <c r="F204" s="149"/>
      <c r="G204" s="149"/>
      <c r="H204" s="149"/>
      <c r="I204" s="149"/>
      <c r="J204" s="149"/>
      <c r="K204" s="149"/>
      <c r="L204" s="149"/>
      <c r="M204" s="148"/>
      <c r="N204" s="148"/>
      <c r="O204" s="1235"/>
      <c r="P204" s="626"/>
    </row>
    <row r="205" spans="2:16" x14ac:dyDescent="0.2">
      <c r="B205" s="20"/>
      <c r="C205" s="147"/>
      <c r="D205" s="355" t="s">
        <v>87</v>
      </c>
      <c r="E205" s="1328" t="str">
        <f>Translations!$B$200</f>
        <v>Zgoda na wykorzystanie danych zawartych w tym dokumencie:</v>
      </c>
      <c r="F205" s="1343"/>
      <c r="G205" s="1343"/>
      <c r="H205" s="1343"/>
      <c r="I205" s="1343"/>
      <c r="J205" s="1343"/>
      <c r="K205" s="1343"/>
      <c r="L205" s="1343"/>
      <c r="M205" s="1343"/>
      <c r="N205" s="1343"/>
      <c r="O205" s="1236"/>
    </row>
    <row r="206" spans="2:16" ht="51" customHeight="1" x14ac:dyDescent="0.2">
      <c r="B206" s="20"/>
      <c r="C206" s="147"/>
      <c r="D206" s="20"/>
      <c r="E206" s="1536" t="str">
        <f>Translations!$B$201</f>
        <v>Dane zawarte w tym dokumencie zostaną wykorzystane przez właściwy organ do określenia przydziału bezpłatnych uprawnień na podstawie art. 10a dyrektywy w sprawie EU ETS oraz przez Komisję Europejską do aktualizacji wartości wskaźników emisyjności. Ponadto dane te zostaną zgłoszone Komisji Europejskiej w części lub w całości, na jej wniosek, w celu zbadania krajowych środków wykonawczych zgodnie z art. 11 ust. 1 dyrektywy w sprawie EU ETS.</v>
      </c>
      <c r="F206" s="1536"/>
      <c r="G206" s="1536"/>
      <c r="H206" s="1536"/>
      <c r="I206" s="1536"/>
      <c r="J206" s="1536"/>
      <c r="K206" s="1536"/>
      <c r="L206" s="1536"/>
      <c r="M206" s="1536"/>
      <c r="N206" s="1536"/>
      <c r="O206" s="1236"/>
    </row>
    <row r="207" spans="2:16" ht="25.5" customHeight="1" x14ac:dyDescent="0.2">
      <c r="B207" s="20"/>
      <c r="C207" s="147"/>
      <c r="D207" s="20"/>
      <c r="E207" s="1536" t="str">
        <f>Translations!$B$202</f>
        <v>Jeżeli prowadzący instalację potwierdzi informacje podane w lit. e) lub f) powyżej, automatycznie przyjmuje się, że potwierdza również zgodę na wykorzystanie danych zawartych w niniejszym dokumencie.</v>
      </c>
      <c r="F207" s="1536"/>
      <c r="G207" s="1536"/>
      <c r="H207" s="1536"/>
      <c r="I207" s="1536"/>
      <c r="J207" s="1536"/>
      <c r="K207" s="1536"/>
      <c r="L207" s="1536"/>
      <c r="M207" s="1536"/>
      <c r="N207" s="1536"/>
      <c r="O207" s="1236"/>
    </row>
    <row r="208" spans="2:16" x14ac:dyDescent="0.2">
      <c r="B208" s="20"/>
      <c r="C208" s="147"/>
      <c r="D208" s="20"/>
      <c r="E208" s="1460" t="str">
        <f>IF(AND(E189="",E199=""),"",EUconst_ConfirmAllowUseOfData)</f>
        <v>Prowadzący tę instalację potwierdza, że niniejsze sprawozdanie może być wykorzystywane przez właściwy organ oraz Komisję Europejską.</v>
      </c>
      <c r="F208" s="1461"/>
      <c r="G208" s="1461"/>
      <c r="H208" s="1461"/>
      <c r="I208" s="1461"/>
      <c r="J208" s="1461"/>
      <c r="K208" s="1461"/>
      <c r="L208" s="1461"/>
      <c r="M208" s="1461"/>
      <c r="N208" s="1462"/>
      <c r="O208" s="1236"/>
    </row>
    <row r="209" spans="2:16" ht="5.0999999999999996" customHeight="1" thickBot="1" x14ac:dyDescent="0.25">
      <c r="B209" s="3"/>
      <c r="C209" s="145"/>
      <c r="D209" s="144"/>
      <c r="E209" s="144"/>
      <c r="F209" s="144"/>
      <c r="G209" s="144"/>
      <c r="H209" s="144"/>
      <c r="I209" s="144"/>
      <c r="J209" s="144"/>
      <c r="K209" s="144"/>
      <c r="L209" s="144"/>
      <c r="M209" s="143"/>
      <c r="N209" s="143"/>
      <c r="O209" s="1237"/>
      <c r="P209" s="626"/>
    </row>
    <row r="210" spans="2:16" x14ac:dyDescent="0.2">
      <c r="B210" s="20"/>
      <c r="C210" s="20"/>
      <c r="D210" s="20"/>
      <c r="E210" s="20"/>
      <c r="F210" s="20"/>
      <c r="G210" s="20"/>
      <c r="H210" s="20"/>
      <c r="I210" s="20"/>
      <c r="J210" s="20"/>
      <c r="K210" s="20"/>
      <c r="L210" s="20"/>
      <c r="M210" s="20"/>
      <c r="N210" s="20"/>
      <c r="O210" s="7"/>
    </row>
    <row r="211" spans="2:16" ht="15.75" thickBot="1" x14ac:dyDescent="0.3">
      <c r="B211" s="20"/>
      <c r="C211" s="18">
        <v>2</v>
      </c>
      <c r="D211" s="1439" t="str">
        <f>Translations!$B$203</f>
        <v>Wybrany okres odniesienia</v>
      </c>
      <c r="E211" s="1370"/>
      <c r="F211" s="1370"/>
      <c r="G211" s="1370"/>
      <c r="H211" s="1370"/>
      <c r="I211" s="1370"/>
      <c r="J211" s="1370"/>
      <c r="K211" s="1370"/>
      <c r="L211" s="1370"/>
      <c r="M211" s="1370"/>
      <c r="N211" s="1370"/>
      <c r="O211" s="7"/>
      <c r="P211" s="437" t="s">
        <v>513</v>
      </c>
    </row>
    <row r="212" spans="2:16" ht="13.5" thickBot="1" x14ac:dyDescent="0.25">
      <c r="B212" s="20"/>
      <c r="C212" s="20"/>
      <c r="D212" s="213" t="s">
        <v>173</v>
      </c>
      <c r="E212" s="1375" t="str">
        <f>Translations!$B$204</f>
        <v>Proszę wybrać okres odniesienia dla niniejszego raportu:</v>
      </c>
      <c r="F212" s="1370"/>
      <c r="G212" s="1370"/>
      <c r="H212" s="1370"/>
      <c r="I212" s="1432"/>
      <c r="J212" s="1577" t="s">
        <v>467</v>
      </c>
      <c r="K212" s="1578"/>
      <c r="L212" s="387" t="str">
        <f>IF(CNTR_HasEntries_A_I,IF(J212="",EUconst_Incomplete,""),"")</f>
        <v/>
      </c>
      <c r="M212" s="20"/>
      <c r="N212" s="20"/>
      <c r="O212" s="7"/>
      <c r="P212" s="634">
        <f>IF(ISBLANK(J212),EUconst_NA,MATCH(J212,EUconst_BaselinePeriods,0))</f>
        <v>1</v>
      </c>
    </row>
    <row r="213" spans="2:16" x14ac:dyDescent="0.2">
      <c r="B213" s="20"/>
      <c r="C213" s="20"/>
      <c r="D213" s="16"/>
      <c r="E213" s="1408" t="str">
        <f>Translations!$B$205</f>
        <v>Jest to okres odniesienia zgodnie z art. 2 ust. 14 FAR.</v>
      </c>
      <c r="F213" s="1370"/>
      <c r="G213" s="1370"/>
      <c r="H213" s="1370"/>
      <c r="I213" s="1370"/>
      <c r="J213" s="1370"/>
      <c r="K213" s="1370"/>
      <c r="L213" s="1370"/>
      <c r="M213" s="1370"/>
      <c r="N213" s="1370"/>
      <c r="O213" s="7"/>
    </row>
    <row r="214" spans="2:16" ht="5.0999999999999996" customHeight="1" x14ac:dyDescent="0.2">
      <c r="B214" s="3"/>
      <c r="C214" s="3"/>
      <c r="D214" s="3"/>
      <c r="E214" s="3"/>
      <c r="F214" s="3"/>
      <c r="G214" s="3"/>
      <c r="H214" s="3"/>
      <c r="I214" s="3"/>
      <c r="J214" s="3"/>
      <c r="K214" s="3"/>
      <c r="L214" s="3"/>
      <c r="M214" s="7"/>
      <c r="N214" s="7"/>
      <c r="O214" s="7"/>
      <c r="P214" s="626"/>
    </row>
    <row r="215" spans="2:16" x14ac:dyDescent="0.2">
      <c r="B215" s="20"/>
      <c r="C215" s="20"/>
      <c r="D215" s="213" t="s">
        <v>353</v>
      </c>
      <c r="E215" s="1375" t="str">
        <f>Translations!$B$206</f>
        <v>Lata, w których działała instalacja:</v>
      </c>
      <c r="F215" s="1370"/>
      <c r="G215" s="1370"/>
      <c r="H215" s="1370"/>
      <c r="I215" s="1370"/>
      <c r="J215" s="1370"/>
      <c r="K215" s="1370"/>
      <c r="L215" s="1370"/>
      <c r="M215" s="1370"/>
      <c r="N215" s="1370"/>
      <c r="O215" s="7"/>
    </row>
    <row r="216" spans="2:16" ht="25.5" customHeight="1" x14ac:dyDescent="0.2">
      <c r="B216" s="20"/>
      <c r="C216" s="20"/>
      <c r="D216" s="20"/>
      <c r="E216" s="1408" t="str">
        <f>Translations!$B$207</f>
        <v>Zgodnie z art. 15 ust. 7 akapit pierwszy FAR, w celu określenia średnich historycznych poziomów działalności uwzględnia się jedynie lata kalendarzowe, w których instalacja działała przez co najmniej jeden dzień.</v>
      </c>
      <c r="F216" s="1370"/>
      <c r="G216" s="1370"/>
      <c r="H216" s="1370"/>
      <c r="I216" s="1370"/>
      <c r="J216" s="1370"/>
      <c r="K216" s="1370"/>
      <c r="L216" s="1370"/>
      <c r="M216" s="1370"/>
      <c r="N216" s="1370"/>
      <c r="O216" s="7"/>
    </row>
    <row r="217" spans="2:16" ht="25.5" customHeight="1" x14ac:dyDescent="0.2">
      <c r="B217" s="20"/>
      <c r="C217" s="20"/>
      <c r="D217" s="20"/>
      <c r="E217" s="1408" t="str">
        <f>Translations!$B$208</f>
        <v>W tabeli poniżej proszę podać dla każdego roku, czy instalacja działała przez co najmniej jeden dzień w roku kalendarzowym. Nie należy zostawiać niewypełnionych żółtych komórek.</v>
      </c>
      <c r="F217" s="1370"/>
      <c r="G217" s="1370"/>
      <c r="H217" s="1370"/>
      <c r="I217" s="1370"/>
      <c r="J217" s="1370"/>
      <c r="K217" s="1370"/>
      <c r="L217" s="1370"/>
      <c r="M217" s="1370"/>
      <c r="N217" s="1370"/>
      <c r="O217" s="7"/>
    </row>
    <row r="218" spans="2:16" x14ac:dyDescent="0.2">
      <c r="B218" s="20"/>
      <c r="C218" s="20"/>
      <c r="D218" s="20"/>
      <c r="E218" s="1430" t="str">
        <f>Translations!$B$209</f>
        <v>Proszę potwierdzić:</v>
      </c>
      <c r="F218" s="1377"/>
      <c r="G218" s="1377"/>
      <c r="H218" s="1431"/>
      <c r="I218" s="535">
        <f>I$330</f>
        <v>2014</v>
      </c>
      <c r="J218" s="535">
        <f>J$330</f>
        <v>2015</v>
      </c>
      <c r="K218" s="535">
        <f>K$330</f>
        <v>2016</v>
      </c>
      <c r="L218" s="535">
        <f>L$330</f>
        <v>2017</v>
      </c>
      <c r="M218" s="535">
        <f>M$330</f>
        <v>2018</v>
      </c>
      <c r="N218" s="20"/>
      <c r="O218" s="7"/>
    </row>
    <row r="219" spans="2:16" x14ac:dyDescent="0.2">
      <c r="B219" s="20"/>
      <c r="C219" s="20"/>
      <c r="D219" s="20"/>
      <c r="E219" s="1451" t="str">
        <f>Translations!$B$210</f>
        <v>Instalacja działała w tym roku:</v>
      </c>
      <c r="F219" s="1345"/>
      <c r="G219" s="1345"/>
      <c r="H219" s="1452"/>
      <c r="I219" s="367" t="b">
        <v>1</v>
      </c>
      <c r="J219" s="367" t="b">
        <v>1</v>
      </c>
      <c r="K219" s="367" t="b">
        <v>1</v>
      </c>
      <c r="L219" s="367" t="b">
        <v>1</v>
      </c>
      <c r="M219" s="367" t="b">
        <v>1</v>
      </c>
      <c r="N219" s="20"/>
      <c r="O219" s="7"/>
    </row>
    <row r="220" spans="2:16" x14ac:dyDescent="0.2">
      <c r="B220" s="20"/>
      <c r="C220" s="20"/>
      <c r="D220" s="20"/>
      <c r="E220" s="29" t="str">
        <f>Translations!$B$211</f>
        <v>Komunikaty o błędach:</v>
      </c>
      <c r="F220" s="29"/>
      <c r="G220" s="29"/>
      <c r="H220" s="29"/>
      <c r="I220" s="388" t="str">
        <f>IF(CNTR_HasEntries_A_I, IF(ISBLANK(I219), EUconst_Incomplete, ""), "")</f>
        <v/>
      </c>
      <c r="J220" s="388" t="str">
        <f>IF(CNTR_HasEntries_A_I, IF(ISBLANK(J219), EUconst_Incomplete, ""), "")</f>
        <v/>
      </c>
      <c r="K220" s="388" t="str">
        <f>IF(CNTR_HasEntries_A_I, IF(ISBLANK(K219), EUconst_Incomplete, ""), "")</f>
        <v/>
      </c>
      <c r="L220" s="388" t="str">
        <f>IF(CNTR_HasEntries_A_I, IF(ISBLANK(L219), EUconst_Incomplete, ""), "")</f>
        <v/>
      </c>
      <c r="M220" s="388" t="str">
        <f>IF(CNTR_HasEntries_A_I, IF(ISBLANK(M219), EUconst_Incomplete, ""), "")</f>
        <v/>
      </c>
      <c r="N220" s="20"/>
      <c r="O220" s="7"/>
    </row>
    <row r="221" spans="2:16" x14ac:dyDescent="0.2">
      <c r="B221" s="20"/>
      <c r="C221" s="20"/>
      <c r="D221" s="20"/>
      <c r="E221" s="20"/>
      <c r="F221" s="20"/>
      <c r="G221" s="20"/>
      <c r="H221" s="20"/>
      <c r="I221" s="20"/>
      <c r="J221" s="20"/>
      <c r="K221" s="20"/>
      <c r="L221" s="20"/>
      <c r="M221" s="20"/>
      <c r="N221" s="20"/>
      <c r="O221" s="7"/>
    </row>
    <row r="222" spans="2:16" ht="15.75" x14ac:dyDescent="0.25">
      <c r="B222" s="3"/>
      <c r="C222" s="12" t="s">
        <v>357</v>
      </c>
      <c r="D222" s="1384" t="str">
        <f>Translations!$B$212</f>
        <v>Wykaz podinstalacji</v>
      </c>
      <c r="E222" s="1384"/>
      <c r="F222" s="1384"/>
      <c r="G222" s="1384"/>
      <c r="H222" s="1384"/>
      <c r="I222" s="1384"/>
      <c r="J222" s="1384"/>
      <c r="K222" s="1384"/>
      <c r="L222" s="1384"/>
      <c r="M222" s="1384"/>
      <c r="N222" s="1384"/>
      <c r="O222" s="7"/>
      <c r="P222" s="626"/>
    </row>
    <row r="223" spans="2:16" ht="5.0999999999999996" customHeight="1" x14ac:dyDescent="0.2">
      <c r="B223" s="3"/>
      <c r="C223" s="3"/>
      <c r="D223" s="3"/>
      <c r="E223" s="3"/>
      <c r="F223" s="3"/>
      <c r="G223" s="3"/>
      <c r="H223" s="3"/>
      <c r="I223" s="3"/>
      <c r="J223" s="3"/>
      <c r="K223" s="3"/>
      <c r="L223" s="3"/>
      <c r="M223" s="7"/>
      <c r="N223" s="7"/>
      <c r="O223" s="7"/>
      <c r="P223" s="626"/>
    </row>
    <row r="224" spans="2:16" ht="15" x14ac:dyDescent="0.25">
      <c r="B224" s="20"/>
      <c r="C224" s="18">
        <v>1</v>
      </c>
      <c r="D224" s="1439" t="str">
        <f>Translations!$B$213</f>
        <v>Podinstalacje objęte wskaźnikiem emisyjności dla produktów</v>
      </c>
      <c r="E224" s="1370"/>
      <c r="F224" s="1370"/>
      <c r="G224" s="1370"/>
      <c r="H224" s="1370"/>
      <c r="I224" s="1370"/>
      <c r="J224" s="1370"/>
      <c r="K224" s="1370"/>
      <c r="L224" s="1370"/>
      <c r="M224" s="1370"/>
      <c r="N224" s="1370"/>
      <c r="O224" s="7"/>
    </row>
    <row r="225" spans="2:21" ht="5.0999999999999996" customHeight="1" x14ac:dyDescent="0.2">
      <c r="B225" s="3"/>
      <c r="C225" s="3"/>
      <c r="D225" s="3"/>
      <c r="E225" s="3"/>
      <c r="F225" s="3"/>
      <c r="G225" s="3"/>
      <c r="H225" s="3"/>
      <c r="I225" s="3"/>
      <c r="J225" s="3"/>
      <c r="K225" s="3"/>
      <c r="L225" s="3"/>
      <c r="M225" s="7"/>
      <c r="N225" s="7"/>
      <c r="O225" s="7"/>
      <c r="P225" s="626"/>
    </row>
    <row r="226" spans="2:21" x14ac:dyDescent="0.2">
      <c r="B226" s="20"/>
      <c r="C226" s="20"/>
      <c r="D226" s="214"/>
      <c r="E226" s="1375" t="str">
        <f>Translations!$B$214</f>
        <v>W tym miejscu proszę wybrać podinstalacje objęte wskaźnikiem emisyjności dla produktów związane z Państwa instalacją, jeśli takie występują:</v>
      </c>
      <c r="F226" s="1370"/>
      <c r="G226" s="1370"/>
      <c r="H226" s="1370"/>
      <c r="I226" s="1370"/>
      <c r="J226" s="1370"/>
      <c r="K226" s="1370"/>
      <c r="L226" s="1370"/>
      <c r="M226" s="1370"/>
      <c r="N226" s="1370"/>
      <c r="O226" s="7"/>
    </row>
    <row r="227" spans="2:21" ht="12.75" customHeight="1" x14ac:dyDescent="0.2">
      <c r="B227" s="20"/>
      <c r="C227" s="20"/>
      <c r="D227" s="16"/>
      <c r="E227" s="1408" t="str">
        <f>Translations!$B$215</f>
        <v>Dla każdego rodzaju produktu można wybrać tylko jedną podinstalację. Podobne produkty, które są objęte tym samym wskaźnikiem emisyjności dla produktów w załączniku I do FAR, są ujmowane zbiorczo.</v>
      </c>
      <c r="F227" s="1370"/>
      <c r="G227" s="1370"/>
      <c r="H227" s="1370"/>
      <c r="I227" s="1370"/>
      <c r="J227" s="1370"/>
      <c r="K227" s="1370"/>
      <c r="L227" s="1370"/>
      <c r="M227" s="1370"/>
      <c r="N227" s="1370"/>
      <c r="O227" s="7"/>
    </row>
    <row r="228" spans="2:21" ht="38.25" customHeight="1" x14ac:dyDescent="0.2">
      <c r="B228" s="20"/>
      <c r="C228" s="20"/>
      <c r="D228" s="16"/>
      <c r="E228" s="1408" t="str">
        <f>Translations!$B$216</f>
        <v>Status dotyczący narażenia na znaczne ryzyko ucieczki emisji („CL” – ang. „carbon leakage”) ustala się na podstawie decyzji delegowanej Komisji (UE)…/… z dnia 15 lutego 2019 r. uzupełniającej dyrektywę 2003/87/WE Parlamentu Europejskiego i Rady w zakresie wskazania sektorów i podsektorów uznanych za narażone na ryzyko ucieczki emisji w okresie 2021–2030. http://ec.europa.eu/transparency/regdoc/rep/3/2019/PL/C-2019-930-F1-PL-ANNEX-1-PART-1.PDF</v>
      </c>
      <c r="F228" s="1370"/>
      <c r="G228" s="1370"/>
      <c r="H228" s="1370"/>
      <c r="I228" s="1370"/>
      <c r="J228" s="1370"/>
      <c r="K228" s="1370"/>
      <c r="L228" s="1370"/>
      <c r="M228" s="1370"/>
      <c r="N228" s="1370"/>
      <c r="O228" s="7"/>
    </row>
    <row r="229" spans="2:21" x14ac:dyDescent="0.2">
      <c r="B229" s="20"/>
      <c r="C229" s="20"/>
      <c r="D229" s="16"/>
      <c r="E229" s="1408" t="str">
        <f>Translations!$B$217</f>
        <v>Każda nazwa podinstalacji może pojawić się tylko raz. W przeciwnym razie niektóre części niniejszego formularza nie będą działały prawidłowo.</v>
      </c>
      <c r="F229" s="1370"/>
      <c r="G229" s="1370"/>
      <c r="H229" s="1370"/>
      <c r="I229" s="1370"/>
      <c r="J229" s="1370"/>
      <c r="K229" s="1370"/>
      <c r="L229" s="1370"/>
      <c r="M229" s="1370"/>
      <c r="N229" s="1370"/>
      <c r="O229" s="7"/>
    </row>
    <row r="230" spans="2:21" ht="38.85" customHeight="1" x14ac:dyDescent="0.2">
      <c r="B230" s="3"/>
      <c r="C230" s="3"/>
      <c r="D230" s="16"/>
      <c r="E230" s="1416" t="str">
        <f>Translations!$B$218</f>
        <v>W drugiej żółtej kolumnie należy podać dla każdej podinstalacji datę rozpoczęcia normalnej działalności zgodnie z art. 2 pkt 12 FAR. Informacje te są istotne do zidentyfikowania, które lata należy uwzględnić w celu określenia historycznego poziomu działalności zgodnie z art. 15 ust. 7 w arkuszach F i G. Dane te są istotne wyłącznie w przypadku, gdy podinstalacja jako całość zaczęła działać po dniu 1 stycznia 2014 r.</v>
      </c>
      <c r="F230" s="1459"/>
      <c r="G230" s="1459"/>
      <c r="H230" s="1459"/>
      <c r="I230" s="1459"/>
      <c r="J230" s="1459"/>
      <c r="K230" s="1459"/>
      <c r="L230" s="1459"/>
      <c r="M230" s="1459"/>
      <c r="N230" s="1459"/>
      <c r="O230" s="7"/>
      <c r="P230" s="626"/>
    </row>
    <row r="231" spans="2:21" ht="25.5" customHeight="1" x14ac:dyDescent="0.2">
      <c r="B231" s="20"/>
      <c r="C231" s="20"/>
      <c r="D231" s="16"/>
      <c r="E231" s="1433" t="str">
        <f>Translations!$B$219</f>
        <v>Należy zauważyć, że poprawne wprowadzenie danych w tym miejscu ma kluczowe znaczenie przy wprowadzaniu wszystkich kolejnych danych dotyczących podinstalacji.</v>
      </c>
      <c r="F231" s="1434"/>
      <c r="G231" s="1434"/>
      <c r="H231" s="1434"/>
      <c r="I231" s="1434"/>
      <c r="J231" s="1434"/>
      <c r="K231" s="1434"/>
      <c r="L231" s="1434"/>
      <c r="M231" s="1434"/>
      <c r="N231" s="1434"/>
      <c r="O231" s="7"/>
    </row>
    <row r="232" spans="2:21" ht="5.0999999999999996" customHeight="1" x14ac:dyDescent="0.2">
      <c r="B232" s="3"/>
      <c r="C232" s="3"/>
      <c r="D232" s="3"/>
      <c r="E232" s="3"/>
      <c r="F232" s="3"/>
      <c r="G232" s="3"/>
      <c r="H232" s="3"/>
      <c r="I232" s="3"/>
      <c r="J232" s="3"/>
      <c r="K232" s="3"/>
      <c r="L232" s="3"/>
      <c r="M232" s="7"/>
      <c r="N232" s="7"/>
      <c r="O232" s="7"/>
      <c r="P232" s="626"/>
    </row>
    <row r="233" spans="2:21" ht="38.85" customHeight="1" thickBot="1" x14ac:dyDescent="0.25">
      <c r="B233" s="20"/>
      <c r="C233" s="20"/>
      <c r="D233" s="378" t="str">
        <f>Translations!$B$220</f>
        <v>Nr</v>
      </c>
      <c r="E233" s="1537" t="str">
        <f>Translations!$B$221</f>
        <v>Rodzaj produktu</v>
      </c>
      <c r="F233" s="1538"/>
      <c r="G233" s="1538"/>
      <c r="H233" s="1538"/>
      <c r="I233" s="1538"/>
      <c r="J233" s="566" t="str">
        <f>Translations!$B$222</f>
        <v>Rozpoczęcie działalności</v>
      </c>
      <c r="K233" s="122" t="str">
        <f>Translations!$B$223</f>
        <v>narażenie na ryzyko CL?</v>
      </c>
      <c r="L233" s="487"/>
      <c r="M233" s="121"/>
      <c r="N233" s="121"/>
      <c r="O233" s="7"/>
      <c r="P233" s="849" t="s">
        <v>331</v>
      </c>
      <c r="Q233" s="849" t="s">
        <v>97</v>
      </c>
      <c r="R233" s="849" t="s">
        <v>358</v>
      </c>
      <c r="S233" s="849" t="s">
        <v>374</v>
      </c>
      <c r="U233" s="850" t="s">
        <v>595</v>
      </c>
    </row>
    <row r="234" spans="2:21" ht="12.75" customHeight="1" x14ac:dyDescent="0.2">
      <c r="B234" s="20"/>
      <c r="C234" s="20"/>
      <c r="D234" s="339">
        <v>1</v>
      </c>
      <c r="E234" s="1574"/>
      <c r="F234" s="1575"/>
      <c r="G234" s="1575"/>
      <c r="H234" s="1575"/>
      <c r="I234" s="1576"/>
      <c r="J234" s="845"/>
      <c r="K234" s="381" t="str">
        <f t="shared" ref="K234:K243" si="1">IF(P234=EUconst_NA,EUconst_NA,INDEX(EUconst_BMlistCLstatus,P234))</f>
        <v>Nie dotyczy</v>
      </c>
      <c r="L234" s="1453" t="str">
        <f t="shared" ref="L234:L243" si="2">IF(ISBLANK(E234),"",IF(COUNTIF(CNTR_AnnexIActivities,INDEX(EUconst_BMlistNumberOfActivity,P234))=0,EUconst_ERR_ActivityMissing,""))</f>
        <v/>
      </c>
      <c r="M234" s="1454"/>
      <c r="N234" s="121"/>
      <c r="O234" s="7"/>
      <c r="P234" s="635" t="str">
        <f t="shared" ref="P234:P243" si="3">IF(ISBLANK($E234),EUconst_NA,MATCH($E234,EUconst_BMlistNames,0))</f>
        <v>Nie dotyczy</v>
      </c>
      <c r="Q234" s="635" t="str">
        <f>IF(ISNUMBER(P234),COUNT(P$234:P234),"")</f>
        <v/>
      </c>
      <c r="R234" s="636" t="str">
        <f t="shared" ref="R234:R243" si="4">IF(P234=EUconst_NA,EUconst_Tons,INDEX(EUconst_BMlistUnits,P234))</f>
        <v>tony</v>
      </c>
      <c r="S234" s="635" t="str">
        <f t="shared" ref="S234:S243" si="5">IF(ISBLANK(E234),"",COUNTIF($E$234:$H$243,E234))</f>
        <v/>
      </c>
      <c r="U234" s="848" t="b">
        <f t="shared" ref="U234:U243" si="6">J234&gt;DATE($M$330,1,1)</f>
        <v>0</v>
      </c>
    </row>
    <row r="235" spans="2:21" ht="12.75" customHeight="1" x14ac:dyDescent="0.2">
      <c r="B235" s="20"/>
      <c r="C235" s="20"/>
      <c r="D235" s="338">
        <f t="shared" ref="D235:D243" si="7">D234+1</f>
        <v>2</v>
      </c>
      <c r="E235" s="1533"/>
      <c r="F235" s="1534"/>
      <c r="G235" s="1534"/>
      <c r="H235" s="1534"/>
      <c r="I235" s="1535"/>
      <c r="J235" s="846"/>
      <c r="K235" s="380" t="str">
        <f t="shared" si="1"/>
        <v>Nie dotyczy</v>
      </c>
      <c r="L235" s="1440" t="str">
        <f t="shared" si="2"/>
        <v/>
      </c>
      <c r="M235" s="1441"/>
      <c r="N235" s="121"/>
      <c r="O235" s="7"/>
      <c r="P235" s="637" t="str">
        <f t="shared" si="3"/>
        <v>Nie dotyczy</v>
      </c>
      <c r="Q235" s="637" t="str">
        <f>IF(ISNUMBER(P235),COUNT(P$234:P235),"")</f>
        <v/>
      </c>
      <c r="R235" s="638" t="str">
        <f t="shared" si="4"/>
        <v>tony</v>
      </c>
      <c r="S235" s="637" t="str">
        <f t="shared" si="5"/>
        <v/>
      </c>
      <c r="U235" s="848" t="b">
        <f t="shared" si="6"/>
        <v>0</v>
      </c>
    </row>
    <row r="236" spans="2:21" x14ac:dyDescent="0.2">
      <c r="B236" s="20"/>
      <c r="C236" s="20"/>
      <c r="D236" s="338">
        <f t="shared" si="7"/>
        <v>3</v>
      </c>
      <c r="E236" s="1533"/>
      <c r="F236" s="1534"/>
      <c r="G236" s="1534"/>
      <c r="H236" s="1534"/>
      <c r="I236" s="1535"/>
      <c r="J236" s="846"/>
      <c r="K236" s="380" t="str">
        <f t="shared" si="1"/>
        <v>Nie dotyczy</v>
      </c>
      <c r="L236" s="1440" t="str">
        <f t="shared" si="2"/>
        <v/>
      </c>
      <c r="M236" s="1441"/>
      <c r="N236" s="121"/>
      <c r="O236" s="7"/>
      <c r="P236" s="637" t="str">
        <f t="shared" si="3"/>
        <v>Nie dotyczy</v>
      </c>
      <c r="Q236" s="637" t="str">
        <f>IF(ISNUMBER(P236),COUNT(P$234:P236),"")</f>
        <v/>
      </c>
      <c r="R236" s="638" t="str">
        <f t="shared" si="4"/>
        <v>tony</v>
      </c>
      <c r="S236" s="637" t="str">
        <f t="shared" si="5"/>
        <v/>
      </c>
      <c r="U236" s="848" t="b">
        <f t="shared" si="6"/>
        <v>0</v>
      </c>
    </row>
    <row r="237" spans="2:21" ht="12.75" customHeight="1" x14ac:dyDescent="0.2">
      <c r="B237" s="20"/>
      <c r="C237" s="20"/>
      <c r="D237" s="338">
        <f t="shared" si="7"/>
        <v>4</v>
      </c>
      <c r="E237" s="1533"/>
      <c r="F237" s="1534"/>
      <c r="G237" s="1534"/>
      <c r="H237" s="1534"/>
      <c r="I237" s="1535"/>
      <c r="J237" s="846"/>
      <c r="K237" s="380" t="str">
        <f t="shared" si="1"/>
        <v>Nie dotyczy</v>
      </c>
      <c r="L237" s="1440" t="str">
        <f t="shared" si="2"/>
        <v/>
      </c>
      <c r="M237" s="1441"/>
      <c r="N237" s="121"/>
      <c r="O237" s="7"/>
      <c r="P237" s="637" t="str">
        <f t="shared" si="3"/>
        <v>Nie dotyczy</v>
      </c>
      <c r="Q237" s="637" t="str">
        <f>IF(ISNUMBER(P237),COUNT(P$234:P237),"")</f>
        <v/>
      </c>
      <c r="R237" s="638" t="str">
        <f t="shared" si="4"/>
        <v>tony</v>
      </c>
      <c r="S237" s="637" t="str">
        <f t="shared" si="5"/>
        <v/>
      </c>
      <c r="U237" s="848" t="b">
        <f t="shared" si="6"/>
        <v>0</v>
      </c>
    </row>
    <row r="238" spans="2:21" x14ac:dyDescent="0.2">
      <c r="B238" s="20"/>
      <c r="C238" s="20"/>
      <c r="D238" s="338">
        <f t="shared" si="7"/>
        <v>5</v>
      </c>
      <c r="E238" s="1533"/>
      <c r="F238" s="1534"/>
      <c r="G238" s="1534"/>
      <c r="H238" s="1534"/>
      <c r="I238" s="1535"/>
      <c r="J238" s="846"/>
      <c r="K238" s="380" t="str">
        <f t="shared" si="1"/>
        <v>Nie dotyczy</v>
      </c>
      <c r="L238" s="1440" t="str">
        <f t="shared" si="2"/>
        <v/>
      </c>
      <c r="M238" s="1441"/>
      <c r="N238" s="121"/>
      <c r="O238" s="7"/>
      <c r="P238" s="637" t="str">
        <f t="shared" si="3"/>
        <v>Nie dotyczy</v>
      </c>
      <c r="Q238" s="637" t="str">
        <f>IF(ISNUMBER(P238),COUNT(P$234:P238),"")</f>
        <v/>
      </c>
      <c r="R238" s="638" t="str">
        <f t="shared" si="4"/>
        <v>tony</v>
      </c>
      <c r="S238" s="637" t="str">
        <f t="shared" si="5"/>
        <v/>
      </c>
      <c r="U238" s="848" t="b">
        <f t="shared" si="6"/>
        <v>0</v>
      </c>
    </row>
    <row r="239" spans="2:21" x14ac:dyDescent="0.2">
      <c r="B239" s="20"/>
      <c r="C239" s="20"/>
      <c r="D239" s="338">
        <f t="shared" si="7"/>
        <v>6</v>
      </c>
      <c r="E239" s="1533"/>
      <c r="F239" s="1534"/>
      <c r="G239" s="1534"/>
      <c r="H239" s="1534"/>
      <c r="I239" s="1535"/>
      <c r="J239" s="846"/>
      <c r="K239" s="380" t="str">
        <f t="shared" si="1"/>
        <v>Nie dotyczy</v>
      </c>
      <c r="L239" s="1440" t="str">
        <f t="shared" si="2"/>
        <v/>
      </c>
      <c r="M239" s="1441"/>
      <c r="N239" s="121"/>
      <c r="O239" s="7"/>
      <c r="P239" s="637" t="str">
        <f t="shared" si="3"/>
        <v>Nie dotyczy</v>
      </c>
      <c r="Q239" s="637" t="str">
        <f>IF(ISNUMBER(P239),COUNT(P$234:P239),"")</f>
        <v/>
      </c>
      <c r="R239" s="638" t="str">
        <f t="shared" si="4"/>
        <v>tony</v>
      </c>
      <c r="S239" s="637" t="str">
        <f t="shared" si="5"/>
        <v/>
      </c>
      <c r="U239" s="848" t="b">
        <f t="shared" si="6"/>
        <v>0</v>
      </c>
    </row>
    <row r="240" spans="2:21" x14ac:dyDescent="0.2">
      <c r="B240" s="20"/>
      <c r="C240" s="20"/>
      <c r="D240" s="338">
        <f t="shared" si="7"/>
        <v>7</v>
      </c>
      <c r="E240" s="1533"/>
      <c r="F240" s="1534"/>
      <c r="G240" s="1534"/>
      <c r="H240" s="1534"/>
      <c r="I240" s="1535"/>
      <c r="J240" s="846"/>
      <c r="K240" s="380" t="str">
        <f t="shared" si="1"/>
        <v>Nie dotyczy</v>
      </c>
      <c r="L240" s="1440" t="str">
        <f t="shared" si="2"/>
        <v/>
      </c>
      <c r="M240" s="1441"/>
      <c r="N240" s="121"/>
      <c r="O240" s="7"/>
      <c r="P240" s="637" t="str">
        <f t="shared" si="3"/>
        <v>Nie dotyczy</v>
      </c>
      <c r="Q240" s="637" t="str">
        <f>IF(ISNUMBER(P240),COUNT(P$234:P240),"")</f>
        <v/>
      </c>
      <c r="R240" s="638" t="str">
        <f t="shared" si="4"/>
        <v>tony</v>
      </c>
      <c r="S240" s="637" t="str">
        <f t="shared" si="5"/>
        <v/>
      </c>
      <c r="U240" s="848" t="b">
        <f t="shared" si="6"/>
        <v>0</v>
      </c>
    </row>
    <row r="241" spans="2:21" x14ac:dyDescent="0.2">
      <c r="B241" s="20"/>
      <c r="C241" s="20"/>
      <c r="D241" s="338">
        <f t="shared" si="7"/>
        <v>8</v>
      </c>
      <c r="E241" s="1533"/>
      <c r="F241" s="1534"/>
      <c r="G241" s="1534"/>
      <c r="H241" s="1534"/>
      <c r="I241" s="1535"/>
      <c r="J241" s="846"/>
      <c r="K241" s="380" t="str">
        <f t="shared" si="1"/>
        <v>Nie dotyczy</v>
      </c>
      <c r="L241" s="1440" t="str">
        <f t="shared" si="2"/>
        <v/>
      </c>
      <c r="M241" s="1441"/>
      <c r="N241" s="121"/>
      <c r="O241" s="7"/>
      <c r="P241" s="637" t="str">
        <f t="shared" si="3"/>
        <v>Nie dotyczy</v>
      </c>
      <c r="Q241" s="637" t="str">
        <f>IF(ISNUMBER(P241),COUNT(P$234:P241),"")</f>
        <v/>
      </c>
      <c r="R241" s="638" t="str">
        <f t="shared" si="4"/>
        <v>tony</v>
      </c>
      <c r="S241" s="637" t="str">
        <f t="shared" si="5"/>
        <v/>
      </c>
      <c r="U241" s="848" t="b">
        <f t="shared" si="6"/>
        <v>0</v>
      </c>
    </row>
    <row r="242" spans="2:21" x14ac:dyDescent="0.2">
      <c r="B242" s="20"/>
      <c r="C242" s="20"/>
      <c r="D242" s="338">
        <f t="shared" si="7"/>
        <v>9</v>
      </c>
      <c r="E242" s="1533"/>
      <c r="F242" s="1534"/>
      <c r="G242" s="1534"/>
      <c r="H242" s="1534"/>
      <c r="I242" s="1535"/>
      <c r="J242" s="846"/>
      <c r="K242" s="380" t="str">
        <f t="shared" si="1"/>
        <v>Nie dotyczy</v>
      </c>
      <c r="L242" s="1440" t="str">
        <f t="shared" si="2"/>
        <v/>
      </c>
      <c r="M242" s="1441"/>
      <c r="N242" s="121"/>
      <c r="O242" s="7"/>
      <c r="P242" s="637" t="str">
        <f t="shared" si="3"/>
        <v>Nie dotyczy</v>
      </c>
      <c r="Q242" s="637" t="str">
        <f>IF(ISNUMBER(P242),COUNT(P$234:P242),"")</f>
        <v/>
      </c>
      <c r="R242" s="638" t="str">
        <f t="shared" si="4"/>
        <v>tony</v>
      </c>
      <c r="S242" s="637" t="str">
        <f t="shared" si="5"/>
        <v/>
      </c>
      <c r="U242" s="848" t="b">
        <f t="shared" si="6"/>
        <v>0</v>
      </c>
    </row>
    <row r="243" spans="2:21" ht="13.5" thickBot="1" x14ac:dyDescent="0.25">
      <c r="B243" s="20"/>
      <c r="C243" s="20"/>
      <c r="D243" s="337">
        <f t="shared" si="7"/>
        <v>10</v>
      </c>
      <c r="E243" s="1442"/>
      <c r="F243" s="1443"/>
      <c r="G243" s="1443"/>
      <c r="H243" s="1443"/>
      <c r="I243" s="1444"/>
      <c r="J243" s="847"/>
      <c r="K243" s="379" t="str">
        <f t="shared" si="1"/>
        <v>Nie dotyczy</v>
      </c>
      <c r="L243" s="1449" t="str">
        <f t="shared" si="2"/>
        <v/>
      </c>
      <c r="M243" s="1450"/>
      <c r="N243" s="121"/>
      <c r="O243" s="7"/>
      <c r="P243" s="639" t="str">
        <f t="shared" si="3"/>
        <v>Nie dotyczy</v>
      </c>
      <c r="Q243" s="639" t="str">
        <f>IF(ISNUMBER(P243),COUNT(P$234:P243),"")</f>
        <v/>
      </c>
      <c r="R243" s="640" t="str">
        <f t="shared" si="4"/>
        <v>tony</v>
      </c>
      <c r="S243" s="639" t="str">
        <f t="shared" si="5"/>
        <v/>
      </c>
      <c r="U243" s="848" t="b">
        <f t="shared" si="6"/>
        <v>0</v>
      </c>
    </row>
    <row r="244" spans="2:21" x14ac:dyDescent="0.2">
      <c r="B244" s="20"/>
      <c r="C244" s="20"/>
      <c r="D244" s="96"/>
      <c r="E244" s="389" t="str">
        <f>IF(MAX(S234:S243)&gt;1,EUconst_ERR_DoubleBMentry,"")</f>
        <v/>
      </c>
      <c r="F244" s="99"/>
      <c r="G244" s="99"/>
      <c r="H244" s="99"/>
      <c r="I244" s="99"/>
      <c r="J244" s="99"/>
      <c r="K244" s="95"/>
      <c r="L244" s="20"/>
      <c r="M244" s="20"/>
      <c r="N244" s="20"/>
      <c r="O244" s="7"/>
      <c r="Q244" s="641"/>
    </row>
    <row r="245" spans="2:21" x14ac:dyDescent="0.2">
      <c r="B245" s="20"/>
      <c r="C245" s="20"/>
      <c r="D245" s="20"/>
      <c r="E245" s="20"/>
      <c r="F245" s="20"/>
      <c r="G245" s="20"/>
      <c r="H245" s="20"/>
      <c r="I245" s="20"/>
      <c r="J245" s="20"/>
      <c r="K245" s="20"/>
      <c r="L245" s="20"/>
      <c r="M245" s="20"/>
      <c r="N245" s="20"/>
      <c r="O245" s="7"/>
      <c r="Q245" s="642"/>
    </row>
    <row r="246" spans="2:21" x14ac:dyDescent="0.2">
      <c r="B246" s="20"/>
      <c r="C246" s="20"/>
      <c r="D246" s="1527" t="str">
        <f>IF(CNTR_HasEntries_A_I,IF(AND(E199&lt;&gt;"",MAX(Q234:Q265)&lt;1),EUconst_ERR_MissingSubInstEntry,""),"")</f>
        <v/>
      </c>
      <c r="E246" s="1528"/>
      <c r="F246" s="1528"/>
      <c r="G246" s="1528"/>
      <c r="H246" s="1528"/>
      <c r="I246" s="1528"/>
      <c r="J246" s="1528"/>
      <c r="K246" s="1528"/>
      <c r="L246" s="1528"/>
      <c r="M246" s="1528"/>
      <c r="N246" s="1529"/>
      <c r="O246" s="7"/>
      <c r="Q246" s="642"/>
    </row>
    <row r="247" spans="2:21" x14ac:dyDescent="0.2">
      <c r="B247" s="20"/>
      <c r="C247" s="20"/>
      <c r="D247" s="20"/>
      <c r="E247" s="20"/>
      <c r="F247" s="20"/>
      <c r="G247" s="20"/>
      <c r="H247" s="20"/>
      <c r="I247" s="20"/>
      <c r="J247" s="20"/>
      <c r="K247" s="20"/>
      <c r="L247" s="20"/>
      <c r="M247" s="20"/>
      <c r="N247" s="20"/>
      <c r="O247" s="7"/>
      <c r="Q247" s="642"/>
    </row>
    <row r="248" spans="2:21" ht="15" x14ac:dyDescent="0.25">
      <c r="B248" s="20"/>
      <c r="C248" s="18">
        <v>2</v>
      </c>
      <c r="D248" s="1439" t="str">
        <f>Translations!$B$224</f>
        <v>Podinstalacje, dla których wprowadzono rozwiązania rezerwowe (fall-back)</v>
      </c>
      <c r="E248" s="1370"/>
      <c r="F248" s="1370"/>
      <c r="G248" s="1370"/>
      <c r="H248" s="1370"/>
      <c r="I248" s="1370"/>
      <c r="J248" s="1370"/>
      <c r="K248" s="1370"/>
      <c r="L248" s="1370"/>
      <c r="M248" s="1370"/>
      <c r="N248" s="1370"/>
      <c r="O248" s="7"/>
      <c r="Q248" s="642"/>
    </row>
    <row r="249" spans="2:21" x14ac:dyDescent="0.2">
      <c r="B249" s="20"/>
      <c r="C249" s="20"/>
      <c r="D249" s="214"/>
      <c r="E249" s="1375" t="str">
        <f>Translations!$B$225</f>
        <v>W tym miejscu proszę wskazać podinstalacje związane z Państwa instalacją, dla których wprowadzono rozwiązania rezerwowe (fall-back) (jeśli takie występują):</v>
      </c>
      <c r="F249" s="1370"/>
      <c r="G249" s="1370"/>
      <c r="H249" s="1370"/>
      <c r="I249" s="1370"/>
      <c r="J249" s="1370"/>
      <c r="K249" s="1370"/>
      <c r="L249" s="1370"/>
      <c r="M249" s="1370"/>
      <c r="N249" s="1370"/>
      <c r="O249" s="7"/>
      <c r="Q249" s="642"/>
    </row>
    <row r="250" spans="2:21" ht="12.75" customHeight="1" x14ac:dyDescent="0.2">
      <c r="B250" s="20"/>
      <c r="C250" s="20"/>
      <c r="D250" s="16"/>
      <c r="E250" s="1408" t="str">
        <f>Translations!$B$226</f>
        <v>Dla każdego rodzaju rozwiązania rezerwowego (fall-back) mogą istnieć maksymalnie dwie podinstalacje: jedna narażona na znaczne ryzyko ucieczki emisji, druga – nienarażona.</v>
      </c>
      <c r="F250" s="1370"/>
      <c r="G250" s="1370"/>
      <c r="H250" s="1370"/>
      <c r="I250" s="1370"/>
      <c r="J250" s="1370"/>
      <c r="K250" s="1370"/>
      <c r="L250" s="1370"/>
      <c r="M250" s="1370"/>
      <c r="N250" s="1370"/>
      <c r="O250" s="7"/>
      <c r="Q250" s="642"/>
    </row>
    <row r="251" spans="2:21" x14ac:dyDescent="0.2">
      <c r="B251" s="20"/>
      <c r="C251" s="20"/>
      <c r="D251" s="16"/>
      <c r="E251" s="1408" t="str">
        <f>Translations!$B$227</f>
        <v>W drodze wyjątku od tej zasady w odniesieniu do mierzalnego ciepła określa się trzecią podinstalację sieci ciepłowniczej.</v>
      </c>
      <c r="F251" s="1370"/>
      <c r="G251" s="1370"/>
      <c r="H251" s="1370"/>
      <c r="I251" s="1370"/>
      <c r="J251" s="1370"/>
      <c r="K251" s="1370"/>
      <c r="L251" s="1370"/>
      <c r="M251" s="1370"/>
      <c r="N251" s="1370"/>
      <c r="O251" s="7"/>
      <c r="Q251" s="642"/>
    </row>
    <row r="252" spans="2:21" ht="25.5" customHeight="1" x14ac:dyDescent="0.2">
      <c r="B252" s="20"/>
      <c r="C252" s="20"/>
      <c r="D252" s="16"/>
      <c r="E252" s="1448" t="str">
        <f>Translations!$B$228</f>
        <v>Proszę dokonać wyboru dla każdego rodzaju podinstalacji, niezależnie od tego, czy dotyczy to Państwa instalacji. Nie należy zostawiać niewypełnionych żółtych pól.</v>
      </c>
      <c r="F252" s="1434"/>
      <c r="G252" s="1434"/>
      <c r="H252" s="1434"/>
      <c r="I252" s="1434"/>
      <c r="J252" s="1434"/>
      <c r="K252" s="1434"/>
      <c r="L252" s="1434"/>
      <c r="M252" s="1434"/>
      <c r="N252" s="1434"/>
      <c r="O252" s="7"/>
      <c r="Q252" s="642"/>
    </row>
    <row r="253" spans="2:21" ht="25.5" customHeight="1" x14ac:dyDescent="0.2">
      <c r="B253" s="20"/>
      <c r="C253" s="20"/>
      <c r="D253" s="16"/>
      <c r="E253" s="1408" t="str">
        <f>Translations!$B$229</f>
        <v xml:space="preserve">Należy zauważyć, że zgodnie z art. 10 ust. 3 FAR można przyznać wyłączenie z wymogu dostarczenia danych pozwalających na rozróżnienie ze względu na narażenie na ryzyko ucieczki emisji („CL” i „nie-CL”). </v>
      </c>
      <c r="F253" s="1370"/>
      <c r="G253" s="1370"/>
      <c r="H253" s="1370"/>
      <c r="I253" s="1370"/>
      <c r="J253" s="1370"/>
      <c r="K253" s="1370"/>
      <c r="L253" s="1370"/>
      <c r="M253" s="1370"/>
      <c r="N253" s="1370"/>
      <c r="O253" s="7"/>
      <c r="Q253" s="642"/>
    </row>
    <row r="254" spans="2:21" x14ac:dyDescent="0.2">
      <c r="B254" s="20"/>
      <c r="C254" s="20"/>
      <c r="D254" s="16"/>
      <c r="E254" s="1408" t="str">
        <f>Translations!$B$230</f>
        <v>Wyłączenie to ma zastosowanie, jeśli co najmniej 95% czynników produkcji, produktów i emisji ma ten sam status – „CL” lub „nie-CL”.</v>
      </c>
      <c r="F254" s="1370"/>
      <c r="G254" s="1370"/>
      <c r="H254" s="1370"/>
      <c r="I254" s="1370"/>
      <c r="J254" s="1370"/>
      <c r="K254" s="1370"/>
      <c r="L254" s="1370"/>
      <c r="M254" s="1370"/>
      <c r="N254" s="1370"/>
      <c r="O254" s="7"/>
      <c r="Q254" s="642"/>
    </row>
    <row r="255" spans="2:21" ht="38.85" customHeight="1" x14ac:dyDescent="0.2">
      <c r="B255" s="3"/>
      <c r="C255" s="3"/>
      <c r="D255" s="16"/>
      <c r="E255" s="1416" t="str">
        <f>Translations!$B$218</f>
        <v>W drugiej żółtej kolumnie należy podać dla każdej podinstalacji datę rozpoczęcia normalnej działalności zgodnie z art. 2 pkt 12 FAR. Informacje te są istotne do zidentyfikowania, które lata należy uwzględnić w celu określenia historycznego poziomu działalności zgodnie z art. 15 ust. 7 w arkuszach F i G. Dane te są istotne wyłącznie w przypadku, gdy podinstalacja jako całość zaczęła działać po dniu 1 stycznia 2014 r.</v>
      </c>
      <c r="F255" s="1459"/>
      <c r="G255" s="1459"/>
      <c r="H255" s="1459"/>
      <c r="I255" s="1459"/>
      <c r="J255" s="1459"/>
      <c r="K255" s="1459"/>
      <c r="L255" s="1459"/>
      <c r="M255" s="1459"/>
      <c r="N255" s="1459"/>
      <c r="O255" s="7"/>
      <c r="P255" s="626"/>
      <c r="Q255" s="642"/>
    </row>
    <row r="256" spans="2:21" x14ac:dyDescent="0.2">
      <c r="B256" s="20"/>
      <c r="C256" s="20"/>
      <c r="D256" s="16"/>
      <c r="E256" s="1433" t="str">
        <f>Translations!$B$219</f>
        <v>Należy zauważyć, że poprawne wprowadzenie danych w tym miejscu ma kluczowe znaczenie przy wprowadzaniu wszystkich kolejnych danych dotyczących podinstalacji.</v>
      </c>
      <c r="F256" s="1434"/>
      <c r="G256" s="1434"/>
      <c r="H256" s="1434"/>
      <c r="I256" s="1434"/>
      <c r="J256" s="1434"/>
      <c r="K256" s="1434"/>
      <c r="L256" s="1434"/>
      <c r="M256" s="1434"/>
      <c r="N256" s="1434"/>
      <c r="O256" s="7"/>
      <c r="Q256" s="642"/>
    </row>
    <row r="257" spans="2:21" ht="5.0999999999999996" customHeight="1" x14ac:dyDescent="0.2">
      <c r="B257" s="3"/>
      <c r="C257" s="3"/>
      <c r="D257" s="3"/>
      <c r="E257" s="3"/>
      <c r="F257" s="3"/>
      <c r="G257" s="3"/>
      <c r="H257" s="3"/>
      <c r="I257" s="3"/>
      <c r="J257" s="3"/>
      <c r="K257" s="3"/>
      <c r="L257" s="3"/>
      <c r="M257" s="7"/>
      <c r="N257" s="7"/>
      <c r="O257" s="7"/>
      <c r="P257" s="626"/>
      <c r="Q257" s="642"/>
    </row>
    <row r="258" spans="2:21" ht="38.85" customHeight="1" thickBot="1" x14ac:dyDescent="0.25">
      <c r="B258" s="20"/>
      <c r="C258" s="20"/>
      <c r="D258" s="377" t="str">
        <f>Translations!$B$220</f>
        <v>Nr</v>
      </c>
      <c r="E258" s="1539" t="str">
        <f>Translations!$B$231</f>
        <v>Rodzaj podinstalacji</v>
      </c>
      <c r="F258" s="1540"/>
      <c r="G258" s="1540"/>
      <c r="H258" s="1541"/>
      <c r="I258" s="376" t="str">
        <f>Translations!$B$232</f>
        <v>dotyczy?</v>
      </c>
      <c r="J258" s="566" t="str">
        <f>Translations!$B$222</f>
        <v>Rozpoczęcie działalności</v>
      </c>
      <c r="K258" s="375" t="str">
        <f>Translations!$B$223</f>
        <v>narażenie na ryzyko CL?</v>
      </c>
      <c r="L258" s="20"/>
      <c r="M258" s="20"/>
      <c r="N258" s="20"/>
      <c r="O258" s="7"/>
      <c r="P258" s="851" t="s">
        <v>331</v>
      </c>
      <c r="Q258" s="851" t="s">
        <v>97</v>
      </c>
      <c r="R258" s="851" t="s">
        <v>358</v>
      </c>
      <c r="U258" s="850" t="s">
        <v>595</v>
      </c>
    </row>
    <row r="259" spans="2:21" ht="25.5" customHeight="1" x14ac:dyDescent="0.2">
      <c r="B259" s="20"/>
      <c r="C259" s="20"/>
      <c r="D259" s="339">
        <v>11</v>
      </c>
      <c r="E259" s="1530" t="str">
        <f t="shared" ref="E259:E265" si="8">INDEX(EUconst_FallBackListNames,D259-10)</f>
        <v>Podinstalacja objęta wskaźnikiem emisyjności opartym na cieple, „CL”</v>
      </c>
      <c r="F259" s="1531"/>
      <c r="G259" s="1531"/>
      <c r="H259" s="1532"/>
      <c r="I259" s="384" t="b">
        <v>1</v>
      </c>
      <c r="J259" s="845"/>
      <c r="K259" s="1295" t="b">
        <f t="shared" ref="K259:K265" si="9">INDEX(EUconst_FallBackListCLstatus,MATCH($E259,EUconst_FallBackListNames,0))</f>
        <v>1</v>
      </c>
      <c r="L259" s="20"/>
      <c r="M259" s="20"/>
      <c r="N259" s="50"/>
      <c r="O259" s="7"/>
      <c r="P259" s="644">
        <f t="shared" ref="P259:P265" si="10">IF(ISBLANK($I259),EUconst_NA,IF($I259,INDEX(EUconst_FallBackListNumber,MATCH($E259,EUconst_FallBackListNames,0)),EUconst_NA))</f>
        <v>91</v>
      </c>
      <c r="Q259" s="644">
        <f>IF(ISNUMBER(P259),COUNT(P$259:P259)+MAX($Q$234:$Q$243),"")</f>
        <v>1</v>
      </c>
      <c r="R259" s="644" t="str">
        <f t="shared" ref="R259:R265" si="11">INDEX(EUconst_FallBackListUnits,MATCH($E259,EUconst_FallBackListNames,0))</f>
        <v>TJ</v>
      </c>
      <c r="U259" s="848" t="b">
        <f t="shared" ref="U259:U265" si="12">J259&gt;DATE($M$330,1,1)</f>
        <v>0</v>
      </c>
    </row>
    <row r="260" spans="2:21" ht="25.5" customHeight="1" x14ac:dyDescent="0.2">
      <c r="B260" s="20"/>
      <c r="C260" s="20"/>
      <c r="D260" s="338">
        <f>D259+1</f>
        <v>12</v>
      </c>
      <c r="E260" s="1427" t="str">
        <f t="shared" si="8"/>
        <v>Podinstalacja objęta wskaźnikiem emisyjności opartym na cieple, „nie-CL”</v>
      </c>
      <c r="F260" s="1428"/>
      <c r="G260" s="1428"/>
      <c r="H260" s="1429"/>
      <c r="I260" s="383" t="b">
        <v>1</v>
      </c>
      <c r="J260" s="846"/>
      <c r="K260" s="1296" t="b">
        <f t="shared" si="9"/>
        <v>0</v>
      </c>
      <c r="L260" s="20"/>
      <c r="M260" s="20"/>
      <c r="N260" s="50"/>
      <c r="O260" s="7"/>
      <c r="P260" s="637">
        <f t="shared" si="10"/>
        <v>92</v>
      </c>
      <c r="Q260" s="637">
        <f>IF(ISNUMBER(P260),COUNT(P$259:P260)+MAX($Q$234:$Q$243),"")</f>
        <v>2</v>
      </c>
      <c r="R260" s="637" t="str">
        <f t="shared" si="11"/>
        <v>TJ</v>
      </c>
      <c r="U260" s="848" t="b">
        <f t="shared" si="12"/>
        <v>0</v>
      </c>
    </row>
    <row r="261" spans="2:21" ht="12.75" customHeight="1" x14ac:dyDescent="0.2">
      <c r="B261" s="20"/>
      <c r="C261" s="20"/>
      <c r="D261" s="338">
        <f>D260+1</f>
        <v>13</v>
      </c>
      <c r="E261" s="1427" t="str">
        <f t="shared" si="8"/>
        <v>Podinstalacja sieci ciepłowniczej</v>
      </c>
      <c r="F261" s="1428"/>
      <c r="G261" s="1428"/>
      <c r="H261" s="1429"/>
      <c r="I261" s="383" t="b">
        <v>1</v>
      </c>
      <c r="J261" s="846"/>
      <c r="K261" s="1296" t="b">
        <f t="shared" si="9"/>
        <v>0</v>
      </c>
      <c r="L261" s="20"/>
      <c r="M261" s="20"/>
      <c r="N261" s="50"/>
      <c r="O261" s="7"/>
      <c r="P261" s="637">
        <f t="shared" si="10"/>
        <v>97</v>
      </c>
      <c r="Q261" s="637">
        <f>IF(ISNUMBER(P261),COUNT(P$259:P261)+MAX($Q$234:$Q$243),"")</f>
        <v>3</v>
      </c>
      <c r="R261" s="637" t="str">
        <f t="shared" si="11"/>
        <v>TJ</v>
      </c>
      <c r="U261" s="848" t="b">
        <f t="shared" si="12"/>
        <v>0</v>
      </c>
    </row>
    <row r="262" spans="2:21" ht="25.5" customHeight="1" x14ac:dyDescent="0.2">
      <c r="B262" s="20"/>
      <c r="C262" s="20"/>
      <c r="D262" s="338">
        <f>D261+1</f>
        <v>14</v>
      </c>
      <c r="E262" s="1427" t="str">
        <f t="shared" si="8"/>
        <v>Podinstalacja objęta wskaźnikiem emisyjności opartym na paliwie, „CL”</v>
      </c>
      <c r="F262" s="1428"/>
      <c r="G262" s="1428"/>
      <c r="H262" s="1429"/>
      <c r="I262" s="383" t="b">
        <v>0</v>
      </c>
      <c r="J262" s="846"/>
      <c r="K262" s="1296" t="b">
        <f t="shared" si="9"/>
        <v>1</v>
      </c>
      <c r="L262" s="20"/>
      <c r="M262" s="20"/>
      <c r="N262" s="50"/>
      <c r="O262" s="7"/>
      <c r="P262" s="637" t="str">
        <f t="shared" si="10"/>
        <v>Nie dotyczy</v>
      </c>
      <c r="Q262" s="637" t="str">
        <f>IF(ISNUMBER(P262),COUNT(P$259:P262)+MAX($Q$234:$Q$243),"")</f>
        <v/>
      </c>
      <c r="R262" s="637" t="str">
        <f t="shared" si="11"/>
        <v>TJ</v>
      </c>
      <c r="U262" s="848" t="b">
        <f t="shared" si="12"/>
        <v>0</v>
      </c>
    </row>
    <row r="263" spans="2:21" ht="25.5" customHeight="1" x14ac:dyDescent="0.2">
      <c r="B263" s="20"/>
      <c r="C263" s="20"/>
      <c r="D263" s="338">
        <f>D262+1</f>
        <v>15</v>
      </c>
      <c r="E263" s="1427" t="str">
        <f t="shared" si="8"/>
        <v>Podinstalacja objęta wskaźnikiem emisyjności opartym na paliwie, „nie-CL”</v>
      </c>
      <c r="F263" s="1428"/>
      <c r="G263" s="1428"/>
      <c r="H263" s="1429"/>
      <c r="I263" s="383" t="b">
        <v>0</v>
      </c>
      <c r="J263" s="846"/>
      <c r="K263" s="1296" t="b">
        <f t="shared" si="9"/>
        <v>0</v>
      </c>
      <c r="L263" s="20"/>
      <c r="M263" s="20"/>
      <c r="N263" s="50"/>
      <c r="O263" s="7"/>
      <c r="P263" s="637" t="str">
        <f t="shared" si="10"/>
        <v>Nie dotyczy</v>
      </c>
      <c r="Q263" s="637" t="str">
        <f>IF(ISNUMBER(P263),COUNT(P$259:P263)+MAX($Q$234:$Q$243),"")</f>
        <v/>
      </c>
      <c r="R263" s="637" t="str">
        <f t="shared" si="11"/>
        <v>TJ</v>
      </c>
      <c r="U263" s="848" t="b">
        <f t="shared" si="12"/>
        <v>0</v>
      </c>
    </row>
    <row r="264" spans="2:21" ht="12.75" customHeight="1" x14ac:dyDescent="0.2">
      <c r="B264" s="20"/>
      <c r="C264" s="20"/>
      <c r="D264" s="338">
        <f>D263+1</f>
        <v>16</v>
      </c>
      <c r="E264" s="1427" t="str">
        <f>INDEX(EUconst_FallBackListNames,D264-10)</f>
        <v>Podinstalacja wytwarzająca emisje procesowe, „CL”</v>
      </c>
      <c r="F264" s="1428"/>
      <c r="G264" s="1428"/>
      <c r="H264" s="1429"/>
      <c r="I264" s="552" t="b">
        <v>0</v>
      </c>
      <c r="J264" s="846"/>
      <c r="K264" s="1296" t="b">
        <f t="shared" si="9"/>
        <v>1</v>
      </c>
      <c r="L264" s="20"/>
      <c r="M264" s="20"/>
      <c r="N264" s="50"/>
      <c r="O264" s="7"/>
      <c r="P264" s="637" t="str">
        <f t="shared" si="10"/>
        <v>Nie dotyczy</v>
      </c>
      <c r="Q264" s="637" t="str">
        <f>IF(ISNUMBER(P264),COUNT(P$259:P264)+MAX($Q$234:$Q$243),"")</f>
        <v/>
      </c>
      <c r="R264" s="637" t="str">
        <f t="shared" si="11"/>
        <v>t CO2e</v>
      </c>
      <c r="U264" s="848" t="b">
        <f t="shared" si="12"/>
        <v>0</v>
      </c>
    </row>
    <row r="265" spans="2:21" ht="12.75" customHeight="1" thickBot="1" x14ac:dyDescent="0.25">
      <c r="B265" s="20"/>
      <c r="C265" s="20"/>
      <c r="D265" s="337">
        <v>17</v>
      </c>
      <c r="E265" s="1445" t="str">
        <f t="shared" si="8"/>
        <v>Podinstalacja wytwarzająca emisje procesowe, „nie-CL”</v>
      </c>
      <c r="F265" s="1446"/>
      <c r="G265" s="1446"/>
      <c r="H265" s="1447"/>
      <c r="I265" s="382" t="b">
        <v>0</v>
      </c>
      <c r="J265" s="847"/>
      <c r="K265" s="1297" t="b">
        <f t="shared" si="9"/>
        <v>0</v>
      </c>
      <c r="L265" s="20"/>
      <c r="M265" s="20"/>
      <c r="N265" s="50"/>
      <c r="O265" s="7"/>
      <c r="P265" s="639" t="str">
        <f t="shared" si="10"/>
        <v>Nie dotyczy</v>
      </c>
      <c r="Q265" s="639" t="str">
        <f>IF(ISNUMBER(P265),COUNT(P$259:P265)+MAX($Q$234:$Q$243),"")</f>
        <v/>
      </c>
      <c r="R265" s="639" t="str">
        <f t="shared" si="11"/>
        <v>t CO2e</v>
      </c>
      <c r="U265" s="848" t="b">
        <f t="shared" si="12"/>
        <v>0</v>
      </c>
    </row>
    <row r="266" spans="2:21" x14ac:dyDescent="0.2">
      <c r="B266" s="20"/>
      <c r="C266" s="20"/>
      <c r="D266" s="96"/>
      <c r="E266" s="374" t="str">
        <f>IF(CNTR_HasEntries_A_I,IF(COUNTA(CNTR_FallBackSubInstRelevant)&lt;7,EUconst_ERR_MissingFallBackEntry,""),"")</f>
        <v/>
      </c>
      <c r="F266" s="99"/>
      <c r="G266" s="99"/>
      <c r="H266" s="99"/>
      <c r="I266" s="99"/>
      <c r="J266" s="99"/>
      <c r="K266" s="95"/>
      <c r="L266" s="20"/>
      <c r="M266" s="20"/>
      <c r="N266" s="20"/>
      <c r="O266" s="7"/>
    </row>
    <row r="267" spans="2:21" x14ac:dyDescent="0.2">
      <c r="B267" s="20"/>
      <c r="C267" s="20"/>
      <c r="D267" s="20"/>
      <c r="E267" s="20"/>
      <c r="F267" s="20"/>
      <c r="G267" s="20"/>
      <c r="H267" s="20"/>
      <c r="I267" s="20"/>
      <c r="J267" s="20"/>
      <c r="K267" s="20"/>
      <c r="L267" s="20"/>
      <c r="M267" s="20"/>
      <c r="N267" s="20"/>
      <c r="O267" s="7"/>
    </row>
    <row r="268" spans="2:21" x14ac:dyDescent="0.2">
      <c r="B268" s="20"/>
      <c r="C268" s="20"/>
      <c r="D268" s="1527" t="str">
        <f>D246</f>
        <v/>
      </c>
      <c r="E268" s="1528"/>
      <c r="F268" s="1528"/>
      <c r="G268" s="1528"/>
      <c r="H268" s="1528"/>
      <c r="I268" s="1528"/>
      <c r="J268" s="1528"/>
      <c r="K268" s="1528"/>
      <c r="L268" s="1528"/>
      <c r="M268" s="1528"/>
      <c r="N268" s="1529"/>
      <c r="O268" s="7"/>
    </row>
    <row r="269" spans="2:21" x14ac:dyDescent="0.2">
      <c r="B269" s="20"/>
      <c r="C269" s="20"/>
      <c r="D269" s="20"/>
      <c r="E269" s="20"/>
      <c r="F269" s="20"/>
      <c r="G269" s="20"/>
      <c r="H269" s="20"/>
      <c r="I269" s="20"/>
      <c r="J269" s="20"/>
      <c r="K269" s="20"/>
      <c r="L269" s="20"/>
      <c r="M269" s="20"/>
      <c r="N269" s="20"/>
      <c r="O269" s="7"/>
    </row>
    <row r="270" spans="2:21" ht="15.75" x14ac:dyDescent="0.25">
      <c r="B270" s="3"/>
      <c r="C270" s="12" t="s">
        <v>5</v>
      </c>
      <c r="D270" s="1384" t="str">
        <f>Translations!$B$233</f>
        <v>Wykaz powiązań technicznych</v>
      </c>
      <c r="E270" s="1384"/>
      <c r="F270" s="1384"/>
      <c r="G270" s="1384"/>
      <c r="H270" s="1384"/>
      <c r="I270" s="1384"/>
      <c r="J270" s="1384"/>
      <c r="K270" s="1384"/>
      <c r="L270" s="1384"/>
      <c r="M270" s="1384"/>
      <c r="N270" s="1384"/>
      <c r="O270" s="7"/>
      <c r="P270" s="626"/>
    </row>
    <row r="271" spans="2:21" ht="5.0999999999999996" customHeight="1" x14ac:dyDescent="0.2">
      <c r="B271" s="3"/>
      <c r="C271" s="3"/>
      <c r="D271" s="3"/>
      <c r="E271" s="3"/>
      <c r="F271" s="3"/>
      <c r="G271" s="3"/>
      <c r="H271" s="3"/>
      <c r="I271" s="3"/>
      <c r="J271" s="3"/>
      <c r="K271" s="3"/>
      <c r="L271" s="3"/>
      <c r="M271" s="7"/>
      <c r="N271" s="7"/>
      <c r="O271" s="7"/>
      <c r="P271" s="626"/>
    </row>
    <row r="272" spans="2:21" x14ac:dyDescent="0.2">
      <c r="B272" s="20"/>
      <c r="C272" s="20"/>
      <c r="D272" s="213" t="s">
        <v>173</v>
      </c>
      <c r="E272" s="1375" t="str">
        <f>Translations!$B$234</f>
        <v>W tym miejscu proszę podać informacje istotne dla identyfikacji technicznych połączeń z Państwa instalacją:</v>
      </c>
      <c r="F272" s="1370"/>
      <c r="G272" s="1370"/>
      <c r="H272" s="1370"/>
      <c r="I272" s="1370"/>
      <c r="J272" s="1370"/>
      <c r="K272" s="1370"/>
      <c r="L272" s="1370"/>
      <c r="M272" s="1370"/>
      <c r="N272" s="1370"/>
      <c r="O272" s="7"/>
    </row>
    <row r="273" spans="2:15" x14ac:dyDescent="0.2">
      <c r="B273" s="20"/>
      <c r="C273" s="20"/>
      <c r="D273" s="229"/>
      <c r="E273" s="1416" t="str">
        <f>Translations!$B$235</f>
        <v>Informacje te są potrzebne właściwemu organowi do zapewnienia spójności przekazywanych danych oraz zapobiegania podwójnemu liczeniu danych dotyczących przydziałów.</v>
      </c>
      <c r="F273" s="1364"/>
      <c r="G273" s="1364"/>
      <c r="H273" s="1364"/>
      <c r="I273" s="1364"/>
      <c r="J273" s="1364"/>
      <c r="K273" s="1364"/>
      <c r="L273" s="1364"/>
      <c r="M273" s="1364"/>
      <c r="N273" s="1364"/>
      <c r="O273" s="7"/>
    </row>
    <row r="274" spans="2:15" ht="25.5" customHeight="1" x14ac:dyDescent="0.2">
      <c r="B274" s="20"/>
      <c r="C274" s="20"/>
      <c r="D274" s="229"/>
      <c r="E274" s="1416" t="str">
        <f>Translations!$B$236</f>
        <v>Istotne są tylko te przypadki, w których przenoszone są mierzalne ciepło, gazy odlotowe albo „przenoszony CO2” określony w w rozporządzeniu w sprawie monitorowania i raportowania.</v>
      </c>
      <c r="F274" s="1364"/>
      <c r="G274" s="1364"/>
      <c r="H274" s="1364"/>
      <c r="I274" s="1364"/>
      <c r="J274" s="1364"/>
      <c r="K274" s="1364"/>
      <c r="L274" s="1364"/>
      <c r="M274" s="1364"/>
      <c r="N274" s="1364"/>
      <c r="O274" s="7"/>
    </row>
    <row r="275" spans="2:15" ht="25.5" customHeight="1" x14ac:dyDescent="0.2">
      <c r="B275" s="20"/>
      <c r="C275" s="20"/>
      <c r="D275" s="229"/>
      <c r="E275" s="1416" t="str">
        <f>Translations!$B$237</f>
        <v>„Wprowadzanie” w tym kontekście oznacza, że coś jest wprowadzane w granice instalacji, której dotyczy niniejszy raport, zaś „wyprowadzanie” oznacza, że coś wydostaje się poza te granice.</v>
      </c>
      <c r="F275" s="1364"/>
      <c r="G275" s="1364"/>
      <c r="H275" s="1364"/>
      <c r="I275" s="1364"/>
      <c r="J275" s="1364"/>
      <c r="K275" s="1364"/>
      <c r="L275" s="1364"/>
      <c r="M275" s="1364"/>
      <c r="N275" s="1364"/>
      <c r="O275" s="7"/>
    </row>
    <row r="276" spans="2:15" x14ac:dyDescent="0.2">
      <c r="B276" s="20"/>
      <c r="C276" s="20"/>
      <c r="D276" s="229"/>
      <c r="E276" s="1416" t="str">
        <f>Translations!$B$238</f>
        <v>Przepływy materiału lub energii między podinstalacjami nie mają tutaj znaczenia, z wyjątkiem ciepła pochodzącego z produkcji kwasu azotowego.</v>
      </c>
      <c r="F276" s="1364"/>
      <c r="G276" s="1364"/>
      <c r="H276" s="1364"/>
      <c r="I276" s="1364"/>
      <c r="J276" s="1364"/>
      <c r="K276" s="1364"/>
      <c r="L276" s="1364"/>
      <c r="M276" s="1364"/>
      <c r="N276" s="1364"/>
      <c r="O276" s="7"/>
    </row>
    <row r="277" spans="2:15" x14ac:dyDescent="0.2">
      <c r="B277" s="20"/>
      <c r="C277" s="20"/>
      <c r="D277" s="229"/>
      <c r="E277" s="1416" t="str">
        <f>Translations!$B$239</f>
        <v>W kolumnie „Rodzaj odbiorcy” można wybrać spośród następujących opcji:</v>
      </c>
      <c r="F277" s="1364"/>
      <c r="G277" s="1364"/>
      <c r="H277" s="1364"/>
      <c r="I277" s="1364"/>
      <c r="J277" s="1364"/>
      <c r="K277" s="1364"/>
      <c r="L277" s="1364"/>
      <c r="M277" s="1364"/>
      <c r="N277" s="1364"/>
      <c r="O277" s="7"/>
    </row>
    <row r="278" spans="2:15" x14ac:dyDescent="0.2">
      <c r="B278" s="20"/>
      <c r="C278" s="20"/>
      <c r="D278" s="229"/>
      <c r="E278" s="123" t="s">
        <v>408</v>
      </c>
      <c r="F278" s="1408" t="str">
        <f>Translations!$B$240</f>
        <v>Instalacja objęta ETS</v>
      </c>
      <c r="G278" s="1370"/>
      <c r="H278" s="1370"/>
      <c r="I278" s="1370"/>
      <c r="J278" s="1370"/>
      <c r="K278" s="1370"/>
      <c r="L278" s="1370"/>
      <c r="M278" s="1370"/>
      <c r="N278" s="1370"/>
      <c r="O278" s="7"/>
    </row>
    <row r="279" spans="2:15" x14ac:dyDescent="0.2">
      <c r="B279" s="20"/>
      <c r="C279" s="20"/>
      <c r="D279" s="229"/>
      <c r="E279" s="123" t="s">
        <v>408</v>
      </c>
      <c r="F279" s="1408" t="str">
        <f>Translations!$B$241</f>
        <v>Instalacja nieobjęta ETS</v>
      </c>
      <c r="G279" s="1370"/>
      <c r="H279" s="1370"/>
      <c r="I279" s="1370"/>
      <c r="J279" s="1370"/>
      <c r="K279" s="1370"/>
      <c r="L279" s="1370"/>
      <c r="M279" s="1370"/>
      <c r="N279" s="1370"/>
      <c r="O279" s="7"/>
    </row>
    <row r="280" spans="2:15" x14ac:dyDescent="0.2">
      <c r="B280" s="20"/>
      <c r="C280" s="20"/>
      <c r="D280" s="229"/>
      <c r="E280" s="123" t="s">
        <v>408</v>
      </c>
      <c r="F280" s="1408" t="str">
        <f>Translations!$B$242</f>
        <v>Instalacja produkująca kwas azotowy</v>
      </c>
      <c r="G280" s="1370"/>
      <c r="H280" s="1370"/>
      <c r="I280" s="1370"/>
      <c r="J280" s="1370"/>
      <c r="K280" s="1370"/>
      <c r="L280" s="1370"/>
      <c r="M280" s="1370"/>
      <c r="N280" s="1370"/>
      <c r="O280" s="7"/>
    </row>
    <row r="281" spans="2:15" x14ac:dyDescent="0.2">
      <c r="B281" s="20"/>
      <c r="C281" s="20"/>
      <c r="D281" s="229"/>
      <c r="E281" s="123" t="s">
        <v>408</v>
      </c>
      <c r="F281" s="1408" t="str">
        <f>Translations!$B$243</f>
        <v>Sieć dystrybucji ciepła</v>
      </c>
      <c r="G281" s="1370"/>
      <c r="H281" s="1370"/>
      <c r="I281" s="1370"/>
      <c r="J281" s="1370"/>
      <c r="K281" s="1370"/>
      <c r="L281" s="1370"/>
      <c r="M281" s="1370"/>
      <c r="N281" s="1370"/>
      <c r="O281" s="7"/>
    </row>
    <row r="282" spans="2:15" x14ac:dyDescent="0.2">
      <c r="B282" s="20"/>
      <c r="C282" s="20"/>
      <c r="D282" s="229"/>
      <c r="E282" s="1414" t="str">
        <f>Translations!$B$244</f>
        <v>Przypadek szczególny: Produkcja kwasu azotowego:</v>
      </c>
      <c r="F282" s="1415"/>
      <c r="G282" s="1415"/>
      <c r="H282" s="1415"/>
      <c r="I282" s="1415"/>
      <c r="J282" s="1415"/>
      <c r="K282" s="1415"/>
      <c r="L282" s="1415"/>
      <c r="M282" s="1415"/>
      <c r="N282" s="1415"/>
      <c r="O282" s="7"/>
    </row>
    <row r="283" spans="2:15" x14ac:dyDescent="0.2">
      <c r="B283" s="20"/>
      <c r="C283" s="20"/>
      <c r="D283" s="229"/>
      <c r="E283" s="123" t="s">
        <v>408</v>
      </c>
      <c r="F283" s="1408" t="str">
        <f>Translations!$B$245</f>
        <v>Proszę wybrać tę opcję, aby wskazać, że Państwa instalacja wykorzystuje ciepło pochodzące z produkcji kwasu azotowego.</v>
      </c>
      <c r="G283" s="1370"/>
      <c r="H283" s="1370"/>
      <c r="I283" s="1370"/>
      <c r="J283" s="1370"/>
      <c r="K283" s="1370"/>
      <c r="L283" s="1370"/>
      <c r="M283" s="1370"/>
      <c r="N283" s="1370"/>
      <c r="O283" s="7"/>
    </row>
    <row r="284" spans="2:15" ht="25.5" customHeight="1" x14ac:dyDescent="0.2">
      <c r="B284" s="20"/>
      <c r="C284" s="20"/>
      <c r="D284" s="229"/>
      <c r="E284" s="123" t="s">
        <v>408</v>
      </c>
      <c r="F284" s="1408" t="str">
        <f>Translations!$B$246</f>
        <v>Proszę zgłosić ten fakt również wówczas, gdy produkcja kwasu azotowego stanowi część działalności Państwa instalacji, nie zaś tylko w przypadku gdy Państwa instalacja jest podłączona do takiej instalacji.</v>
      </c>
      <c r="G284" s="1370"/>
      <c r="H284" s="1370"/>
      <c r="I284" s="1370"/>
      <c r="J284" s="1370"/>
      <c r="K284" s="1370"/>
      <c r="L284" s="1370"/>
      <c r="M284" s="1370"/>
      <c r="N284" s="1370"/>
      <c r="O284" s="7"/>
    </row>
    <row r="285" spans="2:15" x14ac:dyDescent="0.2">
      <c r="B285" s="20"/>
      <c r="C285" s="20"/>
      <c r="D285" s="229"/>
      <c r="E285" s="123" t="s">
        <v>408</v>
      </c>
      <c r="F285" s="1408" t="str">
        <f>Translations!$B$247</f>
        <v>Informacja ta jest istotna w odniesieniu do bilansu ciepła (arkusz „E_EnergyFlows” część II).</v>
      </c>
      <c r="G285" s="1370"/>
      <c r="H285" s="1370"/>
      <c r="I285" s="1370"/>
      <c r="J285" s="1370"/>
      <c r="K285" s="1370"/>
      <c r="L285" s="1370"/>
      <c r="M285" s="1370"/>
      <c r="N285" s="1370"/>
      <c r="O285" s="7"/>
    </row>
    <row r="286" spans="2:15" x14ac:dyDescent="0.2">
      <c r="B286" s="20"/>
      <c r="C286" s="20"/>
      <c r="D286" s="229"/>
      <c r="E286" s="1416" t="str">
        <f>Translations!$B$248</f>
        <v>Dostępne warianty rodzajów połączeń:</v>
      </c>
      <c r="F286" s="1364"/>
      <c r="G286" s="1364"/>
      <c r="H286" s="1364"/>
      <c r="I286" s="1364"/>
      <c r="J286" s="1364"/>
      <c r="K286" s="1364"/>
      <c r="L286" s="1364"/>
      <c r="M286" s="1364"/>
      <c r="N286" s="1364"/>
      <c r="O286" s="7"/>
    </row>
    <row r="287" spans="2:15" x14ac:dyDescent="0.2">
      <c r="B287" s="20"/>
      <c r="C287" s="20"/>
      <c r="D287" s="229"/>
      <c r="E287" s="123" t="s">
        <v>408</v>
      </c>
      <c r="F287" s="1408" t="str">
        <f>Translations!$B$249</f>
        <v>Mierzalne ciepło</v>
      </c>
      <c r="G287" s="1370"/>
      <c r="H287" s="1370"/>
      <c r="I287" s="1370"/>
      <c r="J287" s="1370"/>
      <c r="K287" s="1370"/>
      <c r="L287" s="1370"/>
      <c r="M287" s="1370"/>
      <c r="N287" s="1370"/>
      <c r="O287" s="7"/>
    </row>
    <row r="288" spans="2:15" x14ac:dyDescent="0.2">
      <c r="B288" s="20"/>
      <c r="C288" s="20"/>
      <c r="D288" s="229"/>
      <c r="E288" s="123" t="s">
        <v>408</v>
      </c>
      <c r="F288" s="1408" t="str">
        <f>Translations!$B$250</f>
        <v>Gazy odlotowe</v>
      </c>
      <c r="G288" s="1370"/>
      <c r="H288" s="1370"/>
      <c r="I288" s="1370"/>
      <c r="J288" s="1370"/>
      <c r="K288" s="1370"/>
      <c r="L288" s="1370"/>
      <c r="M288" s="1370"/>
      <c r="N288" s="1370"/>
      <c r="O288" s="7"/>
    </row>
    <row r="289" spans="2:18" x14ac:dyDescent="0.2">
      <c r="B289" s="20"/>
      <c r="C289" s="20"/>
      <c r="D289" s="229"/>
      <c r="E289" s="123" t="s">
        <v>408</v>
      </c>
      <c r="F289" s="1408" t="str">
        <f>Translations!$B$251</f>
        <v>Przenoszony CO2</v>
      </c>
      <c r="G289" s="1370"/>
      <c r="H289" s="1370"/>
      <c r="I289" s="1370"/>
      <c r="J289" s="1370"/>
      <c r="K289" s="1370"/>
      <c r="L289" s="1370"/>
      <c r="M289" s="1370"/>
      <c r="N289" s="1370"/>
      <c r="O289" s="7"/>
    </row>
    <row r="290" spans="2:18" ht="12.75" customHeight="1" x14ac:dyDescent="0.2">
      <c r="B290" s="20"/>
      <c r="C290" s="20"/>
      <c r="D290" s="229"/>
      <c r="E290" s="123" t="s">
        <v>408</v>
      </c>
      <c r="F290" s="1408" t="str">
        <f>Translations!$B$252</f>
        <v>Produkty pośrednie objęte wskaźnikami emisyjności dla produktów (pkt 1.6 i pkt 3.1 lit. l) załącznika IV do FAR)</v>
      </c>
      <c r="G290" s="1370"/>
      <c r="H290" s="1370"/>
      <c r="I290" s="1370"/>
      <c r="J290" s="1370"/>
      <c r="K290" s="1370"/>
      <c r="L290" s="1370"/>
      <c r="M290" s="1370"/>
      <c r="N290" s="1370"/>
      <c r="O290" s="7"/>
    </row>
    <row r="291" spans="2:18" x14ac:dyDescent="0.2">
      <c r="B291" s="20"/>
      <c r="C291" s="20"/>
      <c r="D291" s="229"/>
      <c r="E291" s="1416" t="str">
        <f>Translations!$B$253</f>
        <v>Warianty kierunku przepływu (z perspektywy instalacji, której dotyczy niniejszy raport):</v>
      </c>
      <c r="F291" s="1364"/>
      <c r="G291" s="1364"/>
      <c r="H291" s="1364"/>
      <c r="I291" s="1364"/>
      <c r="J291" s="1364"/>
      <c r="K291" s="1364"/>
      <c r="L291" s="1364"/>
      <c r="M291" s="1364"/>
      <c r="N291" s="1364"/>
      <c r="O291" s="7"/>
    </row>
    <row r="292" spans="2:18" x14ac:dyDescent="0.2">
      <c r="B292" s="20"/>
      <c r="C292" s="20"/>
      <c r="D292" s="229"/>
      <c r="E292" s="123" t="s">
        <v>408</v>
      </c>
      <c r="F292" s="1408" t="str">
        <f>Translations!$B$254</f>
        <v>Wprowadzanie (do tej instalacji)</v>
      </c>
      <c r="G292" s="1370"/>
      <c r="H292" s="1370"/>
      <c r="I292" s="1370"/>
      <c r="J292" s="1370"/>
      <c r="K292" s="1370"/>
      <c r="L292" s="1370"/>
      <c r="M292" s="1370"/>
      <c r="N292" s="1370"/>
      <c r="O292" s="7"/>
    </row>
    <row r="293" spans="2:18" x14ac:dyDescent="0.2">
      <c r="B293" s="20"/>
      <c r="C293" s="20"/>
      <c r="D293" s="229"/>
      <c r="E293" s="123" t="s">
        <v>408</v>
      </c>
      <c r="F293" s="1408" t="str">
        <f>Translations!$B$255</f>
        <v>Wyprowadzanie (z tej instalacji)</v>
      </c>
      <c r="G293" s="1370"/>
      <c r="H293" s="1370"/>
      <c r="I293" s="1370"/>
      <c r="J293" s="1370"/>
      <c r="K293" s="1370"/>
      <c r="L293" s="1370"/>
      <c r="M293" s="1370"/>
      <c r="N293" s="1370"/>
      <c r="O293" s="7"/>
    </row>
    <row r="294" spans="2:18" ht="5.0999999999999996" customHeight="1" x14ac:dyDescent="0.2">
      <c r="B294" s="3"/>
      <c r="C294" s="3"/>
      <c r="D294" s="77"/>
      <c r="E294" s="3"/>
      <c r="F294" s="3"/>
      <c r="G294" s="3"/>
      <c r="H294" s="3"/>
      <c r="I294" s="3"/>
      <c r="J294" s="3"/>
      <c r="K294" s="3"/>
      <c r="L294" s="3"/>
      <c r="M294" s="7"/>
      <c r="N294" s="7"/>
      <c r="O294" s="7"/>
      <c r="P294" s="626"/>
    </row>
    <row r="295" spans="2:18" ht="13.5" thickBot="1" x14ac:dyDescent="0.25">
      <c r="B295" s="20"/>
      <c r="C295" s="20"/>
      <c r="D295" s="50"/>
      <c r="E295" s="373" t="str">
        <f>Translations!$B$220</f>
        <v>Nr</v>
      </c>
      <c r="F295" s="1423" t="str">
        <f>Translations!$B$256</f>
        <v>Nazwa instalacji lub podmiotu</v>
      </c>
      <c r="G295" s="1425"/>
      <c r="H295" s="1424"/>
      <c r="I295" s="1423" t="str">
        <f>Translations!$B$257</f>
        <v>Rodzaj podmiotu</v>
      </c>
      <c r="J295" s="1424"/>
      <c r="K295" s="1423" t="str">
        <f>Translations!$B$258</f>
        <v>Rodzaj połączenia</v>
      </c>
      <c r="L295" s="1424"/>
      <c r="M295" s="1423" t="str">
        <f>Translations!$B$259</f>
        <v>Kierunek przepływu</v>
      </c>
      <c r="N295" s="1425"/>
      <c r="O295" s="7"/>
      <c r="P295" s="643"/>
      <c r="Q295" s="643" t="s">
        <v>97</v>
      </c>
      <c r="R295" s="645" t="s">
        <v>366</v>
      </c>
    </row>
    <row r="296" spans="2:18" x14ac:dyDescent="0.2">
      <c r="B296" s="20"/>
      <c r="C296" s="20"/>
      <c r="D296" s="50"/>
      <c r="E296" s="57">
        <v>1</v>
      </c>
      <c r="F296" s="1417" t="s">
        <v>3669</v>
      </c>
      <c r="G296" s="1413"/>
      <c r="H296" s="1410"/>
      <c r="I296" s="1421" t="s">
        <v>2422</v>
      </c>
      <c r="J296" s="1422"/>
      <c r="K296" s="1421" t="s">
        <v>2431</v>
      </c>
      <c r="L296" s="1426"/>
      <c r="M296" s="1419" t="s">
        <v>3463</v>
      </c>
      <c r="N296" s="1420"/>
      <c r="O296" s="7"/>
      <c r="P296" s="643"/>
      <c r="Q296" s="635">
        <f>IF(NOT(ISBLANK(F296)),COUNTA($F$296:$F296),"")</f>
        <v>1</v>
      </c>
      <c r="R296" s="635" t="b">
        <f t="shared" ref="R296:R305" si="13">IF(ISBLANK(I296),"",OR(MATCH(I296,EUconst_ConnectedEntityTypes,0)=1,MATCH(I296,EUconst_ConnectedEntityTypes,0)=3))</f>
        <v>1</v>
      </c>
    </row>
    <row r="297" spans="2:18" x14ac:dyDescent="0.2">
      <c r="B297" s="20"/>
      <c r="C297" s="20"/>
      <c r="D297" s="50"/>
      <c r="E297" s="58">
        <f>E296+1</f>
        <v>2</v>
      </c>
      <c r="F297" s="1417" t="s">
        <v>3670</v>
      </c>
      <c r="G297" s="1413"/>
      <c r="H297" s="1410"/>
      <c r="I297" s="1409" t="s">
        <v>2423</v>
      </c>
      <c r="J297" s="1418"/>
      <c r="K297" s="1409" t="s">
        <v>2431</v>
      </c>
      <c r="L297" s="1410"/>
      <c r="M297" s="1411" t="s">
        <v>3463</v>
      </c>
      <c r="N297" s="1412"/>
      <c r="O297" s="7"/>
      <c r="P297" s="643"/>
      <c r="Q297" s="637">
        <f>IF(NOT(ISBLANK(F297)),COUNTA($F$296:$F297),"")</f>
        <v>2</v>
      </c>
      <c r="R297" s="637" t="b">
        <f t="shared" si="13"/>
        <v>0</v>
      </c>
    </row>
    <row r="298" spans="2:18" x14ac:dyDescent="0.2">
      <c r="B298" s="20"/>
      <c r="C298" s="20"/>
      <c r="D298" s="50"/>
      <c r="E298" s="58">
        <f t="shared" ref="E298:E305" si="14">E297+1</f>
        <v>3</v>
      </c>
      <c r="F298" s="1409" t="s">
        <v>3048</v>
      </c>
      <c r="G298" s="1413"/>
      <c r="H298" s="1410"/>
      <c r="I298" s="1409" t="s">
        <v>2425</v>
      </c>
      <c r="J298" s="1418"/>
      <c r="K298" s="1409" t="s">
        <v>2431</v>
      </c>
      <c r="L298" s="1410"/>
      <c r="M298" s="1411" t="s">
        <v>3463</v>
      </c>
      <c r="N298" s="1412"/>
      <c r="O298" s="7"/>
      <c r="P298" s="643"/>
      <c r="Q298" s="637">
        <f>IF(NOT(ISBLANK(F298)),COUNTA($F$296:$F298),"")</f>
        <v>3</v>
      </c>
      <c r="R298" s="637" t="b">
        <f t="shared" si="13"/>
        <v>0</v>
      </c>
    </row>
    <row r="299" spans="2:18" x14ac:dyDescent="0.2">
      <c r="B299" s="20"/>
      <c r="C299" s="20"/>
      <c r="D299" s="50"/>
      <c r="E299" s="58">
        <f t="shared" si="14"/>
        <v>4</v>
      </c>
      <c r="F299" s="1417" t="s">
        <v>3671</v>
      </c>
      <c r="G299" s="1413"/>
      <c r="H299" s="1410"/>
      <c r="I299" s="1409" t="s">
        <v>2423</v>
      </c>
      <c r="J299" s="1418"/>
      <c r="K299" s="1409" t="s">
        <v>2431</v>
      </c>
      <c r="L299" s="1410"/>
      <c r="M299" s="1411" t="s">
        <v>3463</v>
      </c>
      <c r="N299" s="1412"/>
      <c r="O299" s="7"/>
      <c r="P299" s="643"/>
      <c r="Q299" s="637">
        <f>IF(NOT(ISBLANK(F299)),COUNTA($F$296:$F299),"")</f>
        <v>4</v>
      </c>
      <c r="R299" s="637" t="b">
        <f t="shared" si="13"/>
        <v>0</v>
      </c>
    </row>
    <row r="300" spans="2:18" x14ac:dyDescent="0.2">
      <c r="B300" s="20"/>
      <c r="C300" s="20"/>
      <c r="D300" s="50"/>
      <c r="E300" s="58">
        <f t="shared" si="14"/>
        <v>5</v>
      </c>
      <c r="F300" s="1417" t="s">
        <v>3686</v>
      </c>
      <c r="G300" s="1413"/>
      <c r="H300" s="1410"/>
      <c r="I300" s="1409" t="s">
        <v>2423</v>
      </c>
      <c r="J300" s="1418"/>
      <c r="K300" s="1409" t="s">
        <v>2431</v>
      </c>
      <c r="L300" s="1410"/>
      <c r="M300" s="1411" t="s">
        <v>3462</v>
      </c>
      <c r="N300" s="1412"/>
      <c r="O300" s="7"/>
      <c r="P300" s="643"/>
      <c r="Q300" s="637">
        <f>IF(NOT(ISBLANK(F300)),COUNTA($F$296:$F300),"")</f>
        <v>5</v>
      </c>
      <c r="R300" s="637" t="b">
        <f t="shared" si="13"/>
        <v>0</v>
      </c>
    </row>
    <row r="301" spans="2:18" x14ac:dyDescent="0.2">
      <c r="B301" s="20"/>
      <c r="C301" s="20"/>
      <c r="D301" s="50"/>
      <c r="E301" s="58">
        <f t="shared" si="14"/>
        <v>6</v>
      </c>
      <c r="F301" s="1409"/>
      <c r="G301" s="1413"/>
      <c r="H301" s="1410"/>
      <c r="I301" s="1409"/>
      <c r="J301" s="1418"/>
      <c r="K301" s="1409"/>
      <c r="L301" s="1410"/>
      <c r="M301" s="1411"/>
      <c r="N301" s="1412"/>
      <c r="O301" s="7"/>
      <c r="P301" s="643"/>
      <c r="Q301" s="637" t="str">
        <f>IF(NOT(ISBLANK(F301)),COUNTA($F$296:$F301),"")</f>
        <v/>
      </c>
      <c r="R301" s="637" t="str">
        <f t="shared" si="13"/>
        <v/>
      </c>
    </row>
    <row r="302" spans="2:18" x14ac:dyDescent="0.2">
      <c r="B302" s="20"/>
      <c r="C302" s="20"/>
      <c r="D302" s="50"/>
      <c r="E302" s="58">
        <f t="shared" si="14"/>
        <v>7</v>
      </c>
      <c r="F302" s="1409"/>
      <c r="G302" s="1413"/>
      <c r="H302" s="1410"/>
      <c r="I302" s="1409"/>
      <c r="J302" s="1418"/>
      <c r="K302" s="1409"/>
      <c r="L302" s="1410"/>
      <c r="M302" s="1411"/>
      <c r="N302" s="1412"/>
      <c r="O302" s="7"/>
      <c r="P302" s="643"/>
      <c r="Q302" s="637" t="str">
        <f>IF(NOT(ISBLANK(F302)),COUNTA($F$296:$F302),"")</f>
        <v/>
      </c>
      <c r="R302" s="637" t="str">
        <f t="shared" si="13"/>
        <v/>
      </c>
    </row>
    <row r="303" spans="2:18" x14ac:dyDescent="0.2">
      <c r="B303" s="20"/>
      <c r="C303" s="20"/>
      <c r="D303" s="50"/>
      <c r="E303" s="58">
        <f t="shared" si="14"/>
        <v>8</v>
      </c>
      <c r="F303" s="1409"/>
      <c r="G303" s="1413"/>
      <c r="H303" s="1410"/>
      <c r="I303" s="1409"/>
      <c r="J303" s="1418"/>
      <c r="K303" s="1409"/>
      <c r="L303" s="1410"/>
      <c r="M303" s="1411"/>
      <c r="N303" s="1412"/>
      <c r="O303" s="7"/>
      <c r="P303" s="643"/>
      <c r="Q303" s="637" t="str">
        <f>IF(NOT(ISBLANK(F303)),COUNTA($F$296:$F303),"")</f>
        <v/>
      </c>
      <c r="R303" s="637" t="str">
        <f t="shared" si="13"/>
        <v/>
      </c>
    </row>
    <row r="304" spans="2:18" x14ac:dyDescent="0.2">
      <c r="B304" s="20"/>
      <c r="C304" s="20"/>
      <c r="D304" s="50"/>
      <c r="E304" s="58">
        <f t="shared" si="14"/>
        <v>9</v>
      </c>
      <c r="F304" s="1409"/>
      <c r="G304" s="1413"/>
      <c r="H304" s="1410"/>
      <c r="I304" s="1409"/>
      <c r="J304" s="1418"/>
      <c r="K304" s="1409"/>
      <c r="L304" s="1410"/>
      <c r="M304" s="1411"/>
      <c r="N304" s="1412"/>
      <c r="O304" s="7"/>
      <c r="P304" s="643"/>
      <c r="Q304" s="637" t="str">
        <f>IF(NOT(ISBLANK(F304)),COUNTA($F$296:$F304),"")</f>
        <v/>
      </c>
      <c r="R304" s="637" t="str">
        <f t="shared" si="13"/>
        <v/>
      </c>
    </row>
    <row r="305" spans="2:18" ht="13.5" thickBot="1" x14ac:dyDescent="0.25">
      <c r="B305" s="20"/>
      <c r="C305" s="20"/>
      <c r="D305" s="50"/>
      <c r="E305" s="59">
        <f t="shared" si="14"/>
        <v>10</v>
      </c>
      <c r="F305" s="1507"/>
      <c r="G305" s="1508"/>
      <c r="H305" s="1506"/>
      <c r="I305" s="1504"/>
      <c r="J305" s="1505"/>
      <c r="K305" s="1504"/>
      <c r="L305" s="1506"/>
      <c r="M305" s="1502"/>
      <c r="N305" s="1503"/>
      <c r="O305" s="7"/>
      <c r="P305" s="643"/>
      <c r="Q305" s="639" t="str">
        <f>IF(NOT(ISBLANK(F305)),COUNTA($F$296:$F305),"")</f>
        <v/>
      </c>
      <c r="R305" s="639" t="str">
        <f t="shared" si="13"/>
        <v/>
      </c>
    </row>
    <row r="306" spans="2:18" x14ac:dyDescent="0.2">
      <c r="B306" s="20"/>
      <c r="C306" s="20"/>
      <c r="D306" s="50"/>
      <c r="E306" s="39"/>
      <c r="F306" s="39"/>
      <c r="G306" s="39"/>
      <c r="H306" s="39"/>
      <c r="I306" s="39"/>
      <c r="J306" s="39"/>
      <c r="K306" s="39"/>
      <c r="L306" s="39"/>
      <c r="M306" s="39"/>
      <c r="N306" s="39"/>
      <c r="O306" s="7"/>
    </row>
    <row r="307" spans="2:18" x14ac:dyDescent="0.2">
      <c r="B307" s="20"/>
      <c r="C307" s="20"/>
      <c r="D307" s="213" t="s">
        <v>353</v>
      </c>
      <c r="E307" s="1375" t="str">
        <f>Translations!$B$260</f>
        <v>W stosownych przypadkach w tym miejscu należy podać dalsze informacje dotyczące tych połączonych instalacji:</v>
      </c>
      <c r="F307" s="1370"/>
      <c r="G307" s="1370"/>
      <c r="H307" s="1370"/>
      <c r="I307" s="1370"/>
      <c r="J307" s="1370"/>
      <c r="K307" s="1370"/>
      <c r="L307" s="1370"/>
      <c r="M307" s="1370"/>
      <c r="N307" s="1370"/>
      <c r="O307" s="7"/>
    </row>
    <row r="308" spans="2:18" ht="25.5" customHeight="1" x14ac:dyDescent="0.2">
      <c r="B308" s="20"/>
      <c r="C308" s="20"/>
      <c r="D308" s="16"/>
      <c r="E308" s="1408" t="str">
        <f>Translations!$B$261</f>
        <v>Identyfikator instalacji jest obowiązkowy, jeżeli połączona instalacja jest objęta EU ETS i jeżeli została już objęta systemem EU ETS przed dniem 30 czerwca 2019 r. w odniesieniu do pierwszego okresu, na który przydzielane są uprawnienia, a przed dniem 30 czerwca 2024 r. w odniesieniu do drugiego takiego okresu.</v>
      </c>
      <c r="F308" s="1370"/>
      <c r="G308" s="1370"/>
      <c r="H308" s="1370"/>
      <c r="I308" s="1370"/>
      <c r="J308" s="1370"/>
      <c r="K308" s="1370"/>
      <c r="L308" s="1370"/>
      <c r="M308" s="1370"/>
      <c r="N308" s="1370"/>
      <c r="O308" s="7"/>
    </row>
    <row r="309" spans="2:18" ht="12.75" customHeight="1" x14ac:dyDescent="0.2">
      <c r="B309" s="20"/>
      <c r="C309" s="20"/>
      <c r="D309" s="16"/>
      <c r="E309" s="1408" t="str">
        <f>Translations!$B$262</f>
        <v>W przypadku podmiotów nieobjętych EU ETS dane kontaktowe są obowiązkowe, ale numer identyfikacyjny w rejestrze nie jest wymagany.</v>
      </c>
      <c r="F309" s="1408"/>
      <c r="G309" s="1408"/>
      <c r="H309" s="1408"/>
      <c r="I309" s="1408"/>
      <c r="J309" s="1408"/>
      <c r="K309" s="1408"/>
      <c r="L309" s="1408"/>
      <c r="M309" s="1408"/>
      <c r="N309" s="1408"/>
      <c r="O309" s="7"/>
    </row>
    <row r="310" spans="2:18" ht="25.5" customHeight="1" x14ac:dyDescent="0.2">
      <c r="B310" s="20"/>
      <c r="C310" s="20"/>
      <c r="D310" s="20"/>
      <c r="E310" s="386" t="str">
        <f>Translations!$B$220</f>
        <v>Nr</v>
      </c>
      <c r="F310" s="1423" t="str">
        <f>Translations!$B$263</f>
        <v>Identyfikator instalacji stosowany w rejestrze</v>
      </c>
      <c r="G310" s="1424"/>
      <c r="H310" s="1423" t="str">
        <f>Translations!$B$264</f>
        <v>Imię i nazwisko osoby wyznaczonej do kontaktów</v>
      </c>
      <c r="I310" s="1424"/>
      <c r="J310" s="1523" t="str">
        <f>Translations!$B$265</f>
        <v>Adres e-mail</v>
      </c>
      <c r="K310" s="1425"/>
      <c r="L310" s="1424"/>
      <c r="M310" s="1423" t="str">
        <f>Translations!$B$266</f>
        <v>Numer telefonu</v>
      </c>
      <c r="N310" s="1517"/>
      <c r="O310" s="7"/>
    </row>
    <row r="311" spans="2:18" x14ac:dyDescent="0.2">
      <c r="B311" s="20"/>
      <c r="C311" s="20"/>
      <c r="D311" s="20"/>
      <c r="E311" s="76">
        <v>1</v>
      </c>
      <c r="F311" s="1515" t="s">
        <v>3672</v>
      </c>
      <c r="G311" s="1516"/>
      <c r="H311" s="1521" t="s">
        <v>3673</v>
      </c>
      <c r="I311" s="1426"/>
      <c r="J311" s="1521" t="s">
        <v>3687</v>
      </c>
      <c r="K311" s="1522"/>
      <c r="L311" s="1426"/>
      <c r="M311" s="1474" t="s">
        <v>3688</v>
      </c>
      <c r="N311" s="1518"/>
      <c r="O311" s="7"/>
    </row>
    <row r="312" spans="2:18" x14ac:dyDescent="0.2">
      <c r="B312" s="20"/>
      <c r="C312" s="20"/>
      <c r="D312" s="20"/>
      <c r="E312" s="58">
        <f>E311+1</f>
        <v>2</v>
      </c>
      <c r="F312" s="1513"/>
      <c r="G312" s="1514"/>
      <c r="H312" s="1409"/>
      <c r="I312" s="1410"/>
      <c r="J312" s="1409"/>
      <c r="K312" s="1413"/>
      <c r="L312" s="1410"/>
      <c r="M312" s="1511"/>
      <c r="N312" s="1512"/>
      <c r="O312" s="7"/>
    </row>
    <row r="313" spans="2:18" x14ac:dyDescent="0.2">
      <c r="B313" s="20"/>
      <c r="C313" s="20"/>
      <c r="D313" s="20"/>
      <c r="E313" s="58">
        <f t="shared" ref="E313:E320" si="15">E312+1</f>
        <v>3</v>
      </c>
      <c r="F313" s="1513"/>
      <c r="G313" s="1514"/>
      <c r="H313" s="1409"/>
      <c r="I313" s="1410"/>
      <c r="J313" s="1409"/>
      <c r="K313" s="1413"/>
      <c r="L313" s="1410"/>
      <c r="M313" s="1511"/>
      <c r="N313" s="1512"/>
      <c r="O313" s="7"/>
    </row>
    <row r="314" spans="2:18" x14ac:dyDescent="0.2">
      <c r="B314" s="20"/>
      <c r="C314" s="20"/>
      <c r="D314" s="20"/>
      <c r="E314" s="58">
        <f t="shared" si="15"/>
        <v>4</v>
      </c>
      <c r="F314" s="1513"/>
      <c r="G314" s="1514"/>
      <c r="H314" s="1409"/>
      <c r="I314" s="1410"/>
      <c r="J314" s="1409"/>
      <c r="K314" s="1413"/>
      <c r="L314" s="1410"/>
      <c r="M314" s="1511"/>
      <c r="N314" s="1512"/>
      <c r="O314" s="7"/>
    </row>
    <row r="315" spans="2:18" x14ac:dyDescent="0.2">
      <c r="B315" s="20"/>
      <c r="C315" s="20"/>
      <c r="D315" s="20"/>
      <c r="E315" s="58">
        <f t="shared" si="15"/>
        <v>5</v>
      </c>
      <c r="F315" s="1513"/>
      <c r="G315" s="1514"/>
      <c r="H315" s="1409"/>
      <c r="I315" s="1410"/>
      <c r="J315" s="1409"/>
      <c r="K315" s="1413"/>
      <c r="L315" s="1410"/>
      <c r="M315" s="1511"/>
      <c r="N315" s="1512"/>
      <c r="O315" s="7"/>
    </row>
    <row r="316" spans="2:18" x14ac:dyDescent="0.2">
      <c r="B316" s="20"/>
      <c r="C316" s="20"/>
      <c r="D316" s="20"/>
      <c r="E316" s="58">
        <f t="shared" si="15"/>
        <v>6</v>
      </c>
      <c r="F316" s="1513"/>
      <c r="G316" s="1514"/>
      <c r="H316" s="1409"/>
      <c r="I316" s="1410"/>
      <c r="J316" s="1409"/>
      <c r="K316" s="1413"/>
      <c r="L316" s="1410"/>
      <c r="M316" s="1511"/>
      <c r="N316" s="1512"/>
      <c r="O316" s="7"/>
    </row>
    <row r="317" spans="2:18" x14ac:dyDescent="0.2">
      <c r="B317" s="20"/>
      <c r="C317" s="20"/>
      <c r="D317" s="20"/>
      <c r="E317" s="58">
        <f t="shared" si="15"/>
        <v>7</v>
      </c>
      <c r="F317" s="1513"/>
      <c r="G317" s="1514"/>
      <c r="H317" s="1409"/>
      <c r="I317" s="1410"/>
      <c r="J317" s="1409"/>
      <c r="K317" s="1413"/>
      <c r="L317" s="1410"/>
      <c r="M317" s="1511"/>
      <c r="N317" s="1512"/>
      <c r="O317" s="7"/>
    </row>
    <row r="318" spans="2:18" x14ac:dyDescent="0.2">
      <c r="B318" s="20"/>
      <c r="C318" s="20"/>
      <c r="D318" s="20"/>
      <c r="E318" s="58">
        <f t="shared" si="15"/>
        <v>8</v>
      </c>
      <c r="F318" s="1513"/>
      <c r="G318" s="1514"/>
      <c r="H318" s="1409"/>
      <c r="I318" s="1410"/>
      <c r="J318" s="1409"/>
      <c r="K318" s="1413"/>
      <c r="L318" s="1410"/>
      <c r="M318" s="1511"/>
      <c r="N318" s="1512"/>
      <c r="O318" s="7"/>
    </row>
    <row r="319" spans="2:18" x14ac:dyDescent="0.2">
      <c r="B319" s="20"/>
      <c r="C319" s="20"/>
      <c r="D319" s="20"/>
      <c r="E319" s="58">
        <f t="shared" si="15"/>
        <v>9</v>
      </c>
      <c r="F319" s="1513"/>
      <c r="G319" s="1514"/>
      <c r="H319" s="1409"/>
      <c r="I319" s="1410"/>
      <c r="J319" s="1409"/>
      <c r="K319" s="1413"/>
      <c r="L319" s="1410"/>
      <c r="M319" s="1511"/>
      <c r="N319" s="1512"/>
      <c r="O319" s="7"/>
    </row>
    <row r="320" spans="2:18" x14ac:dyDescent="0.2">
      <c r="B320" s="20"/>
      <c r="C320" s="20"/>
      <c r="D320" s="20"/>
      <c r="E320" s="59">
        <f t="shared" si="15"/>
        <v>10</v>
      </c>
      <c r="F320" s="1519"/>
      <c r="G320" s="1520"/>
      <c r="H320" s="1504"/>
      <c r="I320" s="1506"/>
      <c r="J320" s="1504"/>
      <c r="K320" s="1508"/>
      <c r="L320" s="1506"/>
      <c r="M320" s="1509"/>
      <c r="N320" s="1510"/>
      <c r="O320" s="7"/>
    </row>
    <row r="321" spans="1:24" x14ac:dyDescent="0.2">
      <c r="B321" s="20"/>
      <c r="C321" s="20"/>
      <c r="D321" s="20"/>
      <c r="E321" s="39"/>
      <c r="F321" s="39"/>
      <c r="G321" s="39"/>
      <c r="H321" s="39"/>
      <c r="I321" s="39"/>
      <c r="J321" s="39"/>
      <c r="K321" s="39"/>
      <c r="L321" s="39"/>
      <c r="M321" s="39"/>
      <c r="N321" s="39"/>
      <c r="O321" s="7"/>
    </row>
    <row r="322" spans="1:24" x14ac:dyDescent="0.2">
      <c r="B322" s="20"/>
      <c r="C322" s="20"/>
      <c r="D322" s="1387" t="str">
        <f>Translations!$B$73</f>
        <v xml:space="preserve">&lt;&lt;&lt; Proszę kliknąć tutaj, aby przejść do kolejnego arkusza &gt;&gt;&gt; </v>
      </c>
      <c r="E322" s="1387"/>
      <c r="F322" s="1387"/>
      <c r="G322" s="1387"/>
      <c r="H322" s="1387"/>
      <c r="I322" s="1387"/>
      <c r="J322" s="1387"/>
      <c r="K322" s="1387"/>
      <c r="L322" s="1387"/>
      <c r="M322" s="1387"/>
      <c r="N322" s="1387"/>
      <c r="O322" s="7"/>
    </row>
    <row r="323" spans="1:24" x14ac:dyDescent="0.2">
      <c r="B323" s="20"/>
      <c r="C323" s="20"/>
      <c r="D323" s="20"/>
      <c r="E323" s="20"/>
      <c r="F323" s="20"/>
      <c r="G323" s="20"/>
      <c r="H323" s="20"/>
      <c r="I323" s="20"/>
      <c r="J323" s="20"/>
      <c r="K323" s="20"/>
      <c r="L323" s="20"/>
      <c r="M323" s="20"/>
      <c r="N323" s="20"/>
      <c r="O323" s="7"/>
    </row>
    <row r="324" spans="1:24" hidden="1" x14ac:dyDescent="0.2">
      <c r="A324" s="2" t="s">
        <v>101</v>
      </c>
      <c r="B324" s="2" t="s">
        <v>350</v>
      </c>
      <c r="C324" s="2" t="s">
        <v>350</v>
      </c>
      <c r="D324" s="2" t="s">
        <v>350</v>
      </c>
      <c r="E324" s="2" t="s">
        <v>350</v>
      </c>
      <c r="F324" s="2" t="s">
        <v>350</v>
      </c>
      <c r="G324" s="2" t="s">
        <v>350</v>
      </c>
      <c r="H324" s="2" t="s">
        <v>350</v>
      </c>
      <c r="I324" s="2" t="s">
        <v>350</v>
      </c>
      <c r="J324" s="2" t="s">
        <v>350</v>
      </c>
      <c r="K324" s="2" t="s">
        <v>350</v>
      </c>
      <c r="L324" s="2" t="s">
        <v>350</v>
      </c>
      <c r="M324" s="2" t="s">
        <v>350</v>
      </c>
      <c r="N324" s="2" t="s">
        <v>350</v>
      </c>
      <c r="O324" s="2" t="s">
        <v>350</v>
      </c>
      <c r="P324" s="430" t="s">
        <v>350</v>
      </c>
      <c r="Q324" s="430" t="s">
        <v>350</v>
      </c>
      <c r="R324" s="430" t="s">
        <v>350</v>
      </c>
      <c r="S324" s="430" t="s">
        <v>350</v>
      </c>
      <c r="T324" s="430" t="s">
        <v>350</v>
      </c>
      <c r="U324" s="430" t="s">
        <v>350</v>
      </c>
      <c r="V324" s="430" t="s">
        <v>350</v>
      </c>
      <c r="W324" s="430" t="s">
        <v>350</v>
      </c>
      <c r="X324" s="430" t="s">
        <v>350</v>
      </c>
    </row>
    <row r="325" spans="1:24" hidden="1" x14ac:dyDescent="0.2">
      <c r="A325" s="2" t="s">
        <v>101</v>
      </c>
      <c r="B325" s="1"/>
      <c r="C325" s="1"/>
      <c r="D325" s="1"/>
      <c r="E325" s="1"/>
      <c r="F325" s="1"/>
      <c r="G325" s="1"/>
      <c r="H325" s="1"/>
      <c r="I325" s="1"/>
      <c r="J325" s="1"/>
      <c r="K325" s="1"/>
      <c r="L325" s="1"/>
      <c r="M325" s="1"/>
      <c r="N325" s="1"/>
      <c r="O325" s="1"/>
    </row>
    <row r="326" spans="1:24" ht="13.5" hidden="1" thickBot="1" x14ac:dyDescent="0.25">
      <c r="A326" s="2" t="s">
        <v>101</v>
      </c>
      <c r="B326" s="1"/>
      <c r="C326" s="1"/>
      <c r="D326" s="46" t="s">
        <v>351</v>
      </c>
      <c r="E326" s="1"/>
      <c r="F326" s="1"/>
      <c r="G326" s="1"/>
      <c r="H326" s="1"/>
      <c r="I326" s="1" t="s">
        <v>155</v>
      </c>
      <c r="J326" s="1"/>
      <c r="K326" s="1"/>
      <c r="L326" s="1"/>
      <c r="M326" s="1"/>
      <c r="N326" s="1"/>
      <c r="O326" s="1"/>
    </row>
    <row r="327" spans="1:24" hidden="1" x14ac:dyDescent="0.2">
      <c r="A327" s="2" t="s">
        <v>101</v>
      </c>
      <c r="B327" s="1"/>
      <c r="C327" s="1"/>
      <c r="D327" s="46"/>
      <c r="E327" s="162" t="s">
        <v>236</v>
      </c>
      <c r="F327" s="66"/>
      <c r="G327" s="66"/>
      <c r="H327" s="66"/>
      <c r="I327" s="66"/>
      <c r="J327" s="66"/>
      <c r="K327" s="66"/>
      <c r="L327" s="66"/>
      <c r="M327" s="66"/>
      <c r="N327" s="68"/>
      <c r="O327" s="1"/>
    </row>
    <row r="328" spans="1:24" hidden="1" x14ac:dyDescent="0.2">
      <c r="A328" s="2" t="s">
        <v>101</v>
      </c>
      <c r="B328" s="1"/>
      <c r="C328" s="1"/>
      <c r="D328" s="1"/>
      <c r="E328" s="101" t="s">
        <v>354</v>
      </c>
      <c r="F328" s="23"/>
      <c r="G328" s="23"/>
      <c r="H328" s="23"/>
      <c r="I328" s="152">
        <v>1</v>
      </c>
      <c r="J328" s="152">
        <v>2</v>
      </c>
      <c r="K328" s="152">
        <v>3</v>
      </c>
      <c r="L328" s="152">
        <v>4</v>
      </c>
      <c r="M328" s="152">
        <v>5</v>
      </c>
      <c r="N328" s="155"/>
      <c r="O328" s="1"/>
    </row>
    <row r="329" spans="1:24" hidden="1" x14ac:dyDescent="0.2">
      <c r="A329" s="2" t="s">
        <v>101</v>
      </c>
      <c r="B329" s="1"/>
      <c r="C329" s="1"/>
      <c r="D329" s="1"/>
      <c r="E329" s="156" t="s">
        <v>473</v>
      </c>
      <c r="F329" s="23"/>
      <c r="G329" s="23"/>
      <c r="H329" s="23"/>
      <c r="I329" s="152">
        <f>INDEX(EUconst_ReportingYears,I328)</f>
        <v>2014</v>
      </c>
      <c r="J329" s="152">
        <f>INDEX(EUconst_ReportingYears,J328)</f>
        <v>2015</v>
      </c>
      <c r="K329" s="152">
        <f>INDEX(EUconst_ReportingYears,K328)</f>
        <v>2016</v>
      </c>
      <c r="L329" s="152">
        <f>INDEX(EUconst_ReportingYears,L328)</f>
        <v>2017</v>
      </c>
      <c r="M329" s="152">
        <f>INDEX(EUconst_ReportingYears,M328)</f>
        <v>2018</v>
      </c>
      <c r="N329" s="155"/>
      <c r="O329" s="1"/>
    </row>
    <row r="330" spans="1:24" hidden="1" x14ac:dyDescent="0.2">
      <c r="A330" s="2" t="s">
        <v>101</v>
      </c>
      <c r="B330" s="1"/>
      <c r="C330" s="1"/>
      <c r="D330" s="1"/>
      <c r="E330" s="156" t="s">
        <v>472</v>
      </c>
      <c r="F330" s="153"/>
      <c r="G330" s="153"/>
      <c r="H330" s="153"/>
      <c r="I330" s="154">
        <f>IF(CNTR_BaselinePeriod=EUconst_NA,I329,INDEX(EUconst_ReportingYears,I328)+(CNTR_BaselinePeriod-1)*5)</f>
        <v>2014</v>
      </c>
      <c r="J330" s="154">
        <f>IF(CNTR_BaselinePeriod=EUconst_NA,J329,INDEX(EUconst_ReportingYears,J328)+(CNTR_BaselinePeriod-1)*5)</f>
        <v>2015</v>
      </c>
      <c r="K330" s="154">
        <f>IF(CNTR_BaselinePeriod=EUconst_NA,K329,INDEX(EUconst_ReportingYears,K328)+(CNTR_BaselinePeriod-1)*5)</f>
        <v>2016</v>
      </c>
      <c r="L330" s="154">
        <f>IF(CNTR_BaselinePeriod=EUconst_NA,L329,INDEX(EUconst_ReportingYears,L328)+(CNTR_BaselinePeriod-1)*5)</f>
        <v>2017</v>
      </c>
      <c r="M330" s="154">
        <f>IF(CNTR_BaselinePeriod=EUconst_NA,M329,INDEX(EUconst_ReportingYears,M328)+(CNTR_BaselinePeriod-1)*5)</f>
        <v>2018</v>
      </c>
      <c r="N330" s="157"/>
      <c r="O330" s="1"/>
    </row>
    <row r="331" spans="1:24" hidden="1" x14ac:dyDescent="0.2">
      <c r="A331" s="2" t="s">
        <v>101</v>
      </c>
      <c r="B331" s="1"/>
      <c r="C331" s="1"/>
      <c r="D331" s="1"/>
      <c r="E331" s="156" t="s">
        <v>235</v>
      </c>
      <c r="F331" s="153"/>
      <c r="G331" s="153"/>
      <c r="H331" s="153"/>
      <c r="I331" s="154">
        <v>1</v>
      </c>
      <c r="J331" s="154">
        <v>1</v>
      </c>
      <c r="K331" s="154">
        <v>1</v>
      </c>
      <c r="L331" s="154">
        <v>1</v>
      </c>
      <c r="M331" s="154">
        <v>1</v>
      </c>
      <c r="N331" s="157"/>
      <c r="O331" s="1"/>
    </row>
    <row r="332" spans="1:24" hidden="1" x14ac:dyDescent="0.2">
      <c r="A332" s="2" t="s">
        <v>101</v>
      </c>
      <c r="B332" s="1"/>
      <c r="C332" s="1"/>
      <c r="D332" s="1"/>
      <c r="E332" s="156" t="s">
        <v>233</v>
      </c>
      <c r="F332" s="153"/>
      <c r="G332" s="153"/>
      <c r="H332" s="153"/>
      <c r="I332" s="284" t="b">
        <v>1</v>
      </c>
      <c r="J332" s="284" t="b">
        <v>1</v>
      </c>
      <c r="K332" s="284" t="b">
        <v>1</v>
      </c>
      <c r="L332" s="284" t="b">
        <v>1</v>
      </c>
      <c r="M332" s="284" t="b">
        <v>1</v>
      </c>
      <c r="N332" s="285"/>
      <c r="O332" s="1"/>
    </row>
    <row r="333" spans="1:24" ht="13.5" hidden="1" thickBot="1" x14ac:dyDescent="0.25">
      <c r="A333" s="2" t="s">
        <v>101</v>
      </c>
      <c r="B333" s="1"/>
      <c r="C333" s="1"/>
      <c r="D333" s="1"/>
      <c r="E333" s="159" t="s">
        <v>234</v>
      </c>
      <c r="F333" s="160"/>
      <c r="G333" s="160"/>
      <c r="H333" s="160"/>
      <c r="I333" s="286" t="b">
        <f>IF(ISBLANK(INDEX(CNTR_BaslineYearRelevant,I328)),FALSE,INDEX(CNTR_BaslineYearRelevant,I328))</f>
        <v>1</v>
      </c>
      <c r="J333" s="286" t="b">
        <f>IF(ISBLANK(INDEX(CNTR_BaslineYearRelevant,J328)),FALSE,INDEX(CNTR_BaslineYearRelevant,J328))</f>
        <v>1</v>
      </c>
      <c r="K333" s="286" t="b">
        <f>IF(ISBLANK(INDEX(CNTR_BaslineYearRelevant,K328)),FALSE,INDEX(CNTR_BaslineYearRelevant,K328))</f>
        <v>1</v>
      </c>
      <c r="L333" s="286" t="b">
        <f>IF(ISBLANK(INDEX(CNTR_BaslineYearRelevant,L328)),FALSE,INDEX(CNTR_BaslineYearRelevant,L328))</f>
        <v>1</v>
      </c>
      <c r="M333" s="286" t="b">
        <f>IF(ISBLANK(INDEX(CNTR_BaslineYearRelevant,M328)),FALSE,INDEX(CNTR_BaslineYearRelevant,M328))</f>
        <v>1</v>
      </c>
      <c r="N333" s="287"/>
      <c r="O333" s="1"/>
    </row>
    <row r="334" spans="1:24" ht="13.5" hidden="1" thickBot="1" x14ac:dyDescent="0.25">
      <c r="A334" s="2" t="s">
        <v>101</v>
      </c>
      <c r="B334" s="1"/>
      <c r="C334" s="1"/>
      <c r="D334" s="1"/>
      <c r="E334" s="1"/>
      <c r="F334" s="1"/>
      <c r="G334" s="1"/>
      <c r="H334" s="1"/>
      <c r="I334" s="46"/>
      <c r="J334" s="46"/>
      <c r="K334" s="46"/>
      <c r="L334" s="46"/>
      <c r="M334" s="46"/>
      <c r="N334" s="46"/>
      <c r="O334" s="1"/>
    </row>
    <row r="335" spans="1:24" ht="13.5" hidden="1" thickBot="1" x14ac:dyDescent="0.25">
      <c r="A335" s="2" t="s">
        <v>101</v>
      </c>
      <c r="B335" s="1"/>
      <c r="C335" s="1"/>
      <c r="D335" s="1"/>
      <c r="E335" s="46" t="s">
        <v>327</v>
      </c>
      <c r="F335" s="1"/>
      <c r="G335" s="385" t="b">
        <f>0&lt;(COUNTA(J12,J15,J18,J20,J25,J34,J37,J38,J41,J42,J44,J47,J57,J58,J59,J60,J61,J62,J63,J64)+COUNTA(J68,J69,J70,J77,J78,J79,J91,J92,J93,J94,J95,J99,J100,J101,J105,J107,J106)+COUNTA(F115,F116,F117,F118,F119,F120,L128,M140,M142,M152,M154))</f>
        <v>1</v>
      </c>
      <c r="H335" s="1" t="s">
        <v>328</v>
      </c>
      <c r="I335" s="46"/>
      <c r="J335" s="46"/>
      <c r="K335" s="46"/>
      <c r="L335" s="46"/>
      <c r="M335" s="46"/>
      <c r="N335" s="46"/>
      <c r="O335" s="1"/>
    </row>
    <row r="336" spans="1:24" hidden="1" x14ac:dyDescent="0.2">
      <c r="A336" s="2" t="s">
        <v>101</v>
      </c>
      <c r="B336" s="1"/>
      <c r="C336" s="1"/>
      <c r="D336" s="1"/>
      <c r="E336" s="1"/>
      <c r="F336" s="1"/>
      <c r="G336" s="1"/>
      <c r="H336" s="1"/>
      <c r="I336" s="46"/>
      <c r="J336" s="46"/>
      <c r="K336" s="46"/>
      <c r="L336" s="46"/>
      <c r="M336" s="46"/>
      <c r="N336" s="46"/>
      <c r="O336" s="1"/>
    </row>
    <row r="337" spans="1:15" ht="13.5" hidden="1" thickBot="1" x14ac:dyDescent="0.25">
      <c r="A337" s="2" t="s">
        <v>101</v>
      </c>
      <c r="B337" s="1"/>
      <c r="C337" s="1"/>
      <c r="D337" s="1"/>
      <c r="E337" s="46" t="s">
        <v>229</v>
      </c>
      <c r="F337" s="1"/>
      <c r="G337" s="1"/>
      <c r="H337" s="1"/>
      <c r="I337" s="1"/>
      <c r="J337" s="1"/>
      <c r="K337" s="1"/>
      <c r="L337" s="1"/>
      <c r="M337" s="1"/>
      <c r="N337" s="1"/>
      <c r="O337" s="1"/>
    </row>
    <row r="338" spans="1:15" hidden="1" x14ac:dyDescent="0.2">
      <c r="A338" s="2" t="s">
        <v>101</v>
      </c>
      <c r="B338" s="1"/>
      <c r="C338" s="1"/>
      <c r="D338" s="1"/>
      <c r="E338" s="65"/>
      <c r="F338" s="66" t="s">
        <v>91</v>
      </c>
      <c r="G338" s="66"/>
      <c r="H338" s="67" t="s">
        <v>252</v>
      </c>
      <c r="I338" s="393" t="s">
        <v>32</v>
      </c>
      <c r="J338" s="852" t="s">
        <v>596</v>
      </c>
      <c r="K338" s="567" t="s">
        <v>598</v>
      </c>
      <c r="L338" s="68" t="s">
        <v>92</v>
      </c>
      <c r="M338" s="68" t="s">
        <v>377</v>
      </c>
      <c r="N338" s="1"/>
      <c r="O338" s="1"/>
    </row>
    <row r="339" spans="1:15" hidden="1" x14ac:dyDescent="0.2">
      <c r="A339" s="2" t="s">
        <v>101</v>
      </c>
      <c r="B339" s="1"/>
      <c r="C339" s="1"/>
      <c r="D339" s="1"/>
      <c r="E339" s="69">
        <v>1</v>
      </c>
      <c r="F339" s="991" t="str">
        <f t="shared" ref="F339:F354" si="16">IF($E339&gt;MAX($Q$234:$Q$265),EUconst_NA,INDEX(E$234:E$265,MATCH($E339,$Q$234:$Q$265,0)))</f>
        <v>Podinstalacja objęta wskaźnikiem emisyjności opartym na cieple, „CL”</v>
      </c>
      <c r="G339" s="62"/>
      <c r="H339" s="60" t="b">
        <f t="shared" ref="H339:H354" si="17">(E339&lt;=MAX($Q$234:$Q$243))</f>
        <v>0</v>
      </c>
      <c r="I339" s="992" t="str">
        <f t="shared" ref="I339:I354" si="18">IF(H339,MATCH(F339,EUconst_BMlistNames,0),"")</f>
        <v/>
      </c>
      <c r="J339" s="997">
        <f t="shared" ref="J339:J354" si="19">IF($E339&gt;MAX($Q$234:$Q$265),EUconst_NA,IF(ISBLANK(INDEX(J$234:J$265,MATCH($E339,$Q$234:$Q$265,0))),0,INDEX(J$234:J$265,MATCH($E339,$Q$234:$Q$265,0))))</f>
        <v>0</v>
      </c>
      <c r="K339" s="796" t="b">
        <f>IF($E339&gt;MAX($Q$234:$Q$265),EUconst_NA,IF(ISBLANK(INDEX(U$234:U$265,MATCH($E339,$Q$234:$Q$265,0))),FALSE,INDEX(U$234:U$265,MATCH($E339,$Q$234:$Q$265,0))))</f>
        <v>0</v>
      </c>
      <c r="L339" s="70" t="b">
        <f t="shared" ref="L339:L354" si="20">IF($E339&gt;MAX($Q$234:$Q$265),EUconst_NA,INDEX(K$234:K$265,MATCH($E339,$Q$234:$Q$265,0)))</f>
        <v>1</v>
      </c>
      <c r="M339" s="390" t="str">
        <f t="shared" ref="M339:M354" si="21">IF($E339&gt;MAX($Q$234:$Q$265),EUconst_NA,INDEX(R$234:R$265,MATCH($E339,$Q$234:$Q$265,0)))</f>
        <v>TJ</v>
      </c>
      <c r="N339" s="1"/>
      <c r="O339" s="1"/>
    </row>
    <row r="340" spans="1:15" hidden="1" x14ac:dyDescent="0.2">
      <c r="A340" s="2" t="s">
        <v>101</v>
      </c>
      <c r="B340" s="1"/>
      <c r="C340" s="1"/>
      <c r="D340" s="1"/>
      <c r="E340" s="71">
        <f>E339+1</f>
        <v>2</v>
      </c>
      <c r="F340" s="993" t="str">
        <f t="shared" si="16"/>
        <v>Podinstalacja objęta wskaźnikiem emisyjności opartym na cieple, „nie-CL”</v>
      </c>
      <c r="G340" s="63"/>
      <c r="H340" s="61" t="b">
        <f t="shared" si="17"/>
        <v>0</v>
      </c>
      <c r="I340" s="994" t="str">
        <f t="shared" si="18"/>
        <v/>
      </c>
      <c r="J340" s="998">
        <f t="shared" si="19"/>
        <v>0</v>
      </c>
      <c r="K340" s="797" t="b">
        <f t="shared" ref="K340:K354" si="22">IF($E340&gt;MAX($Q$234:$Q$265),EUconst_NA,IF(ISBLANK(INDEX(U$234:U$265,MATCH($E340,$Q$234:$Q$265,0))),FALSE,INDEX(U$234:U$265,MATCH($E340,$Q$234:$Q$265,0))))</f>
        <v>0</v>
      </c>
      <c r="L340" s="72" t="b">
        <f t="shared" si="20"/>
        <v>0</v>
      </c>
      <c r="M340" s="391" t="str">
        <f t="shared" si="21"/>
        <v>TJ</v>
      </c>
      <c r="N340" s="1"/>
      <c r="O340" s="1"/>
    </row>
    <row r="341" spans="1:15" hidden="1" x14ac:dyDescent="0.2">
      <c r="A341" s="2" t="s">
        <v>101</v>
      </c>
      <c r="B341" s="1"/>
      <c r="C341" s="1"/>
      <c r="D341" s="1"/>
      <c r="E341" s="71">
        <f t="shared" ref="E341:E354" si="23">E340+1</f>
        <v>3</v>
      </c>
      <c r="F341" s="993" t="str">
        <f t="shared" si="16"/>
        <v>Podinstalacja sieci ciepłowniczej</v>
      </c>
      <c r="G341" s="63"/>
      <c r="H341" s="61" t="b">
        <f t="shared" si="17"/>
        <v>0</v>
      </c>
      <c r="I341" s="994" t="str">
        <f t="shared" si="18"/>
        <v/>
      </c>
      <c r="J341" s="998">
        <f t="shared" si="19"/>
        <v>0</v>
      </c>
      <c r="K341" s="797" t="b">
        <f t="shared" si="22"/>
        <v>0</v>
      </c>
      <c r="L341" s="72" t="b">
        <f t="shared" si="20"/>
        <v>0</v>
      </c>
      <c r="M341" s="391" t="str">
        <f t="shared" si="21"/>
        <v>TJ</v>
      </c>
      <c r="N341" s="1"/>
      <c r="O341" s="1"/>
    </row>
    <row r="342" spans="1:15" hidden="1" x14ac:dyDescent="0.2">
      <c r="A342" s="2" t="s">
        <v>101</v>
      </c>
      <c r="B342" s="1"/>
      <c r="C342" s="1"/>
      <c r="D342" s="1"/>
      <c r="E342" s="71">
        <f t="shared" si="23"/>
        <v>4</v>
      </c>
      <c r="F342" s="993" t="str">
        <f t="shared" si="16"/>
        <v>Nie dotyczy</v>
      </c>
      <c r="G342" s="63"/>
      <c r="H342" s="61" t="b">
        <f t="shared" si="17"/>
        <v>0</v>
      </c>
      <c r="I342" s="994" t="str">
        <f t="shared" si="18"/>
        <v/>
      </c>
      <c r="J342" s="998" t="str">
        <f t="shared" si="19"/>
        <v>Nie dotyczy</v>
      </c>
      <c r="K342" s="797" t="str">
        <f t="shared" si="22"/>
        <v>Nie dotyczy</v>
      </c>
      <c r="L342" s="72" t="str">
        <f t="shared" si="20"/>
        <v>Nie dotyczy</v>
      </c>
      <c r="M342" s="391" t="str">
        <f t="shared" si="21"/>
        <v>Nie dotyczy</v>
      </c>
      <c r="N342" s="1"/>
      <c r="O342" s="1"/>
    </row>
    <row r="343" spans="1:15" hidden="1" x14ac:dyDescent="0.2">
      <c r="A343" s="2" t="s">
        <v>101</v>
      </c>
      <c r="B343" s="1"/>
      <c r="C343" s="1"/>
      <c r="D343" s="1"/>
      <c r="E343" s="71">
        <f t="shared" si="23"/>
        <v>5</v>
      </c>
      <c r="F343" s="993" t="str">
        <f t="shared" si="16"/>
        <v>Nie dotyczy</v>
      </c>
      <c r="G343" s="63"/>
      <c r="H343" s="61" t="b">
        <f t="shared" si="17"/>
        <v>0</v>
      </c>
      <c r="I343" s="994" t="str">
        <f t="shared" si="18"/>
        <v/>
      </c>
      <c r="J343" s="998" t="str">
        <f t="shared" si="19"/>
        <v>Nie dotyczy</v>
      </c>
      <c r="K343" s="797" t="str">
        <f t="shared" si="22"/>
        <v>Nie dotyczy</v>
      </c>
      <c r="L343" s="72" t="str">
        <f t="shared" si="20"/>
        <v>Nie dotyczy</v>
      </c>
      <c r="M343" s="391" t="str">
        <f t="shared" si="21"/>
        <v>Nie dotyczy</v>
      </c>
      <c r="N343" s="1"/>
      <c r="O343" s="1"/>
    </row>
    <row r="344" spans="1:15" hidden="1" x14ac:dyDescent="0.2">
      <c r="A344" s="2" t="s">
        <v>101</v>
      </c>
      <c r="B344" s="1"/>
      <c r="C344" s="1"/>
      <c r="D344" s="1"/>
      <c r="E344" s="71">
        <f t="shared" si="23"/>
        <v>6</v>
      </c>
      <c r="F344" s="993" t="str">
        <f t="shared" si="16"/>
        <v>Nie dotyczy</v>
      </c>
      <c r="G344" s="63"/>
      <c r="H344" s="61" t="b">
        <f t="shared" si="17"/>
        <v>0</v>
      </c>
      <c r="I344" s="994" t="str">
        <f t="shared" si="18"/>
        <v/>
      </c>
      <c r="J344" s="998" t="str">
        <f t="shared" si="19"/>
        <v>Nie dotyczy</v>
      </c>
      <c r="K344" s="797" t="str">
        <f t="shared" si="22"/>
        <v>Nie dotyczy</v>
      </c>
      <c r="L344" s="72" t="str">
        <f t="shared" si="20"/>
        <v>Nie dotyczy</v>
      </c>
      <c r="M344" s="391" t="str">
        <f t="shared" si="21"/>
        <v>Nie dotyczy</v>
      </c>
      <c r="N344" s="1"/>
      <c r="O344" s="1"/>
    </row>
    <row r="345" spans="1:15" hidden="1" x14ac:dyDescent="0.2">
      <c r="A345" s="2" t="s">
        <v>101</v>
      </c>
      <c r="B345" s="1"/>
      <c r="C345" s="1"/>
      <c r="D345" s="1"/>
      <c r="E345" s="71">
        <f t="shared" si="23"/>
        <v>7</v>
      </c>
      <c r="F345" s="993" t="str">
        <f t="shared" si="16"/>
        <v>Nie dotyczy</v>
      </c>
      <c r="G345" s="63"/>
      <c r="H345" s="61" t="b">
        <f t="shared" si="17"/>
        <v>0</v>
      </c>
      <c r="I345" s="994" t="str">
        <f t="shared" si="18"/>
        <v/>
      </c>
      <c r="J345" s="998" t="str">
        <f t="shared" si="19"/>
        <v>Nie dotyczy</v>
      </c>
      <c r="K345" s="797" t="str">
        <f t="shared" si="22"/>
        <v>Nie dotyczy</v>
      </c>
      <c r="L345" s="72" t="str">
        <f t="shared" si="20"/>
        <v>Nie dotyczy</v>
      </c>
      <c r="M345" s="391" t="str">
        <f t="shared" si="21"/>
        <v>Nie dotyczy</v>
      </c>
      <c r="N345" s="1"/>
      <c r="O345" s="1"/>
    </row>
    <row r="346" spans="1:15" hidden="1" x14ac:dyDescent="0.2">
      <c r="A346" s="2" t="s">
        <v>101</v>
      </c>
      <c r="B346" s="1"/>
      <c r="C346" s="1"/>
      <c r="D346" s="1"/>
      <c r="E346" s="71">
        <f t="shared" si="23"/>
        <v>8</v>
      </c>
      <c r="F346" s="993" t="str">
        <f t="shared" si="16"/>
        <v>Nie dotyczy</v>
      </c>
      <c r="G346" s="63"/>
      <c r="H346" s="61" t="b">
        <f t="shared" si="17"/>
        <v>0</v>
      </c>
      <c r="I346" s="994" t="str">
        <f t="shared" si="18"/>
        <v/>
      </c>
      <c r="J346" s="998" t="str">
        <f t="shared" si="19"/>
        <v>Nie dotyczy</v>
      </c>
      <c r="K346" s="797" t="str">
        <f t="shared" si="22"/>
        <v>Nie dotyczy</v>
      </c>
      <c r="L346" s="72" t="str">
        <f t="shared" si="20"/>
        <v>Nie dotyczy</v>
      </c>
      <c r="M346" s="391" t="str">
        <f t="shared" si="21"/>
        <v>Nie dotyczy</v>
      </c>
      <c r="N346" s="1"/>
      <c r="O346" s="1"/>
    </row>
    <row r="347" spans="1:15" hidden="1" x14ac:dyDescent="0.2">
      <c r="A347" s="2" t="s">
        <v>101</v>
      </c>
      <c r="B347" s="1"/>
      <c r="C347" s="1"/>
      <c r="D347" s="1"/>
      <c r="E347" s="71">
        <f t="shared" si="23"/>
        <v>9</v>
      </c>
      <c r="F347" s="993" t="str">
        <f t="shared" si="16"/>
        <v>Nie dotyczy</v>
      </c>
      <c r="G347" s="63"/>
      <c r="H347" s="61" t="b">
        <f t="shared" si="17"/>
        <v>0</v>
      </c>
      <c r="I347" s="994" t="str">
        <f t="shared" si="18"/>
        <v/>
      </c>
      <c r="J347" s="998" t="str">
        <f t="shared" si="19"/>
        <v>Nie dotyczy</v>
      </c>
      <c r="K347" s="797" t="str">
        <f t="shared" si="22"/>
        <v>Nie dotyczy</v>
      </c>
      <c r="L347" s="72" t="str">
        <f t="shared" si="20"/>
        <v>Nie dotyczy</v>
      </c>
      <c r="M347" s="391" t="str">
        <f t="shared" si="21"/>
        <v>Nie dotyczy</v>
      </c>
      <c r="N347" s="1"/>
      <c r="O347" s="1"/>
    </row>
    <row r="348" spans="1:15" hidden="1" x14ac:dyDescent="0.2">
      <c r="A348" s="2" t="s">
        <v>101</v>
      </c>
      <c r="B348" s="1"/>
      <c r="C348" s="1"/>
      <c r="D348" s="1"/>
      <c r="E348" s="71">
        <f t="shared" si="23"/>
        <v>10</v>
      </c>
      <c r="F348" s="993" t="str">
        <f t="shared" si="16"/>
        <v>Nie dotyczy</v>
      </c>
      <c r="G348" s="63"/>
      <c r="H348" s="61" t="b">
        <f t="shared" si="17"/>
        <v>0</v>
      </c>
      <c r="I348" s="994" t="str">
        <f t="shared" si="18"/>
        <v/>
      </c>
      <c r="J348" s="998" t="str">
        <f t="shared" si="19"/>
        <v>Nie dotyczy</v>
      </c>
      <c r="K348" s="797" t="str">
        <f t="shared" si="22"/>
        <v>Nie dotyczy</v>
      </c>
      <c r="L348" s="72" t="str">
        <f t="shared" si="20"/>
        <v>Nie dotyczy</v>
      </c>
      <c r="M348" s="391" t="str">
        <f t="shared" si="21"/>
        <v>Nie dotyczy</v>
      </c>
      <c r="N348" s="1"/>
      <c r="O348" s="1"/>
    </row>
    <row r="349" spans="1:15" hidden="1" x14ac:dyDescent="0.2">
      <c r="A349" s="2" t="s">
        <v>101</v>
      </c>
      <c r="B349" s="1"/>
      <c r="C349" s="1"/>
      <c r="D349" s="1"/>
      <c r="E349" s="71">
        <f t="shared" si="23"/>
        <v>11</v>
      </c>
      <c r="F349" s="993" t="str">
        <f t="shared" si="16"/>
        <v>Nie dotyczy</v>
      </c>
      <c r="G349" s="63"/>
      <c r="H349" s="61" t="b">
        <f t="shared" si="17"/>
        <v>0</v>
      </c>
      <c r="I349" s="994" t="str">
        <f t="shared" si="18"/>
        <v/>
      </c>
      <c r="J349" s="998" t="str">
        <f t="shared" si="19"/>
        <v>Nie dotyczy</v>
      </c>
      <c r="K349" s="797" t="str">
        <f t="shared" si="22"/>
        <v>Nie dotyczy</v>
      </c>
      <c r="L349" s="72" t="str">
        <f t="shared" si="20"/>
        <v>Nie dotyczy</v>
      </c>
      <c r="M349" s="391" t="str">
        <f t="shared" si="21"/>
        <v>Nie dotyczy</v>
      </c>
      <c r="N349" s="1"/>
      <c r="O349" s="1"/>
    </row>
    <row r="350" spans="1:15" hidden="1" x14ac:dyDescent="0.2">
      <c r="A350" s="2" t="s">
        <v>101</v>
      </c>
      <c r="B350" s="1"/>
      <c r="C350" s="1"/>
      <c r="D350" s="1"/>
      <c r="E350" s="71">
        <f t="shared" si="23"/>
        <v>12</v>
      </c>
      <c r="F350" s="993" t="str">
        <f t="shared" si="16"/>
        <v>Nie dotyczy</v>
      </c>
      <c r="G350" s="63"/>
      <c r="H350" s="61" t="b">
        <f t="shared" si="17"/>
        <v>0</v>
      </c>
      <c r="I350" s="994" t="str">
        <f t="shared" si="18"/>
        <v/>
      </c>
      <c r="J350" s="998" t="str">
        <f t="shared" si="19"/>
        <v>Nie dotyczy</v>
      </c>
      <c r="K350" s="797" t="str">
        <f t="shared" si="22"/>
        <v>Nie dotyczy</v>
      </c>
      <c r="L350" s="72" t="str">
        <f t="shared" si="20"/>
        <v>Nie dotyczy</v>
      </c>
      <c r="M350" s="391" t="str">
        <f t="shared" si="21"/>
        <v>Nie dotyczy</v>
      </c>
      <c r="N350" s="1"/>
      <c r="O350" s="1"/>
    </row>
    <row r="351" spans="1:15" hidden="1" x14ac:dyDescent="0.2">
      <c r="A351" s="2" t="s">
        <v>101</v>
      </c>
      <c r="B351" s="1"/>
      <c r="C351" s="1"/>
      <c r="D351" s="1"/>
      <c r="E351" s="71">
        <f t="shared" si="23"/>
        <v>13</v>
      </c>
      <c r="F351" s="993" t="str">
        <f t="shared" si="16"/>
        <v>Nie dotyczy</v>
      </c>
      <c r="G351" s="63"/>
      <c r="H351" s="61" t="b">
        <f t="shared" si="17"/>
        <v>0</v>
      </c>
      <c r="I351" s="994" t="str">
        <f t="shared" si="18"/>
        <v/>
      </c>
      <c r="J351" s="998" t="str">
        <f t="shared" si="19"/>
        <v>Nie dotyczy</v>
      </c>
      <c r="K351" s="797" t="str">
        <f t="shared" si="22"/>
        <v>Nie dotyczy</v>
      </c>
      <c r="L351" s="72" t="str">
        <f t="shared" si="20"/>
        <v>Nie dotyczy</v>
      </c>
      <c r="M351" s="391" t="str">
        <f t="shared" si="21"/>
        <v>Nie dotyczy</v>
      </c>
      <c r="N351" s="1"/>
      <c r="O351" s="1"/>
    </row>
    <row r="352" spans="1:15" hidden="1" x14ac:dyDescent="0.2">
      <c r="A352" s="2" t="s">
        <v>101</v>
      </c>
      <c r="B352" s="1"/>
      <c r="C352" s="1"/>
      <c r="D352" s="1"/>
      <c r="E352" s="71">
        <f t="shared" si="23"/>
        <v>14</v>
      </c>
      <c r="F352" s="993" t="str">
        <f t="shared" si="16"/>
        <v>Nie dotyczy</v>
      </c>
      <c r="G352" s="63"/>
      <c r="H352" s="61" t="b">
        <f t="shared" si="17"/>
        <v>0</v>
      </c>
      <c r="I352" s="994" t="str">
        <f t="shared" si="18"/>
        <v/>
      </c>
      <c r="J352" s="998" t="str">
        <f t="shared" si="19"/>
        <v>Nie dotyczy</v>
      </c>
      <c r="K352" s="797" t="str">
        <f t="shared" si="22"/>
        <v>Nie dotyczy</v>
      </c>
      <c r="L352" s="72" t="str">
        <f t="shared" si="20"/>
        <v>Nie dotyczy</v>
      </c>
      <c r="M352" s="391" t="str">
        <f t="shared" si="21"/>
        <v>Nie dotyczy</v>
      </c>
      <c r="N352" s="1"/>
      <c r="O352" s="1"/>
    </row>
    <row r="353" spans="1:15" hidden="1" x14ac:dyDescent="0.2">
      <c r="A353" s="2" t="s">
        <v>101</v>
      </c>
      <c r="B353" s="1"/>
      <c r="C353" s="1"/>
      <c r="D353" s="1"/>
      <c r="E353" s="71">
        <f t="shared" si="23"/>
        <v>15</v>
      </c>
      <c r="F353" s="993" t="str">
        <f t="shared" si="16"/>
        <v>Nie dotyczy</v>
      </c>
      <c r="G353" s="63"/>
      <c r="H353" s="61" t="b">
        <f t="shared" si="17"/>
        <v>0</v>
      </c>
      <c r="I353" s="994" t="str">
        <f t="shared" si="18"/>
        <v/>
      </c>
      <c r="J353" s="998" t="str">
        <f t="shared" si="19"/>
        <v>Nie dotyczy</v>
      </c>
      <c r="K353" s="797" t="str">
        <f t="shared" si="22"/>
        <v>Nie dotyczy</v>
      </c>
      <c r="L353" s="72" t="str">
        <f t="shared" si="20"/>
        <v>Nie dotyczy</v>
      </c>
      <c r="M353" s="391" t="str">
        <f t="shared" si="21"/>
        <v>Nie dotyczy</v>
      </c>
      <c r="N353" s="1"/>
      <c r="O353" s="1"/>
    </row>
    <row r="354" spans="1:15" ht="13.5" hidden="1" thickBot="1" x14ac:dyDescent="0.25">
      <c r="A354" s="2" t="s">
        <v>101</v>
      </c>
      <c r="B354" s="1"/>
      <c r="C354" s="1"/>
      <c r="D354" s="1"/>
      <c r="E354" s="73">
        <f t="shared" si="23"/>
        <v>16</v>
      </c>
      <c r="F354" s="995" t="str">
        <f t="shared" si="16"/>
        <v>Nie dotyczy</v>
      </c>
      <c r="G354" s="74"/>
      <c r="H354" s="94" t="b">
        <f t="shared" si="17"/>
        <v>0</v>
      </c>
      <c r="I354" s="996" t="str">
        <f t="shared" si="18"/>
        <v/>
      </c>
      <c r="J354" s="999" t="str">
        <f t="shared" si="19"/>
        <v>Nie dotyczy</v>
      </c>
      <c r="K354" s="798" t="str">
        <f t="shared" si="22"/>
        <v>Nie dotyczy</v>
      </c>
      <c r="L354" s="75" t="str">
        <f t="shared" si="20"/>
        <v>Nie dotyczy</v>
      </c>
      <c r="M354" s="392" t="str">
        <f t="shared" si="21"/>
        <v>Nie dotyczy</v>
      </c>
      <c r="N354" s="1"/>
      <c r="O354" s="1"/>
    </row>
    <row r="355" spans="1:15" hidden="1" x14ac:dyDescent="0.2">
      <c r="A355" s="2" t="s">
        <v>101</v>
      </c>
      <c r="B355" s="1"/>
      <c r="C355" s="1"/>
      <c r="D355" s="1"/>
      <c r="E355" s="1"/>
      <c r="F355" s="1"/>
      <c r="G355" s="1"/>
      <c r="H355" s="1"/>
      <c r="I355" s="1"/>
      <c r="J355" s="1"/>
      <c r="K355" s="1"/>
      <c r="L355" s="1"/>
      <c r="M355" s="1"/>
      <c r="N355" s="1"/>
      <c r="O355" s="1"/>
    </row>
    <row r="356" spans="1:15" hidden="1" x14ac:dyDescent="0.2">
      <c r="A356" s="2" t="s">
        <v>101</v>
      </c>
      <c r="B356" s="1"/>
      <c r="C356" s="1"/>
      <c r="D356" s="1"/>
      <c r="E356" s="1" t="s">
        <v>321</v>
      </c>
      <c r="F356" s="1"/>
      <c r="G356" s="1"/>
      <c r="H356" s="1"/>
      <c r="I356" s="1"/>
      <c r="J356" s="1"/>
      <c r="K356" s="1"/>
      <c r="L356" s="1"/>
      <c r="M356" s="1"/>
      <c r="N356" s="1"/>
      <c r="O356" s="1"/>
    </row>
    <row r="357" spans="1:15" hidden="1" x14ac:dyDescent="0.2">
      <c r="A357" s="2" t="s">
        <v>101</v>
      </c>
      <c r="B357" s="1"/>
      <c r="C357" s="1"/>
      <c r="D357" s="1"/>
      <c r="E357" s="1" t="s">
        <v>322</v>
      </c>
      <c r="F357" s="1"/>
      <c r="G357" s="49" t="b">
        <f>COUNTA(E234:E243,CNTR_FallBackSubInstRelevant)&gt;0</f>
        <v>1</v>
      </c>
      <c r="H357" s="1"/>
      <c r="I357" s="575" t="s">
        <v>607</v>
      </c>
      <c r="J357" s="49" t="b">
        <f>OR(CNTR_SubInstListIsProdBM)</f>
        <v>0</v>
      </c>
      <c r="K357" s="1"/>
      <c r="L357" s="1"/>
      <c r="M357" s="1"/>
      <c r="N357" s="1"/>
      <c r="O357" s="1"/>
    </row>
    <row r="358" spans="1:15" hidden="1" x14ac:dyDescent="0.2">
      <c r="A358" s="2" t="s">
        <v>101</v>
      </c>
      <c r="B358" s="1"/>
      <c r="C358" s="1"/>
      <c r="D358" s="1"/>
      <c r="E358" s="1"/>
      <c r="F358" s="1"/>
      <c r="G358" s="1"/>
      <c r="H358" s="1"/>
      <c r="I358" s="1"/>
      <c r="J358" s="1"/>
      <c r="K358" s="1"/>
      <c r="L358" s="1"/>
      <c r="M358" s="1"/>
      <c r="N358" s="1"/>
      <c r="O358" s="1"/>
    </row>
    <row r="359" spans="1:15" ht="13.5" hidden="1" thickBot="1" x14ac:dyDescent="0.25">
      <c r="A359" s="2" t="s">
        <v>101</v>
      </c>
      <c r="B359" s="1"/>
      <c r="C359" s="1"/>
      <c r="D359" s="1"/>
      <c r="E359" s="46" t="s">
        <v>248</v>
      </c>
      <c r="F359" s="1"/>
      <c r="G359" s="1"/>
      <c r="H359" s="1"/>
      <c r="I359" s="1"/>
      <c r="J359" s="1"/>
      <c r="K359" s="1"/>
      <c r="L359" s="1"/>
      <c r="M359" s="1"/>
      <c r="N359" s="1"/>
      <c r="O359" s="1"/>
    </row>
    <row r="360" spans="1:15" hidden="1" x14ac:dyDescent="0.2">
      <c r="A360" s="2" t="s">
        <v>101</v>
      </c>
      <c r="B360" s="1"/>
      <c r="C360" s="1"/>
      <c r="D360" s="1"/>
      <c r="E360" s="85"/>
      <c r="F360" s="83" t="s">
        <v>249</v>
      </c>
      <c r="G360" s="88" t="s">
        <v>250</v>
      </c>
      <c r="H360" s="83" t="s">
        <v>251</v>
      </c>
      <c r="I360" s="83"/>
      <c r="J360" s="795" t="s">
        <v>558</v>
      </c>
      <c r="K360" s="405" t="s">
        <v>230</v>
      </c>
      <c r="L360" s="91"/>
      <c r="M360" s="83"/>
      <c r="N360" s="84"/>
      <c r="O360" s="1"/>
    </row>
    <row r="361" spans="1:15" hidden="1" x14ac:dyDescent="0.2">
      <c r="A361" s="2" t="s">
        <v>101</v>
      </c>
      <c r="B361" s="1"/>
      <c r="C361" s="1"/>
      <c r="D361" s="1"/>
      <c r="E361" s="101">
        <v>0</v>
      </c>
      <c r="F361" s="102"/>
      <c r="G361" s="103"/>
      <c r="H361" s="799" t="str">
        <f>EUconst_WithinInst</f>
        <v>W instalacji</v>
      </c>
      <c r="I361" s="102"/>
      <c r="J361" s="23"/>
      <c r="K361" s="23"/>
      <c r="L361" s="96"/>
      <c r="M361" s="102"/>
      <c r="N361" s="104"/>
      <c r="O361" s="1"/>
    </row>
    <row r="362" spans="1:15" hidden="1" x14ac:dyDescent="0.2">
      <c r="A362" s="2" t="s">
        <v>101</v>
      </c>
      <c r="B362" s="1"/>
      <c r="C362" s="1"/>
      <c r="D362" s="1"/>
      <c r="E362" s="86">
        <v>1</v>
      </c>
      <c r="F362" s="78">
        <f t="shared" ref="F362:F371" si="24">IF(ISNUMBER(MATCH($E362,$Q$296:$Q$305,0)),MATCH($E362,$Q$296:$Q$305,0),EUconst_NA)</f>
        <v>1</v>
      </c>
      <c r="G362" s="89" t="str">
        <f t="shared" ref="G362:G371" si="25">IF(AND(ISNUMBER($F362),NOT(ISBLANK(INDEX($K$296:$K$305,$F362)))),INDEX(EUconst_ConnectionShortTypes,MATCH(INDEX($K$296:$K$305,$F362),EUconst_ConnectionTypes,0)),EUconst_NA)</f>
        <v>Ciepło</v>
      </c>
      <c r="H362" s="800" t="str">
        <f t="shared" ref="H362:H371" si="26">IF(NOT(ISNUMBER(F362)),EUconst_NA,CONCATENATE(INDEX($F$296:$F$305,$F362),": ",G362," ",IF(ISBLANK(INDEX($M$296:$M$305,$F362)),EUconst_NA,INDEX($M$296:$M$305,$F362))))</f>
        <v>Instalacja ETS: Ciepło Wyprowadzanie</v>
      </c>
      <c r="I362" s="1"/>
      <c r="J362" s="802" t="str">
        <f>IF(ISNUMBER($F362),IF(ISBLANK(INDEX($F$311:$F$320,$F362)),"",INDEX($F$311:$F$320,$F362)),"")</f>
        <v>9998</v>
      </c>
      <c r="K362" s="802" t="str">
        <f>IF(ISNUMBER($F362),IF(ISBLANK(INDEX($I$296:$I$305,$F362)),"",INDEX($I$296:$I$305,$F362)),"")</f>
        <v>Instalacja objęta ETS</v>
      </c>
      <c r="L362" s="92"/>
      <c r="M362" s="1"/>
      <c r="N362" s="79"/>
      <c r="O362" s="1"/>
    </row>
    <row r="363" spans="1:15" hidden="1" x14ac:dyDescent="0.2">
      <c r="A363" s="2" t="s">
        <v>101</v>
      </c>
      <c r="B363" s="1"/>
      <c r="C363" s="1"/>
      <c r="D363" s="1"/>
      <c r="E363" s="86">
        <f>E362+1</f>
        <v>2</v>
      </c>
      <c r="F363" s="78">
        <f t="shared" si="24"/>
        <v>2</v>
      </c>
      <c r="G363" s="89" t="str">
        <f t="shared" si="25"/>
        <v>Ciepło</v>
      </c>
      <c r="H363" s="800" t="str">
        <f t="shared" si="26"/>
        <v>Producent produktu CL: Ciepło Wyprowadzanie</v>
      </c>
      <c r="I363" s="1"/>
      <c r="J363" s="802" t="str">
        <f t="shared" ref="J363:J371" si="27">IF(ISNUMBER($F363),IF(ISBLANK(INDEX($F$311:$F$320,$F363)),"",INDEX($F$311:$F$320,$F363)),"")</f>
        <v/>
      </c>
      <c r="K363" s="802" t="str">
        <f t="shared" ref="K363:K371" si="28">IF(ISNUMBER($F363),IF(ISBLANK(INDEX($I$296:$I$305,$F363)),"",INDEX($I$296:$I$305,$F363)),"")</f>
        <v>Instalacja nieobjęta ETS</v>
      </c>
      <c r="L363" s="92"/>
      <c r="M363" s="1"/>
      <c r="N363" s="79"/>
      <c r="O363" s="1"/>
    </row>
    <row r="364" spans="1:15" hidden="1" x14ac:dyDescent="0.2">
      <c r="A364" s="2" t="s">
        <v>101</v>
      </c>
      <c r="B364" s="1"/>
      <c r="C364" s="1"/>
      <c r="D364" s="1"/>
      <c r="E364" s="86">
        <f t="shared" ref="E364:E371" si="29">E363+1</f>
        <v>3</v>
      </c>
      <c r="F364" s="78">
        <f t="shared" si="24"/>
        <v>3</v>
      </c>
      <c r="G364" s="89" t="str">
        <f t="shared" si="25"/>
        <v>Ciepło</v>
      </c>
      <c r="H364" s="800" t="str">
        <f t="shared" si="26"/>
        <v>Sieć ciepłownicza: Ciepło Wyprowadzanie</v>
      </c>
      <c r="I364" s="1"/>
      <c r="J364" s="802" t="str">
        <f t="shared" si="27"/>
        <v/>
      </c>
      <c r="K364" s="802" t="str">
        <f t="shared" si="28"/>
        <v>Sieć dystrybucji ciepła</v>
      </c>
      <c r="L364" s="92"/>
      <c r="M364" s="1"/>
      <c r="N364" s="79"/>
      <c r="O364" s="1"/>
    </row>
    <row r="365" spans="1:15" hidden="1" x14ac:dyDescent="0.2">
      <c r="A365" s="2" t="s">
        <v>101</v>
      </c>
      <c r="B365" s="1"/>
      <c r="C365" s="1"/>
      <c r="D365" s="1"/>
      <c r="E365" s="86">
        <f t="shared" si="29"/>
        <v>4</v>
      </c>
      <c r="F365" s="78">
        <f t="shared" si="24"/>
        <v>4</v>
      </c>
      <c r="G365" s="89" t="str">
        <f t="shared" si="25"/>
        <v>Ciepło</v>
      </c>
      <c r="H365" s="800" t="str">
        <f t="shared" si="26"/>
        <v>Producent produktu non-CL: Ciepło Wyprowadzanie</v>
      </c>
      <c r="I365" s="1"/>
      <c r="J365" s="802" t="str">
        <f t="shared" si="27"/>
        <v/>
      </c>
      <c r="K365" s="802" t="str">
        <f t="shared" si="28"/>
        <v>Instalacja nieobjęta ETS</v>
      </c>
      <c r="L365" s="92"/>
      <c r="M365" s="1"/>
      <c r="N365" s="79"/>
      <c r="O365" s="1"/>
    </row>
    <row r="366" spans="1:15" hidden="1" x14ac:dyDescent="0.2">
      <c r="A366" s="2" t="s">
        <v>101</v>
      </c>
      <c r="B366" s="1"/>
      <c r="C366" s="1"/>
      <c r="D366" s="1"/>
      <c r="E366" s="86">
        <f t="shared" si="29"/>
        <v>5</v>
      </c>
      <c r="F366" s="78">
        <f t="shared" si="24"/>
        <v>5</v>
      </c>
      <c r="G366" s="89" t="str">
        <f t="shared" si="25"/>
        <v>Ciepło</v>
      </c>
      <c r="H366" s="800" t="str">
        <f t="shared" si="26"/>
        <v>Import z instalacji non-ETS: Ciepło Wprowadzanie</v>
      </c>
      <c r="I366" s="1"/>
      <c r="J366" s="802" t="str">
        <f t="shared" si="27"/>
        <v/>
      </c>
      <c r="K366" s="802" t="str">
        <f t="shared" si="28"/>
        <v>Instalacja nieobjęta ETS</v>
      </c>
      <c r="L366" s="92"/>
      <c r="M366" s="1"/>
      <c r="N366" s="79"/>
      <c r="O366" s="1"/>
    </row>
    <row r="367" spans="1:15" hidden="1" x14ac:dyDescent="0.2">
      <c r="A367" s="2" t="s">
        <v>101</v>
      </c>
      <c r="B367" s="1"/>
      <c r="C367" s="1"/>
      <c r="D367" s="1"/>
      <c r="E367" s="86">
        <f t="shared" si="29"/>
        <v>6</v>
      </c>
      <c r="F367" s="78" t="str">
        <f t="shared" si="24"/>
        <v>Nie dotyczy</v>
      </c>
      <c r="G367" s="89" t="str">
        <f t="shared" si="25"/>
        <v>Nie dotyczy</v>
      </c>
      <c r="H367" s="800" t="str">
        <f t="shared" si="26"/>
        <v>Nie dotyczy</v>
      </c>
      <c r="I367" s="1"/>
      <c r="J367" s="802" t="str">
        <f t="shared" si="27"/>
        <v/>
      </c>
      <c r="K367" s="802" t="str">
        <f t="shared" si="28"/>
        <v/>
      </c>
      <c r="L367" s="92"/>
      <c r="M367" s="1"/>
      <c r="N367" s="79"/>
      <c r="O367" s="1"/>
    </row>
    <row r="368" spans="1:15" hidden="1" x14ac:dyDescent="0.2">
      <c r="A368" s="2" t="s">
        <v>101</v>
      </c>
      <c r="B368" s="1"/>
      <c r="C368" s="1"/>
      <c r="D368" s="1"/>
      <c r="E368" s="86">
        <f t="shared" si="29"/>
        <v>7</v>
      </c>
      <c r="F368" s="78" t="str">
        <f t="shared" si="24"/>
        <v>Nie dotyczy</v>
      </c>
      <c r="G368" s="89" t="str">
        <f t="shared" si="25"/>
        <v>Nie dotyczy</v>
      </c>
      <c r="H368" s="800" t="str">
        <f t="shared" si="26"/>
        <v>Nie dotyczy</v>
      </c>
      <c r="I368" s="1"/>
      <c r="J368" s="802" t="str">
        <f t="shared" si="27"/>
        <v/>
      </c>
      <c r="K368" s="802" t="str">
        <f t="shared" si="28"/>
        <v/>
      </c>
      <c r="L368" s="92"/>
      <c r="M368" s="1"/>
      <c r="N368" s="79"/>
      <c r="O368" s="1"/>
    </row>
    <row r="369" spans="1:15" hidden="1" x14ac:dyDescent="0.2">
      <c r="A369" s="2" t="s">
        <v>101</v>
      </c>
      <c r="B369" s="1"/>
      <c r="C369" s="1"/>
      <c r="D369" s="1"/>
      <c r="E369" s="86">
        <f t="shared" si="29"/>
        <v>8</v>
      </c>
      <c r="F369" s="78" t="str">
        <f t="shared" si="24"/>
        <v>Nie dotyczy</v>
      </c>
      <c r="G369" s="89" t="str">
        <f t="shared" si="25"/>
        <v>Nie dotyczy</v>
      </c>
      <c r="H369" s="800" t="str">
        <f t="shared" si="26"/>
        <v>Nie dotyczy</v>
      </c>
      <c r="I369" s="1"/>
      <c r="J369" s="802" t="str">
        <f t="shared" si="27"/>
        <v/>
      </c>
      <c r="K369" s="802" t="str">
        <f t="shared" si="28"/>
        <v/>
      </c>
      <c r="L369" s="92"/>
      <c r="M369" s="1"/>
      <c r="N369" s="79"/>
      <c r="O369" s="1"/>
    </row>
    <row r="370" spans="1:15" hidden="1" x14ac:dyDescent="0.2">
      <c r="A370" s="2" t="s">
        <v>101</v>
      </c>
      <c r="B370" s="1"/>
      <c r="C370" s="1"/>
      <c r="D370" s="1"/>
      <c r="E370" s="86">
        <f t="shared" si="29"/>
        <v>9</v>
      </c>
      <c r="F370" s="78" t="str">
        <f t="shared" si="24"/>
        <v>Nie dotyczy</v>
      </c>
      <c r="G370" s="89" t="str">
        <f t="shared" si="25"/>
        <v>Nie dotyczy</v>
      </c>
      <c r="H370" s="800" t="str">
        <f t="shared" si="26"/>
        <v>Nie dotyczy</v>
      </c>
      <c r="I370" s="1"/>
      <c r="J370" s="802" t="str">
        <f t="shared" si="27"/>
        <v/>
      </c>
      <c r="K370" s="802" t="str">
        <f t="shared" si="28"/>
        <v/>
      </c>
      <c r="L370" s="92"/>
      <c r="M370" s="1"/>
      <c r="N370" s="79"/>
      <c r="O370" s="1"/>
    </row>
    <row r="371" spans="1:15" ht="13.5" hidden="1" thickBot="1" x14ac:dyDescent="0.25">
      <c r="A371" s="2" t="s">
        <v>101</v>
      </c>
      <c r="B371" s="1"/>
      <c r="C371" s="1"/>
      <c r="D371" s="1"/>
      <c r="E371" s="87">
        <f t="shared" si="29"/>
        <v>10</v>
      </c>
      <c r="F371" s="80" t="str">
        <f t="shared" si="24"/>
        <v>Nie dotyczy</v>
      </c>
      <c r="G371" s="90" t="str">
        <f t="shared" si="25"/>
        <v>Nie dotyczy</v>
      </c>
      <c r="H371" s="801" t="str">
        <f t="shared" si="26"/>
        <v>Nie dotyczy</v>
      </c>
      <c r="I371" s="81"/>
      <c r="J371" s="803" t="str">
        <f t="shared" si="27"/>
        <v/>
      </c>
      <c r="K371" s="803" t="str">
        <f t="shared" si="28"/>
        <v/>
      </c>
      <c r="L371" s="93"/>
      <c r="M371" s="81"/>
      <c r="N371" s="82"/>
      <c r="O371" s="1"/>
    </row>
    <row r="372" spans="1:15" hidden="1" x14ac:dyDescent="0.2">
      <c r="A372" s="2" t="s">
        <v>101</v>
      </c>
      <c r="B372" s="1"/>
      <c r="C372" s="1"/>
      <c r="D372" s="1"/>
      <c r="E372" s="1"/>
      <c r="F372" s="1"/>
      <c r="G372" s="1"/>
      <c r="H372" s="1"/>
      <c r="I372" s="1"/>
      <c r="J372" s="1"/>
      <c r="K372" s="1"/>
      <c r="L372" s="1"/>
      <c r="M372" s="1"/>
      <c r="N372" s="1"/>
      <c r="O372" s="1"/>
    </row>
    <row r="373" spans="1:15" hidden="1" x14ac:dyDescent="0.2">
      <c r="A373" s="2" t="s">
        <v>101</v>
      </c>
      <c r="B373" s="1"/>
      <c r="C373" s="1"/>
      <c r="D373" s="1"/>
      <c r="E373" s="1" t="s">
        <v>323</v>
      </c>
      <c r="F373" s="1"/>
      <c r="G373" s="1"/>
      <c r="H373" s="1"/>
      <c r="I373" s="1"/>
      <c r="J373" s="1"/>
      <c r="K373" s="1"/>
      <c r="L373" s="1"/>
      <c r="M373" s="1"/>
      <c r="N373" s="1"/>
      <c r="O373" s="1"/>
    </row>
    <row r="374" spans="1:15" hidden="1" x14ac:dyDescent="0.2">
      <c r="A374" s="2" t="s">
        <v>101</v>
      </c>
      <c r="B374" s="1"/>
      <c r="C374" s="1"/>
      <c r="D374" s="1"/>
      <c r="E374" s="1" t="s">
        <v>324</v>
      </c>
      <c r="F374" s="1"/>
      <c r="G374" s="49" t="b">
        <f>COUNTA($F$296:$F$305)&gt;0</f>
        <v>1</v>
      </c>
      <c r="H374" s="1"/>
      <c r="I374" s="1"/>
      <c r="J374" s="1"/>
      <c r="K374" s="1"/>
      <c r="L374" s="1"/>
      <c r="M374" s="1"/>
      <c r="N374" s="1"/>
      <c r="O374" s="1"/>
    </row>
    <row r="375" spans="1:15" hidden="1" x14ac:dyDescent="0.2">
      <c r="A375" s="2" t="s">
        <v>101</v>
      </c>
      <c r="B375" s="1"/>
      <c r="C375" s="1"/>
      <c r="D375" s="1"/>
      <c r="E375" s="1"/>
      <c r="F375" s="1"/>
      <c r="G375" s="1"/>
      <c r="H375" s="1"/>
      <c r="I375" s="1"/>
      <c r="J375" s="1"/>
      <c r="K375" s="1"/>
      <c r="L375" s="1"/>
      <c r="M375" s="1"/>
      <c r="N375" s="1"/>
      <c r="O375" s="1"/>
    </row>
    <row r="376" spans="1:15" hidden="1" x14ac:dyDescent="0.2">
      <c r="A376" s="2" t="s">
        <v>101</v>
      </c>
      <c r="B376" s="1"/>
      <c r="C376" s="1"/>
      <c r="D376" s="1"/>
      <c r="E376" s="1"/>
      <c r="F376" s="1"/>
      <c r="G376" s="1"/>
      <c r="H376" s="1"/>
      <c r="I376" s="1"/>
      <c r="J376" s="1"/>
      <c r="K376" s="1"/>
      <c r="L376" s="1"/>
      <c r="M376" s="1"/>
      <c r="N376" s="1"/>
      <c r="O376" s="1"/>
    </row>
    <row r="377" spans="1:15" hidden="1" x14ac:dyDescent="0.2">
      <c r="A377" s="2" t="s">
        <v>101</v>
      </c>
      <c r="B377" s="1"/>
      <c r="C377" s="1"/>
      <c r="D377" s="1"/>
      <c r="E377" s="1" t="s">
        <v>325</v>
      </c>
      <c r="F377" s="1"/>
      <c r="G377" s="1"/>
      <c r="H377" s="1"/>
      <c r="I377" s="1"/>
      <c r="J377" s="1"/>
      <c r="K377" s="1"/>
      <c r="L377" s="1"/>
      <c r="M377" s="1"/>
      <c r="N377" s="1"/>
      <c r="O377" s="1"/>
    </row>
    <row r="378" spans="1:15" hidden="1" x14ac:dyDescent="0.2">
      <c r="A378" s="2" t="s">
        <v>101</v>
      </c>
      <c r="B378" s="1"/>
      <c r="C378" s="1"/>
      <c r="D378" s="1"/>
      <c r="E378" s="1"/>
      <c r="F378" s="1" t="s">
        <v>361</v>
      </c>
      <c r="G378" s="49" t="b">
        <f>OR(E182&lt;&gt;"",E201&lt;&gt;"")</f>
        <v>0</v>
      </c>
      <c r="H378" s="1" t="s">
        <v>367</v>
      </c>
      <c r="I378" s="1"/>
      <c r="J378" s="1"/>
      <c r="K378" s="1"/>
      <c r="L378" s="1"/>
      <c r="M378" s="1"/>
      <c r="N378" s="1"/>
      <c r="O378" s="1"/>
    </row>
    <row r="379" spans="1:15" hidden="1" x14ac:dyDescent="0.2">
      <c r="A379" s="2" t="s">
        <v>101</v>
      </c>
      <c r="B379" s="1"/>
      <c r="C379" s="1"/>
      <c r="D379" s="1"/>
      <c r="E379" s="1"/>
      <c r="F379" s="1" t="s">
        <v>362</v>
      </c>
      <c r="G379" s="49" t="b">
        <f>OR(I220&lt;&gt;"",J220&lt;&gt;"",K220&lt;&gt;"",L220&lt;&gt;"",M220&lt;&gt;"",L212&lt;&gt;"")</f>
        <v>0</v>
      </c>
      <c r="H379" s="1"/>
      <c r="I379" s="1"/>
      <c r="J379" s="1"/>
      <c r="K379" s="1"/>
      <c r="L379" s="1"/>
      <c r="M379" s="1"/>
      <c r="N379" s="1"/>
      <c r="O379" s="1"/>
    </row>
    <row r="380" spans="1:15" ht="13.5" hidden="1" thickBot="1" x14ac:dyDescent="0.25">
      <c r="A380" s="2" t="s">
        <v>101</v>
      </c>
      <c r="B380" s="1"/>
      <c r="C380" s="1"/>
      <c r="D380" s="1"/>
      <c r="E380" s="1"/>
      <c r="F380" s="1" t="s">
        <v>78</v>
      </c>
      <c r="G380" s="49" t="b">
        <f>OR(E244&lt;&gt;"",D246&lt;&gt;"",E266&lt;&gt;"",L266&lt;&gt;"")</f>
        <v>0</v>
      </c>
      <c r="H380" s="1"/>
      <c r="I380" s="1"/>
      <c r="J380" s="1"/>
      <c r="K380" s="1"/>
      <c r="L380" s="1"/>
      <c r="M380" s="1"/>
      <c r="N380" s="1"/>
      <c r="O380" s="1"/>
    </row>
    <row r="381" spans="1:15" ht="13.5" hidden="1" thickBot="1" x14ac:dyDescent="0.25">
      <c r="A381" s="2" t="s">
        <v>101</v>
      </c>
      <c r="B381" s="1"/>
      <c r="C381" s="1"/>
      <c r="D381" s="1"/>
      <c r="E381" s="1"/>
      <c r="F381" s="46" t="s">
        <v>326</v>
      </c>
      <c r="G381" s="273" t="b">
        <f>OR(G378:G380)</f>
        <v>0</v>
      </c>
      <c r="H381" s="1"/>
      <c r="I381" s="1"/>
      <c r="J381" s="1"/>
      <c r="K381" s="1"/>
      <c r="L381" s="1"/>
      <c r="M381" s="1"/>
      <c r="N381" s="1"/>
      <c r="O381" s="1"/>
    </row>
    <row r="382" spans="1:15" hidden="1" x14ac:dyDescent="0.2">
      <c r="A382" s="2" t="s">
        <v>101</v>
      </c>
    </row>
    <row r="383" spans="1:15" hidden="1" x14ac:dyDescent="0.2">
      <c r="A383" s="2" t="s">
        <v>101</v>
      </c>
    </row>
  </sheetData>
  <sheetProtection sheet="1" objects="1" scenarios="1" formatCells="0" formatColumns="0" formatRows="0"/>
  <mergeCells count="386">
    <mergeCell ref="E164:N164"/>
    <mergeCell ref="E194:N194"/>
    <mergeCell ref="E182:N182"/>
    <mergeCell ref="M176:N176"/>
    <mergeCell ref="E180:L180"/>
    <mergeCell ref="M174:N174"/>
    <mergeCell ref="E170:L170"/>
    <mergeCell ref="E206:N206"/>
    <mergeCell ref="E148:N148"/>
    <mergeCell ref="E134:N134"/>
    <mergeCell ref="E201:N201"/>
    <mergeCell ref="D222:N222"/>
    <mergeCell ref="E198:N198"/>
    <mergeCell ref="E217:N217"/>
    <mergeCell ref="E196:N196"/>
    <mergeCell ref="F137:N137"/>
    <mergeCell ref="F150:N150"/>
    <mergeCell ref="F149:N149"/>
    <mergeCell ref="E147:N147"/>
    <mergeCell ref="M170:N170"/>
    <mergeCell ref="F156:L156"/>
    <mergeCell ref="M152:N152"/>
    <mergeCell ref="E172:N172"/>
    <mergeCell ref="E178:N178"/>
    <mergeCell ref="F138:N138"/>
    <mergeCell ref="M140:N140"/>
    <mergeCell ref="F140:L140"/>
    <mergeCell ref="E207:N207"/>
    <mergeCell ref="E192:N192"/>
    <mergeCell ref="E193:N193"/>
    <mergeCell ref="E191:N191"/>
    <mergeCell ref="E189:N189"/>
    <mergeCell ref="L235:M235"/>
    <mergeCell ref="E264:H264"/>
    <mergeCell ref="E260:H260"/>
    <mergeCell ref="E234:I234"/>
    <mergeCell ref="D224:N224"/>
    <mergeCell ref="E212:I212"/>
    <mergeCell ref="J212:K212"/>
    <mergeCell ref="E205:N205"/>
    <mergeCell ref="E171:N171"/>
    <mergeCell ref="E176:L176"/>
    <mergeCell ref="E236:I236"/>
    <mergeCell ref="F279:N279"/>
    <mergeCell ref="E272:N272"/>
    <mergeCell ref="L237:M237"/>
    <mergeCell ref="D246:N246"/>
    <mergeCell ref="E275:N275"/>
    <mergeCell ref="E261:H261"/>
    <mergeCell ref="E238:I238"/>
    <mergeCell ref="E239:I239"/>
    <mergeCell ref="L241:M241"/>
    <mergeCell ref="J60:N60"/>
    <mergeCell ref="J64:N64"/>
    <mergeCell ref="J61:N61"/>
    <mergeCell ref="G65:I65"/>
    <mergeCell ref="J99:N99"/>
    <mergeCell ref="G57:I57"/>
    <mergeCell ref="J57:N57"/>
    <mergeCell ref="J95:N95"/>
    <mergeCell ref="E67:N67"/>
    <mergeCell ref="E82:N82"/>
    <mergeCell ref="J79:N79"/>
    <mergeCell ref="G83:I83"/>
    <mergeCell ref="G84:I84"/>
    <mergeCell ref="G85:I85"/>
    <mergeCell ref="J83:N83"/>
    <mergeCell ref="G78:I78"/>
    <mergeCell ref="G79:I79"/>
    <mergeCell ref="J58:N58"/>
    <mergeCell ref="J59:N59"/>
    <mergeCell ref="G62:I62"/>
    <mergeCell ref="J63:N63"/>
    <mergeCell ref="G60:I60"/>
    <mergeCell ref="G68:I68"/>
    <mergeCell ref="G91:I91"/>
    <mergeCell ref="E18:I18"/>
    <mergeCell ref="E32:N32"/>
    <mergeCell ref="J20:N20"/>
    <mergeCell ref="J68:N68"/>
    <mergeCell ref="K3:L3"/>
    <mergeCell ref="G4:H4"/>
    <mergeCell ref="E20:I20"/>
    <mergeCell ref="E52:N52"/>
    <mergeCell ref="F49:N49"/>
    <mergeCell ref="F50:N50"/>
    <mergeCell ref="E4:F4"/>
    <mergeCell ref="E23:N23"/>
    <mergeCell ref="E26:N26"/>
    <mergeCell ref="E33:N33"/>
    <mergeCell ref="E25:I25"/>
    <mergeCell ref="E29:I29"/>
    <mergeCell ref="F36:N36"/>
    <mergeCell ref="F34:I34"/>
    <mergeCell ref="E27:N27"/>
    <mergeCell ref="J25:N25"/>
    <mergeCell ref="J41:N41"/>
    <mergeCell ref="J15:N15"/>
    <mergeCell ref="J29:N29"/>
    <mergeCell ref="E21:N21"/>
    <mergeCell ref="M2:N2"/>
    <mergeCell ref="E3:F3"/>
    <mergeCell ref="G3:H3"/>
    <mergeCell ref="I3:J3"/>
    <mergeCell ref="D6:N6"/>
    <mergeCell ref="E13:N13"/>
    <mergeCell ref="M3:N3"/>
    <mergeCell ref="E12:I12"/>
    <mergeCell ref="I4:J4"/>
    <mergeCell ref="K4:L4"/>
    <mergeCell ref="D10:N10"/>
    <mergeCell ref="M4:N4"/>
    <mergeCell ref="J12:N12"/>
    <mergeCell ref="D8:N8"/>
    <mergeCell ref="B2:D4"/>
    <mergeCell ref="G2:H2"/>
    <mergeCell ref="I2:J2"/>
    <mergeCell ref="K2:L2"/>
    <mergeCell ref="D322:N322"/>
    <mergeCell ref="D268:N268"/>
    <mergeCell ref="M318:N318"/>
    <mergeCell ref="F317:G317"/>
    <mergeCell ref="H317:I317"/>
    <mergeCell ref="E177:N177"/>
    <mergeCell ref="D270:N270"/>
    <mergeCell ref="E259:H259"/>
    <mergeCell ref="M319:N319"/>
    <mergeCell ref="E240:I240"/>
    <mergeCell ref="E250:N250"/>
    <mergeCell ref="E186:N186"/>
    <mergeCell ref="E188:N188"/>
    <mergeCell ref="L242:M242"/>
    <mergeCell ref="L239:M239"/>
    <mergeCell ref="E241:I241"/>
    <mergeCell ref="E242:I242"/>
    <mergeCell ref="E233:I233"/>
    <mergeCell ref="E255:N255"/>
    <mergeCell ref="E253:N253"/>
    <mergeCell ref="E262:H262"/>
    <mergeCell ref="E235:I235"/>
    <mergeCell ref="E254:N254"/>
    <mergeCell ref="E258:H258"/>
    <mergeCell ref="F320:G320"/>
    <mergeCell ref="J320:L320"/>
    <mergeCell ref="H311:I311"/>
    <mergeCell ref="J311:L311"/>
    <mergeCell ref="E213:N213"/>
    <mergeCell ref="E249:N249"/>
    <mergeCell ref="J310:L310"/>
    <mergeCell ref="E90:N90"/>
    <mergeCell ref="G80:I80"/>
    <mergeCell ref="J80:N80"/>
    <mergeCell ref="J85:N85"/>
    <mergeCell ref="J93:N93"/>
    <mergeCell ref="J84:N84"/>
    <mergeCell ref="J91:N91"/>
    <mergeCell ref="G86:I86"/>
    <mergeCell ref="J86:N86"/>
    <mergeCell ref="G93:I93"/>
    <mergeCell ref="I298:J298"/>
    <mergeCell ref="F287:N287"/>
    <mergeCell ref="K303:L303"/>
    <mergeCell ref="I301:J301"/>
    <mergeCell ref="M303:N303"/>
    <mergeCell ref="I302:J302"/>
    <mergeCell ref="I299:J299"/>
    <mergeCell ref="F316:G316"/>
    <mergeCell ref="F319:G319"/>
    <mergeCell ref="H318:I318"/>
    <mergeCell ref="J318:L318"/>
    <mergeCell ref="E309:N309"/>
    <mergeCell ref="F318:G318"/>
    <mergeCell ref="M316:N316"/>
    <mergeCell ref="J317:L317"/>
    <mergeCell ref="M317:N317"/>
    <mergeCell ref="F315:G315"/>
    <mergeCell ref="F314:G314"/>
    <mergeCell ref="F313:G313"/>
    <mergeCell ref="J315:L315"/>
    <mergeCell ref="H313:I313"/>
    <mergeCell ref="M314:N314"/>
    <mergeCell ref="H314:I314"/>
    <mergeCell ref="M315:N315"/>
    <mergeCell ref="F310:G310"/>
    <mergeCell ref="M312:N312"/>
    <mergeCell ref="F311:G311"/>
    <mergeCell ref="F312:G312"/>
    <mergeCell ref="M310:N310"/>
    <mergeCell ref="M311:N311"/>
    <mergeCell ref="M320:N320"/>
    <mergeCell ref="J313:L313"/>
    <mergeCell ref="M313:N313"/>
    <mergeCell ref="H316:I316"/>
    <mergeCell ref="J316:L316"/>
    <mergeCell ref="H315:I315"/>
    <mergeCell ref="H320:I320"/>
    <mergeCell ref="J314:L314"/>
    <mergeCell ref="H319:I319"/>
    <mergeCell ref="J319:L319"/>
    <mergeCell ref="M305:N305"/>
    <mergeCell ref="E308:N308"/>
    <mergeCell ref="E307:N307"/>
    <mergeCell ref="H310:I310"/>
    <mergeCell ref="I305:J305"/>
    <mergeCell ref="H312:I312"/>
    <mergeCell ref="K305:L305"/>
    <mergeCell ref="F305:H305"/>
    <mergeCell ref="J312:L312"/>
    <mergeCell ref="F301:H301"/>
    <mergeCell ref="M304:N304"/>
    <mergeCell ref="F299:H299"/>
    <mergeCell ref="M301:N301"/>
    <mergeCell ref="F300:H300"/>
    <mergeCell ref="I300:J300"/>
    <mergeCell ref="K300:L300"/>
    <mergeCell ref="M299:N299"/>
    <mergeCell ref="M300:N300"/>
    <mergeCell ref="F303:H303"/>
    <mergeCell ref="F304:H304"/>
    <mergeCell ref="K304:L304"/>
    <mergeCell ref="F302:H302"/>
    <mergeCell ref="K302:L302"/>
    <mergeCell ref="I303:J303"/>
    <mergeCell ref="I304:J304"/>
    <mergeCell ref="M302:N302"/>
    <mergeCell ref="K299:L299"/>
    <mergeCell ref="K301:L301"/>
    <mergeCell ref="E15:I15"/>
    <mergeCell ref="E16:N16"/>
    <mergeCell ref="J34:N34"/>
    <mergeCell ref="E47:I47"/>
    <mergeCell ref="E51:N51"/>
    <mergeCell ref="J62:N62"/>
    <mergeCell ref="E31:N31"/>
    <mergeCell ref="G58:I58"/>
    <mergeCell ref="G59:I59"/>
    <mergeCell ref="E55:N55"/>
    <mergeCell ref="E44:I44"/>
    <mergeCell ref="E45:N45"/>
    <mergeCell ref="E48:N48"/>
    <mergeCell ref="E53:N53"/>
    <mergeCell ref="E56:N56"/>
    <mergeCell ref="F38:I38"/>
    <mergeCell ref="F40:N40"/>
    <mergeCell ref="F41:I41"/>
    <mergeCell ref="F37:I37"/>
    <mergeCell ref="F42:I42"/>
    <mergeCell ref="J38:N38"/>
    <mergeCell ref="J42:N42"/>
    <mergeCell ref="J37:N37"/>
    <mergeCell ref="E22:N22"/>
    <mergeCell ref="E97:N97"/>
    <mergeCell ref="J101:N101"/>
    <mergeCell ref="J102:N102"/>
    <mergeCell ref="G102:I102"/>
    <mergeCell ref="G106:I106"/>
    <mergeCell ref="G107:I107"/>
    <mergeCell ref="M144:N144"/>
    <mergeCell ref="G61:I61"/>
    <mergeCell ref="G63:I63"/>
    <mergeCell ref="J65:N65"/>
    <mergeCell ref="G64:I64"/>
    <mergeCell ref="J107:N107"/>
    <mergeCell ref="J100:N100"/>
    <mergeCell ref="E124:N124"/>
    <mergeCell ref="L130:N130"/>
    <mergeCell ref="E127:N127"/>
    <mergeCell ref="G92:I92"/>
    <mergeCell ref="J94:N94"/>
    <mergeCell ref="J106:N106"/>
    <mergeCell ref="E104:N104"/>
    <mergeCell ref="G105:I105"/>
    <mergeCell ref="G95:I95"/>
    <mergeCell ref="G99:I99"/>
    <mergeCell ref="G100:I100"/>
    <mergeCell ref="E98:N98"/>
    <mergeCell ref="E126:N126"/>
    <mergeCell ref="E111:N111"/>
    <mergeCell ref="F118:N118"/>
    <mergeCell ref="F115:N115"/>
    <mergeCell ref="E130:K130"/>
    <mergeCell ref="E159:N159"/>
    <mergeCell ref="F120:N120"/>
    <mergeCell ref="E122:N122"/>
    <mergeCell ref="F116:N116"/>
    <mergeCell ref="E123:N123"/>
    <mergeCell ref="F119:N119"/>
    <mergeCell ref="E131:N131"/>
    <mergeCell ref="E132:N132"/>
    <mergeCell ref="F154:L154"/>
    <mergeCell ref="F117:N117"/>
    <mergeCell ref="F152:L152"/>
    <mergeCell ref="M156:N156"/>
    <mergeCell ref="J105:N105"/>
    <mergeCell ref="F136:N136"/>
    <mergeCell ref="E113:N113"/>
    <mergeCell ref="D109:N109"/>
    <mergeCell ref="E112:N112"/>
    <mergeCell ref="G101:I101"/>
    <mergeCell ref="J71:N71"/>
    <mergeCell ref="J69:N69"/>
    <mergeCell ref="G77:I77"/>
    <mergeCell ref="J77:N77"/>
    <mergeCell ref="G71:I71"/>
    <mergeCell ref="E76:N76"/>
    <mergeCell ref="G70:I70"/>
    <mergeCell ref="G94:I94"/>
    <mergeCell ref="J92:N92"/>
    <mergeCell ref="E74:N74"/>
    <mergeCell ref="G69:I69"/>
    <mergeCell ref="J70:N70"/>
    <mergeCell ref="D88:N88"/>
    <mergeCell ref="J78:N78"/>
    <mergeCell ref="D73:N73"/>
    <mergeCell ref="F283:N283"/>
    <mergeCell ref="F292:N292"/>
    <mergeCell ref="K295:L295"/>
    <mergeCell ref="E125:N125"/>
    <mergeCell ref="E199:N199"/>
    <mergeCell ref="E230:N230"/>
    <mergeCell ref="E216:N216"/>
    <mergeCell ref="E208:N208"/>
    <mergeCell ref="E215:N215"/>
    <mergeCell ref="D211:N211"/>
    <mergeCell ref="M180:N180"/>
    <mergeCell ref="F128:K128"/>
    <mergeCell ref="E135:N135"/>
    <mergeCell ref="E277:N277"/>
    <mergeCell ref="F295:H295"/>
    <mergeCell ref="L236:M236"/>
    <mergeCell ref="E274:N274"/>
    <mergeCell ref="F278:N278"/>
    <mergeCell ref="L238:M238"/>
    <mergeCell ref="F289:N289"/>
    <mergeCell ref="F288:N288"/>
    <mergeCell ref="E158:N158"/>
    <mergeCell ref="D168:N168"/>
    <mergeCell ref="E231:N231"/>
    <mergeCell ref="E273:N273"/>
    <mergeCell ref="E263:H263"/>
    <mergeCell ref="E218:H218"/>
    <mergeCell ref="E174:L174"/>
    <mergeCell ref="E256:N256"/>
    <mergeCell ref="M142:N142"/>
    <mergeCell ref="F142:L142"/>
    <mergeCell ref="E226:N226"/>
    <mergeCell ref="E229:N229"/>
    <mergeCell ref="D248:N248"/>
    <mergeCell ref="D166:N166"/>
    <mergeCell ref="L240:M240"/>
    <mergeCell ref="E243:I243"/>
    <mergeCell ref="E265:H265"/>
    <mergeCell ref="E252:N252"/>
    <mergeCell ref="L243:M243"/>
    <mergeCell ref="E219:H219"/>
    <mergeCell ref="E228:N228"/>
    <mergeCell ref="L234:M234"/>
    <mergeCell ref="E227:N227"/>
    <mergeCell ref="M154:N154"/>
    <mergeCell ref="F144:L144"/>
    <mergeCell ref="E163:I163"/>
    <mergeCell ref="E237:I237"/>
    <mergeCell ref="F284:N284"/>
    <mergeCell ref="E251:N251"/>
    <mergeCell ref="K298:L298"/>
    <mergeCell ref="F280:N280"/>
    <mergeCell ref="F281:N281"/>
    <mergeCell ref="K297:L297"/>
    <mergeCell ref="M298:N298"/>
    <mergeCell ref="F298:H298"/>
    <mergeCell ref="F293:N293"/>
    <mergeCell ref="E282:N282"/>
    <mergeCell ref="E286:N286"/>
    <mergeCell ref="F297:H297"/>
    <mergeCell ref="I297:J297"/>
    <mergeCell ref="M296:N296"/>
    <mergeCell ref="F285:N285"/>
    <mergeCell ref="I296:J296"/>
    <mergeCell ref="I295:J295"/>
    <mergeCell ref="F290:N290"/>
    <mergeCell ref="M297:N297"/>
    <mergeCell ref="M295:N295"/>
    <mergeCell ref="E276:N276"/>
    <mergeCell ref="K296:L296"/>
    <mergeCell ref="F296:H296"/>
    <mergeCell ref="E291:N291"/>
  </mergeCells>
  <phoneticPr fontId="35" type="noConversion"/>
  <conditionalFormatting sqref="I219:K219">
    <cfRule type="expression" dxfId="387" priority="14" stopIfTrue="1">
      <formula>AND(ISNUMBER(CNTR_BaselinePeriodChosen),I$331&lt;&gt;CNTR_BaselinePeriodChosen,NOT(MSconst_RequireAllYears))</formula>
    </cfRule>
  </conditionalFormatting>
  <conditionalFormatting sqref="F311:G320">
    <cfRule type="expression" dxfId="386" priority="22" stopIfTrue="1">
      <formula>AND(CNTR_ExistConnectionEntries,ISBLANK($F296))</formula>
    </cfRule>
    <cfRule type="expression" dxfId="385" priority="23" stopIfTrue="1">
      <formula>($R296=FALSE)</formula>
    </cfRule>
  </conditionalFormatting>
  <conditionalFormatting sqref="H311:N320">
    <cfRule type="expression" dxfId="384" priority="24" stopIfTrue="1">
      <formula>AND(CNTR_ExistConnectionEntries,ISBLANK($F296))</formula>
    </cfRule>
    <cfRule type="expression" dxfId="383" priority="26" stopIfTrue="1">
      <formula>($R296=FALSE)</formula>
    </cfRule>
  </conditionalFormatting>
  <conditionalFormatting sqref="J34:N34 J37:N38">
    <cfRule type="expression" dxfId="382" priority="30" stopIfTrue="1">
      <formula>(MSconst_RequirePermitInfo=FALSE)</formula>
    </cfRule>
  </conditionalFormatting>
  <conditionalFormatting sqref="B2:D4">
    <cfRule type="expression" dxfId="381" priority="31" stopIfTrue="1">
      <formula>CNTR_HasErrors_A</formula>
    </cfRule>
  </conditionalFormatting>
  <conditionalFormatting sqref="G4:H4">
    <cfRule type="expression" dxfId="380" priority="32" stopIfTrue="1">
      <formula>$G$378</formula>
    </cfRule>
  </conditionalFormatting>
  <conditionalFormatting sqref="I4:J4">
    <cfRule type="expression" dxfId="379" priority="33" stopIfTrue="1">
      <formula>$G$379</formula>
    </cfRule>
  </conditionalFormatting>
  <conditionalFormatting sqref="K4:L4">
    <cfRule type="expression" dxfId="378" priority="34" stopIfTrue="1">
      <formula>$G$380</formula>
    </cfRule>
  </conditionalFormatting>
  <conditionalFormatting sqref="L219:M219">
    <cfRule type="expression" dxfId="377" priority="6" stopIfTrue="1">
      <formula>AND(ISNUMBER(CNTR_BaselinePeriodChosen),L$331&lt;&gt;CNTR_BaselinePeriodChosen,NOT(MSconst_RequireAllYears))</formula>
    </cfRule>
  </conditionalFormatting>
  <conditionalFormatting sqref="J259:J265">
    <cfRule type="expression" dxfId="376" priority="3" stopIfTrue="1">
      <formula>AND($I259&lt;&gt;"",$I259=FALSE)</formula>
    </cfRule>
  </conditionalFormatting>
  <conditionalFormatting sqref="M140:N140 M142:N142">
    <cfRule type="expression" dxfId="375" priority="2" stopIfTrue="1">
      <formula>$X$140</formula>
    </cfRule>
  </conditionalFormatting>
  <conditionalFormatting sqref="M152:N152 M154:N154">
    <cfRule type="expression" dxfId="374" priority="1" stopIfTrue="1">
      <formula>$X$152</formula>
    </cfRule>
  </conditionalFormatting>
  <dataValidations count="11">
    <dataValidation type="list" allowBlank="1" showInputMessage="1" showErrorMessage="1" sqref="I296:I305">
      <formula1>EUconst_ConnectedEntityTypes</formula1>
    </dataValidation>
    <dataValidation type="list" allowBlank="1" showInputMessage="1" showErrorMessage="1" sqref="K296:L305">
      <formula1>EUconst_ConnectionTypes</formula1>
    </dataValidation>
    <dataValidation type="list" allowBlank="1" showInputMessage="1" showErrorMessage="1" sqref="M296:N305">
      <formula1>EUconst_ConnectionTransferTypes</formula1>
    </dataValidation>
    <dataValidation type="list" allowBlank="1" showInputMessage="1" showErrorMessage="1" sqref="J18 M174:N174 M170:N170 M142:N142 J47 M180:N180 I219:M219 M134:N134 M140:N140 M154:N154 J163 M152:N152 I259:I265">
      <formula1>Euconst_TrueFalse</formula1>
    </dataValidation>
    <dataValidation type="list" allowBlank="1" showInputMessage="1" showErrorMessage="1" sqref="E234:E243">
      <formula1>EUconst_BMlistNames</formula1>
    </dataValidation>
    <dataValidation type="list" allowBlank="1" showInputMessage="1" showErrorMessage="1" sqref="J212:K212">
      <formula1>EUconst_BaselinePeriods</formula1>
    </dataValidation>
    <dataValidation type="list" allowBlank="1" showInputMessage="1" showErrorMessage="1" sqref="E189:N189">
      <formula1>EUconst_ConfirmationNotEligible</formula1>
    </dataValidation>
    <dataValidation type="list" allowBlank="1" showInputMessage="1" showErrorMessage="1" sqref="E199:N199">
      <formula1>EUconst_ConfirmApplicationForAlloc</formula1>
    </dataValidation>
    <dataValidation type="list" allowBlank="1" showInputMessage="1" showErrorMessage="1" sqref="F115:N120">
      <formula1>EUconst_AnnexIActivities</formula1>
    </dataValidation>
    <dataValidation type="list" allowBlank="1" showInputMessage="1" showErrorMessage="1" sqref="J15:N15 J105:N105">
      <formula1>EUconst_MSlist</formula1>
    </dataValidation>
    <dataValidation type="textLength" errorStyle="warning" operator="equal" allowBlank="1" showInputMessage="1" showErrorMessage="1" sqref="L128">
      <formula1>4</formula1>
    </dataValidation>
  </dataValidations>
  <hyperlinks>
    <hyperlink ref="E125" r:id="rId1" display="http://ec.europa.eu/eurostat/ramon/nomenclatures/index.cfm?TargetUrl=LST_CLS_DLD&amp;StrNom=NACE_REV2&amp;StrLanguageCode=EN&amp;StrLayoutCode=HIERARCHIC"/>
    <hyperlink ref="G2:H2" location="JUMP_TOC_Home" display="Table of contents"/>
    <hyperlink ref="M2:N2" location="JUMP_K_I" display="Summary"/>
    <hyperlink ref="E3:F3" location="JUMP_A_I" display="Top of sheet"/>
    <hyperlink ref="D322:N322" location="JUMP_BY1_Top" display="JUMP_BY1_Top"/>
    <hyperlink ref="E4:F4" location="JUMP_A_Bottom" display="End of sheet"/>
    <hyperlink ref="I2:J2" location="JUMP_Guidelines_Home" display="Previous sheet"/>
    <hyperlink ref="G3:H3" location="JUMP_A_I1" display="Installation ID"/>
    <hyperlink ref="I3:J3" location="JUMP_A_I2" display="Contact persons"/>
    <hyperlink ref="K3:L3" location="JUMP_A_I3" display="Verifier"/>
    <hyperlink ref="M3:N3" location="JUMP_A_I4" display="Further information"/>
    <hyperlink ref="G4:H4" location="JUMP_A_II1" display="Eligibility"/>
    <hyperlink ref="I4:J4" location="JUMP_A_II2" display="Baseline period"/>
    <hyperlink ref="K4:L4" location="JUMP_A_III1" display="Sub-installations"/>
    <hyperlink ref="M4:N4" location="JUMP_A_IV1" display="Technical connections"/>
    <hyperlink ref="K2:L2" location="JUMP_BY1_Top" display="JUMP_BY1_Top"/>
  </hyperlinks>
  <pageMargins left="0.78740157480314965" right="0.78740157480314965" top="0.78740157480314965" bottom="0.78740157480314965" header="0.51181102362204722" footer="0.51181102362204722"/>
  <pageSetup paperSize="9" scale="61" fitToHeight="10" orientation="portrait" r:id="rId2"/>
  <headerFooter alignWithMargins="0">
    <oddHeader>&amp;L&amp;F; &amp;A&amp;R&amp;D; &amp;T</oddHeader>
    <oddFooter>&amp;C&amp;P / &amp;N</oddFooter>
  </headerFooter>
  <rowBreaks count="1" manualBreakCount="1">
    <brk id="269" min="2" max="14" man="1"/>
  </rowBreaks>
  <ignoredErrors>
    <ignoredError sqref="M176" unlockedFormula="1"/>
  </ignoredErrors>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rgb="FFCCFFCC"/>
    <pageSetUpPr fitToPage="1"/>
  </sheetPr>
  <dimension ref="A1:BD135"/>
  <sheetViews>
    <sheetView topLeftCell="B1" zoomScaleNormal="100" workbookViewId="0">
      <pane ySplit="4" topLeftCell="A5" activePane="bottomLeft" state="frozen"/>
      <selection activeCell="B2" sqref="B2"/>
      <selection pane="bottomLeft" activeCell="B24" sqref="A24:XFD25"/>
    </sheetView>
  </sheetViews>
  <sheetFormatPr defaultColWidth="11.42578125" defaultRowHeight="12.75" x14ac:dyDescent="0.2"/>
  <cols>
    <col min="1" max="1" width="3.42578125" style="671" hidden="1" customWidth="1"/>
    <col min="2" max="2" width="3.42578125" style="199" customWidth="1"/>
    <col min="3" max="3" width="8.42578125" style="6" bestFit="1" customWidth="1"/>
    <col min="4" max="4" width="21.5703125" style="199" bestFit="1" customWidth="1"/>
    <col min="5" max="5" width="35.7109375" style="199" customWidth="1"/>
    <col min="6" max="6" width="15.7109375" style="199" customWidth="1"/>
    <col min="7" max="51" width="12.7109375" style="199" customWidth="1"/>
    <col min="52" max="52" width="9.140625" style="199" customWidth="1"/>
    <col min="53" max="55" width="11.42578125" style="671" hidden="1" customWidth="1"/>
    <col min="56" max="16384" width="11.42578125" style="672"/>
  </cols>
  <sheetData>
    <row r="1" spans="1:56" ht="13.5" hidden="1" thickBot="1" x14ac:dyDescent="0.25">
      <c r="A1" s="509" t="s">
        <v>101</v>
      </c>
      <c r="B1" s="519"/>
      <c r="C1" s="520"/>
      <c r="D1" s="519"/>
      <c r="E1" s="519"/>
      <c r="F1" s="519"/>
      <c r="G1" s="519"/>
      <c r="H1" s="519"/>
      <c r="I1" s="519"/>
      <c r="J1" s="519"/>
      <c r="K1" s="519"/>
      <c r="L1" s="521"/>
      <c r="M1" s="519"/>
      <c r="N1" s="519"/>
      <c r="O1" s="519"/>
      <c r="P1" s="519"/>
      <c r="Q1" s="519"/>
      <c r="R1" s="519"/>
      <c r="S1" s="519"/>
      <c r="T1" s="519"/>
      <c r="U1" s="519"/>
      <c r="V1" s="519"/>
      <c r="W1" s="519"/>
      <c r="X1" s="519"/>
      <c r="Y1" s="519"/>
      <c r="Z1" s="519"/>
      <c r="AA1" s="519"/>
      <c r="AB1" s="519"/>
      <c r="AC1" s="519"/>
      <c r="AD1" s="519"/>
      <c r="AE1" s="519"/>
      <c r="AF1" s="519"/>
      <c r="AG1" s="519"/>
      <c r="AH1" s="519"/>
      <c r="AI1" s="519"/>
      <c r="AJ1" s="519"/>
      <c r="AK1" s="519"/>
      <c r="AL1" s="519"/>
      <c r="AM1" s="519"/>
      <c r="AN1" s="519"/>
      <c r="AO1" s="519"/>
      <c r="AP1" s="519"/>
      <c r="AQ1" s="519"/>
      <c r="AR1" s="519"/>
      <c r="AS1" s="519"/>
      <c r="AT1" s="519"/>
      <c r="AU1" s="519"/>
      <c r="AV1" s="519"/>
      <c r="AW1" s="519"/>
      <c r="AX1" s="519"/>
      <c r="AY1" s="519"/>
      <c r="AZ1" s="519"/>
      <c r="BA1" s="600" t="s">
        <v>101</v>
      </c>
      <c r="BB1" s="600" t="s">
        <v>101</v>
      </c>
      <c r="BC1" s="600" t="s">
        <v>101</v>
      </c>
      <c r="BD1" s="5"/>
    </row>
    <row r="2" spans="1:56" ht="13.5" customHeight="1" thickBot="1" x14ac:dyDescent="0.25">
      <c r="A2" s="600"/>
      <c r="B2" s="1548" t="str">
        <f>Translations!$B$267</f>
        <v>Dane roczne dotyczące emisji B+C</v>
      </c>
      <c r="C2" s="1584"/>
      <c r="D2" s="1585"/>
      <c r="E2" s="793" t="str">
        <f>Translations!$B$2</f>
        <v>Obszar nawigacji:</v>
      </c>
      <c r="F2" s="1558" t="str">
        <f>Translations!$B$18</f>
        <v>Spis treści</v>
      </c>
      <c r="G2" s="1339"/>
      <c r="H2" s="1339" t="str">
        <f>Translations!$B$19</f>
        <v>Poprzedni arkusz</v>
      </c>
      <c r="I2" s="1339"/>
      <c r="J2" s="1339" t="str">
        <f>Translations!$B$3</f>
        <v>Następny arkusz</v>
      </c>
      <c r="K2" s="1339"/>
      <c r="L2" s="1339" t="str">
        <f>Translations!$B$4</f>
        <v>Podsumowanie</v>
      </c>
      <c r="M2" s="1339"/>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602" t="s">
        <v>512</v>
      </c>
      <c r="BB2" s="601">
        <v>1</v>
      </c>
      <c r="BC2" s="689"/>
      <c r="BD2" s="5"/>
    </row>
    <row r="3" spans="1:56" ht="13.5" thickBot="1" x14ac:dyDescent="0.25">
      <c r="A3" s="600"/>
      <c r="B3" s="1586"/>
      <c r="C3" s="1587"/>
      <c r="D3" s="1588"/>
      <c r="E3" s="1090" t="str">
        <f>Translations!$B$5</f>
        <v>Początek arkusza</v>
      </c>
      <c r="F3" s="1597" t="str">
        <f>Translations!$B$268</f>
        <v>Strumienie materiałów wsadowych (z wyłączeniem PFC)</v>
      </c>
      <c r="G3" s="1544"/>
      <c r="H3" s="1544" t="str">
        <f>Translations!$B$269</f>
        <v>Strumienie materiałów wsadowych w przypadku PFC</v>
      </c>
      <c r="I3" s="1544"/>
      <c r="J3" s="1544" t="str">
        <f>Translations!$B$270</f>
        <v>Źródła emisji (CEMS)</v>
      </c>
      <c r="K3" s="1544"/>
      <c r="L3" s="1544" t="str">
        <f>Translations!$B$271</f>
        <v>Rozwiązania rezerwowe (fall-back)</v>
      </c>
      <c r="M3" s="1598"/>
      <c r="N3" s="197"/>
      <c r="O3" s="197"/>
      <c r="P3" s="197"/>
      <c r="Q3" s="197"/>
      <c r="R3" s="197"/>
      <c r="S3" s="197"/>
      <c r="T3" s="197"/>
      <c r="U3" s="197"/>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602" t="s">
        <v>511</v>
      </c>
      <c r="BB3" s="604">
        <f>INDEX(EUconst_ReportingYears,BB2)+(IF(CNTR_BaselinePeriod=EUconst_NA,0,CNTR_BaselinePeriod-1)*5)</f>
        <v>2014</v>
      </c>
      <c r="BC3" s="689"/>
      <c r="BD3" s="5"/>
    </row>
    <row r="4" spans="1:56" ht="13.5" thickBot="1" x14ac:dyDescent="0.25">
      <c r="A4" s="600"/>
      <c r="B4" s="1589">
        <f>BB3</f>
        <v>2014</v>
      </c>
      <c r="C4" s="1590"/>
      <c r="D4" s="1591"/>
      <c r="E4" s="794"/>
      <c r="F4" s="1593"/>
      <c r="G4" s="1594"/>
      <c r="H4" s="1595"/>
      <c r="I4" s="1595"/>
      <c r="J4" s="1595"/>
      <c r="K4" s="1595"/>
      <c r="L4" s="1595"/>
      <c r="M4" s="1601"/>
      <c r="N4" s="77">
        <f>$B$4</f>
        <v>2014</v>
      </c>
      <c r="O4" s="197"/>
      <c r="P4" s="77">
        <f>$B$4</f>
        <v>2014</v>
      </c>
      <c r="Q4" s="197"/>
      <c r="R4" s="77">
        <f>$B$4</f>
        <v>2014</v>
      </c>
      <c r="S4" s="197"/>
      <c r="T4" s="77">
        <f>$B$4</f>
        <v>2014</v>
      </c>
      <c r="U4" s="197"/>
      <c r="V4" s="77">
        <f>$B$4</f>
        <v>2014</v>
      </c>
      <c r="W4" s="197"/>
      <c r="X4" s="77">
        <f>$B$4</f>
        <v>2014</v>
      </c>
      <c r="Y4" s="197"/>
      <c r="Z4" s="77">
        <f>$B$4</f>
        <v>2014</v>
      </c>
      <c r="AA4" s="197"/>
      <c r="AB4" s="77">
        <f>$B$4</f>
        <v>2014</v>
      </c>
      <c r="AC4" s="197"/>
      <c r="AD4" s="77">
        <f>$B$4</f>
        <v>2014</v>
      </c>
      <c r="AE4" s="197"/>
      <c r="AF4" s="77">
        <f>$B$4</f>
        <v>2014</v>
      </c>
      <c r="AG4" s="197"/>
      <c r="AH4" s="77">
        <f>$B$4</f>
        <v>2014</v>
      </c>
      <c r="AI4" s="197"/>
      <c r="AJ4" s="77">
        <f>$B$4</f>
        <v>2014</v>
      </c>
      <c r="AK4" s="197"/>
      <c r="AL4" s="77">
        <f>$B$4</f>
        <v>2014</v>
      </c>
      <c r="AM4" s="197"/>
      <c r="AN4" s="77">
        <f>$B$4</f>
        <v>2014</v>
      </c>
      <c r="AO4" s="197"/>
      <c r="AP4" s="77">
        <f>$B$4</f>
        <v>2014</v>
      </c>
      <c r="AQ4" s="197"/>
      <c r="AR4" s="77">
        <f>$B$4</f>
        <v>2014</v>
      </c>
      <c r="AS4" s="197"/>
      <c r="AT4" s="77">
        <f>$B$4</f>
        <v>2014</v>
      </c>
      <c r="AU4" s="197"/>
      <c r="AV4" s="77">
        <f>$B$4</f>
        <v>2014</v>
      </c>
      <c r="AW4" s="197"/>
      <c r="AX4" s="77">
        <f>$B$4</f>
        <v>2014</v>
      </c>
      <c r="AY4" s="197"/>
      <c r="AZ4" s="197"/>
      <c r="BA4" s="600"/>
      <c r="BB4" s="603"/>
      <c r="BC4" s="689"/>
      <c r="BD4" s="5"/>
    </row>
    <row r="5" spans="1:56" x14ac:dyDescent="0.2">
      <c r="A5" s="600"/>
      <c r="B5" s="3"/>
      <c r="C5" s="4"/>
      <c r="D5" s="5"/>
      <c r="E5" s="5"/>
      <c r="F5" s="6"/>
      <c r="G5" s="6"/>
      <c r="H5" s="6"/>
      <c r="I5" s="3"/>
      <c r="J5" s="3"/>
      <c r="K5" s="3"/>
      <c r="L5" s="3"/>
      <c r="M5" s="7"/>
      <c r="N5" s="7"/>
      <c r="O5" s="197"/>
      <c r="P5" s="197"/>
      <c r="Q5" s="197"/>
      <c r="R5" s="197"/>
      <c r="S5" s="197"/>
      <c r="T5" s="197"/>
      <c r="U5" s="197"/>
      <c r="V5" s="197"/>
      <c r="W5" s="197"/>
      <c r="X5" s="197"/>
      <c r="Y5" s="197"/>
      <c r="Z5" s="197"/>
      <c r="AA5" s="197"/>
      <c r="AB5" s="197"/>
      <c r="AC5" s="197"/>
      <c r="AD5" s="197"/>
      <c r="AE5" s="197"/>
      <c r="AF5" s="197"/>
      <c r="AG5" s="197"/>
      <c r="AH5" s="197"/>
      <c r="AI5" s="197"/>
      <c r="AJ5" s="197"/>
      <c r="AK5" s="197"/>
      <c r="AL5" s="197"/>
      <c r="AM5" s="197"/>
      <c r="AN5" s="197"/>
      <c r="AO5" s="197"/>
      <c r="AP5" s="197"/>
      <c r="AQ5" s="197"/>
      <c r="AR5" s="197"/>
      <c r="AS5" s="197"/>
      <c r="AT5" s="197"/>
      <c r="AU5" s="197"/>
      <c r="AV5" s="197"/>
      <c r="AW5" s="197"/>
      <c r="AX5" s="197"/>
      <c r="AY5" s="197"/>
      <c r="AZ5" s="197"/>
      <c r="BA5" s="600"/>
      <c r="BB5" s="603"/>
      <c r="BC5" s="689"/>
      <c r="BD5" s="5"/>
    </row>
    <row r="6" spans="1:56" ht="38.25" customHeight="1" x14ac:dyDescent="0.2">
      <c r="A6" s="600"/>
      <c r="B6" s="3"/>
      <c r="C6" s="9" t="s">
        <v>640</v>
      </c>
      <c r="D6" s="1599" t="str">
        <f>Translations!$B$272</f>
        <v>Arkusz „Annual Emissions Data” (Dane roczne dotyczące emisji) w odniesieniu do roku:</v>
      </c>
      <c r="E6" s="1599"/>
      <c r="F6" s="1599"/>
      <c r="G6" s="1599"/>
      <c r="H6" s="1599"/>
      <c r="I6" s="1600"/>
      <c r="J6" s="1592">
        <f>B4</f>
        <v>2014</v>
      </c>
      <c r="K6" s="1592"/>
      <c r="L6" s="197"/>
      <c r="N6" s="445"/>
      <c r="O6" s="197"/>
      <c r="P6" s="197"/>
      <c r="Q6" s="197"/>
      <c r="R6" s="197"/>
      <c r="S6" s="197"/>
      <c r="T6" s="197"/>
      <c r="U6" s="197"/>
      <c r="V6" s="197"/>
      <c r="W6" s="197"/>
      <c r="X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0" t="s">
        <v>75</v>
      </c>
      <c r="BB6" s="10" t="s">
        <v>75</v>
      </c>
      <c r="BC6" s="689"/>
      <c r="BD6" s="5"/>
    </row>
    <row r="7" spans="1:56" x14ac:dyDescent="0.2">
      <c r="A7" s="600"/>
      <c r="B7" s="197"/>
      <c r="C7" s="197"/>
      <c r="D7" s="197"/>
      <c r="E7" s="197"/>
      <c r="F7" s="197"/>
      <c r="G7" s="197"/>
      <c r="H7" s="197"/>
      <c r="I7" s="197"/>
      <c r="J7" s="197"/>
      <c r="K7" s="197"/>
      <c r="L7" s="197"/>
      <c r="M7" s="197"/>
      <c r="N7" s="197"/>
      <c r="O7" s="197"/>
      <c r="P7" s="197"/>
      <c r="Q7" s="197"/>
      <c r="R7" s="197"/>
      <c r="S7" s="197"/>
      <c r="T7" s="197"/>
      <c r="U7" s="197"/>
      <c r="V7" s="197"/>
      <c r="W7" s="197"/>
      <c r="X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1" t="s">
        <v>274</v>
      </c>
      <c r="BB7" s="11" t="s">
        <v>274</v>
      </c>
      <c r="BC7" s="689"/>
      <c r="BD7" s="5"/>
    </row>
    <row r="8" spans="1:56" s="670" customFormat="1" ht="15.75" x14ac:dyDescent="0.25">
      <c r="A8" s="667"/>
      <c r="B8" s="3"/>
      <c r="C8" s="12" t="s">
        <v>407</v>
      </c>
      <c r="D8" s="1596" t="str">
        <f>Translations!$B$273</f>
        <v>Ogólne wytyczne na temat danych dotyczących strumienia materiałów wsadowych</v>
      </c>
      <c r="E8" s="1596"/>
      <c r="F8" s="1596"/>
      <c r="G8" s="1596"/>
      <c r="H8" s="1596"/>
      <c r="I8" s="1596"/>
      <c r="J8" s="1596"/>
      <c r="K8" s="1596"/>
      <c r="L8" s="1596"/>
      <c r="M8" s="1596"/>
      <c r="N8" s="1596"/>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600"/>
      <c r="BB8" s="600"/>
      <c r="BC8" s="689"/>
      <c r="BD8" s="5"/>
    </row>
    <row r="9" spans="1:56" s="670" customFormat="1" x14ac:dyDescent="0.2">
      <c r="A9" s="667"/>
      <c r="B9" s="668"/>
      <c r="C9" s="124"/>
      <c r="D9" s="124"/>
      <c r="E9" s="124"/>
      <c r="F9" s="124"/>
      <c r="G9" s="124"/>
      <c r="H9" s="124"/>
      <c r="I9" s="124"/>
      <c r="J9" s="124"/>
      <c r="K9" s="124"/>
      <c r="L9" s="124"/>
      <c r="M9" s="124"/>
      <c r="N9" s="124"/>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600"/>
      <c r="BB9" s="600"/>
      <c r="BC9" s="689"/>
      <c r="BD9" s="5"/>
    </row>
    <row r="10" spans="1:56" s="670" customFormat="1" ht="25.5" customHeight="1" x14ac:dyDescent="0.2">
      <c r="A10" s="667"/>
      <c r="B10" s="3"/>
      <c r="C10" s="14"/>
      <c r="D10" s="1466" t="str">
        <f>Translations!$B$274</f>
        <v>Państwo członkowskie zwykle wymaga obowiązkowego podania szczegółowych danych dotyczących strumienia materiałów wsadowych:</v>
      </c>
      <c r="E10" s="1466"/>
      <c r="F10" s="1466"/>
      <c r="G10" s="1466"/>
      <c r="H10" s="1466"/>
      <c r="I10" s="1603"/>
      <c r="J10" s="1604" t="b">
        <f>NOT(MSconst_AllowInstEmmisionTotals)</f>
        <v>1</v>
      </c>
      <c r="K10" s="1604"/>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600"/>
      <c r="BB10" s="600"/>
      <c r="BC10" s="689"/>
      <c r="BD10" s="5"/>
    </row>
    <row r="11" spans="1:56" s="670" customFormat="1" ht="12.75" customHeight="1" x14ac:dyDescent="0.2">
      <c r="A11" s="667"/>
      <c r="B11" s="668"/>
      <c r="C11" s="668"/>
      <c r="D11" s="1416" t="str">
        <f>Translations!$B$275</f>
        <v>Jeżeli wartość tej komórki to „Fałsz”, wpisy w tym miejscu nie są obowiązkowe i przedstawiają jedynie całkowite roczne emisje w części D.I.</v>
      </c>
      <c r="E11" s="1416"/>
      <c r="F11" s="1416"/>
      <c r="G11" s="1416"/>
      <c r="H11" s="1416"/>
      <c r="I11" s="1416"/>
      <c r="J11" s="1416"/>
      <c r="K11" s="1416"/>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600"/>
      <c r="BB11" s="600"/>
      <c r="BC11" s="689"/>
      <c r="BD11" s="5"/>
    </row>
    <row r="12" spans="1:56" s="670" customFormat="1" ht="12.75" customHeight="1" x14ac:dyDescent="0.2">
      <c r="A12" s="667"/>
      <c r="B12" s="668"/>
      <c r="C12" s="668"/>
      <c r="D12" s="1602" t="str">
        <f>IF(MSconst_AllowInstEmmisionTotals,HYPERLINK(BB12,EUconst_ERR_Goto_DI2),HYPERLINK("#JUMP_B_II",EUconst_MsgGoOn))</f>
        <v>Proszę przejść do kolejnych punktów poniżej</v>
      </c>
      <c r="E12" s="1602"/>
      <c r="F12" s="1602"/>
      <c r="G12" s="1602"/>
      <c r="H12" s="1602"/>
      <c r="I12" s="1602"/>
      <c r="J12" s="1602"/>
      <c r="K12" s="1602"/>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2" t="s">
        <v>199</v>
      </c>
      <c r="BB12" s="346" t="str">
        <f>"#JUMP_D_I"</f>
        <v>#JUMP_D_I</v>
      </c>
      <c r="BC12" s="689"/>
      <c r="BD12" s="5"/>
    </row>
    <row r="13" spans="1:56" s="670" customFormat="1" x14ac:dyDescent="0.2">
      <c r="A13" s="667"/>
      <c r="B13" s="3"/>
      <c r="C13" s="3"/>
      <c r="D13" s="3"/>
      <c r="E13" s="669"/>
      <c r="F13" s="3"/>
      <c r="G13" s="3"/>
      <c r="H13" s="3"/>
      <c r="I13" s="3"/>
      <c r="J13" s="3"/>
      <c r="K13" s="3"/>
      <c r="L13" s="3"/>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600"/>
      <c r="BB13" s="600"/>
      <c r="BC13" s="600"/>
      <c r="BD13" s="5"/>
    </row>
    <row r="14" spans="1:56" s="670" customFormat="1" ht="15.75" x14ac:dyDescent="0.25">
      <c r="A14" s="667"/>
      <c r="B14" s="3"/>
      <c r="C14" s="12" t="s">
        <v>352</v>
      </c>
      <c r="D14" s="1384" t="str">
        <f>Translations!$B$276</f>
        <v>Strumienie materiałów wsadowych i źródła emisji</v>
      </c>
      <c r="E14" s="1384"/>
      <c r="F14" s="1384"/>
      <c r="G14" s="1384"/>
      <c r="H14" s="1384"/>
      <c r="I14" s="1384"/>
      <c r="J14" s="1384"/>
      <c r="K14" s="1384"/>
      <c r="L14" s="1384"/>
      <c r="M14" s="1384"/>
      <c r="N14" s="1384"/>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600"/>
      <c r="BB14" s="600"/>
      <c r="BC14" s="600"/>
      <c r="BD14" s="5"/>
    </row>
    <row r="15" spans="1:56" s="670" customFormat="1" ht="12.75" customHeight="1" x14ac:dyDescent="0.2">
      <c r="A15" s="667"/>
      <c r="B15" s="668"/>
      <c r="C15" s="694"/>
      <c r="D15" s="1416" t="str">
        <f>Translations!$B$277</f>
        <v>Poniższe tabele są identyczne jak w arkuszu „Accounting” (Rachunkowość) w przedstawionym przez Komisję formularzu rocznego raportu na temat wielkości emisji.</v>
      </c>
      <c r="E15" s="1416"/>
      <c r="F15" s="1416"/>
      <c r="G15" s="1416"/>
      <c r="H15" s="1416"/>
      <c r="I15" s="1416"/>
      <c r="J15" s="1416"/>
      <c r="K15" s="1416"/>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600"/>
      <c r="BB15" s="600"/>
      <c r="BC15" s="689"/>
      <c r="BD15" s="5"/>
    </row>
    <row r="16" spans="1:56" s="670" customFormat="1" ht="12.75" customHeight="1" x14ac:dyDescent="0.2">
      <c r="A16" s="667"/>
      <c r="B16" s="668"/>
      <c r="C16" s="694"/>
      <c r="D16" s="1416" t="str">
        <f>Translations!$B$278</f>
        <v>W związku z tym dane do każdej tabeli można skopiować z formularza rocznego raportu na temat wielkości emisji bez późniejszych wpisów, a także znaleźć tam dodatkowe wskazówki.</v>
      </c>
      <c r="E16" s="1416"/>
      <c r="F16" s="1416"/>
      <c r="G16" s="1416"/>
      <c r="H16" s="1416"/>
      <c r="I16" s="1416"/>
      <c r="J16" s="1416"/>
      <c r="K16" s="1416"/>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600"/>
      <c r="BB16" s="600"/>
      <c r="BC16" s="689"/>
      <c r="BD16" s="5"/>
    </row>
    <row r="17" spans="1:56" s="670" customFormat="1" ht="12.75" customHeight="1" x14ac:dyDescent="0.2">
      <c r="A17" s="667"/>
      <c r="B17" s="668"/>
      <c r="C17" s="694"/>
      <c r="D17" s="1416" t="str">
        <f>Translations!$B$279</f>
        <v>Jeżeli formularz Komisji nie jest stosowany w danym państwie członkowskim lub woleliby Państwo wprowadzić dane ręcznie, każda tabela zawiera przykładowe dane na górze (białe pola).</v>
      </c>
      <c r="E17" s="1416"/>
      <c r="F17" s="1416"/>
      <c r="G17" s="1416"/>
      <c r="H17" s="1416"/>
      <c r="I17" s="1416"/>
      <c r="J17" s="1416"/>
      <c r="K17" s="1416"/>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600"/>
      <c r="BB17" s="600"/>
      <c r="BC17" s="689"/>
      <c r="BD17" s="5"/>
    </row>
    <row r="18" spans="1:56" s="670" customFormat="1" ht="25.5" customHeight="1" x14ac:dyDescent="0.2">
      <c r="A18" s="667"/>
      <c r="B18" s="668"/>
      <c r="C18" s="694"/>
      <c r="D18" s="1414" t="str">
        <f>Translations!$B$280</f>
        <v>Proszę zwrócić uwagę, że w tym arkuszu nie są dokonywane żadne obliczenia. W związku z tym należy poprawnie wpisywać sumy w kolumnach AU do AY, ponieważ dane te będą wykorzystywane w kolejnych polach niniejszego formularza!</v>
      </c>
      <c r="E18" s="1414"/>
      <c r="F18" s="1414"/>
      <c r="G18" s="1414"/>
      <c r="H18" s="1414"/>
      <c r="I18" s="1414"/>
      <c r="J18" s="1414"/>
      <c r="K18" s="1414"/>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600"/>
      <c r="BB18" s="600"/>
      <c r="BC18" s="689"/>
      <c r="BD18" s="5"/>
    </row>
    <row r="19" spans="1:56" ht="50.1" customHeight="1" thickBot="1" x14ac:dyDescent="0.45">
      <c r="A19" s="600"/>
      <c r="B19" s="197"/>
      <c r="C19" s="77"/>
      <c r="D19" s="522" t="str">
        <f>Translations!$B$281</f>
        <v>Strumienie materiałów wsadowych (z wyłączeniem emisji PFC)</v>
      </c>
      <c r="E19" s="197"/>
      <c r="F19" s="197"/>
      <c r="G19" s="197"/>
      <c r="H19" s="197"/>
      <c r="I19" s="197"/>
      <c r="J19" s="197"/>
      <c r="K19" s="197"/>
      <c r="L19" s="197"/>
      <c r="N19" s="197"/>
      <c r="O19" s="197"/>
      <c r="P19" s="197"/>
      <c r="Q19" s="197"/>
      <c r="R19" s="197"/>
      <c r="S19" s="197"/>
      <c r="T19" s="197"/>
      <c r="U19" s="197"/>
      <c r="V19" s="197"/>
      <c r="W19" s="197"/>
      <c r="X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600"/>
      <c r="BB19" s="600"/>
      <c r="BC19" s="689"/>
      <c r="BD19" s="5"/>
    </row>
    <row r="20" spans="1:56" ht="50.1" customHeight="1" thickBot="1" x14ac:dyDescent="0.25">
      <c r="A20" s="600"/>
      <c r="B20" s="197"/>
      <c r="C20" s="523" t="s">
        <v>482</v>
      </c>
      <c r="D20" s="524" t="str">
        <f>Translations!$B$282</f>
        <v>Metoda</v>
      </c>
      <c r="E20" s="524" t="str">
        <f>Translations!$B$283</f>
        <v>Nazwa strumienia materiałów wsadowych</v>
      </c>
      <c r="F20" s="525" t="str">
        <f>Translations!$B$284</f>
        <v>Dane dotyczące działalności (AD)</v>
      </c>
      <c r="G20" s="525" t="str">
        <f>Translations!$B$285</f>
        <v>Jednostka AD</v>
      </c>
      <c r="H20" s="525" t="str">
        <f>Translations!$B$286</f>
        <v>Wartość opałowa (NCV)</v>
      </c>
      <c r="I20" s="525" t="str">
        <f>Translations!$B$287</f>
        <v>Jednostka NCV</v>
      </c>
      <c r="J20" s="525" t="str">
        <f>Translations!$B$288</f>
        <v>Współczynnik emisji (EF)</v>
      </c>
      <c r="K20" s="525" t="str">
        <f>Translations!$B$289</f>
        <v>Jednostka EF</v>
      </c>
      <c r="L20" s="525" t="str">
        <f>Translations!$B$290</f>
        <v>Zawartość węgla</v>
      </c>
      <c r="M20" s="525" t="str">
        <f>Translations!$B$291</f>
        <v>Jednostka zawartości węgla</v>
      </c>
      <c r="N20" s="525" t="str">
        <f>Translations!$B$292</f>
        <v>Współczynnik utleniania (OxF)</v>
      </c>
      <c r="O20" s="525" t="str">
        <f>Translations!$B$293</f>
        <v>Jednostka OxF</v>
      </c>
      <c r="P20" s="525" t="str">
        <f>Translations!$B$294</f>
        <v>Współczynnik konwersji</v>
      </c>
      <c r="Q20" s="525" t="str">
        <f>Translations!$B$295</f>
        <v>Jednostka współczynnika konwersji</v>
      </c>
      <c r="R20" s="525" t="str">
        <f>Translations!$B$296</f>
        <v>Zawartość biomasy (BioC)</v>
      </c>
      <c r="S20" s="525" t="str">
        <f>Translations!$B$297</f>
        <v>Jednostka BioC</v>
      </c>
      <c r="T20" s="525" t="str">
        <f>Translations!$B$298</f>
        <v>BioC niezrówn.</v>
      </c>
      <c r="U20" s="525" t="str">
        <f>Translations!$B$299</f>
        <v>Jednostka BioC niezrówn.</v>
      </c>
      <c r="V20" s="525" t="str">
        <f>Translations!$B$300</f>
        <v>Średnie godzinowe stężenie gazów cieplarnianych (GHG)</v>
      </c>
      <c r="W20" s="525" t="str">
        <f>Translations!$B$301</f>
        <v>Jednostka godzinowego stężenia GHG</v>
      </c>
      <c r="X20" s="525" t="str">
        <f>Translations!$B$302</f>
        <v>Godziny działania</v>
      </c>
      <c r="Y20" s="525" t="str">
        <f>Translations!$B$303</f>
        <v>Jednostka godzin działania</v>
      </c>
      <c r="Z20" s="525" t="str">
        <f>Translations!$B$304</f>
        <v>Przepływ spalin (średnia)</v>
      </c>
      <c r="AA20" s="525" t="str">
        <f>Translations!$B$305</f>
        <v>Jednostka przepływu spalin (średnia)</v>
      </c>
      <c r="AB20" s="525" t="str">
        <f>Translations!$B$306</f>
        <v>Przepływ spalin (łącznie)</v>
      </c>
      <c r="AC20" s="525" t="str">
        <f>Translations!$B$307</f>
        <v>Jednostka przepływu spalin (łącznie)</v>
      </c>
      <c r="AD20" s="525" t="str">
        <f>Translations!$B$308</f>
        <v>Roczna ilość GHG</v>
      </c>
      <c r="AE20" s="525" t="str">
        <f>Translations!$B$309</f>
        <v>Jednostka rocznej ilości GHG</v>
      </c>
      <c r="AF20" s="525" t="str">
        <f>Translations!$B$310</f>
        <v>Współczynnik ocieplenia globalnego GWP (tCO2e/t)</v>
      </c>
      <c r="AG20" s="525" t="str">
        <f>Translations!$B$311</f>
        <v>A: Częstotliwość</v>
      </c>
      <c r="AH20" s="525" t="str">
        <f>Translations!$B$312</f>
        <v>A: Czas trwania</v>
      </c>
      <c r="AI20" s="525" t="str">
        <f>Translations!$B$313</f>
        <v>A: SEF (CF4)</v>
      </c>
      <c r="AJ20" s="525" t="str">
        <f>Translations!$B$314</f>
        <v>B: AEO</v>
      </c>
      <c r="AK20" s="525" t="str">
        <f>Translations!$B$315</f>
        <v>B: CE</v>
      </c>
      <c r="AL20" s="525" t="str">
        <f>Translations!$B$316</f>
        <v>B: OVC</v>
      </c>
      <c r="AM20" s="525" t="str">
        <f>Translations!$B$317</f>
        <v>F(C2F6)</v>
      </c>
      <c r="AN20" s="525" t="str">
        <f>Translations!$B$318</f>
        <v>Emisje CF4 (t CF4)</v>
      </c>
      <c r="AO20" s="525" t="str">
        <f>Translations!$B$319</f>
        <v>Emisje C2F6 (t C2F6)</v>
      </c>
      <c r="AP20" s="525" t="str">
        <f>Translations!$B$320</f>
        <v>GWP (CF4) (tCO2e/t)</v>
      </c>
      <c r="AQ20" s="525" t="str">
        <f>Translations!$B$321</f>
        <v>GWP (C2F6) (tCO2e/t)</v>
      </c>
      <c r="AR20" s="525" t="str">
        <f>Translations!$B$322</f>
        <v>Emisje CF4 (t CO2e)</v>
      </c>
      <c r="AS20" s="525" t="str">
        <f>Translations!$B$323</f>
        <v>Emisje C2F6 (t CO2e)</v>
      </c>
      <c r="AT20" s="525" t="str">
        <f>Translations!$B$324</f>
        <v>Całkowita wydajność, %</v>
      </c>
      <c r="AU20" s="525" t="str">
        <f>Translations!$B$325</f>
        <v>Kopalne CO2e (t)</v>
      </c>
      <c r="AV20" s="525" t="str">
        <f>Translations!$B$326</f>
        <v>CO2e z biomasy (t)</v>
      </c>
      <c r="AW20" s="525" t="str">
        <f>Translations!$B$327</f>
        <v>CO2e z biomasy niezrówn. (t)</v>
      </c>
      <c r="AX20" s="526" t="str">
        <f>Translations!$B$328</f>
        <v>Zawartość energii (kopalne), TJ</v>
      </c>
      <c r="AY20" s="527" t="str">
        <f>Translations!$B$329</f>
        <v>Zawartość energii (biomasa), TJ</v>
      </c>
      <c r="AZ20" s="197"/>
      <c r="BA20" s="600"/>
      <c r="BB20" s="600"/>
      <c r="BC20" s="689"/>
      <c r="BD20" s="5"/>
    </row>
    <row r="21" spans="1:56" ht="12.75" customHeight="1" x14ac:dyDescent="0.2">
      <c r="A21" s="600"/>
      <c r="B21" s="197"/>
      <c r="C21" s="533" t="str">
        <f>Translations!$B$330</f>
        <v>Przykł. 1</v>
      </c>
      <c r="D21" s="690" t="str">
        <f>Translations!$B$331</f>
        <v>Spalanie</v>
      </c>
      <c r="E21" s="690" t="str">
        <f>Translations!$B$332</f>
        <v>Ciężki olej opałowy</v>
      </c>
      <c r="F21" s="691">
        <v>252000</v>
      </c>
      <c r="G21" s="528" t="s">
        <v>212</v>
      </c>
      <c r="H21" s="691">
        <v>45</v>
      </c>
      <c r="I21" s="528" t="s">
        <v>529</v>
      </c>
      <c r="J21" s="691">
        <v>73</v>
      </c>
      <c r="K21" s="528" t="s">
        <v>530</v>
      </c>
      <c r="L21" s="528"/>
      <c r="M21" s="528" t="s">
        <v>489</v>
      </c>
      <c r="N21" s="691">
        <v>100</v>
      </c>
      <c r="O21" s="692" t="s">
        <v>409</v>
      </c>
      <c r="P21" s="691"/>
      <c r="Q21" s="692" t="s">
        <v>409</v>
      </c>
      <c r="R21" s="691">
        <v>0</v>
      </c>
      <c r="S21" s="692" t="s">
        <v>409</v>
      </c>
      <c r="T21" s="691">
        <v>0</v>
      </c>
      <c r="U21" s="692" t="s">
        <v>409</v>
      </c>
      <c r="V21" s="778"/>
      <c r="W21" s="778"/>
      <c r="X21" s="778"/>
      <c r="Y21" s="778"/>
      <c r="Z21" s="778"/>
      <c r="AA21" s="778"/>
      <c r="AB21" s="778"/>
      <c r="AC21" s="778"/>
      <c r="AD21" s="778"/>
      <c r="AE21" s="778"/>
      <c r="AF21" s="778"/>
      <c r="AG21" s="778"/>
      <c r="AH21" s="778"/>
      <c r="AI21" s="778"/>
      <c r="AJ21" s="778"/>
      <c r="AK21" s="778"/>
      <c r="AL21" s="778"/>
      <c r="AM21" s="778"/>
      <c r="AN21" s="778"/>
      <c r="AO21" s="778"/>
      <c r="AP21" s="778"/>
      <c r="AQ21" s="778"/>
      <c r="AR21" s="778"/>
      <c r="AS21" s="778"/>
      <c r="AT21" s="778"/>
      <c r="AU21" s="693">
        <v>827820</v>
      </c>
      <c r="AV21" s="693">
        <v>0</v>
      </c>
      <c r="AW21" s="693">
        <v>0</v>
      </c>
      <c r="AX21" s="691">
        <v>11340</v>
      </c>
      <c r="AY21" s="691">
        <v>0</v>
      </c>
      <c r="AZ21" s="197"/>
      <c r="BA21" s="600"/>
      <c r="BB21" s="600"/>
      <c r="BC21" s="689"/>
      <c r="BD21" s="5"/>
    </row>
    <row r="22" spans="1:56" ht="12.75" customHeight="1" x14ac:dyDescent="0.2">
      <c r="A22" s="600"/>
      <c r="B22" s="197"/>
      <c r="C22" s="533" t="str">
        <f>Translations!$B$333</f>
        <v>Przykł. 2</v>
      </c>
      <c r="D22" s="690" t="str">
        <f>Translations!$B$334</f>
        <v>Emisje procesowe</v>
      </c>
      <c r="E22" s="690" t="str">
        <f>Translations!$B$335</f>
        <v>Glina</v>
      </c>
      <c r="F22" s="691">
        <v>121000</v>
      </c>
      <c r="G22" s="528" t="s">
        <v>212</v>
      </c>
      <c r="H22" s="691"/>
      <c r="I22" s="528" t="s">
        <v>489</v>
      </c>
      <c r="J22" s="691">
        <v>8.7940000000000004E-2</v>
      </c>
      <c r="K22" s="528" t="s">
        <v>531</v>
      </c>
      <c r="L22" s="528"/>
      <c r="M22" s="528" t="s">
        <v>489</v>
      </c>
      <c r="N22" s="691"/>
      <c r="O22" s="692" t="s">
        <v>409</v>
      </c>
      <c r="P22" s="691"/>
      <c r="Q22" s="692" t="s">
        <v>409</v>
      </c>
      <c r="R22" s="691">
        <v>0</v>
      </c>
      <c r="S22" s="692" t="s">
        <v>409</v>
      </c>
      <c r="T22" s="691">
        <v>0</v>
      </c>
      <c r="U22" s="692" t="s">
        <v>409</v>
      </c>
      <c r="V22" s="778"/>
      <c r="W22" s="778"/>
      <c r="X22" s="778"/>
      <c r="Y22" s="778"/>
      <c r="Z22" s="778"/>
      <c r="AA22" s="778"/>
      <c r="AB22" s="778"/>
      <c r="AC22" s="778"/>
      <c r="AD22" s="778"/>
      <c r="AE22" s="778"/>
      <c r="AF22" s="778"/>
      <c r="AG22" s="778"/>
      <c r="AH22" s="778"/>
      <c r="AI22" s="778"/>
      <c r="AJ22" s="778"/>
      <c r="AK22" s="778"/>
      <c r="AL22" s="778"/>
      <c r="AM22" s="778"/>
      <c r="AN22" s="778"/>
      <c r="AO22" s="778"/>
      <c r="AP22" s="778"/>
      <c r="AQ22" s="778"/>
      <c r="AR22" s="778"/>
      <c r="AS22" s="778"/>
      <c r="AT22" s="778"/>
      <c r="AU22" s="693">
        <v>10640.74</v>
      </c>
      <c r="AV22" s="693">
        <v>0</v>
      </c>
      <c r="AW22" s="693">
        <v>0</v>
      </c>
      <c r="AX22" s="691">
        <v>0</v>
      </c>
      <c r="AY22" s="691">
        <v>0</v>
      </c>
      <c r="AZ22" s="197"/>
      <c r="BA22" s="600"/>
      <c r="BB22" s="600"/>
      <c r="BC22" s="689"/>
      <c r="BD22" s="5"/>
    </row>
    <row r="23" spans="1:56" ht="12.75" customHeight="1" x14ac:dyDescent="0.2">
      <c r="A23" s="600"/>
      <c r="B23" s="197"/>
      <c r="C23" s="533" t="str">
        <f>Translations!$B$336</f>
        <v>Przykł. 3</v>
      </c>
      <c r="D23" s="690" t="str">
        <f>Translations!$B$337</f>
        <v>Bilans masowy</v>
      </c>
      <c r="E23" s="690" t="str">
        <f>Translations!$B$338</f>
        <v>Stal</v>
      </c>
      <c r="F23" s="691">
        <v>-1808226</v>
      </c>
      <c r="G23" s="528" t="s">
        <v>212</v>
      </c>
      <c r="H23" s="691"/>
      <c r="I23" s="528" t="s">
        <v>489</v>
      </c>
      <c r="J23" s="691">
        <v>0</v>
      </c>
      <c r="K23" s="528" t="s">
        <v>489</v>
      </c>
      <c r="L23" s="528">
        <v>0.38779999999999998</v>
      </c>
      <c r="M23" s="528" t="s">
        <v>532</v>
      </c>
      <c r="N23" s="691"/>
      <c r="O23" s="692" t="s">
        <v>409</v>
      </c>
      <c r="P23" s="691">
        <v>100</v>
      </c>
      <c r="Q23" s="692" t="s">
        <v>409</v>
      </c>
      <c r="R23" s="691">
        <v>0</v>
      </c>
      <c r="S23" s="692" t="s">
        <v>409</v>
      </c>
      <c r="T23" s="691">
        <v>0</v>
      </c>
      <c r="U23" s="692" t="s">
        <v>409</v>
      </c>
      <c r="V23" s="778"/>
      <c r="W23" s="778"/>
      <c r="X23" s="778"/>
      <c r="Y23" s="778"/>
      <c r="Z23" s="778"/>
      <c r="AA23" s="778"/>
      <c r="AB23" s="778"/>
      <c r="AC23" s="778"/>
      <c r="AD23" s="778"/>
      <c r="AE23" s="778"/>
      <c r="AF23" s="778"/>
      <c r="AG23" s="778"/>
      <c r="AH23" s="778"/>
      <c r="AI23" s="778"/>
      <c r="AJ23" s="778"/>
      <c r="AK23" s="778"/>
      <c r="AL23" s="778"/>
      <c r="AM23" s="778"/>
      <c r="AN23" s="778"/>
      <c r="AO23" s="778"/>
      <c r="AP23" s="778"/>
      <c r="AQ23" s="778"/>
      <c r="AR23" s="778"/>
      <c r="AS23" s="778"/>
      <c r="AT23" s="778"/>
      <c r="AU23" s="693">
        <v>-2569306.8768191999</v>
      </c>
      <c r="AV23" s="693">
        <v>0</v>
      </c>
      <c r="AW23" s="693">
        <v>0</v>
      </c>
      <c r="AX23" s="691">
        <v>0</v>
      </c>
      <c r="AY23" s="691">
        <v>0</v>
      </c>
      <c r="AZ23" s="197"/>
      <c r="BA23" s="600"/>
      <c r="BB23" s="600"/>
      <c r="BC23" s="689"/>
      <c r="BD23" s="5"/>
    </row>
    <row r="24" spans="1:56" x14ac:dyDescent="0.2">
      <c r="A24" s="600"/>
      <c r="B24" s="197"/>
      <c r="C24" s="533">
        <v>1</v>
      </c>
      <c r="D24" s="594" t="s">
        <v>2507</v>
      </c>
      <c r="E24" s="594" t="s">
        <v>3674</v>
      </c>
      <c r="F24" s="595">
        <v>80000</v>
      </c>
      <c r="G24" s="596" t="s">
        <v>212</v>
      </c>
      <c r="H24" s="595">
        <v>19</v>
      </c>
      <c r="I24" s="596" t="s">
        <v>529</v>
      </c>
      <c r="J24" s="595">
        <v>98.013999999999996</v>
      </c>
      <c r="K24" s="596" t="s">
        <v>530</v>
      </c>
      <c r="L24" s="596">
        <v>0</v>
      </c>
      <c r="M24" s="596" t="s">
        <v>489</v>
      </c>
      <c r="N24" s="595">
        <v>99.5</v>
      </c>
      <c r="O24" s="597" t="s">
        <v>409</v>
      </c>
      <c r="P24" s="595">
        <v>100</v>
      </c>
      <c r="Q24" s="597" t="s">
        <v>409</v>
      </c>
      <c r="R24" s="595">
        <v>0</v>
      </c>
      <c r="S24" s="597" t="s">
        <v>409</v>
      </c>
      <c r="T24" s="595">
        <v>0</v>
      </c>
      <c r="U24" s="597" t="s">
        <v>409</v>
      </c>
      <c r="V24" s="778"/>
      <c r="W24" s="778"/>
      <c r="X24" s="778"/>
      <c r="Y24" s="778"/>
      <c r="Z24" s="778"/>
      <c r="AA24" s="778"/>
      <c r="AB24" s="778"/>
      <c r="AC24" s="778"/>
      <c r="AD24" s="778"/>
      <c r="AE24" s="778"/>
      <c r="AF24" s="778"/>
      <c r="AG24" s="778"/>
      <c r="AH24" s="778"/>
      <c r="AI24" s="778"/>
      <c r="AJ24" s="778"/>
      <c r="AK24" s="778"/>
      <c r="AL24" s="778"/>
      <c r="AM24" s="778"/>
      <c r="AN24" s="778"/>
      <c r="AO24" s="778"/>
      <c r="AP24" s="778"/>
      <c r="AQ24" s="778"/>
      <c r="AR24" s="778"/>
      <c r="AS24" s="778"/>
      <c r="AT24" s="778"/>
      <c r="AU24" s="598">
        <v>148236.37359999999</v>
      </c>
      <c r="AV24" s="598">
        <v>0</v>
      </c>
      <c r="AW24" s="598">
        <v>0</v>
      </c>
      <c r="AX24" s="595">
        <v>1520</v>
      </c>
      <c r="AY24" s="595">
        <v>0</v>
      </c>
      <c r="AZ24" s="197"/>
      <c r="BA24" s="478" t="s">
        <v>157</v>
      </c>
      <c r="BB24" s="573" t="s">
        <v>159</v>
      </c>
      <c r="BC24" s="600"/>
      <c r="BD24" s="5"/>
    </row>
    <row r="25" spans="1:56" x14ac:dyDescent="0.2">
      <c r="A25" s="600"/>
      <c r="B25" s="197"/>
      <c r="C25" s="534">
        <v>2</v>
      </c>
      <c r="D25" s="594" t="s">
        <v>2507</v>
      </c>
      <c r="E25" s="594" t="s">
        <v>3675</v>
      </c>
      <c r="F25" s="595">
        <v>80000</v>
      </c>
      <c r="G25" s="596" t="s">
        <v>212</v>
      </c>
      <c r="H25" s="595">
        <v>16</v>
      </c>
      <c r="I25" s="596" t="s">
        <v>529</v>
      </c>
      <c r="J25" s="595">
        <v>112</v>
      </c>
      <c r="K25" s="596" t="s">
        <v>530</v>
      </c>
      <c r="L25" s="596">
        <v>0</v>
      </c>
      <c r="M25" s="596" t="s">
        <v>489</v>
      </c>
      <c r="N25" s="595">
        <v>100</v>
      </c>
      <c r="O25" s="597" t="s">
        <v>409</v>
      </c>
      <c r="P25" s="595">
        <v>100</v>
      </c>
      <c r="Q25" s="597" t="s">
        <v>409</v>
      </c>
      <c r="R25" s="595">
        <v>100</v>
      </c>
      <c r="S25" s="597" t="s">
        <v>409</v>
      </c>
      <c r="T25" s="595">
        <v>0</v>
      </c>
      <c r="U25" s="597" t="s">
        <v>409</v>
      </c>
      <c r="V25" s="778"/>
      <c r="W25" s="778"/>
      <c r="X25" s="778"/>
      <c r="Y25" s="778"/>
      <c r="Z25" s="778"/>
      <c r="AA25" s="778"/>
      <c r="AB25" s="778"/>
      <c r="AC25" s="778"/>
      <c r="AD25" s="778"/>
      <c r="AE25" s="778"/>
      <c r="AF25" s="778"/>
      <c r="AG25" s="778"/>
      <c r="AH25" s="778"/>
      <c r="AI25" s="778"/>
      <c r="AJ25" s="778"/>
      <c r="AK25" s="778"/>
      <c r="AL25" s="778"/>
      <c r="AM25" s="778"/>
      <c r="AN25" s="778"/>
      <c r="AO25" s="778"/>
      <c r="AP25" s="778"/>
      <c r="AQ25" s="778"/>
      <c r="AR25" s="778"/>
      <c r="AS25" s="778"/>
      <c r="AT25" s="778"/>
      <c r="AU25" s="598">
        <v>0</v>
      </c>
      <c r="AV25" s="598">
        <v>143360</v>
      </c>
      <c r="AW25" s="598">
        <v>0</v>
      </c>
      <c r="AX25" s="595">
        <v>0</v>
      </c>
      <c r="AY25" s="595">
        <v>1280</v>
      </c>
      <c r="AZ25" s="197"/>
      <c r="BA25" s="478" t="s">
        <v>157</v>
      </c>
      <c r="BB25" s="573" t="s">
        <v>159</v>
      </c>
      <c r="BC25" s="600"/>
      <c r="BD25" s="5"/>
    </row>
    <row r="26" spans="1:56" x14ac:dyDescent="0.2">
      <c r="A26" s="600"/>
      <c r="B26" s="197"/>
      <c r="C26" s="534">
        <v>3</v>
      </c>
      <c r="D26" s="594"/>
      <c r="E26" s="594"/>
      <c r="F26" s="595"/>
      <c r="G26" s="596"/>
      <c r="H26" s="595"/>
      <c r="I26" s="596"/>
      <c r="J26" s="595"/>
      <c r="K26" s="596"/>
      <c r="L26" s="596"/>
      <c r="M26" s="596"/>
      <c r="N26" s="595"/>
      <c r="O26" s="597"/>
      <c r="P26" s="595"/>
      <c r="Q26" s="597"/>
      <c r="R26" s="595"/>
      <c r="S26" s="597"/>
      <c r="T26" s="595"/>
      <c r="U26" s="597"/>
      <c r="V26" s="778"/>
      <c r="W26" s="778"/>
      <c r="X26" s="778"/>
      <c r="Y26" s="778"/>
      <c r="Z26" s="778"/>
      <c r="AA26" s="778"/>
      <c r="AB26" s="778"/>
      <c r="AC26" s="778"/>
      <c r="AD26" s="778"/>
      <c r="AE26" s="778"/>
      <c r="AF26" s="778"/>
      <c r="AG26" s="778"/>
      <c r="AH26" s="778"/>
      <c r="AI26" s="778"/>
      <c r="AJ26" s="778"/>
      <c r="AK26" s="778"/>
      <c r="AL26" s="778"/>
      <c r="AM26" s="778"/>
      <c r="AN26" s="778"/>
      <c r="AO26" s="778"/>
      <c r="AP26" s="778"/>
      <c r="AQ26" s="778"/>
      <c r="AR26" s="778"/>
      <c r="AS26" s="778"/>
      <c r="AT26" s="778"/>
      <c r="AU26" s="598"/>
      <c r="AV26" s="598"/>
      <c r="AW26" s="598"/>
      <c r="AX26" s="595"/>
      <c r="AY26" s="595"/>
      <c r="AZ26" s="197"/>
      <c r="BA26" s="478" t="str">
        <f t="shared" ref="BA24:BA55" si="0">EUconst_SumCO2</f>
        <v>SUM_CO2</v>
      </c>
      <c r="BB26" s="573" t="str">
        <f t="shared" ref="BB24:BB55" si="1">EUconst_SumEnergyIN</f>
        <v>SUM_EnergyIN</v>
      </c>
      <c r="BC26" s="600"/>
      <c r="BD26" s="5"/>
    </row>
    <row r="27" spans="1:56" x14ac:dyDescent="0.2">
      <c r="A27" s="600"/>
      <c r="B27" s="197"/>
      <c r="C27" s="534">
        <v>4</v>
      </c>
      <c r="D27" s="594"/>
      <c r="E27" s="594"/>
      <c r="F27" s="595"/>
      <c r="G27" s="596"/>
      <c r="H27" s="595"/>
      <c r="I27" s="596"/>
      <c r="J27" s="595"/>
      <c r="K27" s="596"/>
      <c r="L27" s="596"/>
      <c r="M27" s="596"/>
      <c r="N27" s="595"/>
      <c r="O27" s="597"/>
      <c r="P27" s="595"/>
      <c r="Q27" s="597"/>
      <c r="R27" s="595"/>
      <c r="S27" s="597"/>
      <c r="T27" s="595"/>
      <c r="U27" s="597"/>
      <c r="V27" s="778"/>
      <c r="W27" s="778"/>
      <c r="X27" s="778"/>
      <c r="Y27" s="778"/>
      <c r="Z27" s="778"/>
      <c r="AA27" s="778"/>
      <c r="AB27" s="778"/>
      <c r="AC27" s="778"/>
      <c r="AD27" s="778"/>
      <c r="AE27" s="778"/>
      <c r="AF27" s="778"/>
      <c r="AG27" s="778"/>
      <c r="AH27" s="778"/>
      <c r="AI27" s="778"/>
      <c r="AJ27" s="778"/>
      <c r="AK27" s="778"/>
      <c r="AL27" s="778"/>
      <c r="AM27" s="778"/>
      <c r="AN27" s="778"/>
      <c r="AO27" s="778"/>
      <c r="AP27" s="778"/>
      <c r="AQ27" s="778"/>
      <c r="AR27" s="778"/>
      <c r="AS27" s="778"/>
      <c r="AT27" s="778"/>
      <c r="AU27" s="598"/>
      <c r="AV27" s="598"/>
      <c r="AW27" s="598"/>
      <c r="AX27" s="595"/>
      <c r="AY27" s="595"/>
      <c r="AZ27" s="197"/>
      <c r="BA27" s="478" t="str">
        <f t="shared" si="0"/>
        <v>SUM_CO2</v>
      </c>
      <c r="BB27" s="573" t="str">
        <f t="shared" si="1"/>
        <v>SUM_EnergyIN</v>
      </c>
      <c r="BC27" s="600"/>
      <c r="BD27" s="5"/>
    </row>
    <row r="28" spans="1:56" x14ac:dyDescent="0.2">
      <c r="A28" s="600"/>
      <c r="B28" s="197"/>
      <c r="C28" s="534">
        <v>5</v>
      </c>
      <c r="D28" s="594"/>
      <c r="E28" s="594"/>
      <c r="F28" s="595"/>
      <c r="G28" s="596"/>
      <c r="H28" s="595"/>
      <c r="I28" s="596"/>
      <c r="J28" s="595"/>
      <c r="K28" s="596"/>
      <c r="L28" s="596"/>
      <c r="M28" s="596"/>
      <c r="N28" s="595"/>
      <c r="O28" s="597"/>
      <c r="P28" s="595"/>
      <c r="Q28" s="597"/>
      <c r="R28" s="595"/>
      <c r="S28" s="597"/>
      <c r="T28" s="595"/>
      <c r="U28" s="597"/>
      <c r="V28" s="778"/>
      <c r="W28" s="778"/>
      <c r="X28" s="778"/>
      <c r="Y28" s="778"/>
      <c r="Z28" s="778"/>
      <c r="AA28" s="778"/>
      <c r="AB28" s="778"/>
      <c r="AC28" s="778"/>
      <c r="AD28" s="778"/>
      <c r="AE28" s="778"/>
      <c r="AF28" s="778"/>
      <c r="AG28" s="778"/>
      <c r="AH28" s="778"/>
      <c r="AI28" s="778"/>
      <c r="AJ28" s="778"/>
      <c r="AK28" s="778"/>
      <c r="AL28" s="778"/>
      <c r="AM28" s="778"/>
      <c r="AN28" s="778"/>
      <c r="AO28" s="778"/>
      <c r="AP28" s="778"/>
      <c r="AQ28" s="778"/>
      <c r="AR28" s="778"/>
      <c r="AS28" s="778"/>
      <c r="AT28" s="778"/>
      <c r="AU28" s="598"/>
      <c r="AV28" s="598"/>
      <c r="AW28" s="598"/>
      <c r="AX28" s="595"/>
      <c r="AY28" s="595"/>
      <c r="AZ28" s="197"/>
      <c r="BA28" s="478" t="str">
        <f t="shared" si="0"/>
        <v>SUM_CO2</v>
      </c>
      <c r="BB28" s="573" t="str">
        <f t="shared" si="1"/>
        <v>SUM_EnergyIN</v>
      </c>
      <c r="BC28" s="600"/>
      <c r="BD28" s="5"/>
    </row>
    <row r="29" spans="1:56" x14ac:dyDescent="0.2">
      <c r="A29" s="600"/>
      <c r="B29" s="197"/>
      <c r="C29" s="534">
        <v>6</v>
      </c>
      <c r="D29" s="594"/>
      <c r="E29" s="594"/>
      <c r="F29" s="595"/>
      <c r="G29" s="596"/>
      <c r="H29" s="595"/>
      <c r="I29" s="596"/>
      <c r="J29" s="595"/>
      <c r="K29" s="596"/>
      <c r="L29" s="596"/>
      <c r="M29" s="596"/>
      <c r="N29" s="595"/>
      <c r="O29" s="597"/>
      <c r="P29" s="595"/>
      <c r="Q29" s="597"/>
      <c r="R29" s="595"/>
      <c r="S29" s="597"/>
      <c r="T29" s="595"/>
      <c r="U29" s="597"/>
      <c r="V29" s="778"/>
      <c r="W29" s="778"/>
      <c r="X29" s="778"/>
      <c r="Y29" s="778"/>
      <c r="Z29" s="778"/>
      <c r="AA29" s="778"/>
      <c r="AB29" s="778"/>
      <c r="AC29" s="778"/>
      <c r="AD29" s="778"/>
      <c r="AE29" s="778"/>
      <c r="AF29" s="778"/>
      <c r="AG29" s="778"/>
      <c r="AH29" s="778"/>
      <c r="AI29" s="778"/>
      <c r="AJ29" s="778"/>
      <c r="AK29" s="778"/>
      <c r="AL29" s="778"/>
      <c r="AM29" s="778"/>
      <c r="AN29" s="778"/>
      <c r="AO29" s="778"/>
      <c r="AP29" s="778"/>
      <c r="AQ29" s="778"/>
      <c r="AR29" s="778"/>
      <c r="AS29" s="778"/>
      <c r="AT29" s="778"/>
      <c r="AU29" s="598"/>
      <c r="AV29" s="598"/>
      <c r="AW29" s="598"/>
      <c r="AX29" s="595"/>
      <c r="AY29" s="595"/>
      <c r="AZ29" s="197"/>
      <c r="BA29" s="478" t="str">
        <f t="shared" si="0"/>
        <v>SUM_CO2</v>
      </c>
      <c r="BB29" s="573" t="str">
        <f t="shared" si="1"/>
        <v>SUM_EnergyIN</v>
      </c>
      <c r="BC29" s="600"/>
      <c r="BD29" s="5"/>
    </row>
    <row r="30" spans="1:56" x14ac:dyDescent="0.2">
      <c r="A30" s="600"/>
      <c r="B30" s="197"/>
      <c r="C30" s="534">
        <v>7</v>
      </c>
      <c r="D30" s="594"/>
      <c r="E30" s="594"/>
      <c r="F30" s="595"/>
      <c r="G30" s="596"/>
      <c r="H30" s="595"/>
      <c r="I30" s="596"/>
      <c r="J30" s="595"/>
      <c r="K30" s="596"/>
      <c r="L30" s="596"/>
      <c r="M30" s="596"/>
      <c r="N30" s="595"/>
      <c r="O30" s="597"/>
      <c r="P30" s="595"/>
      <c r="Q30" s="597"/>
      <c r="R30" s="595"/>
      <c r="S30" s="597"/>
      <c r="T30" s="595"/>
      <c r="U30" s="597"/>
      <c r="V30" s="778"/>
      <c r="W30" s="778"/>
      <c r="X30" s="778"/>
      <c r="Y30" s="778"/>
      <c r="Z30" s="778"/>
      <c r="AA30" s="778"/>
      <c r="AB30" s="778"/>
      <c r="AC30" s="778"/>
      <c r="AD30" s="778"/>
      <c r="AE30" s="778"/>
      <c r="AF30" s="778"/>
      <c r="AG30" s="778"/>
      <c r="AH30" s="778"/>
      <c r="AI30" s="778"/>
      <c r="AJ30" s="778"/>
      <c r="AK30" s="778"/>
      <c r="AL30" s="778"/>
      <c r="AM30" s="778"/>
      <c r="AN30" s="778"/>
      <c r="AO30" s="778"/>
      <c r="AP30" s="778"/>
      <c r="AQ30" s="778"/>
      <c r="AR30" s="778"/>
      <c r="AS30" s="778"/>
      <c r="AT30" s="778"/>
      <c r="AU30" s="598"/>
      <c r="AV30" s="598"/>
      <c r="AW30" s="598"/>
      <c r="AX30" s="595"/>
      <c r="AY30" s="595"/>
      <c r="AZ30" s="197"/>
      <c r="BA30" s="478" t="str">
        <f t="shared" si="0"/>
        <v>SUM_CO2</v>
      </c>
      <c r="BB30" s="573" t="str">
        <f t="shared" si="1"/>
        <v>SUM_EnergyIN</v>
      </c>
      <c r="BC30" s="600"/>
      <c r="BD30" s="5"/>
    </row>
    <row r="31" spans="1:56" x14ac:dyDescent="0.2">
      <c r="A31" s="600"/>
      <c r="B31" s="197"/>
      <c r="C31" s="534">
        <v>8</v>
      </c>
      <c r="D31" s="594"/>
      <c r="E31" s="594"/>
      <c r="F31" s="595"/>
      <c r="G31" s="596"/>
      <c r="H31" s="595"/>
      <c r="I31" s="596"/>
      <c r="J31" s="595"/>
      <c r="K31" s="596"/>
      <c r="L31" s="596"/>
      <c r="M31" s="596"/>
      <c r="N31" s="595"/>
      <c r="O31" s="597"/>
      <c r="P31" s="595"/>
      <c r="Q31" s="597"/>
      <c r="R31" s="595"/>
      <c r="S31" s="597"/>
      <c r="T31" s="595"/>
      <c r="U31" s="597"/>
      <c r="V31" s="778"/>
      <c r="W31" s="778"/>
      <c r="X31" s="778"/>
      <c r="Y31" s="778"/>
      <c r="Z31" s="778"/>
      <c r="AA31" s="778"/>
      <c r="AB31" s="778"/>
      <c r="AC31" s="778"/>
      <c r="AD31" s="778"/>
      <c r="AE31" s="778"/>
      <c r="AF31" s="778"/>
      <c r="AG31" s="778"/>
      <c r="AH31" s="778"/>
      <c r="AI31" s="778"/>
      <c r="AJ31" s="778"/>
      <c r="AK31" s="778"/>
      <c r="AL31" s="778"/>
      <c r="AM31" s="778"/>
      <c r="AN31" s="778"/>
      <c r="AO31" s="778"/>
      <c r="AP31" s="778"/>
      <c r="AQ31" s="778"/>
      <c r="AR31" s="778"/>
      <c r="AS31" s="778"/>
      <c r="AT31" s="778"/>
      <c r="AU31" s="598"/>
      <c r="AV31" s="598"/>
      <c r="AW31" s="598"/>
      <c r="AX31" s="595"/>
      <c r="AY31" s="595"/>
      <c r="AZ31" s="197"/>
      <c r="BA31" s="478" t="str">
        <f t="shared" si="0"/>
        <v>SUM_CO2</v>
      </c>
      <c r="BB31" s="573" t="str">
        <f t="shared" si="1"/>
        <v>SUM_EnergyIN</v>
      </c>
      <c r="BC31" s="600"/>
      <c r="BD31" s="5"/>
    </row>
    <row r="32" spans="1:56" x14ac:dyDescent="0.2">
      <c r="A32" s="600"/>
      <c r="B32" s="197"/>
      <c r="C32" s="534">
        <v>9</v>
      </c>
      <c r="D32" s="594"/>
      <c r="E32" s="594"/>
      <c r="F32" s="595"/>
      <c r="G32" s="596"/>
      <c r="H32" s="595"/>
      <c r="I32" s="596"/>
      <c r="J32" s="595"/>
      <c r="K32" s="596"/>
      <c r="L32" s="596"/>
      <c r="M32" s="596"/>
      <c r="N32" s="595"/>
      <c r="O32" s="597"/>
      <c r="P32" s="595"/>
      <c r="Q32" s="597"/>
      <c r="R32" s="595"/>
      <c r="S32" s="597"/>
      <c r="T32" s="595"/>
      <c r="U32" s="597"/>
      <c r="V32" s="778"/>
      <c r="W32" s="778"/>
      <c r="X32" s="778"/>
      <c r="Y32" s="778"/>
      <c r="Z32" s="778"/>
      <c r="AA32" s="778"/>
      <c r="AB32" s="778"/>
      <c r="AC32" s="778"/>
      <c r="AD32" s="778"/>
      <c r="AE32" s="778"/>
      <c r="AF32" s="778"/>
      <c r="AG32" s="778"/>
      <c r="AH32" s="778"/>
      <c r="AI32" s="778"/>
      <c r="AJ32" s="778"/>
      <c r="AK32" s="778"/>
      <c r="AL32" s="778"/>
      <c r="AM32" s="778"/>
      <c r="AN32" s="778"/>
      <c r="AO32" s="778"/>
      <c r="AP32" s="778"/>
      <c r="AQ32" s="778"/>
      <c r="AR32" s="778"/>
      <c r="AS32" s="778"/>
      <c r="AT32" s="778"/>
      <c r="AU32" s="598"/>
      <c r="AV32" s="598"/>
      <c r="AW32" s="598"/>
      <c r="AX32" s="595"/>
      <c r="AY32" s="595"/>
      <c r="AZ32" s="197"/>
      <c r="BA32" s="478" t="str">
        <f t="shared" si="0"/>
        <v>SUM_CO2</v>
      </c>
      <c r="BB32" s="573" t="str">
        <f t="shared" si="1"/>
        <v>SUM_EnergyIN</v>
      </c>
      <c r="BC32" s="600"/>
      <c r="BD32" s="5"/>
    </row>
    <row r="33" spans="1:56" x14ac:dyDescent="0.2">
      <c r="A33" s="600"/>
      <c r="B33" s="197"/>
      <c r="C33" s="534">
        <v>10</v>
      </c>
      <c r="D33" s="594"/>
      <c r="E33" s="594"/>
      <c r="F33" s="595"/>
      <c r="G33" s="596"/>
      <c r="H33" s="595"/>
      <c r="I33" s="596"/>
      <c r="J33" s="595"/>
      <c r="K33" s="596"/>
      <c r="L33" s="596"/>
      <c r="M33" s="596"/>
      <c r="N33" s="595"/>
      <c r="O33" s="597"/>
      <c r="P33" s="595"/>
      <c r="Q33" s="597"/>
      <c r="R33" s="595"/>
      <c r="S33" s="597"/>
      <c r="T33" s="595"/>
      <c r="U33" s="597"/>
      <c r="V33" s="778"/>
      <c r="W33" s="778"/>
      <c r="X33" s="778"/>
      <c r="Y33" s="778"/>
      <c r="Z33" s="778"/>
      <c r="AA33" s="778"/>
      <c r="AB33" s="778"/>
      <c r="AC33" s="778"/>
      <c r="AD33" s="778"/>
      <c r="AE33" s="778"/>
      <c r="AF33" s="778"/>
      <c r="AG33" s="778"/>
      <c r="AH33" s="778"/>
      <c r="AI33" s="778"/>
      <c r="AJ33" s="778"/>
      <c r="AK33" s="778"/>
      <c r="AL33" s="778"/>
      <c r="AM33" s="778"/>
      <c r="AN33" s="778"/>
      <c r="AO33" s="778"/>
      <c r="AP33" s="778"/>
      <c r="AQ33" s="778"/>
      <c r="AR33" s="778"/>
      <c r="AS33" s="778"/>
      <c r="AT33" s="778"/>
      <c r="AU33" s="598"/>
      <c r="AV33" s="598"/>
      <c r="AW33" s="598"/>
      <c r="AX33" s="595"/>
      <c r="AY33" s="595"/>
      <c r="AZ33" s="197"/>
      <c r="BA33" s="478" t="str">
        <f t="shared" si="0"/>
        <v>SUM_CO2</v>
      </c>
      <c r="BB33" s="573" t="str">
        <f t="shared" si="1"/>
        <v>SUM_EnergyIN</v>
      </c>
      <c r="BC33" s="600"/>
      <c r="BD33" s="5"/>
    </row>
    <row r="34" spans="1:56" x14ac:dyDescent="0.2">
      <c r="A34" s="600"/>
      <c r="B34" s="197"/>
      <c r="C34" s="534">
        <v>11</v>
      </c>
      <c r="D34" s="594"/>
      <c r="E34" s="594"/>
      <c r="F34" s="595"/>
      <c r="G34" s="596"/>
      <c r="H34" s="595"/>
      <c r="I34" s="596"/>
      <c r="J34" s="595"/>
      <c r="K34" s="596"/>
      <c r="L34" s="596"/>
      <c r="M34" s="596"/>
      <c r="N34" s="595"/>
      <c r="O34" s="597"/>
      <c r="P34" s="595"/>
      <c r="Q34" s="597"/>
      <c r="R34" s="595"/>
      <c r="S34" s="597"/>
      <c r="T34" s="595"/>
      <c r="U34" s="597"/>
      <c r="V34" s="778"/>
      <c r="W34" s="778"/>
      <c r="X34" s="778"/>
      <c r="Y34" s="778"/>
      <c r="Z34" s="778"/>
      <c r="AA34" s="778"/>
      <c r="AB34" s="778"/>
      <c r="AC34" s="778"/>
      <c r="AD34" s="778"/>
      <c r="AE34" s="778"/>
      <c r="AF34" s="778"/>
      <c r="AG34" s="778"/>
      <c r="AH34" s="778"/>
      <c r="AI34" s="778"/>
      <c r="AJ34" s="778"/>
      <c r="AK34" s="778"/>
      <c r="AL34" s="778"/>
      <c r="AM34" s="778"/>
      <c r="AN34" s="778"/>
      <c r="AO34" s="778"/>
      <c r="AP34" s="778"/>
      <c r="AQ34" s="778"/>
      <c r="AR34" s="778"/>
      <c r="AS34" s="778"/>
      <c r="AT34" s="778"/>
      <c r="AU34" s="598"/>
      <c r="AV34" s="598"/>
      <c r="AW34" s="598"/>
      <c r="AX34" s="595"/>
      <c r="AY34" s="595"/>
      <c r="AZ34" s="197"/>
      <c r="BA34" s="478" t="str">
        <f t="shared" si="0"/>
        <v>SUM_CO2</v>
      </c>
      <c r="BB34" s="573" t="str">
        <f t="shared" si="1"/>
        <v>SUM_EnergyIN</v>
      </c>
      <c r="BC34" s="600"/>
      <c r="BD34" s="5"/>
    </row>
    <row r="35" spans="1:56" x14ac:dyDescent="0.2">
      <c r="A35" s="600"/>
      <c r="B35" s="197"/>
      <c r="C35" s="534">
        <v>12</v>
      </c>
      <c r="D35" s="594"/>
      <c r="E35" s="594"/>
      <c r="F35" s="595"/>
      <c r="G35" s="596"/>
      <c r="H35" s="595"/>
      <c r="I35" s="596"/>
      <c r="J35" s="595"/>
      <c r="K35" s="596"/>
      <c r="L35" s="596"/>
      <c r="M35" s="596"/>
      <c r="N35" s="595"/>
      <c r="O35" s="597"/>
      <c r="P35" s="595"/>
      <c r="Q35" s="597"/>
      <c r="R35" s="595"/>
      <c r="S35" s="597"/>
      <c r="T35" s="595"/>
      <c r="U35" s="597"/>
      <c r="V35" s="778"/>
      <c r="W35" s="778"/>
      <c r="X35" s="778"/>
      <c r="Y35" s="778"/>
      <c r="Z35" s="778"/>
      <c r="AA35" s="778"/>
      <c r="AB35" s="778"/>
      <c r="AC35" s="778"/>
      <c r="AD35" s="778"/>
      <c r="AE35" s="778"/>
      <c r="AF35" s="778"/>
      <c r="AG35" s="778"/>
      <c r="AH35" s="778"/>
      <c r="AI35" s="778"/>
      <c r="AJ35" s="778"/>
      <c r="AK35" s="778"/>
      <c r="AL35" s="778"/>
      <c r="AM35" s="778"/>
      <c r="AN35" s="778"/>
      <c r="AO35" s="778"/>
      <c r="AP35" s="778"/>
      <c r="AQ35" s="778"/>
      <c r="AR35" s="778"/>
      <c r="AS35" s="778"/>
      <c r="AT35" s="778"/>
      <c r="AU35" s="598"/>
      <c r="AV35" s="598"/>
      <c r="AW35" s="598"/>
      <c r="AX35" s="595"/>
      <c r="AY35" s="595"/>
      <c r="AZ35" s="197"/>
      <c r="BA35" s="478" t="str">
        <f t="shared" si="0"/>
        <v>SUM_CO2</v>
      </c>
      <c r="BB35" s="573" t="str">
        <f t="shared" si="1"/>
        <v>SUM_EnergyIN</v>
      </c>
      <c r="BC35" s="600"/>
      <c r="BD35" s="5"/>
    </row>
    <row r="36" spans="1:56" x14ac:dyDescent="0.2">
      <c r="A36" s="600"/>
      <c r="B36" s="197"/>
      <c r="C36" s="534">
        <v>13</v>
      </c>
      <c r="D36" s="594"/>
      <c r="E36" s="594"/>
      <c r="F36" s="595"/>
      <c r="G36" s="596"/>
      <c r="H36" s="595"/>
      <c r="I36" s="596"/>
      <c r="J36" s="595"/>
      <c r="K36" s="596"/>
      <c r="L36" s="596"/>
      <c r="M36" s="596"/>
      <c r="N36" s="595"/>
      <c r="O36" s="597"/>
      <c r="P36" s="595"/>
      <c r="Q36" s="597"/>
      <c r="R36" s="595"/>
      <c r="S36" s="597"/>
      <c r="T36" s="595"/>
      <c r="U36" s="597"/>
      <c r="V36" s="778"/>
      <c r="W36" s="778"/>
      <c r="X36" s="778"/>
      <c r="Y36" s="778"/>
      <c r="Z36" s="778"/>
      <c r="AA36" s="778"/>
      <c r="AB36" s="778"/>
      <c r="AC36" s="778"/>
      <c r="AD36" s="778"/>
      <c r="AE36" s="778"/>
      <c r="AF36" s="778"/>
      <c r="AG36" s="778"/>
      <c r="AH36" s="778"/>
      <c r="AI36" s="778"/>
      <c r="AJ36" s="778"/>
      <c r="AK36" s="778"/>
      <c r="AL36" s="778"/>
      <c r="AM36" s="778"/>
      <c r="AN36" s="778"/>
      <c r="AO36" s="778"/>
      <c r="AP36" s="778"/>
      <c r="AQ36" s="778"/>
      <c r="AR36" s="778"/>
      <c r="AS36" s="778"/>
      <c r="AT36" s="778"/>
      <c r="AU36" s="598"/>
      <c r="AV36" s="598"/>
      <c r="AW36" s="598"/>
      <c r="AX36" s="595"/>
      <c r="AY36" s="595"/>
      <c r="AZ36" s="197"/>
      <c r="BA36" s="478" t="str">
        <f t="shared" si="0"/>
        <v>SUM_CO2</v>
      </c>
      <c r="BB36" s="573" t="str">
        <f t="shared" si="1"/>
        <v>SUM_EnergyIN</v>
      </c>
      <c r="BC36" s="600"/>
      <c r="BD36" s="5"/>
    </row>
    <row r="37" spans="1:56" x14ac:dyDescent="0.2">
      <c r="A37" s="600"/>
      <c r="B37" s="197"/>
      <c r="C37" s="534">
        <v>14</v>
      </c>
      <c r="D37" s="594"/>
      <c r="E37" s="594"/>
      <c r="F37" s="595"/>
      <c r="G37" s="596"/>
      <c r="H37" s="595"/>
      <c r="I37" s="596"/>
      <c r="J37" s="595"/>
      <c r="K37" s="596"/>
      <c r="L37" s="596"/>
      <c r="M37" s="596"/>
      <c r="N37" s="595"/>
      <c r="O37" s="597"/>
      <c r="P37" s="595"/>
      <c r="Q37" s="597"/>
      <c r="R37" s="595"/>
      <c r="S37" s="597"/>
      <c r="T37" s="595"/>
      <c r="U37" s="597"/>
      <c r="V37" s="778"/>
      <c r="W37" s="778"/>
      <c r="X37" s="778"/>
      <c r="Y37" s="778"/>
      <c r="Z37" s="778"/>
      <c r="AA37" s="778"/>
      <c r="AB37" s="778"/>
      <c r="AC37" s="778"/>
      <c r="AD37" s="778"/>
      <c r="AE37" s="778"/>
      <c r="AF37" s="778"/>
      <c r="AG37" s="778"/>
      <c r="AH37" s="778"/>
      <c r="AI37" s="778"/>
      <c r="AJ37" s="778"/>
      <c r="AK37" s="778"/>
      <c r="AL37" s="778"/>
      <c r="AM37" s="778"/>
      <c r="AN37" s="778"/>
      <c r="AO37" s="778"/>
      <c r="AP37" s="778"/>
      <c r="AQ37" s="778"/>
      <c r="AR37" s="778"/>
      <c r="AS37" s="778"/>
      <c r="AT37" s="778"/>
      <c r="AU37" s="598"/>
      <c r="AV37" s="598"/>
      <c r="AW37" s="598"/>
      <c r="AX37" s="595"/>
      <c r="AY37" s="595"/>
      <c r="AZ37" s="197"/>
      <c r="BA37" s="478" t="str">
        <f t="shared" si="0"/>
        <v>SUM_CO2</v>
      </c>
      <c r="BB37" s="573" t="str">
        <f t="shared" si="1"/>
        <v>SUM_EnergyIN</v>
      </c>
      <c r="BC37" s="600"/>
      <c r="BD37" s="5"/>
    </row>
    <row r="38" spans="1:56" x14ac:dyDescent="0.2">
      <c r="A38" s="600"/>
      <c r="B38" s="197"/>
      <c r="C38" s="534">
        <v>15</v>
      </c>
      <c r="D38" s="594"/>
      <c r="E38" s="594"/>
      <c r="F38" s="595"/>
      <c r="G38" s="596"/>
      <c r="H38" s="595"/>
      <c r="I38" s="596"/>
      <c r="J38" s="595"/>
      <c r="K38" s="596"/>
      <c r="L38" s="596"/>
      <c r="M38" s="596"/>
      <c r="N38" s="595"/>
      <c r="O38" s="597"/>
      <c r="P38" s="595"/>
      <c r="Q38" s="597"/>
      <c r="R38" s="595"/>
      <c r="S38" s="597"/>
      <c r="T38" s="595"/>
      <c r="U38" s="597"/>
      <c r="V38" s="778"/>
      <c r="W38" s="778"/>
      <c r="X38" s="778"/>
      <c r="Y38" s="778"/>
      <c r="Z38" s="778"/>
      <c r="AA38" s="778"/>
      <c r="AB38" s="778"/>
      <c r="AC38" s="778"/>
      <c r="AD38" s="778"/>
      <c r="AE38" s="778"/>
      <c r="AF38" s="778"/>
      <c r="AG38" s="778"/>
      <c r="AH38" s="778"/>
      <c r="AI38" s="778"/>
      <c r="AJ38" s="778"/>
      <c r="AK38" s="778"/>
      <c r="AL38" s="778"/>
      <c r="AM38" s="778"/>
      <c r="AN38" s="778"/>
      <c r="AO38" s="778"/>
      <c r="AP38" s="778"/>
      <c r="AQ38" s="778"/>
      <c r="AR38" s="778"/>
      <c r="AS38" s="778"/>
      <c r="AT38" s="778"/>
      <c r="AU38" s="598"/>
      <c r="AV38" s="598"/>
      <c r="AW38" s="598"/>
      <c r="AX38" s="595"/>
      <c r="AY38" s="595"/>
      <c r="AZ38" s="197"/>
      <c r="BA38" s="478" t="str">
        <f t="shared" si="0"/>
        <v>SUM_CO2</v>
      </c>
      <c r="BB38" s="573" t="str">
        <f t="shared" si="1"/>
        <v>SUM_EnergyIN</v>
      </c>
      <c r="BC38" s="600"/>
      <c r="BD38" s="5"/>
    </row>
    <row r="39" spans="1:56" x14ac:dyDescent="0.2">
      <c r="A39" s="600"/>
      <c r="B39" s="197"/>
      <c r="C39" s="534">
        <v>16</v>
      </c>
      <c r="D39" s="594"/>
      <c r="E39" s="594"/>
      <c r="F39" s="595"/>
      <c r="G39" s="596"/>
      <c r="H39" s="595"/>
      <c r="I39" s="596"/>
      <c r="J39" s="595"/>
      <c r="K39" s="596"/>
      <c r="L39" s="596"/>
      <c r="M39" s="596"/>
      <c r="N39" s="595"/>
      <c r="O39" s="597"/>
      <c r="P39" s="595"/>
      <c r="Q39" s="597"/>
      <c r="R39" s="595"/>
      <c r="S39" s="597"/>
      <c r="T39" s="595"/>
      <c r="U39" s="597"/>
      <c r="V39" s="778"/>
      <c r="W39" s="778"/>
      <c r="X39" s="778"/>
      <c r="Y39" s="778"/>
      <c r="Z39" s="778"/>
      <c r="AA39" s="778"/>
      <c r="AB39" s="778"/>
      <c r="AC39" s="778"/>
      <c r="AD39" s="778"/>
      <c r="AE39" s="778"/>
      <c r="AF39" s="778"/>
      <c r="AG39" s="778"/>
      <c r="AH39" s="778"/>
      <c r="AI39" s="778"/>
      <c r="AJ39" s="778"/>
      <c r="AK39" s="778"/>
      <c r="AL39" s="778"/>
      <c r="AM39" s="778"/>
      <c r="AN39" s="778"/>
      <c r="AO39" s="778"/>
      <c r="AP39" s="778"/>
      <c r="AQ39" s="778"/>
      <c r="AR39" s="778"/>
      <c r="AS39" s="778"/>
      <c r="AT39" s="778"/>
      <c r="AU39" s="598"/>
      <c r="AV39" s="598"/>
      <c r="AW39" s="598"/>
      <c r="AX39" s="595"/>
      <c r="AY39" s="595"/>
      <c r="AZ39" s="197"/>
      <c r="BA39" s="478" t="str">
        <f t="shared" si="0"/>
        <v>SUM_CO2</v>
      </c>
      <c r="BB39" s="573" t="str">
        <f t="shared" si="1"/>
        <v>SUM_EnergyIN</v>
      </c>
      <c r="BC39" s="600"/>
      <c r="BD39" s="5"/>
    </row>
    <row r="40" spans="1:56" x14ac:dyDescent="0.2">
      <c r="A40" s="600"/>
      <c r="B40" s="197"/>
      <c r="C40" s="534">
        <v>17</v>
      </c>
      <c r="D40" s="594"/>
      <c r="E40" s="594"/>
      <c r="F40" s="595"/>
      <c r="G40" s="596"/>
      <c r="H40" s="595"/>
      <c r="I40" s="596"/>
      <c r="J40" s="595"/>
      <c r="K40" s="596"/>
      <c r="L40" s="596"/>
      <c r="M40" s="596"/>
      <c r="N40" s="595"/>
      <c r="O40" s="597"/>
      <c r="P40" s="595"/>
      <c r="Q40" s="597"/>
      <c r="R40" s="595"/>
      <c r="S40" s="597"/>
      <c r="T40" s="595"/>
      <c r="U40" s="597"/>
      <c r="V40" s="778"/>
      <c r="W40" s="778"/>
      <c r="X40" s="778"/>
      <c r="Y40" s="778"/>
      <c r="Z40" s="778"/>
      <c r="AA40" s="778"/>
      <c r="AB40" s="778"/>
      <c r="AC40" s="778"/>
      <c r="AD40" s="778"/>
      <c r="AE40" s="778"/>
      <c r="AF40" s="778"/>
      <c r="AG40" s="778"/>
      <c r="AH40" s="778"/>
      <c r="AI40" s="778"/>
      <c r="AJ40" s="778"/>
      <c r="AK40" s="778"/>
      <c r="AL40" s="778"/>
      <c r="AM40" s="778"/>
      <c r="AN40" s="778"/>
      <c r="AO40" s="778"/>
      <c r="AP40" s="778"/>
      <c r="AQ40" s="778"/>
      <c r="AR40" s="778"/>
      <c r="AS40" s="778"/>
      <c r="AT40" s="778"/>
      <c r="AU40" s="598"/>
      <c r="AV40" s="598"/>
      <c r="AW40" s="598"/>
      <c r="AX40" s="595"/>
      <c r="AY40" s="595"/>
      <c r="AZ40" s="197"/>
      <c r="BA40" s="478" t="str">
        <f t="shared" si="0"/>
        <v>SUM_CO2</v>
      </c>
      <c r="BB40" s="573" t="str">
        <f t="shared" si="1"/>
        <v>SUM_EnergyIN</v>
      </c>
      <c r="BC40" s="600"/>
      <c r="BD40" s="5"/>
    </row>
    <row r="41" spans="1:56" x14ac:dyDescent="0.2">
      <c r="A41" s="600"/>
      <c r="B41" s="197"/>
      <c r="C41" s="534">
        <v>18</v>
      </c>
      <c r="D41" s="594"/>
      <c r="E41" s="594"/>
      <c r="F41" s="595"/>
      <c r="G41" s="596"/>
      <c r="H41" s="595"/>
      <c r="I41" s="596"/>
      <c r="J41" s="595"/>
      <c r="K41" s="596"/>
      <c r="L41" s="596"/>
      <c r="M41" s="596"/>
      <c r="N41" s="595"/>
      <c r="O41" s="597"/>
      <c r="P41" s="595"/>
      <c r="Q41" s="597"/>
      <c r="R41" s="595"/>
      <c r="S41" s="597"/>
      <c r="T41" s="595"/>
      <c r="U41" s="597"/>
      <c r="V41" s="778"/>
      <c r="W41" s="778"/>
      <c r="X41" s="778"/>
      <c r="Y41" s="778"/>
      <c r="Z41" s="778"/>
      <c r="AA41" s="778"/>
      <c r="AB41" s="778"/>
      <c r="AC41" s="778"/>
      <c r="AD41" s="778"/>
      <c r="AE41" s="778"/>
      <c r="AF41" s="778"/>
      <c r="AG41" s="778"/>
      <c r="AH41" s="778"/>
      <c r="AI41" s="778"/>
      <c r="AJ41" s="778"/>
      <c r="AK41" s="778"/>
      <c r="AL41" s="778"/>
      <c r="AM41" s="778"/>
      <c r="AN41" s="778"/>
      <c r="AO41" s="778"/>
      <c r="AP41" s="778"/>
      <c r="AQ41" s="778"/>
      <c r="AR41" s="778"/>
      <c r="AS41" s="778"/>
      <c r="AT41" s="778"/>
      <c r="AU41" s="598"/>
      <c r="AV41" s="598"/>
      <c r="AW41" s="598"/>
      <c r="AX41" s="595"/>
      <c r="AY41" s="595"/>
      <c r="AZ41" s="197"/>
      <c r="BA41" s="478" t="str">
        <f t="shared" si="0"/>
        <v>SUM_CO2</v>
      </c>
      <c r="BB41" s="573" t="str">
        <f t="shared" si="1"/>
        <v>SUM_EnergyIN</v>
      </c>
      <c r="BC41" s="600"/>
      <c r="BD41" s="5"/>
    </row>
    <row r="42" spans="1:56" x14ac:dyDescent="0.2">
      <c r="A42" s="600"/>
      <c r="B42" s="197"/>
      <c r="C42" s="534">
        <v>19</v>
      </c>
      <c r="D42" s="594"/>
      <c r="E42" s="594"/>
      <c r="F42" s="595"/>
      <c r="G42" s="596"/>
      <c r="H42" s="595"/>
      <c r="I42" s="596"/>
      <c r="J42" s="595"/>
      <c r="K42" s="596"/>
      <c r="L42" s="596"/>
      <c r="M42" s="596"/>
      <c r="N42" s="595"/>
      <c r="O42" s="597"/>
      <c r="P42" s="595"/>
      <c r="Q42" s="597"/>
      <c r="R42" s="595"/>
      <c r="S42" s="597"/>
      <c r="T42" s="595"/>
      <c r="U42" s="597"/>
      <c r="V42" s="778"/>
      <c r="W42" s="778"/>
      <c r="X42" s="778"/>
      <c r="Y42" s="778"/>
      <c r="Z42" s="778"/>
      <c r="AA42" s="778"/>
      <c r="AB42" s="778"/>
      <c r="AC42" s="778"/>
      <c r="AD42" s="778"/>
      <c r="AE42" s="778"/>
      <c r="AF42" s="778"/>
      <c r="AG42" s="778"/>
      <c r="AH42" s="778"/>
      <c r="AI42" s="778"/>
      <c r="AJ42" s="778"/>
      <c r="AK42" s="778"/>
      <c r="AL42" s="778"/>
      <c r="AM42" s="778"/>
      <c r="AN42" s="778"/>
      <c r="AO42" s="778"/>
      <c r="AP42" s="778"/>
      <c r="AQ42" s="778"/>
      <c r="AR42" s="778"/>
      <c r="AS42" s="778"/>
      <c r="AT42" s="778"/>
      <c r="AU42" s="598"/>
      <c r="AV42" s="598"/>
      <c r="AW42" s="598"/>
      <c r="AX42" s="595"/>
      <c r="AY42" s="595"/>
      <c r="AZ42" s="197"/>
      <c r="BA42" s="478" t="str">
        <f t="shared" si="0"/>
        <v>SUM_CO2</v>
      </c>
      <c r="BB42" s="573" t="str">
        <f t="shared" si="1"/>
        <v>SUM_EnergyIN</v>
      </c>
      <c r="BC42" s="600"/>
      <c r="BD42" s="5"/>
    </row>
    <row r="43" spans="1:56" x14ac:dyDescent="0.2">
      <c r="A43" s="600"/>
      <c r="B43" s="197"/>
      <c r="C43" s="534">
        <v>20</v>
      </c>
      <c r="D43" s="594"/>
      <c r="E43" s="594"/>
      <c r="F43" s="595"/>
      <c r="G43" s="596"/>
      <c r="H43" s="595"/>
      <c r="I43" s="596"/>
      <c r="J43" s="595"/>
      <c r="K43" s="596"/>
      <c r="L43" s="596"/>
      <c r="M43" s="596"/>
      <c r="N43" s="595"/>
      <c r="O43" s="597"/>
      <c r="P43" s="595"/>
      <c r="Q43" s="597"/>
      <c r="R43" s="595"/>
      <c r="S43" s="597"/>
      <c r="T43" s="595"/>
      <c r="U43" s="597"/>
      <c r="V43" s="778"/>
      <c r="W43" s="778"/>
      <c r="X43" s="778"/>
      <c r="Y43" s="778"/>
      <c r="Z43" s="778"/>
      <c r="AA43" s="778"/>
      <c r="AB43" s="778"/>
      <c r="AC43" s="778"/>
      <c r="AD43" s="778"/>
      <c r="AE43" s="778"/>
      <c r="AF43" s="778"/>
      <c r="AG43" s="778"/>
      <c r="AH43" s="778"/>
      <c r="AI43" s="778"/>
      <c r="AJ43" s="778"/>
      <c r="AK43" s="778"/>
      <c r="AL43" s="778"/>
      <c r="AM43" s="778"/>
      <c r="AN43" s="778"/>
      <c r="AO43" s="778"/>
      <c r="AP43" s="778"/>
      <c r="AQ43" s="778"/>
      <c r="AR43" s="778"/>
      <c r="AS43" s="778"/>
      <c r="AT43" s="778"/>
      <c r="AU43" s="598"/>
      <c r="AV43" s="598"/>
      <c r="AW43" s="598"/>
      <c r="AX43" s="595"/>
      <c r="AY43" s="595"/>
      <c r="AZ43" s="197"/>
      <c r="BA43" s="478" t="str">
        <f t="shared" si="0"/>
        <v>SUM_CO2</v>
      </c>
      <c r="BB43" s="573" t="str">
        <f t="shared" si="1"/>
        <v>SUM_EnergyIN</v>
      </c>
      <c r="BC43" s="600"/>
      <c r="BD43" s="5"/>
    </row>
    <row r="44" spans="1:56" x14ac:dyDescent="0.2">
      <c r="A44" s="600"/>
      <c r="B44" s="197"/>
      <c r="C44" s="534">
        <v>21</v>
      </c>
      <c r="D44" s="594"/>
      <c r="E44" s="594"/>
      <c r="F44" s="595"/>
      <c r="G44" s="596"/>
      <c r="H44" s="595"/>
      <c r="I44" s="596"/>
      <c r="J44" s="595"/>
      <c r="K44" s="596"/>
      <c r="L44" s="596"/>
      <c r="M44" s="596"/>
      <c r="N44" s="595"/>
      <c r="O44" s="597"/>
      <c r="P44" s="595"/>
      <c r="Q44" s="597"/>
      <c r="R44" s="595"/>
      <c r="S44" s="597"/>
      <c r="T44" s="595"/>
      <c r="U44" s="597"/>
      <c r="V44" s="778"/>
      <c r="W44" s="778"/>
      <c r="X44" s="778"/>
      <c r="Y44" s="778"/>
      <c r="Z44" s="778"/>
      <c r="AA44" s="778"/>
      <c r="AB44" s="778"/>
      <c r="AC44" s="778"/>
      <c r="AD44" s="778"/>
      <c r="AE44" s="778"/>
      <c r="AF44" s="778"/>
      <c r="AG44" s="778"/>
      <c r="AH44" s="778"/>
      <c r="AI44" s="778"/>
      <c r="AJ44" s="778"/>
      <c r="AK44" s="778"/>
      <c r="AL44" s="778"/>
      <c r="AM44" s="778"/>
      <c r="AN44" s="778"/>
      <c r="AO44" s="778"/>
      <c r="AP44" s="778"/>
      <c r="AQ44" s="778"/>
      <c r="AR44" s="778"/>
      <c r="AS44" s="778"/>
      <c r="AT44" s="778"/>
      <c r="AU44" s="598"/>
      <c r="AV44" s="598"/>
      <c r="AW44" s="598"/>
      <c r="AX44" s="595"/>
      <c r="AY44" s="595"/>
      <c r="AZ44" s="197"/>
      <c r="BA44" s="478" t="str">
        <f t="shared" si="0"/>
        <v>SUM_CO2</v>
      </c>
      <c r="BB44" s="573" t="str">
        <f t="shared" si="1"/>
        <v>SUM_EnergyIN</v>
      </c>
      <c r="BC44" s="600"/>
      <c r="BD44" s="5"/>
    </row>
    <row r="45" spans="1:56" x14ac:dyDescent="0.2">
      <c r="A45" s="600"/>
      <c r="B45" s="197"/>
      <c r="C45" s="534">
        <v>22</v>
      </c>
      <c r="D45" s="594"/>
      <c r="E45" s="594"/>
      <c r="F45" s="595"/>
      <c r="G45" s="596"/>
      <c r="H45" s="595"/>
      <c r="I45" s="596"/>
      <c r="J45" s="595"/>
      <c r="K45" s="596"/>
      <c r="L45" s="596"/>
      <c r="M45" s="596"/>
      <c r="N45" s="595"/>
      <c r="O45" s="597"/>
      <c r="P45" s="595"/>
      <c r="Q45" s="597"/>
      <c r="R45" s="595"/>
      <c r="S45" s="597"/>
      <c r="T45" s="595"/>
      <c r="U45" s="597"/>
      <c r="V45" s="778"/>
      <c r="W45" s="778"/>
      <c r="X45" s="778"/>
      <c r="Y45" s="778"/>
      <c r="Z45" s="778"/>
      <c r="AA45" s="778"/>
      <c r="AB45" s="778"/>
      <c r="AC45" s="778"/>
      <c r="AD45" s="778"/>
      <c r="AE45" s="778"/>
      <c r="AF45" s="778"/>
      <c r="AG45" s="778"/>
      <c r="AH45" s="778"/>
      <c r="AI45" s="778"/>
      <c r="AJ45" s="778"/>
      <c r="AK45" s="778"/>
      <c r="AL45" s="778"/>
      <c r="AM45" s="778"/>
      <c r="AN45" s="778"/>
      <c r="AO45" s="778"/>
      <c r="AP45" s="778"/>
      <c r="AQ45" s="778"/>
      <c r="AR45" s="778"/>
      <c r="AS45" s="778"/>
      <c r="AT45" s="778"/>
      <c r="AU45" s="598"/>
      <c r="AV45" s="598"/>
      <c r="AW45" s="598"/>
      <c r="AX45" s="595"/>
      <c r="AY45" s="595"/>
      <c r="AZ45" s="197"/>
      <c r="BA45" s="478" t="str">
        <f t="shared" si="0"/>
        <v>SUM_CO2</v>
      </c>
      <c r="BB45" s="573" t="str">
        <f t="shared" si="1"/>
        <v>SUM_EnergyIN</v>
      </c>
      <c r="BC45" s="600"/>
      <c r="BD45" s="5"/>
    </row>
    <row r="46" spans="1:56" x14ac:dyDescent="0.2">
      <c r="A46" s="600"/>
      <c r="B46" s="197"/>
      <c r="C46" s="534">
        <v>23</v>
      </c>
      <c r="D46" s="594"/>
      <c r="E46" s="594"/>
      <c r="F46" s="595"/>
      <c r="G46" s="596"/>
      <c r="H46" s="595"/>
      <c r="I46" s="596"/>
      <c r="J46" s="595"/>
      <c r="K46" s="596"/>
      <c r="L46" s="596"/>
      <c r="M46" s="596"/>
      <c r="N46" s="595"/>
      <c r="O46" s="597"/>
      <c r="P46" s="595"/>
      <c r="Q46" s="597"/>
      <c r="R46" s="595"/>
      <c r="S46" s="597"/>
      <c r="T46" s="595"/>
      <c r="U46" s="597"/>
      <c r="V46" s="778"/>
      <c r="W46" s="778"/>
      <c r="X46" s="778"/>
      <c r="Y46" s="778"/>
      <c r="Z46" s="778"/>
      <c r="AA46" s="778"/>
      <c r="AB46" s="778"/>
      <c r="AC46" s="778"/>
      <c r="AD46" s="778"/>
      <c r="AE46" s="778"/>
      <c r="AF46" s="778"/>
      <c r="AG46" s="778"/>
      <c r="AH46" s="778"/>
      <c r="AI46" s="778"/>
      <c r="AJ46" s="778"/>
      <c r="AK46" s="778"/>
      <c r="AL46" s="778"/>
      <c r="AM46" s="778"/>
      <c r="AN46" s="778"/>
      <c r="AO46" s="778"/>
      <c r="AP46" s="778"/>
      <c r="AQ46" s="778"/>
      <c r="AR46" s="778"/>
      <c r="AS46" s="778"/>
      <c r="AT46" s="778"/>
      <c r="AU46" s="598"/>
      <c r="AV46" s="598"/>
      <c r="AW46" s="598"/>
      <c r="AX46" s="595"/>
      <c r="AY46" s="595"/>
      <c r="AZ46" s="197"/>
      <c r="BA46" s="478" t="str">
        <f t="shared" si="0"/>
        <v>SUM_CO2</v>
      </c>
      <c r="BB46" s="573" t="str">
        <f t="shared" si="1"/>
        <v>SUM_EnergyIN</v>
      </c>
      <c r="BC46" s="600"/>
      <c r="BD46" s="5"/>
    </row>
    <row r="47" spans="1:56" x14ac:dyDescent="0.2">
      <c r="A47" s="600"/>
      <c r="B47" s="197"/>
      <c r="C47" s="534">
        <v>24</v>
      </c>
      <c r="D47" s="594"/>
      <c r="E47" s="594"/>
      <c r="F47" s="595"/>
      <c r="G47" s="596"/>
      <c r="H47" s="595"/>
      <c r="I47" s="596"/>
      <c r="J47" s="595"/>
      <c r="K47" s="596"/>
      <c r="L47" s="596"/>
      <c r="M47" s="596"/>
      <c r="N47" s="595"/>
      <c r="O47" s="597"/>
      <c r="P47" s="595"/>
      <c r="Q47" s="597"/>
      <c r="R47" s="595"/>
      <c r="S47" s="597"/>
      <c r="T47" s="595"/>
      <c r="U47" s="597"/>
      <c r="V47" s="778"/>
      <c r="W47" s="778"/>
      <c r="X47" s="778"/>
      <c r="Y47" s="778"/>
      <c r="Z47" s="778"/>
      <c r="AA47" s="778"/>
      <c r="AB47" s="778"/>
      <c r="AC47" s="778"/>
      <c r="AD47" s="778"/>
      <c r="AE47" s="778"/>
      <c r="AF47" s="778"/>
      <c r="AG47" s="778"/>
      <c r="AH47" s="778"/>
      <c r="AI47" s="778"/>
      <c r="AJ47" s="778"/>
      <c r="AK47" s="778"/>
      <c r="AL47" s="778"/>
      <c r="AM47" s="778"/>
      <c r="AN47" s="778"/>
      <c r="AO47" s="778"/>
      <c r="AP47" s="778"/>
      <c r="AQ47" s="778"/>
      <c r="AR47" s="778"/>
      <c r="AS47" s="778"/>
      <c r="AT47" s="778"/>
      <c r="AU47" s="598"/>
      <c r="AV47" s="598"/>
      <c r="AW47" s="598"/>
      <c r="AX47" s="595"/>
      <c r="AY47" s="595"/>
      <c r="AZ47" s="197"/>
      <c r="BA47" s="478" t="str">
        <f t="shared" si="0"/>
        <v>SUM_CO2</v>
      </c>
      <c r="BB47" s="573" t="str">
        <f t="shared" si="1"/>
        <v>SUM_EnergyIN</v>
      </c>
      <c r="BC47" s="600"/>
      <c r="BD47" s="5"/>
    </row>
    <row r="48" spans="1:56" x14ac:dyDescent="0.2">
      <c r="A48" s="600"/>
      <c r="B48" s="197"/>
      <c r="C48" s="534">
        <v>25</v>
      </c>
      <c r="D48" s="594"/>
      <c r="E48" s="594"/>
      <c r="F48" s="595"/>
      <c r="G48" s="596"/>
      <c r="H48" s="595"/>
      <c r="I48" s="596"/>
      <c r="J48" s="595"/>
      <c r="K48" s="596"/>
      <c r="L48" s="596"/>
      <c r="M48" s="596"/>
      <c r="N48" s="595"/>
      <c r="O48" s="597"/>
      <c r="P48" s="595"/>
      <c r="Q48" s="597"/>
      <c r="R48" s="595"/>
      <c r="S48" s="597"/>
      <c r="T48" s="595"/>
      <c r="U48" s="597"/>
      <c r="V48" s="778"/>
      <c r="W48" s="778"/>
      <c r="X48" s="778"/>
      <c r="Y48" s="778"/>
      <c r="Z48" s="778"/>
      <c r="AA48" s="778"/>
      <c r="AB48" s="778"/>
      <c r="AC48" s="778"/>
      <c r="AD48" s="778"/>
      <c r="AE48" s="778"/>
      <c r="AF48" s="778"/>
      <c r="AG48" s="778"/>
      <c r="AH48" s="778"/>
      <c r="AI48" s="778"/>
      <c r="AJ48" s="778"/>
      <c r="AK48" s="778"/>
      <c r="AL48" s="778"/>
      <c r="AM48" s="778"/>
      <c r="AN48" s="778"/>
      <c r="AO48" s="778"/>
      <c r="AP48" s="778"/>
      <c r="AQ48" s="778"/>
      <c r="AR48" s="778"/>
      <c r="AS48" s="778"/>
      <c r="AT48" s="778"/>
      <c r="AU48" s="598"/>
      <c r="AV48" s="598"/>
      <c r="AW48" s="598"/>
      <c r="AX48" s="595"/>
      <c r="AY48" s="595"/>
      <c r="AZ48" s="197"/>
      <c r="BA48" s="478" t="str">
        <f t="shared" si="0"/>
        <v>SUM_CO2</v>
      </c>
      <c r="BB48" s="573" t="str">
        <f t="shared" si="1"/>
        <v>SUM_EnergyIN</v>
      </c>
      <c r="BC48" s="600"/>
      <c r="BD48" s="5"/>
    </row>
    <row r="49" spans="1:56" x14ac:dyDescent="0.2">
      <c r="A49" s="600"/>
      <c r="B49" s="197"/>
      <c r="C49" s="534">
        <v>26</v>
      </c>
      <c r="D49" s="594"/>
      <c r="E49" s="594"/>
      <c r="F49" s="595"/>
      <c r="G49" s="596"/>
      <c r="H49" s="595"/>
      <c r="I49" s="596"/>
      <c r="J49" s="595"/>
      <c r="K49" s="596"/>
      <c r="L49" s="596"/>
      <c r="M49" s="596"/>
      <c r="N49" s="595"/>
      <c r="O49" s="597"/>
      <c r="P49" s="595"/>
      <c r="Q49" s="597"/>
      <c r="R49" s="595"/>
      <c r="S49" s="597"/>
      <c r="T49" s="595"/>
      <c r="U49" s="597"/>
      <c r="V49" s="778"/>
      <c r="W49" s="778"/>
      <c r="X49" s="778"/>
      <c r="Y49" s="778"/>
      <c r="Z49" s="778"/>
      <c r="AA49" s="778"/>
      <c r="AB49" s="778"/>
      <c r="AC49" s="778"/>
      <c r="AD49" s="778"/>
      <c r="AE49" s="778"/>
      <c r="AF49" s="778"/>
      <c r="AG49" s="778"/>
      <c r="AH49" s="778"/>
      <c r="AI49" s="778"/>
      <c r="AJ49" s="778"/>
      <c r="AK49" s="778"/>
      <c r="AL49" s="778"/>
      <c r="AM49" s="778"/>
      <c r="AN49" s="778"/>
      <c r="AO49" s="778"/>
      <c r="AP49" s="778"/>
      <c r="AQ49" s="778"/>
      <c r="AR49" s="778"/>
      <c r="AS49" s="778"/>
      <c r="AT49" s="778"/>
      <c r="AU49" s="598"/>
      <c r="AV49" s="598"/>
      <c r="AW49" s="598"/>
      <c r="AX49" s="595"/>
      <c r="AY49" s="595"/>
      <c r="AZ49" s="197"/>
      <c r="BA49" s="478" t="str">
        <f t="shared" si="0"/>
        <v>SUM_CO2</v>
      </c>
      <c r="BB49" s="573" t="str">
        <f t="shared" si="1"/>
        <v>SUM_EnergyIN</v>
      </c>
      <c r="BC49" s="600"/>
      <c r="BD49" s="5"/>
    </row>
    <row r="50" spans="1:56" x14ac:dyDescent="0.2">
      <c r="A50" s="600"/>
      <c r="B50" s="197"/>
      <c r="C50" s="534">
        <v>27</v>
      </c>
      <c r="D50" s="594"/>
      <c r="E50" s="594"/>
      <c r="F50" s="595"/>
      <c r="G50" s="596"/>
      <c r="H50" s="595"/>
      <c r="I50" s="596"/>
      <c r="J50" s="595"/>
      <c r="K50" s="596"/>
      <c r="L50" s="596"/>
      <c r="M50" s="596"/>
      <c r="N50" s="595"/>
      <c r="O50" s="597"/>
      <c r="P50" s="595"/>
      <c r="Q50" s="597"/>
      <c r="R50" s="595"/>
      <c r="S50" s="597"/>
      <c r="T50" s="595"/>
      <c r="U50" s="597"/>
      <c r="V50" s="778"/>
      <c r="W50" s="778"/>
      <c r="X50" s="778"/>
      <c r="Y50" s="778"/>
      <c r="Z50" s="778"/>
      <c r="AA50" s="778"/>
      <c r="AB50" s="778"/>
      <c r="AC50" s="778"/>
      <c r="AD50" s="778"/>
      <c r="AE50" s="778"/>
      <c r="AF50" s="778"/>
      <c r="AG50" s="778"/>
      <c r="AH50" s="778"/>
      <c r="AI50" s="778"/>
      <c r="AJ50" s="778"/>
      <c r="AK50" s="778"/>
      <c r="AL50" s="778"/>
      <c r="AM50" s="778"/>
      <c r="AN50" s="778"/>
      <c r="AO50" s="778"/>
      <c r="AP50" s="778"/>
      <c r="AQ50" s="778"/>
      <c r="AR50" s="778"/>
      <c r="AS50" s="778"/>
      <c r="AT50" s="778"/>
      <c r="AU50" s="598"/>
      <c r="AV50" s="598"/>
      <c r="AW50" s="598"/>
      <c r="AX50" s="595"/>
      <c r="AY50" s="595"/>
      <c r="AZ50" s="197"/>
      <c r="BA50" s="478" t="str">
        <f t="shared" si="0"/>
        <v>SUM_CO2</v>
      </c>
      <c r="BB50" s="573" t="str">
        <f t="shared" si="1"/>
        <v>SUM_EnergyIN</v>
      </c>
      <c r="BC50" s="600"/>
      <c r="BD50" s="5"/>
    </row>
    <row r="51" spans="1:56" x14ac:dyDescent="0.2">
      <c r="A51" s="600"/>
      <c r="B51" s="197"/>
      <c r="C51" s="534">
        <v>28</v>
      </c>
      <c r="D51" s="594"/>
      <c r="E51" s="594"/>
      <c r="F51" s="595"/>
      <c r="G51" s="596"/>
      <c r="H51" s="595"/>
      <c r="I51" s="596"/>
      <c r="J51" s="595"/>
      <c r="K51" s="596"/>
      <c r="L51" s="596"/>
      <c r="M51" s="596"/>
      <c r="N51" s="595"/>
      <c r="O51" s="597"/>
      <c r="P51" s="595"/>
      <c r="Q51" s="597"/>
      <c r="R51" s="595"/>
      <c r="S51" s="597"/>
      <c r="T51" s="595"/>
      <c r="U51" s="597"/>
      <c r="V51" s="778"/>
      <c r="W51" s="778"/>
      <c r="X51" s="778"/>
      <c r="Y51" s="778"/>
      <c r="Z51" s="778"/>
      <c r="AA51" s="778"/>
      <c r="AB51" s="778"/>
      <c r="AC51" s="778"/>
      <c r="AD51" s="778"/>
      <c r="AE51" s="778"/>
      <c r="AF51" s="778"/>
      <c r="AG51" s="778"/>
      <c r="AH51" s="778"/>
      <c r="AI51" s="778"/>
      <c r="AJ51" s="778"/>
      <c r="AK51" s="778"/>
      <c r="AL51" s="778"/>
      <c r="AM51" s="778"/>
      <c r="AN51" s="778"/>
      <c r="AO51" s="778"/>
      <c r="AP51" s="778"/>
      <c r="AQ51" s="778"/>
      <c r="AR51" s="778"/>
      <c r="AS51" s="778"/>
      <c r="AT51" s="778"/>
      <c r="AU51" s="598"/>
      <c r="AV51" s="598"/>
      <c r="AW51" s="598"/>
      <c r="AX51" s="595"/>
      <c r="AY51" s="595"/>
      <c r="AZ51" s="197"/>
      <c r="BA51" s="478" t="str">
        <f t="shared" si="0"/>
        <v>SUM_CO2</v>
      </c>
      <c r="BB51" s="573" t="str">
        <f t="shared" si="1"/>
        <v>SUM_EnergyIN</v>
      </c>
      <c r="BC51" s="600"/>
      <c r="BD51" s="5"/>
    </row>
    <row r="52" spans="1:56" x14ac:dyDescent="0.2">
      <c r="A52" s="600"/>
      <c r="B52" s="197"/>
      <c r="C52" s="534">
        <v>29</v>
      </c>
      <c r="D52" s="594"/>
      <c r="E52" s="594"/>
      <c r="F52" s="595"/>
      <c r="G52" s="596"/>
      <c r="H52" s="595"/>
      <c r="I52" s="596"/>
      <c r="J52" s="595"/>
      <c r="K52" s="596"/>
      <c r="L52" s="596"/>
      <c r="M52" s="596"/>
      <c r="N52" s="595"/>
      <c r="O52" s="597"/>
      <c r="P52" s="595"/>
      <c r="Q52" s="597"/>
      <c r="R52" s="595"/>
      <c r="S52" s="597"/>
      <c r="T52" s="595"/>
      <c r="U52" s="597"/>
      <c r="V52" s="778"/>
      <c r="W52" s="778"/>
      <c r="X52" s="778"/>
      <c r="Y52" s="778"/>
      <c r="Z52" s="778"/>
      <c r="AA52" s="778"/>
      <c r="AB52" s="778"/>
      <c r="AC52" s="778"/>
      <c r="AD52" s="778"/>
      <c r="AE52" s="778"/>
      <c r="AF52" s="778"/>
      <c r="AG52" s="778"/>
      <c r="AH52" s="778"/>
      <c r="AI52" s="778"/>
      <c r="AJ52" s="778"/>
      <c r="AK52" s="778"/>
      <c r="AL52" s="778"/>
      <c r="AM52" s="778"/>
      <c r="AN52" s="778"/>
      <c r="AO52" s="778"/>
      <c r="AP52" s="778"/>
      <c r="AQ52" s="778"/>
      <c r="AR52" s="778"/>
      <c r="AS52" s="778"/>
      <c r="AT52" s="778"/>
      <c r="AU52" s="598"/>
      <c r="AV52" s="598"/>
      <c r="AW52" s="598"/>
      <c r="AX52" s="595"/>
      <c r="AY52" s="595"/>
      <c r="AZ52" s="197"/>
      <c r="BA52" s="478" t="str">
        <f t="shared" si="0"/>
        <v>SUM_CO2</v>
      </c>
      <c r="BB52" s="573" t="str">
        <f t="shared" si="1"/>
        <v>SUM_EnergyIN</v>
      </c>
      <c r="BC52" s="600"/>
      <c r="BD52" s="5"/>
    </row>
    <row r="53" spans="1:56" x14ac:dyDescent="0.2">
      <c r="A53" s="600"/>
      <c r="B53" s="197"/>
      <c r="C53" s="534">
        <v>30</v>
      </c>
      <c r="D53" s="594"/>
      <c r="E53" s="594"/>
      <c r="F53" s="595"/>
      <c r="G53" s="596"/>
      <c r="H53" s="595"/>
      <c r="I53" s="596"/>
      <c r="J53" s="595"/>
      <c r="K53" s="596"/>
      <c r="L53" s="596"/>
      <c r="M53" s="596"/>
      <c r="N53" s="595"/>
      <c r="O53" s="597"/>
      <c r="P53" s="595"/>
      <c r="Q53" s="597"/>
      <c r="R53" s="595"/>
      <c r="S53" s="597"/>
      <c r="T53" s="595"/>
      <c r="U53" s="597"/>
      <c r="V53" s="778"/>
      <c r="W53" s="778"/>
      <c r="X53" s="778"/>
      <c r="Y53" s="778"/>
      <c r="Z53" s="778"/>
      <c r="AA53" s="778"/>
      <c r="AB53" s="778"/>
      <c r="AC53" s="778"/>
      <c r="AD53" s="778"/>
      <c r="AE53" s="778"/>
      <c r="AF53" s="778"/>
      <c r="AG53" s="778"/>
      <c r="AH53" s="778"/>
      <c r="AI53" s="778"/>
      <c r="AJ53" s="778"/>
      <c r="AK53" s="778"/>
      <c r="AL53" s="778"/>
      <c r="AM53" s="778"/>
      <c r="AN53" s="778"/>
      <c r="AO53" s="778"/>
      <c r="AP53" s="778"/>
      <c r="AQ53" s="778"/>
      <c r="AR53" s="778"/>
      <c r="AS53" s="778"/>
      <c r="AT53" s="778"/>
      <c r="AU53" s="598"/>
      <c r="AV53" s="598"/>
      <c r="AW53" s="598"/>
      <c r="AX53" s="595"/>
      <c r="AY53" s="595"/>
      <c r="AZ53" s="197"/>
      <c r="BA53" s="478" t="str">
        <f t="shared" si="0"/>
        <v>SUM_CO2</v>
      </c>
      <c r="BB53" s="573" t="str">
        <f t="shared" si="1"/>
        <v>SUM_EnergyIN</v>
      </c>
      <c r="BC53" s="600"/>
      <c r="BD53" s="5"/>
    </row>
    <row r="54" spans="1:56" x14ac:dyDescent="0.2">
      <c r="A54" s="600"/>
      <c r="B54" s="197"/>
      <c r="C54" s="534">
        <v>31</v>
      </c>
      <c r="D54" s="594"/>
      <c r="E54" s="594"/>
      <c r="F54" s="595"/>
      <c r="G54" s="596"/>
      <c r="H54" s="595"/>
      <c r="I54" s="596"/>
      <c r="J54" s="595"/>
      <c r="K54" s="596"/>
      <c r="L54" s="596"/>
      <c r="M54" s="596"/>
      <c r="N54" s="595"/>
      <c r="O54" s="597"/>
      <c r="P54" s="595"/>
      <c r="Q54" s="597"/>
      <c r="R54" s="595"/>
      <c r="S54" s="597"/>
      <c r="T54" s="595"/>
      <c r="U54" s="597"/>
      <c r="V54" s="778"/>
      <c r="W54" s="778"/>
      <c r="X54" s="778"/>
      <c r="Y54" s="778"/>
      <c r="Z54" s="778"/>
      <c r="AA54" s="778"/>
      <c r="AB54" s="778"/>
      <c r="AC54" s="778"/>
      <c r="AD54" s="778"/>
      <c r="AE54" s="778"/>
      <c r="AF54" s="778"/>
      <c r="AG54" s="778"/>
      <c r="AH54" s="778"/>
      <c r="AI54" s="778"/>
      <c r="AJ54" s="778"/>
      <c r="AK54" s="778"/>
      <c r="AL54" s="778"/>
      <c r="AM54" s="778"/>
      <c r="AN54" s="778"/>
      <c r="AO54" s="778"/>
      <c r="AP54" s="778"/>
      <c r="AQ54" s="778"/>
      <c r="AR54" s="778"/>
      <c r="AS54" s="778"/>
      <c r="AT54" s="778"/>
      <c r="AU54" s="598"/>
      <c r="AV54" s="598"/>
      <c r="AW54" s="598"/>
      <c r="AX54" s="595"/>
      <c r="AY54" s="595"/>
      <c r="AZ54" s="197"/>
      <c r="BA54" s="478" t="str">
        <f t="shared" si="0"/>
        <v>SUM_CO2</v>
      </c>
      <c r="BB54" s="573" t="str">
        <f t="shared" si="1"/>
        <v>SUM_EnergyIN</v>
      </c>
      <c r="BC54" s="600"/>
      <c r="BD54" s="5"/>
    </row>
    <row r="55" spans="1:56" x14ac:dyDescent="0.2">
      <c r="A55" s="600"/>
      <c r="B55" s="197"/>
      <c r="C55" s="534">
        <v>32</v>
      </c>
      <c r="D55" s="594"/>
      <c r="E55" s="594"/>
      <c r="F55" s="595"/>
      <c r="G55" s="596"/>
      <c r="H55" s="595"/>
      <c r="I55" s="596"/>
      <c r="J55" s="595"/>
      <c r="K55" s="596"/>
      <c r="L55" s="596"/>
      <c r="M55" s="596"/>
      <c r="N55" s="595"/>
      <c r="O55" s="597"/>
      <c r="P55" s="595"/>
      <c r="Q55" s="597"/>
      <c r="R55" s="595"/>
      <c r="S55" s="597"/>
      <c r="T55" s="595"/>
      <c r="U55" s="597"/>
      <c r="V55" s="778"/>
      <c r="W55" s="778"/>
      <c r="X55" s="778"/>
      <c r="Y55" s="778"/>
      <c r="Z55" s="778"/>
      <c r="AA55" s="778"/>
      <c r="AB55" s="778"/>
      <c r="AC55" s="778"/>
      <c r="AD55" s="778"/>
      <c r="AE55" s="778"/>
      <c r="AF55" s="778"/>
      <c r="AG55" s="778"/>
      <c r="AH55" s="778"/>
      <c r="AI55" s="778"/>
      <c r="AJ55" s="778"/>
      <c r="AK55" s="778"/>
      <c r="AL55" s="778"/>
      <c r="AM55" s="778"/>
      <c r="AN55" s="778"/>
      <c r="AO55" s="778"/>
      <c r="AP55" s="778"/>
      <c r="AQ55" s="778"/>
      <c r="AR55" s="778"/>
      <c r="AS55" s="778"/>
      <c r="AT55" s="778"/>
      <c r="AU55" s="598"/>
      <c r="AV55" s="598"/>
      <c r="AW55" s="598"/>
      <c r="AX55" s="595"/>
      <c r="AY55" s="595"/>
      <c r="AZ55" s="197"/>
      <c r="BA55" s="478" t="str">
        <f t="shared" si="0"/>
        <v>SUM_CO2</v>
      </c>
      <c r="BB55" s="573" t="str">
        <f t="shared" si="1"/>
        <v>SUM_EnergyIN</v>
      </c>
      <c r="BC55" s="600"/>
      <c r="BD55" s="5"/>
    </row>
    <row r="56" spans="1:56" x14ac:dyDescent="0.2">
      <c r="A56" s="600"/>
      <c r="B56" s="197"/>
      <c r="C56" s="534">
        <v>33</v>
      </c>
      <c r="D56" s="594"/>
      <c r="E56" s="594"/>
      <c r="F56" s="595"/>
      <c r="G56" s="596"/>
      <c r="H56" s="595"/>
      <c r="I56" s="596"/>
      <c r="J56" s="595"/>
      <c r="K56" s="596"/>
      <c r="L56" s="596"/>
      <c r="M56" s="596"/>
      <c r="N56" s="595"/>
      <c r="O56" s="597"/>
      <c r="P56" s="595"/>
      <c r="Q56" s="597"/>
      <c r="R56" s="595"/>
      <c r="S56" s="597"/>
      <c r="T56" s="595"/>
      <c r="U56" s="597"/>
      <c r="V56" s="778"/>
      <c r="W56" s="778"/>
      <c r="X56" s="778"/>
      <c r="Y56" s="778"/>
      <c r="Z56" s="778"/>
      <c r="AA56" s="778"/>
      <c r="AB56" s="778"/>
      <c r="AC56" s="778"/>
      <c r="AD56" s="778"/>
      <c r="AE56" s="778"/>
      <c r="AF56" s="778"/>
      <c r="AG56" s="778"/>
      <c r="AH56" s="778"/>
      <c r="AI56" s="778"/>
      <c r="AJ56" s="778"/>
      <c r="AK56" s="778"/>
      <c r="AL56" s="778"/>
      <c r="AM56" s="778"/>
      <c r="AN56" s="778"/>
      <c r="AO56" s="778"/>
      <c r="AP56" s="778"/>
      <c r="AQ56" s="778"/>
      <c r="AR56" s="778"/>
      <c r="AS56" s="778"/>
      <c r="AT56" s="778"/>
      <c r="AU56" s="598"/>
      <c r="AV56" s="598"/>
      <c r="AW56" s="598"/>
      <c r="AX56" s="595"/>
      <c r="AY56" s="595"/>
      <c r="AZ56" s="197"/>
      <c r="BA56" s="478" t="str">
        <f t="shared" ref="BA56:BA87" si="2">EUconst_SumCO2</f>
        <v>SUM_CO2</v>
      </c>
      <c r="BB56" s="573" t="str">
        <f t="shared" ref="BB56:BB87" si="3">EUconst_SumEnergyIN</f>
        <v>SUM_EnergyIN</v>
      </c>
      <c r="BC56" s="600"/>
      <c r="BD56" s="5"/>
    </row>
    <row r="57" spans="1:56" x14ac:dyDescent="0.2">
      <c r="A57" s="600"/>
      <c r="B57" s="197"/>
      <c r="C57" s="534">
        <v>34</v>
      </c>
      <c r="D57" s="594"/>
      <c r="E57" s="594"/>
      <c r="F57" s="595"/>
      <c r="G57" s="596"/>
      <c r="H57" s="595"/>
      <c r="I57" s="596"/>
      <c r="J57" s="595"/>
      <c r="K57" s="596"/>
      <c r="L57" s="596"/>
      <c r="M57" s="596"/>
      <c r="N57" s="595"/>
      <c r="O57" s="597"/>
      <c r="P57" s="595"/>
      <c r="Q57" s="597"/>
      <c r="R57" s="595"/>
      <c r="S57" s="597"/>
      <c r="T57" s="595"/>
      <c r="U57" s="597"/>
      <c r="V57" s="778"/>
      <c r="W57" s="778"/>
      <c r="X57" s="778"/>
      <c r="Y57" s="778"/>
      <c r="Z57" s="778"/>
      <c r="AA57" s="778"/>
      <c r="AB57" s="778"/>
      <c r="AC57" s="778"/>
      <c r="AD57" s="778"/>
      <c r="AE57" s="778"/>
      <c r="AF57" s="778"/>
      <c r="AG57" s="778"/>
      <c r="AH57" s="778"/>
      <c r="AI57" s="778"/>
      <c r="AJ57" s="778"/>
      <c r="AK57" s="778"/>
      <c r="AL57" s="778"/>
      <c r="AM57" s="778"/>
      <c r="AN57" s="778"/>
      <c r="AO57" s="778"/>
      <c r="AP57" s="778"/>
      <c r="AQ57" s="778"/>
      <c r="AR57" s="778"/>
      <c r="AS57" s="778"/>
      <c r="AT57" s="778"/>
      <c r="AU57" s="598"/>
      <c r="AV57" s="598"/>
      <c r="AW57" s="598"/>
      <c r="AX57" s="595"/>
      <c r="AY57" s="595"/>
      <c r="AZ57" s="197"/>
      <c r="BA57" s="478" t="str">
        <f t="shared" si="2"/>
        <v>SUM_CO2</v>
      </c>
      <c r="BB57" s="573" t="str">
        <f t="shared" si="3"/>
        <v>SUM_EnergyIN</v>
      </c>
      <c r="BC57" s="600"/>
      <c r="BD57" s="5"/>
    </row>
    <row r="58" spans="1:56" x14ac:dyDescent="0.2">
      <c r="A58" s="600"/>
      <c r="B58" s="197"/>
      <c r="C58" s="534">
        <v>35</v>
      </c>
      <c r="D58" s="594"/>
      <c r="E58" s="594"/>
      <c r="F58" s="595"/>
      <c r="G58" s="596"/>
      <c r="H58" s="595"/>
      <c r="I58" s="596"/>
      <c r="J58" s="595"/>
      <c r="K58" s="596"/>
      <c r="L58" s="596"/>
      <c r="M58" s="596"/>
      <c r="N58" s="595"/>
      <c r="O58" s="597"/>
      <c r="P58" s="595"/>
      <c r="Q58" s="597"/>
      <c r="R58" s="595"/>
      <c r="S58" s="597"/>
      <c r="T58" s="595"/>
      <c r="U58" s="597"/>
      <c r="V58" s="778"/>
      <c r="W58" s="778"/>
      <c r="X58" s="778"/>
      <c r="Y58" s="778"/>
      <c r="Z58" s="778"/>
      <c r="AA58" s="778"/>
      <c r="AB58" s="778"/>
      <c r="AC58" s="778"/>
      <c r="AD58" s="778"/>
      <c r="AE58" s="778"/>
      <c r="AF58" s="778"/>
      <c r="AG58" s="778"/>
      <c r="AH58" s="778"/>
      <c r="AI58" s="778"/>
      <c r="AJ58" s="778"/>
      <c r="AK58" s="778"/>
      <c r="AL58" s="778"/>
      <c r="AM58" s="778"/>
      <c r="AN58" s="778"/>
      <c r="AO58" s="778"/>
      <c r="AP58" s="778"/>
      <c r="AQ58" s="778"/>
      <c r="AR58" s="778"/>
      <c r="AS58" s="778"/>
      <c r="AT58" s="778"/>
      <c r="AU58" s="598"/>
      <c r="AV58" s="598"/>
      <c r="AW58" s="598"/>
      <c r="AX58" s="595"/>
      <c r="AY58" s="595"/>
      <c r="AZ58" s="197"/>
      <c r="BA58" s="478" t="str">
        <f t="shared" si="2"/>
        <v>SUM_CO2</v>
      </c>
      <c r="BB58" s="573" t="str">
        <f t="shared" si="3"/>
        <v>SUM_EnergyIN</v>
      </c>
      <c r="BC58" s="600"/>
      <c r="BD58" s="5"/>
    </row>
    <row r="59" spans="1:56" x14ac:dyDescent="0.2">
      <c r="A59" s="600"/>
      <c r="B59" s="197"/>
      <c r="C59" s="534">
        <v>36</v>
      </c>
      <c r="D59" s="594"/>
      <c r="E59" s="594"/>
      <c r="F59" s="595"/>
      <c r="G59" s="596"/>
      <c r="H59" s="595"/>
      <c r="I59" s="596"/>
      <c r="J59" s="595"/>
      <c r="K59" s="596"/>
      <c r="L59" s="596"/>
      <c r="M59" s="596"/>
      <c r="N59" s="595"/>
      <c r="O59" s="597"/>
      <c r="P59" s="595"/>
      <c r="Q59" s="597"/>
      <c r="R59" s="595"/>
      <c r="S59" s="597"/>
      <c r="T59" s="595"/>
      <c r="U59" s="597"/>
      <c r="V59" s="778"/>
      <c r="W59" s="778"/>
      <c r="X59" s="778"/>
      <c r="Y59" s="778"/>
      <c r="Z59" s="778"/>
      <c r="AA59" s="778"/>
      <c r="AB59" s="778"/>
      <c r="AC59" s="778"/>
      <c r="AD59" s="778"/>
      <c r="AE59" s="778"/>
      <c r="AF59" s="778"/>
      <c r="AG59" s="778"/>
      <c r="AH59" s="778"/>
      <c r="AI59" s="778"/>
      <c r="AJ59" s="778"/>
      <c r="AK59" s="778"/>
      <c r="AL59" s="778"/>
      <c r="AM59" s="778"/>
      <c r="AN59" s="778"/>
      <c r="AO59" s="778"/>
      <c r="AP59" s="778"/>
      <c r="AQ59" s="778"/>
      <c r="AR59" s="778"/>
      <c r="AS59" s="778"/>
      <c r="AT59" s="778"/>
      <c r="AU59" s="598"/>
      <c r="AV59" s="598"/>
      <c r="AW59" s="598"/>
      <c r="AX59" s="595"/>
      <c r="AY59" s="595"/>
      <c r="AZ59" s="197"/>
      <c r="BA59" s="478" t="str">
        <f t="shared" si="2"/>
        <v>SUM_CO2</v>
      </c>
      <c r="BB59" s="573" t="str">
        <f t="shared" si="3"/>
        <v>SUM_EnergyIN</v>
      </c>
      <c r="BC59" s="600"/>
      <c r="BD59" s="5"/>
    </row>
    <row r="60" spans="1:56" x14ac:dyDescent="0.2">
      <c r="A60" s="600"/>
      <c r="B60" s="197"/>
      <c r="C60" s="534">
        <v>37</v>
      </c>
      <c r="D60" s="594"/>
      <c r="E60" s="594"/>
      <c r="F60" s="595"/>
      <c r="G60" s="596"/>
      <c r="H60" s="595"/>
      <c r="I60" s="596"/>
      <c r="J60" s="595"/>
      <c r="K60" s="596"/>
      <c r="L60" s="596"/>
      <c r="M60" s="596"/>
      <c r="N60" s="595"/>
      <c r="O60" s="597"/>
      <c r="P60" s="595"/>
      <c r="Q60" s="597"/>
      <c r="R60" s="595"/>
      <c r="S60" s="597"/>
      <c r="T60" s="595"/>
      <c r="U60" s="597"/>
      <c r="V60" s="778"/>
      <c r="W60" s="778"/>
      <c r="X60" s="778"/>
      <c r="Y60" s="778"/>
      <c r="Z60" s="778"/>
      <c r="AA60" s="778"/>
      <c r="AB60" s="778"/>
      <c r="AC60" s="778"/>
      <c r="AD60" s="778"/>
      <c r="AE60" s="778"/>
      <c r="AF60" s="778"/>
      <c r="AG60" s="778"/>
      <c r="AH60" s="778"/>
      <c r="AI60" s="778"/>
      <c r="AJ60" s="778"/>
      <c r="AK60" s="778"/>
      <c r="AL60" s="778"/>
      <c r="AM60" s="778"/>
      <c r="AN60" s="778"/>
      <c r="AO60" s="778"/>
      <c r="AP60" s="778"/>
      <c r="AQ60" s="778"/>
      <c r="AR60" s="778"/>
      <c r="AS60" s="778"/>
      <c r="AT60" s="778"/>
      <c r="AU60" s="598"/>
      <c r="AV60" s="598"/>
      <c r="AW60" s="598"/>
      <c r="AX60" s="595"/>
      <c r="AY60" s="595"/>
      <c r="AZ60" s="197"/>
      <c r="BA60" s="478" t="str">
        <f t="shared" si="2"/>
        <v>SUM_CO2</v>
      </c>
      <c r="BB60" s="573" t="str">
        <f t="shared" si="3"/>
        <v>SUM_EnergyIN</v>
      </c>
      <c r="BC60" s="600"/>
      <c r="BD60" s="5"/>
    </row>
    <row r="61" spans="1:56" x14ac:dyDescent="0.2">
      <c r="A61" s="600"/>
      <c r="B61" s="197"/>
      <c r="C61" s="534">
        <v>38</v>
      </c>
      <c r="D61" s="594"/>
      <c r="E61" s="594"/>
      <c r="F61" s="595"/>
      <c r="G61" s="596"/>
      <c r="H61" s="595"/>
      <c r="I61" s="596"/>
      <c r="J61" s="595"/>
      <c r="K61" s="596"/>
      <c r="L61" s="596"/>
      <c r="M61" s="596"/>
      <c r="N61" s="595"/>
      <c r="O61" s="597"/>
      <c r="P61" s="595"/>
      <c r="Q61" s="597"/>
      <c r="R61" s="595"/>
      <c r="S61" s="597"/>
      <c r="T61" s="595"/>
      <c r="U61" s="597"/>
      <c r="V61" s="778"/>
      <c r="W61" s="778"/>
      <c r="X61" s="778"/>
      <c r="Y61" s="778"/>
      <c r="Z61" s="778"/>
      <c r="AA61" s="778"/>
      <c r="AB61" s="778"/>
      <c r="AC61" s="778"/>
      <c r="AD61" s="778"/>
      <c r="AE61" s="778"/>
      <c r="AF61" s="778"/>
      <c r="AG61" s="778"/>
      <c r="AH61" s="778"/>
      <c r="AI61" s="778"/>
      <c r="AJ61" s="778"/>
      <c r="AK61" s="778"/>
      <c r="AL61" s="778"/>
      <c r="AM61" s="778"/>
      <c r="AN61" s="778"/>
      <c r="AO61" s="778"/>
      <c r="AP61" s="778"/>
      <c r="AQ61" s="778"/>
      <c r="AR61" s="778"/>
      <c r="AS61" s="778"/>
      <c r="AT61" s="778"/>
      <c r="AU61" s="598"/>
      <c r="AV61" s="598"/>
      <c r="AW61" s="598"/>
      <c r="AX61" s="595"/>
      <c r="AY61" s="595"/>
      <c r="AZ61" s="197"/>
      <c r="BA61" s="478" t="str">
        <f t="shared" si="2"/>
        <v>SUM_CO2</v>
      </c>
      <c r="BB61" s="573" t="str">
        <f t="shared" si="3"/>
        <v>SUM_EnergyIN</v>
      </c>
      <c r="BC61" s="600"/>
      <c r="BD61" s="5"/>
    </row>
    <row r="62" spans="1:56" x14ac:dyDescent="0.2">
      <c r="A62" s="600"/>
      <c r="B62" s="197"/>
      <c r="C62" s="534">
        <v>39</v>
      </c>
      <c r="D62" s="594"/>
      <c r="E62" s="594"/>
      <c r="F62" s="595"/>
      <c r="G62" s="596"/>
      <c r="H62" s="595"/>
      <c r="I62" s="596"/>
      <c r="J62" s="595"/>
      <c r="K62" s="596"/>
      <c r="L62" s="596"/>
      <c r="M62" s="596"/>
      <c r="N62" s="595"/>
      <c r="O62" s="597"/>
      <c r="P62" s="595"/>
      <c r="Q62" s="597"/>
      <c r="R62" s="595"/>
      <c r="S62" s="597"/>
      <c r="T62" s="595"/>
      <c r="U62" s="597"/>
      <c r="V62" s="778"/>
      <c r="W62" s="778"/>
      <c r="X62" s="778"/>
      <c r="Y62" s="778"/>
      <c r="Z62" s="778"/>
      <c r="AA62" s="778"/>
      <c r="AB62" s="778"/>
      <c r="AC62" s="778"/>
      <c r="AD62" s="778"/>
      <c r="AE62" s="778"/>
      <c r="AF62" s="778"/>
      <c r="AG62" s="778"/>
      <c r="AH62" s="778"/>
      <c r="AI62" s="778"/>
      <c r="AJ62" s="778"/>
      <c r="AK62" s="778"/>
      <c r="AL62" s="778"/>
      <c r="AM62" s="778"/>
      <c r="AN62" s="778"/>
      <c r="AO62" s="778"/>
      <c r="AP62" s="778"/>
      <c r="AQ62" s="778"/>
      <c r="AR62" s="778"/>
      <c r="AS62" s="778"/>
      <c r="AT62" s="778"/>
      <c r="AU62" s="598"/>
      <c r="AV62" s="598"/>
      <c r="AW62" s="598"/>
      <c r="AX62" s="595"/>
      <c r="AY62" s="595"/>
      <c r="AZ62" s="197"/>
      <c r="BA62" s="478" t="str">
        <f t="shared" si="2"/>
        <v>SUM_CO2</v>
      </c>
      <c r="BB62" s="573" t="str">
        <f t="shared" si="3"/>
        <v>SUM_EnergyIN</v>
      </c>
      <c r="BC62" s="600"/>
      <c r="BD62" s="5"/>
    </row>
    <row r="63" spans="1:56" x14ac:dyDescent="0.2">
      <c r="A63" s="600"/>
      <c r="B63" s="197"/>
      <c r="C63" s="534">
        <v>40</v>
      </c>
      <c r="D63" s="594"/>
      <c r="E63" s="594"/>
      <c r="F63" s="595"/>
      <c r="G63" s="596"/>
      <c r="H63" s="595"/>
      <c r="I63" s="596"/>
      <c r="J63" s="595"/>
      <c r="K63" s="596"/>
      <c r="L63" s="596"/>
      <c r="M63" s="596"/>
      <c r="N63" s="595"/>
      <c r="O63" s="597"/>
      <c r="P63" s="595"/>
      <c r="Q63" s="597"/>
      <c r="R63" s="595"/>
      <c r="S63" s="597"/>
      <c r="T63" s="595"/>
      <c r="U63" s="597"/>
      <c r="V63" s="778"/>
      <c r="W63" s="778"/>
      <c r="X63" s="778"/>
      <c r="Y63" s="778"/>
      <c r="Z63" s="778"/>
      <c r="AA63" s="778"/>
      <c r="AB63" s="778"/>
      <c r="AC63" s="778"/>
      <c r="AD63" s="778"/>
      <c r="AE63" s="778"/>
      <c r="AF63" s="778"/>
      <c r="AG63" s="778"/>
      <c r="AH63" s="778"/>
      <c r="AI63" s="778"/>
      <c r="AJ63" s="778"/>
      <c r="AK63" s="778"/>
      <c r="AL63" s="778"/>
      <c r="AM63" s="778"/>
      <c r="AN63" s="778"/>
      <c r="AO63" s="778"/>
      <c r="AP63" s="778"/>
      <c r="AQ63" s="778"/>
      <c r="AR63" s="778"/>
      <c r="AS63" s="778"/>
      <c r="AT63" s="778"/>
      <c r="AU63" s="598"/>
      <c r="AV63" s="598"/>
      <c r="AW63" s="598"/>
      <c r="AX63" s="595"/>
      <c r="AY63" s="595"/>
      <c r="AZ63" s="197"/>
      <c r="BA63" s="478" t="str">
        <f t="shared" si="2"/>
        <v>SUM_CO2</v>
      </c>
      <c r="BB63" s="573" t="str">
        <f t="shared" si="3"/>
        <v>SUM_EnergyIN</v>
      </c>
      <c r="BC63" s="600"/>
      <c r="BD63" s="5"/>
    </row>
    <row r="64" spans="1:56" x14ac:dyDescent="0.2">
      <c r="A64" s="600"/>
      <c r="B64" s="197"/>
      <c r="C64" s="534">
        <v>41</v>
      </c>
      <c r="D64" s="594"/>
      <c r="E64" s="594"/>
      <c r="F64" s="595"/>
      <c r="G64" s="596"/>
      <c r="H64" s="595"/>
      <c r="I64" s="596"/>
      <c r="J64" s="595"/>
      <c r="K64" s="596"/>
      <c r="L64" s="596"/>
      <c r="M64" s="596"/>
      <c r="N64" s="595"/>
      <c r="O64" s="597"/>
      <c r="P64" s="595"/>
      <c r="Q64" s="597"/>
      <c r="R64" s="595"/>
      <c r="S64" s="597"/>
      <c r="T64" s="595"/>
      <c r="U64" s="597"/>
      <c r="V64" s="778"/>
      <c r="W64" s="778"/>
      <c r="X64" s="778"/>
      <c r="Y64" s="778"/>
      <c r="Z64" s="778"/>
      <c r="AA64" s="778"/>
      <c r="AB64" s="778"/>
      <c r="AC64" s="778"/>
      <c r="AD64" s="778"/>
      <c r="AE64" s="778"/>
      <c r="AF64" s="778"/>
      <c r="AG64" s="778"/>
      <c r="AH64" s="778"/>
      <c r="AI64" s="778"/>
      <c r="AJ64" s="778"/>
      <c r="AK64" s="778"/>
      <c r="AL64" s="778"/>
      <c r="AM64" s="778"/>
      <c r="AN64" s="778"/>
      <c r="AO64" s="778"/>
      <c r="AP64" s="778"/>
      <c r="AQ64" s="778"/>
      <c r="AR64" s="778"/>
      <c r="AS64" s="778"/>
      <c r="AT64" s="778"/>
      <c r="AU64" s="598"/>
      <c r="AV64" s="598"/>
      <c r="AW64" s="598"/>
      <c r="AX64" s="595"/>
      <c r="AY64" s="595"/>
      <c r="AZ64" s="197"/>
      <c r="BA64" s="478" t="str">
        <f t="shared" si="2"/>
        <v>SUM_CO2</v>
      </c>
      <c r="BB64" s="573" t="str">
        <f t="shared" si="3"/>
        <v>SUM_EnergyIN</v>
      </c>
      <c r="BC64" s="600"/>
      <c r="BD64" s="5"/>
    </row>
    <row r="65" spans="1:56" x14ac:dyDescent="0.2">
      <c r="A65" s="600"/>
      <c r="B65" s="197"/>
      <c r="C65" s="534">
        <v>42</v>
      </c>
      <c r="D65" s="594"/>
      <c r="E65" s="594"/>
      <c r="F65" s="595"/>
      <c r="G65" s="596"/>
      <c r="H65" s="595"/>
      <c r="I65" s="596"/>
      <c r="J65" s="595"/>
      <c r="K65" s="596"/>
      <c r="L65" s="596"/>
      <c r="M65" s="596"/>
      <c r="N65" s="595"/>
      <c r="O65" s="597"/>
      <c r="P65" s="595"/>
      <c r="Q65" s="597"/>
      <c r="R65" s="595"/>
      <c r="S65" s="597"/>
      <c r="T65" s="595"/>
      <c r="U65" s="597"/>
      <c r="V65" s="778"/>
      <c r="W65" s="778"/>
      <c r="X65" s="778"/>
      <c r="Y65" s="778"/>
      <c r="Z65" s="778"/>
      <c r="AA65" s="778"/>
      <c r="AB65" s="778"/>
      <c r="AC65" s="778"/>
      <c r="AD65" s="778"/>
      <c r="AE65" s="778"/>
      <c r="AF65" s="778"/>
      <c r="AG65" s="778"/>
      <c r="AH65" s="778"/>
      <c r="AI65" s="778"/>
      <c r="AJ65" s="778"/>
      <c r="AK65" s="778"/>
      <c r="AL65" s="778"/>
      <c r="AM65" s="778"/>
      <c r="AN65" s="778"/>
      <c r="AO65" s="778"/>
      <c r="AP65" s="778"/>
      <c r="AQ65" s="778"/>
      <c r="AR65" s="778"/>
      <c r="AS65" s="778"/>
      <c r="AT65" s="778"/>
      <c r="AU65" s="598"/>
      <c r="AV65" s="598"/>
      <c r="AW65" s="598"/>
      <c r="AX65" s="595"/>
      <c r="AY65" s="595"/>
      <c r="AZ65" s="197"/>
      <c r="BA65" s="478" t="str">
        <f t="shared" si="2"/>
        <v>SUM_CO2</v>
      </c>
      <c r="BB65" s="573" t="str">
        <f t="shared" si="3"/>
        <v>SUM_EnergyIN</v>
      </c>
      <c r="BC65" s="600"/>
      <c r="BD65" s="5"/>
    </row>
    <row r="66" spans="1:56" x14ac:dyDescent="0.2">
      <c r="A66" s="600"/>
      <c r="B66" s="197"/>
      <c r="C66" s="534">
        <v>43</v>
      </c>
      <c r="D66" s="594"/>
      <c r="E66" s="594"/>
      <c r="F66" s="595"/>
      <c r="G66" s="596"/>
      <c r="H66" s="595"/>
      <c r="I66" s="596"/>
      <c r="J66" s="595"/>
      <c r="K66" s="596"/>
      <c r="L66" s="596"/>
      <c r="M66" s="596"/>
      <c r="N66" s="595"/>
      <c r="O66" s="597"/>
      <c r="P66" s="595"/>
      <c r="Q66" s="597"/>
      <c r="R66" s="595"/>
      <c r="S66" s="597"/>
      <c r="T66" s="595"/>
      <c r="U66" s="597"/>
      <c r="V66" s="778"/>
      <c r="W66" s="778"/>
      <c r="X66" s="778"/>
      <c r="Y66" s="778"/>
      <c r="Z66" s="778"/>
      <c r="AA66" s="778"/>
      <c r="AB66" s="778"/>
      <c r="AC66" s="778"/>
      <c r="AD66" s="778"/>
      <c r="AE66" s="778"/>
      <c r="AF66" s="778"/>
      <c r="AG66" s="778"/>
      <c r="AH66" s="778"/>
      <c r="AI66" s="778"/>
      <c r="AJ66" s="778"/>
      <c r="AK66" s="778"/>
      <c r="AL66" s="778"/>
      <c r="AM66" s="778"/>
      <c r="AN66" s="778"/>
      <c r="AO66" s="778"/>
      <c r="AP66" s="778"/>
      <c r="AQ66" s="778"/>
      <c r="AR66" s="778"/>
      <c r="AS66" s="778"/>
      <c r="AT66" s="778"/>
      <c r="AU66" s="598"/>
      <c r="AV66" s="598"/>
      <c r="AW66" s="598"/>
      <c r="AX66" s="595"/>
      <c r="AY66" s="595"/>
      <c r="AZ66" s="197"/>
      <c r="BA66" s="478" t="str">
        <f t="shared" si="2"/>
        <v>SUM_CO2</v>
      </c>
      <c r="BB66" s="573" t="str">
        <f t="shared" si="3"/>
        <v>SUM_EnergyIN</v>
      </c>
      <c r="BC66" s="600"/>
      <c r="BD66" s="5"/>
    </row>
    <row r="67" spans="1:56" x14ac:dyDescent="0.2">
      <c r="A67" s="600"/>
      <c r="B67" s="197"/>
      <c r="C67" s="534">
        <v>44</v>
      </c>
      <c r="D67" s="594"/>
      <c r="E67" s="594"/>
      <c r="F67" s="595"/>
      <c r="G67" s="596"/>
      <c r="H67" s="595"/>
      <c r="I67" s="596"/>
      <c r="J67" s="595"/>
      <c r="K67" s="596"/>
      <c r="L67" s="596"/>
      <c r="M67" s="596"/>
      <c r="N67" s="595"/>
      <c r="O67" s="597"/>
      <c r="P67" s="595"/>
      <c r="Q67" s="597"/>
      <c r="R67" s="595"/>
      <c r="S67" s="597"/>
      <c r="T67" s="595"/>
      <c r="U67" s="597"/>
      <c r="V67" s="778"/>
      <c r="W67" s="778"/>
      <c r="X67" s="778"/>
      <c r="Y67" s="778"/>
      <c r="Z67" s="778"/>
      <c r="AA67" s="778"/>
      <c r="AB67" s="778"/>
      <c r="AC67" s="778"/>
      <c r="AD67" s="778"/>
      <c r="AE67" s="778"/>
      <c r="AF67" s="778"/>
      <c r="AG67" s="778"/>
      <c r="AH67" s="778"/>
      <c r="AI67" s="778"/>
      <c r="AJ67" s="778"/>
      <c r="AK67" s="778"/>
      <c r="AL67" s="778"/>
      <c r="AM67" s="778"/>
      <c r="AN67" s="778"/>
      <c r="AO67" s="778"/>
      <c r="AP67" s="778"/>
      <c r="AQ67" s="778"/>
      <c r="AR67" s="778"/>
      <c r="AS67" s="778"/>
      <c r="AT67" s="778"/>
      <c r="AU67" s="598"/>
      <c r="AV67" s="598"/>
      <c r="AW67" s="598"/>
      <c r="AX67" s="595"/>
      <c r="AY67" s="595"/>
      <c r="AZ67" s="197"/>
      <c r="BA67" s="478" t="str">
        <f t="shared" si="2"/>
        <v>SUM_CO2</v>
      </c>
      <c r="BB67" s="573" t="str">
        <f t="shared" si="3"/>
        <v>SUM_EnergyIN</v>
      </c>
      <c r="BC67" s="600"/>
      <c r="BD67" s="5"/>
    </row>
    <row r="68" spans="1:56" x14ac:dyDescent="0.2">
      <c r="A68" s="600"/>
      <c r="B68" s="197"/>
      <c r="C68" s="534">
        <v>45</v>
      </c>
      <c r="D68" s="594"/>
      <c r="E68" s="594"/>
      <c r="F68" s="595"/>
      <c r="G68" s="596"/>
      <c r="H68" s="595"/>
      <c r="I68" s="596"/>
      <c r="J68" s="595"/>
      <c r="K68" s="596"/>
      <c r="L68" s="596"/>
      <c r="M68" s="596"/>
      <c r="N68" s="595"/>
      <c r="O68" s="597"/>
      <c r="P68" s="595"/>
      <c r="Q68" s="597"/>
      <c r="R68" s="595"/>
      <c r="S68" s="597"/>
      <c r="T68" s="595"/>
      <c r="U68" s="597"/>
      <c r="V68" s="778"/>
      <c r="W68" s="778"/>
      <c r="X68" s="778"/>
      <c r="Y68" s="778"/>
      <c r="Z68" s="778"/>
      <c r="AA68" s="778"/>
      <c r="AB68" s="778"/>
      <c r="AC68" s="778"/>
      <c r="AD68" s="778"/>
      <c r="AE68" s="778"/>
      <c r="AF68" s="778"/>
      <c r="AG68" s="778"/>
      <c r="AH68" s="778"/>
      <c r="AI68" s="778"/>
      <c r="AJ68" s="778"/>
      <c r="AK68" s="778"/>
      <c r="AL68" s="778"/>
      <c r="AM68" s="778"/>
      <c r="AN68" s="778"/>
      <c r="AO68" s="778"/>
      <c r="AP68" s="778"/>
      <c r="AQ68" s="778"/>
      <c r="AR68" s="778"/>
      <c r="AS68" s="778"/>
      <c r="AT68" s="778"/>
      <c r="AU68" s="598"/>
      <c r="AV68" s="598"/>
      <c r="AW68" s="598"/>
      <c r="AX68" s="595"/>
      <c r="AY68" s="595"/>
      <c r="AZ68" s="197"/>
      <c r="BA68" s="478" t="str">
        <f t="shared" si="2"/>
        <v>SUM_CO2</v>
      </c>
      <c r="BB68" s="573" t="str">
        <f t="shared" si="3"/>
        <v>SUM_EnergyIN</v>
      </c>
      <c r="BC68" s="600"/>
      <c r="BD68" s="5"/>
    </row>
    <row r="69" spans="1:56" x14ac:dyDescent="0.2">
      <c r="A69" s="600"/>
      <c r="B69" s="197"/>
      <c r="C69" s="534">
        <v>46</v>
      </c>
      <c r="D69" s="594"/>
      <c r="E69" s="594"/>
      <c r="F69" s="595"/>
      <c r="G69" s="596"/>
      <c r="H69" s="595"/>
      <c r="I69" s="596"/>
      <c r="J69" s="595"/>
      <c r="K69" s="596"/>
      <c r="L69" s="596"/>
      <c r="M69" s="596"/>
      <c r="N69" s="595"/>
      <c r="O69" s="597"/>
      <c r="P69" s="595"/>
      <c r="Q69" s="597"/>
      <c r="R69" s="595"/>
      <c r="S69" s="597"/>
      <c r="T69" s="595"/>
      <c r="U69" s="597"/>
      <c r="V69" s="778"/>
      <c r="W69" s="778"/>
      <c r="X69" s="778"/>
      <c r="Y69" s="778"/>
      <c r="Z69" s="778"/>
      <c r="AA69" s="778"/>
      <c r="AB69" s="778"/>
      <c r="AC69" s="778"/>
      <c r="AD69" s="778"/>
      <c r="AE69" s="778"/>
      <c r="AF69" s="778"/>
      <c r="AG69" s="778"/>
      <c r="AH69" s="778"/>
      <c r="AI69" s="778"/>
      <c r="AJ69" s="778"/>
      <c r="AK69" s="778"/>
      <c r="AL69" s="778"/>
      <c r="AM69" s="778"/>
      <c r="AN69" s="778"/>
      <c r="AO69" s="778"/>
      <c r="AP69" s="778"/>
      <c r="AQ69" s="778"/>
      <c r="AR69" s="778"/>
      <c r="AS69" s="778"/>
      <c r="AT69" s="778"/>
      <c r="AU69" s="598"/>
      <c r="AV69" s="598"/>
      <c r="AW69" s="598"/>
      <c r="AX69" s="595"/>
      <c r="AY69" s="595"/>
      <c r="AZ69" s="197"/>
      <c r="BA69" s="478" t="str">
        <f t="shared" si="2"/>
        <v>SUM_CO2</v>
      </c>
      <c r="BB69" s="573" t="str">
        <f t="shared" si="3"/>
        <v>SUM_EnergyIN</v>
      </c>
      <c r="BC69" s="600"/>
      <c r="BD69" s="5"/>
    </row>
    <row r="70" spans="1:56" x14ac:dyDescent="0.2">
      <c r="A70" s="600"/>
      <c r="B70" s="197"/>
      <c r="C70" s="534">
        <v>47</v>
      </c>
      <c r="D70" s="594"/>
      <c r="E70" s="594"/>
      <c r="F70" s="595"/>
      <c r="G70" s="596"/>
      <c r="H70" s="595"/>
      <c r="I70" s="596"/>
      <c r="J70" s="595"/>
      <c r="K70" s="596"/>
      <c r="L70" s="596"/>
      <c r="M70" s="596"/>
      <c r="N70" s="595"/>
      <c r="O70" s="597"/>
      <c r="P70" s="595"/>
      <c r="Q70" s="597"/>
      <c r="R70" s="595"/>
      <c r="S70" s="597"/>
      <c r="T70" s="595"/>
      <c r="U70" s="597"/>
      <c r="V70" s="778"/>
      <c r="W70" s="778"/>
      <c r="X70" s="778"/>
      <c r="Y70" s="778"/>
      <c r="Z70" s="778"/>
      <c r="AA70" s="778"/>
      <c r="AB70" s="778"/>
      <c r="AC70" s="778"/>
      <c r="AD70" s="778"/>
      <c r="AE70" s="778"/>
      <c r="AF70" s="778"/>
      <c r="AG70" s="778"/>
      <c r="AH70" s="778"/>
      <c r="AI70" s="778"/>
      <c r="AJ70" s="778"/>
      <c r="AK70" s="778"/>
      <c r="AL70" s="778"/>
      <c r="AM70" s="778"/>
      <c r="AN70" s="778"/>
      <c r="AO70" s="778"/>
      <c r="AP70" s="778"/>
      <c r="AQ70" s="778"/>
      <c r="AR70" s="778"/>
      <c r="AS70" s="778"/>
      <c r="AT70" s="778"/>
      <c r="AU70" s="598"/>
      <c r="AV70" s="598"/>
      <c r="AW70" s="598"/>
      <c r="AX70" s="595"/>
      <c r="AY70" s="595"/>
      <c r="AZ70" s="197"/>
      <c r="BA70" s="478" t="str">
        <f t="shared" si="2"/>
        <v>SUM_CO2</v>
      </c>
      <c r="BB70" s="573" t="str">
        <f t="shared" si="3"/>
        <v>SUM_EnergyIN</v>
      </c>
      <c r="BC70" s="600"/>
      <c r="BD70" s="5"/>
    </row>
    <row r="71" spans="1:56" x14ac:dyDescent="0.2">
      <c r="A71" s="600"/>
      <c r="B71" s="197"/>
      <c r="C71" s="534">
        <v>48</v>
      </c>
      <c r="D71" s="594"/>
      <c r="E71" s="594"/>
      <c r="F71" s="595"/>
      <c r="G71" s="596"/>
      <c r="H71" s="595"/>
      <c r="I71" s="596"/>
      <c r="J71" s="595"/>
      <c r="K71" s="596"/>
      <c r="L71" s="596"/>
      <c r="M71" s="596"/>
      <c r="N71" s="595"/>
      <c r="O71" s="597"/>
      <c r="P71" s="595"/>
      <c r="Q71" s="597"/>
      <c r="R71" s="595"/>
      <c r="S71" s="597"/>
      <c r="T71" s="595"/>
      <c r="U71" s="597"/>
      <c r="V71" s="778"/>
      <c r="W71" s="778"/>
      <c r="X71" s="778"/>
      <c r="Y71" s="778"/>
      <c r="Z71" s="778"/>
      <c r="AA71" s="778"/>
      <c r="AB71" s="778"/>
      <c r="AC71" s="778"/>
      <c r="AD71" s="778"/>
      <c r="AE71" s="778"/>
      <c r="AF71" s="778"/>
      <c r="AG71" s="778"/>
      <c r="AH71" s="778"/>
      <c r="AI71" s="778"/>
      <c r="AJ71" s="778"/>
      <c r="AK71" s="778"/>
      <c r="AL71" s="778"/>
      <c r="AM71" s="778"/>
      <c r="AN71" s="778"/>
      <c r="AO71" s="778"/>
      <c r="AP71" s="778"/>
      <c r="AQ71" s="778"/>
      <c r="AR71" s="778"/>
      <c r="AS71" s="778"/>
      <c r="AT71" s="778"/>
      <c r="AU71" s="598"/>
      <c r="AV71" s="598"/>
      <c r="AW71" s="598"/>
      <c r="AX71" s="595"/>
      <c r="AY71" s="595"/>
      <c r="AZ71" s="197"/>
      <c r="BA71" s="478" t="str">
        <f t="shared" si="2"/>
        <v>SUM_CO2</v>
      </c>
      <c r="BB71" s="573" t="str">
        <f t="shared" si="3"/>
        <v>SUM_EnergyIN</v>
      </c>
      <c r="BC71" s="600"/>
      <c r="BD71" s="5"/>
    </row>
    <row r="72" spans="1:56" x14ac:dyDescent="0.2">
      <c r="A72" s="600"/>
      <c r="B72" s="197"/>
      <c r="C72" s="534">
        <v>49</v>
      </c>
      <c r="D72" s="594"/>
      <c r="E72" s="594"/>
      <c r="F72" s="595"/>
      <c r="G72" s="596"/>
      <c r="H72" s="595"/>
      <c r="I72" s="596"/>
      <c r="J72" s="595"/>
      <c r="K72" s="596"/>
      <c r="L72" s="596"/>
      <c r="M72" s="596"/>
      <c r="N72" s="595"/>
      <c r="O72" s="597"/>
      <c r="P72" s="595"/>
      <c r="Q72" s="597"/>
      <c r="R72" s="595"/>
      <c r="S72" s="597"/>
      <c r="T72" s="595"/>
      <c r="U72" s="597"/>
      <c r="V72" s="778"/>
      <c r="W72" s="778"/>
      <c r="X72" s="778"/>
      <c r="Y72" s="778"/>
      <c r="Z72" s="778"/>
      <c r="AA72" s="778"/>
      <c r="AB72" s="778"/>
      <c r="AC72" s="778"/>
      <c r="AD72" s="778"/>
      <c r="AE72" s="778"/>
      <c r="AF72" s="778"/>
      <c r="AG72" s="778"/>
      <c r="AH72" s="778"/>
      <c r="AI72" s="778"/>
      <c r="AJ72" s="778"/>
      <c r="AK72" s="778"/>
      <c r="AL72" s="778"/>
      <c r="AM72" s="778"/>
      <c r="AN72" s="778"/>
      <c r="AO72" s="778"/>
      <c r="AP72" s="778"/>
      <c r="AQ72" s="778"/>
      <c r="AR72" s="778"/>
      <c r="AS72" s="778"/>
      <c r="AT72" s="778"/>
      <c r="AU72" s="598"/>
      <c r="AV72" s="598"/>
      <c r="AW72" s="598"/>
      <c r="AX72" s="595"/>
      <c r="AY72" s="595"/>
      <c r="AZ72" s="197"/>
      <c r="BA72" s="478" t="str">
        <f t="shared" si="2"/>
        <v>SUM_CO2</v>
      </c>
      <c r="BB72" s="573" t="str">
        <f t="shared" si="3"/>
        <v>SUM_EnergyIN</v>
      </c>
      <c r="BC72" s="600"/>
      <c r="BD72" s="5"/>
    </row>
    <row r="73" spans="1:56" x14ac:dyDescent="0.2">
      <c r="A73" s="600"/>
      <c r="B73" s="197"/>
      <c r="C73" s="534">
        <v>50</v>
      </c>
      <c r="D73" s="594"/>
      <c r="E73" s="594"/>
      <c r="F73" s="595"/>
      <c r="G73" s="596"/>
      <c r="H73" s="595"/>
      <c r="I73" s="596"/>
      <c r="J73" s="595"/>
      <c r="K73" s="596"/>
      <c r="L73" s="596"/>
      <c r="M73" s="596"/>
      <c r="N73" s="595"/>
      <c r="O73" s="597"/>
      <c r="P73" s="595"/>
      <c r="Q73" s="597"/>
      <c r="R73" s="595"/>
      <c r="S73" s="597"/>
      <c r="T73" s="595"/>
      <c r="U73" s="597"/>
      <c r="V73" s="778"/>
      <c r="W73" s="778"/>
      <c r="X73" s="778"/>
      <c r="Y73" s="778"/>
      <c r="Z73" s="778"/>
      <c r="AA73" s="778"/>
      <c r="AB73" s="778"/>
      <c r="AC73" s="778"/>
      <c r="AD73" s="778"/>
      <c r="AE73" s="778"/>
      <c r="AF73" s="778"/>
      <c r="AG73" s="778"/>
      <c r="AH73" s="778"/>
      <c r="AI73" s="778"/>
      <c r="AJ73" s="778"/>
      <c r="AK73" s="778"/>
      <c r="AL73" s="778"/>
      <c r="AM73" s="778"/>
      <c r="AN73" s="778"/>
      <c r="AO73" s="778"/>
      <c r="AP73" s="778"/>
      <c r="AQ73" s="778"/>
      <c r="AR73" s="778"/>
      <c r="AS73" s="778"/>
      <c r="AT73" s="778"/>
      <c r="AU73" s="598"/>
      <c r="AV73" s="598"/>
      <c r="AW73" s="598"/>
      <c r="AX73" s="595"/>
      <c r="AY73" s="595"/>
      <c r="AZ73" s="197"/>
      <c r="BA73" s="478" t="str">
        <f t="shared" si="2"/>
        <v>SUM_CO2</v>
      </c>
      <c r="BB73" s="573" t="str">
        <f t="shared" si="3"/>
        <v>SUM_EnergyIN</v>
      </c>
      <c r="BC73" s="600"/>
      <c r="BD73" s="5"/>
    </row>
    <row r="74" spans="1:56" x14ac:dyDescent="0.2">
      <c r="A74" s="600"/>
      <c r="B74" s="197"/>
      <c r="C74" s="534">
        <v>51</v>
      </c>
      <c r="D74" s="594"/>
      <c r="E74" s="594"/>
      <c r="F74" s="595"/>
      <c r="G74" s="596"/>
      <c r="H74" s="595"/>
      <c r="I74" s="596"/>
      <c r="J74" s="595"/>
      <c r="K74" s="596"/>
      <c r="L74" s="596"/>
      <c r="M74" s="596"/>
      <c r="N74" s="595"/>
      <c r="O74" s="597"/>
      <c r="P74" s="595"/>
      <c r="Q74" s="597"/>
      <c r="R74" s="595"/>
      <c r="S74" s="597"/>
      <c r="T74" s="595"/>
      <c r="U74" s="597"/>
      <c r="V74" s="778"/>
      <c r="W74" s="778"/>
      <c r="X74" s="778"/>
      <c r="Y74" s="778"/>
      <c r="Z74" s="778"/>
      <c r="AA74" s="778"/>
      <c r="AB74" s="778"/>
      <c r="AC74" s="778"/>
      <c r="AD74" s="778"/>
      <c r="AE74" s="778"/>
      <c r="AF74" s="778"/>
      <c r="AG74" s="778"/>
      <c r="AH74" s="778"/>
      <c r="AI74" s="778"/>
      <c r="AJ74" s="778"/>
      <c r="AK74" s="778"/>
      <c r="AL74" s="778"/>
      <c r="AM74" s="778"/>
      <c r="AN74" s="778"/>
      <c r="AO74" s="778"/>
      <c r="AP74" s="778"/>
      <c r="AQ74" s="778"/>
      <c r="AR74" s="778"/>
      <c r="AS74" s="778"/>
      <c r="AT74" s="778"/>
      <c r="AU74" s="598"/>
      <c r="AV74" s="598"/>
      <c r="AW74" s="598"/>
      <c r="AX74" s="595"/>
      <c r="AY74" s="595"/>
      <c r="AZ74" s="197"/>
      <c r="BA74" s="478" t="str">
        <f t="shared" si="2"/>
        <v>SUM_CO2</v>
      </c>
      <c r="BB74" s="573" t="str">
        <f t="shared" si="3"/>
        <v>SUM_EnergyIN</v>
      </c>
      <c r="BC74" s="600"/>
      <c r="BD74" s="5"/>
    </row>
    <row r="75" spans="1:56" x14ac:dyDescent="0.2">
      <c r="A75" s="600"/>
      <c r="B75" s="197"/>
      <c r="C75" s="534">
        <v>52</v>
      </c>
      <c r="D75" s="594"/>
      <c r="E75" s="594"/>
      <c r="F75" s="595"/>
      <c r="G75" s="596"/>
      <c r="H75" s="595"/>
      <c r="I75" s="596"/>
      <c r="J75" s="595"/>
      <c r="K75" s="596"/>
      <c r="L75" s="596"/>
      <c r="M75" s="596"/>
      <c r="N75" s="595"/>
      <c r="O75" s="597"/>
      <c r="P75" s="595"/>
      <c r="Q75" s="597"/>
      <c r="R75" s="595"/>
      <c r="S75" s="597"/>
      <c r="T75" s="595"/>
      <c r="U75" s="597"/>
      <c r="V75" s="778"/>
      <c r="W75" s="778"/>
      <c r="X75" s="778"/>
      <c r="Y75" s="778"/>
      <c r="Z75" s="778"/>
      <c r="AA75" s="778"/>
      <c r="AB75" s="778"/>
      <c r="AC75" s="778"/>
      <c r="AD75" s="778"/>
      <c r="AE75" s="778"/>
      <c r="AF75" s="778"/>
      <c r="AG75" s="778"/>
      <c r="AH75" s="778"/>
      <c r="AI75" s="778"/>
      <c r="AJ75" s="778"/>
      <c r="AK75" s="778"/>
      <c r="AL75" s="778"/>
      <c r="AM75" s="778"/>
      <c r="AN75" s="778"/>
      <c r="AO75" s="778"/>
      <c r="AP75" s="778"/>
      <c r="AQ75" s="778"/>
      <c r="AR75" s="778"/>
      <c r="AS75" s="778"/>
      <c r="AT75" s="778"/>
      <c r="AU75" s="598"/>
      <c r="AV75" s="598"/>
      <c r="AW75" s="598"/>
      <c r="AX75" s="595"/>
      <c r="AY75" s="595"/>
      <c r="AZ75" s="197"/>
      <c r="BA75" s="478" t="str">
        <f t="shared" si="2"/>
        <v>SUM_CO2</v>
      </c>
      <c r="BB75" s="573" t="str">
        <f t="shared" si="3"/>
        <v>SUM_EnergyIN</v>
      </c>
      <c r="BC75" s="600"/>
      <c r="BD75" s="5"/>
    </row>
    <row r="76" spans="1:56" x14ac:dyDescent="0.2">
      <c r="A76" s="600"/>
      <c r="B76" s="197"/>
      <c r="C76" s="534">
        <v>53</v>
      </c>
      <c r="D76" s="594"/>
      <c r="E76" s="594"/>
      <c r="F76" s="595"/>
      <c r="G76" s="596"/>
      <c r="H76" s="595"/>
      <c r="I76" s="596"/>
      <c r="J76" s="595"/>
      <c r="K76" s="596"/>
      <c r="L76" s="596"/>
      <c r="M76" s="596"/>
      <c r="N76" s="595"/>
      <c r="O76" s="597"/>
      <c r="P76" s="595"/>
      <c r="Q76" s="597"/>
      <c r="R76" s="595"/>
      <c r="S76" s="597"/>
      <c r="T76" s="595"/>
      <c r="U76" s="597"/>
      <c r="V76" s="778"/>
      <c r="W76" s="778"/>
      <c r="X76" s="778"/>
      <c r="Y76" s="778"/>
      <c r="Z76" s="778"/>
      <c r="AA76" s="778"/>
      <c r="AB76" s="778"/>
      <c r="AC76" s="778"/>
      <c r="AD76" s="778"/>
      <c r="AE76" s="778"/>
      <c r="AF76" s="778"/>
      <c r="AG76" s="778"/>
      <c r="AH76" s="778"/>
      <c r="AI76" s="778"/>
      <c r="AJ76" s="778"/>
      <c r="AK76" s="778"/>
      <c r="AL76" s="778"/>
      <c r="AM76" s="778"/>
      <c r="AN76" s="778"/>
      <c r="AO76" s="778"/>
      <c r="AP76" s="778"/>
      <c r="AQ76" s="778"/>
      <c r="AR76" s="778"/>
      <c r="AS76" s="778"/>
      <c r="AT76" s="778"/>
      <c r="AU76" s="598"/>
      <c r="AV76" s="598"/>
      <c r="AW76" s="598"/>
      <c r="AX76" s="595"/>
      <c r="AY76" s="595"/>
      <c r="AZ76" s="197"/>
      <c r="BA76" s="478" t="str">
        <f t="shared" si="2"/>
        <v>SUM_CO2</v>
      </c>
      <c r="BB76" s="573" t="str">
        <f t="shared" si="3"/>
        <v>SUM_EnergyIN</v>
      </c>
      <c r="BC76" s="600"/>
      <c r="BD76" s="5"/>
    </row>
    <row r="77" spans="1:56" x14ac:dyDescent="0.2">
      <c r="A77" s="600"/>
      <c r="B77" s="197"/>
      <c r="C77" s="534">
        <v>54</v>
      </c>
      <c r="D77" s="594"/>
      <c r="E77" s="594"/>
      <c r="F77" s="595"/>
      <c r="G77" s="596"/>
      <c r="H77" s="595"/>
      <c r="I77" s="596"/>
      <c r="J77" s="595"/>
      <c r="K77" s="596"/>
      <c r="L77" s="596"/>
      <c r="M77" s="596"/>
      <c r="N77" s="595"/>
      <c r="O77" s="597"/>
      <c r="P77" s="595"/>
      <c r="Q77" s="597"/>
      <c r="R77" s="595"/>
      <c r="S77" s="597"/>
      <c r="T77" s="595"/>
      <c r="U77" s="597"/>
      <c r="V77" s="778"/>
      <c r="W77" s="778"/>
      <c r="X77" s="778"/>
      <c r="Y77" s="778"/>
      <c r="Z77" s="778"/>
      <c r="AA77" s="778"/>
      <c r="AB77" s="778"/>
      <c r="AC77" s="778"/>
      <c r="AD77" s="778"/>
      <c r="AE77" s="778"/>
      <c r="AF77" s="778"/>
      <c r="AG77" s="778"/>
      <c r="AH77" s="778"/>
      <c r="AI77" s="778"/>
      <c r="AJ77" s="778"/>
      <c r="AK77" s="778"/>
      <c r="AL77" s="778"/>
      <c r="AM77" s="778"/>
      <c r="AN77" s="778"/>
      <c r="AO77" s="778"/>
      <c r="AP77" s="778"/>
      <c r="AQ77" s="778"/>
      <c r="AR77" s="778"/>
      <c r="AS77" s="778"/>
      <c r="AT77" s="778"/>
      <c r="AU77" s="598"/>
      <c r="AV77" s="598"/>
      <c r="AW77" s="598"/>
      <c r="AX77" s="595"/>
      <c r="AY77" s="595"/>
      <c r="AZ77" s="197"/>
      <c r="BA77" s="478" t="str">
        <f t="shared" si="2"/>
        <v>SUM_CO2</v>
      </c>
      <c r="BB77" s="573" t="str">
        <f t="shared" si="3"/>
        <v>SUM_EnergyIN</v>
      </c>
      <c r="BC77" s="600"/>
      <c r="BD77" s="5"/>
    </row>
    <row r="78" spans="1:56" x14ac:dyDescent="0.2">
      <c r="A78" s="600"/>
      <c r="B78" s="197"/>
      <c r="C78" s="534">
        <v>55</v>
      </c>
      <c r="D78" s="594"/>
      <c r="E78" s="594"/>
      <c r="F78" s="595"/>
      <c r="G78" s="596"/>
      <c r="H78" s="595"/>
      <c r="I78" s="596"/>
      <c r="J78" s="595"/>
      <c r="K78" s="596"/>
      <c r="L78" s="596"/>
      <c r="M78" s="596"/>
      <c r="N78" s="595"/>
      <c r="O78" s="597"/>
      <c r="P78" s="595"/>
      <c r="Q78" s="597"/>
      <c r="R78" s="595"/>
      <c r="S78" s="597"/>
      <c r="T78" s="595"/>
      <c r="U78" s="597"/>
      <c r="V78" s="778"/>
      <c r="W78" s="778"/>
      <c r="X78" s="778"/>
      <c r="Y78" s="778"/>
      <c r="Z78" s="778"/>
      <c r="AA78" s="778"/>
      <c r="AB78" s="778"/>
      <c r="AC78" s="778"/>
      <c r="AD78" s="778"/>
      <c r="AE78" s="778"/>
      <c r="AF78" s="778"/>
      <c r="AG78" s="778"/>
      <c r="AH78" s="778"/>
      <c r="AI78" s="778"/>
      <c r="AJ78" s="778"/>
      <c r="AK78" s="778"/>
      <c r="AL78" s="778"/>
      <c r="AM78" s="778"/>
      <c r="AN78" s="778"/>
      <c r="AO78" s="778"/>
      <c r="AP78" s="778"/>
      <c r="AQ78" s="778"/>
      <c r="AR78" s="778"/>
      <c r="AS78" s="778"/>
      <c r="AT78" s="778"/>
      <c r="AU78" s="598"/>
      <c r="AV78" s="598"/>
      <c r="AW78" s="598"/>
      <c r="AX78" s="595"/>
      <c r="AY78" s="595"/>
      <c r="AZ78" s="197"/>
      <c r="BA78" s="478" t="str">
        <f t="shared" si="2"/>
        <v>SUM_CO2</v>
      </c>
      <c r="BB78" s="573" t="str">
        <f t="shared" si="3"/>
        <v>SUM_EnergyIN</v>
      </c>
      <c r="BC78" s="600"/>
      <c r="BD78" s="5"/>
    </row>
    <row r="79" spans="1:56" x14ac:dyDescent="0.2">
      <c r="A79" s="600"/>
      <c r="B79" s="197"/>
      <c r="C79" s="534">
        <v>56</v>
      </c>
      <c r="D79" s="594"/>
      <c r="E79" s="594"/>
      <c r="F79" s="595"/>
      <c r="G79" s="596"/>
      <c r="H79" s="595"/>
      <c r="I79" s="596"/>
      <c r="J79" s="595"/>
      <c r="K79" s="596"/>
      <c r="L79" s="596"/>
      <c r="M79" s="596"/>
      <c r="N79" s="595"/>
      <c r="O79" s="597"/>
      <c r="P79" s="595"/>
      <c r="Q79" s="597"/>
      <c r="R79" s="595"/>
      <c r="S79" s="597"/>
      <c r="T79" s="595"/>
      <c r="U79" s="597"/>
      <c r="V79" s="778"/>
      <c r="W79" s="778"/>
      <c r="X79" s="778"/>
      <c r="Y79" s="778"/>
      <c r="Z79" s="778"/>
      <c r="AA79" s="778"/>
      <c r="AB79" s="778"/>
      <c r="AC79" s="778"/>
      <c r="AD79" s="778"/>
      <c r="AE79" s="778"/>
      <c r="AF79" s="778"/>
      <c r="AG79" s="778"/>
      <c r="AH79" s="778"/>
      <c r="AI79" s="778"/>
      <c r="AJ79" s="778"/>
      <c r="AK79" s="778"/>
      <c r="AL79" s="778"/>
      <c r="AM79" s="778"/>
      <c r="AN79" s="778"/>
      <c r="AO79" s="778"/>
      <c r="AP79" s="778"/>
      <c r="AQ79" s="778"/>
      <c r="AR79" s="778"/>
      <c r="AS79" s="778"/>
      <c r="AT79" s="778"/>
      <c r="AU79" s="598"/>
      <c r="AV79" s="598"/>
      <c r="AW79" s="598"/>
      <c r="AX79" s="595"/>
      <c r="AY79" s="595"/>
      <c r="AZ79" s="197"/>
      <c r="BA79" s="478" t="str">
        <f t="shared" si="2"/>
        <v>SUM_CO2</v>
      </c>
      <c r="BB79" s="573" t="str">
        <f t="shared" si="3"/>
        <v>SUM_EnergyIN</v>
      </c>
      <c r="BC79" s="600"/>
      <c r="BD79" s="5"/>
    </row>
    <row r="80" spans="1:56" x14ac:dyDescent="0.2">
      <c r="A80" s="600"/>
      <c r="B80" s="197"/>
      <c r="C80" s="534">
        <v>57</v>
      </c>
      <c r="D80" s="594"/>
      <c r="E80" s="594"/>
      <c r="F80" s="595"/>
      <c r="G80" s="596"/>
      <c r="H80" s="595"/>
      <c r="I80" s="596"/>
      <c r="J80" s="595"/>
      <c r="K80" s="596"/>
      <c r="L80" s="596"/>
      <c r="M80" s="596"/>
      <c r="N80" s="595"/>
      <c r="O80" s="597"/>
      <c r="P80" s="595"/>
      <c r="Q80" s="597"/>
      <c r="R80" s="595"/>
      <c r="S80" s="597"/>
      <c r="T80" s="595"/>
      <c r="U80" s="597"/>
      <c r="V80" s="778"/>
      <c r="W80" s="778"/>
      <c r="X80" s="778"/>
      <c r="Y80" s="778"/>
      <c r="Z80" s="778"/>
      <c r="AA80" s="778"/>
      <c r="AB80" s="778"/>
      <c r="AC80" s="778"/>
      <c r="AD80" s="778"/>
      <c r="AE80" s="778"/>
      <c r="AF80" s="778"/>
      <c r="AG80" s="778"/>
      <c r="AH80" s="778"/>
      <c r="AI80" s="778"/>
      <c r="AJ80" s="778"/>
      <c r="AK80" s="778"/>
      <c r="AL80" s="778"/>
      <c r="AM80" s="778"/>
      <c r="AN80" s="778"/>
      <c r="AO80" s="778"/>
      <c r="AP80" s="778"/>
      <c r="AQ80" s="778"/>
      <c r="AR80" s="778"/>
      <c r="AS80" s="778"/>
      <c r="AT80" s="778"/>
      <c r="AU80" s="598"/>
      <c r="AV80" s="598"/>
      <c r="AW80" s="598"/>
      <c r="AX80" s="595"/>
      <c r="AY80" s="595"/>
      <c r="AZ80" s="197"/>
      <c r="BA80" s="478" t="str">
        <f t="shared" si="2"/>
        <v>SUM_CO2</v>
      </c>
      <c r="BB80" s="573" t="str">
        <f t="shared" si="3"/>
        <v>SUM_EnergyIN</v>
      </c>
      <c r="BC80" s="600"/>
      <c r="BD80" s="5"/>
    </row>
    <row r="81" spans="1:56" x14ac:dyDescent="0.2">
      <c r="A81" s="600"/>
      <c r="B81" s="197"/>
      <c r="C81" s="534">
        <v>58</v>
      </c>
      <c r="D81" s="594"/>
      <c r="E81" s="594"/>
      <c r="F81" s="595"/>
      <c r="G81" s="596"/>
      <c r="H81" s="595"/>
      <c r="I81" s="596"/>
      <c r="J81" s="595"/>
      <c r="K81" s="596"/>
      <c r="L81" s="596"/>
      <c r="M81" s="596"/>
      <c r="N81" s="595"/>
      <c r="O81" s="597"/>
      <c r="P81" s="595"/>
      <c r="Q81" s="597"/>
      <c r="R81" s="595"/>
      <c r="S81" s="597"/>
      <c r="T81" s="595"/>
      <c r="U81" s="597"/>
      <c r="V81" s="778"/>
      <c r="W81" s="778"/>
      <c r="X81" s="778"/>
      <c r="Y81" s="778"/>
      <c r="Z81" s="778"/>
      <c r="AA81" s="778"/>
      <c r="AB81" s="778"/>
      <c r="AC81" s="778"/>
      <c r="AD81" s="778"/>
      <c r="AE81" s="778"/>
      <c r="AF81" s="778"/>
      <c r="AG81" s="778"/>
      <c r="AH81" s="778"/>
      <c r="AI81" s="778"/>
      <c r="AJ81" s="778"/>
      <c r="AK81" s="778"/>
      <c r="AL81" s="778"/>
      <c r="AM81" s="778"/>
      <c r="AN81" s="778"/>
      <c r="AO81" s="778"/>
      <c r="AP81" s="778"/>
      <c r="AQ81" s="778"/>
      <c r="AR81" s="778"/>
      <c r="AS81" s="778"/>
      <c r="AT81" s="778"/>
      <c r="AU81" s="598"/>
      <c r="AV81" s="598"/>
      <c r="AW81" s="598"/>
      <c r="AX81" s="595"/>
      <c r="AY81" s="595"/>
      <c r="AZ81" s="197"/>
      <c r="BA81" s="478" t="str">
        <f t="shared" si="2"/>
        <v>SUM_CO2</v>
      </c>
      <c r="BB81" s="573" t="str">
        <f t="shared" si="3"/>
        <v>SUM_EnergyIN</v>
      </c>
      <c r="BC81" s="600"/>
      <c r="BD81" s="5"/>
    </row>
    <row r="82" spans="1:56" x14ac:dyDescent="0.2">
      <c r="A82" s="600"/>
      <c r="B82" s="197"/>
      <c r="C82" s="534">
        <v>59</v>
      </c>
      <c r="D82" s="594"/>
      <c r="E82" s="594"/>
      <c r="F82" s="595"/>
      <c r="G82" s="596"/>
      <c r="H82" s="595"/>
      <c r="I82" s="596"/>
      <c r="J82" s="595"/>
      <c r="K82" s="596"/>
      <c r="L82" s="596"/>
      <c r="M82" s="596"/>
      <c r="N82" s="595"/>
      <c r="O82" s="597"/>
      <c r="P82" s="595"/>
      <c r="Q82" s="597"/>
      <c r="R82" s="595"/>
      <c r="S82" s="597"/>
      <c r="T82" s="595"/>
      <c r="U82" s="597"/>
      <c r="V82" s="778"/>
      <c r="W82" s="778"/>
      <c r="X82" s="778"/>
      <c r="Y82" s="778"/>
      <c r="Z82" s="778"/>
      <c r="AA82" s="778"/>
      <c r="AB82" s="778"/>
      <c r="AC82" s="778"/>
      <c r="AD82" s="778"/>
      <c r="AE82" s="778"/>
      <c r="AF82" s="778"/>
      <c r="AG82" s="778"/>
      <c r="AH82" s="778"/>
      <c r="AI82" s="778"/>
      <c r="AJ82" s="778"/>
      <c r="AK82" s="778"/>
      <c r="AL82" s="778"/>
      <c r="AM82" s="778"/>
      <c r="AN82" s="778"/>
      <c r="AO82" s="778"/>
      <c r="AP82" s="778"/>
      <c r="AQ82" s="778"/>
      <c r="AR82" s="778"/>
      <c r="AS82" s="778"/>
      <c r="AT82" s="778"/>
      <c r="AU82" s="598"/>
      <c r="AV82" s="598"/>
      <c r="AW82" s="598"/>
      <c r="AX82" s="595"/>
      <c r="AY82" s="595"/>
      <c r="AZ82" s="197"/>
      <c r="BA82" s="478" t="str">
        <f t="shared" si="2"/>
        <v>SUM_CO2</v>
      </c>
      <c r="BB82" s="573" t="str">
        <f t="shared" si="3"/>
        <v>SUM_EnergyIN</v>
      </c>
      <c r="BC82" s="600"/>
      <c r="BD82" s="5"/>
    </row>
    <row r="83" spans="1:56" x14ac:dyDescent="0.2">
      <c r="A83" s="600"/>
      <c r="B83" s="197"/>
      <c r="C83" s="534">
        <v>60</v>
      </c>
      <c r="D83" s="594"/>
      <c r="E83" s="594"/>
      <c r="F83" s="595"/>
      <c r="G83" s="596"/>
      <c r="H83" s="595"/>
      <c r="I83" s="596"/>
      <c r="J83" s="595"/>
      <c r="K83" s="596"/>
      <c r="L83" s="596"/>
      <c r="M83" s="596"/>
      <c r="N83" s="595"/>
      <c r="O83" s="597"/>
      <c r="P83" s="595"/>
      <c r="Q83" s="597"/>
      <c r="R83" s="595"/>
      <c r="S83" s="597"/>
      <c r="T83" s="595"/>
      <c r="U83" s="597"/>
      <c r="V83" s="778"/>
      <c r="W83" s="778"/>
      <c r="X83" s="778"/>
      <c r="Y83" s="778"/>
      <c r="Z83" s="778"/>
      <c r="AA83" s="778"/>
      <c r="AB83" s="778"/>
      <c r="AC83" s="778"/>
      <c r="AD83" s="778"/>
      <c r="AE83" s="778"/>
      <c r="AF83" s="778"/>
      <c r="AG83" s="778"/>
      <c r="AH83" s="778"/>
      <c r="AI83" s="778"/>
      <c r="AJ83" s="778"/>
      <c r="AK83" s="778"/>
      <c r="AL83" s="778"/>
      <c r="AM83" s="778"/>
      <c r="AN83" s="778"/>
      <c r="AO83" s="778"/>
      <c r="AP83" s="778"/>
      <c r="AQ83" s="778"/>
      <c r="AR83" s="778"/>
      <c r="AS83" s="778"/>
      <c r="AT83" s="778"/>
      <c r="AU83" s="598"/>
      <c r="AV83" s="598"/>
      <c r="AW83" s="598"/>
      <c r="AX83" s="595"/>
      <c r="AY83" s="595"/>
      <c r="AZ83" s="197"/>
      <c r="BA83" s="478" t="str">
        <f t="shared" si="2"/>
        <v>SUM_CO2</v>
      </c>
      <c r="BB83" s="573" t="str">
        <f t="shared" si="3"/>
        <v>SUM_EnergyIN</v>
      </c>
      <c r="BC83" s="600"/>
      <c r="BD83" s="5"/>
    </row>
    <row r="84" spans="1:56" x14ac:dyDescent="0.2">
      <c r="A84" s="600"/>
      <c r="B84" s="197"/>
      <c r="C84" s="534">
        <v>61</v>
      </c>
      <c r="D84" s="594"/>
      <c r="E84" s="594"/>
      <c r="F84" s="595"/>
      <c r="G84" s="596"/>
      <c r="H84" s="595"/>
      <c r="I84" s="596"/>
      <c r="J84" s="595"/>
      <c r="K84" s="596"/>
      <c r="L84" s="596"/>
      <c r="M84" s="596"/>
      <c r="N84" s="595"/>
      <c r="O84" s="597"/>
      <c r="P84" s="595"/>
      <c r="Q84" s="597"/>
      <c r="R84" s="595"/>
      <c r="S84" s="597"/>
      <c r="T84" s="595"/>
      <c r="U84" s="597"/>
      <c r="V84" s="778"/>
      <c r="W84" s="778"/>
      <c r="X84" s="778"/>
      <c r="Y84" s="778"/>
      <c r="Z84" s="778"/>
      <c r="AA84" s="778"/>
      <c r="AB84" s="778"/>
      <c r="AC84" s="778"/>
      <c r="AD84" s="778"/>
      <c r="AE84" s="778"/>
      <c r="AF84" s="778"/>
      <c r="AG84" s="778"/>
      <c r="AH84" s="778"/>
      <c r="AI84" s="778"/>
      <c r="AJ84" s="778"/>
      <c r="AK84" s="778"/>
      <c r="AL84" s="778"/>
      <c r="AM84" s="778"/>
      <c r="AN84" s="778"/>
      <c r="AO84" s="778"/>
      <c r="AP84" s="778"/>
      <c r="AQ84" s="778"/>
      <c r="AR84" s="778"/>
      <c r="AS84" s="778"/>
      <c r="AT84" s="778"/>
      <c r="AU84" s="598"/>
      <c r="AV84" s="598"/>
      <c r="AW84" s="598"/>
      <c r="AX84" s="595"/>
      <c r="AY84" s="595"/>
      <c r="AZ84" s="197"/>
      <c r="BA84" s="478" t="str">
        <f t="shared" si="2"/>
        <v>SUM_CO2</v>
      </c>
      <c r="BB84" s="573" t="str">
        <f t="shared" si="3"/>
        <v>SUM_EnergyIN</v>
      </c>
      <c r="BC84" s="600"/>
      <c r="BD84" s="5"/>
    </row>
    <row r="85" spans="1:56" x14ac:dyDescent="0.2">
      <c r="A85" s="600"/>
      <c r="B85" s="197"/>
      <c r="C85" s="534">
        <v>62</v>
      </c>
      <c r="D85" s="594"/>
      <c r="E85" s="594"/>
      <c r="F85" s="595"/>
      <c r="G85" s="596"/>
      <c r="H85" s="595"/>
      <c r="I85" s="596"/>
      <c r="J85" s="595"/>
      <c r="K85" s="596"/>
      <c r="L85" s="596"/>
      <c r="M85" s="596"/>
      <c r="N85" s="595"/>
      <c r="O85" s="597"/>
      <c r="P85" s="595"/>
      <c r="Q85" s="597"/>
      <c r="R85" s="595"/>
      <c r="S85" s="597"/>
      <c r="T85" s="595"/>
      <c r="U85" s="597"/>
      <c r="V85" s="778"/>
      <c r="W85" s="778"/>
      <c r="X85" s="778"/>
      <c r="Y85" s="778"/>
      <c r="Z85" s="778"/>
      <c r="AA85" s="778"/>
      <c r="AB85" s="778"/>
      <c r="AC85" s="778"/>
      <c r="AD85" s="778"/>
      <c r="AE85" s="778"/>
      <c r="AF85" s="778"/>
      <c r="AG85" s="778"/>
      <c r="AH85" s="778"/>
      <c r="AI85" s="778"/>
      <c r="AJ85" s="778"/>
      <c r="AK85" s="778"/>
      <c r="AL85" s="778"/>
      <c r="AM85" s="778"/>
      <c r="AN85" s="778"/>
      <c r="AO85" s="778"/>
      <c r="AP85" s="778"/>
      <c r="AQ85" s="778"/>
      <c r="AR85" s="778"/>
      <c r="AS85" s="778"/>
      <c r="AT85" s="778"/>
      <c r="AU85" s="598"/>
      <c r="AV85" s="598"/>
      <c r="AW85" s="598"/>
      <c r="AX85" s="595"/>
      <c r="AY85" s="595"/>
      <c r="AZ85" s="197"/>
      <c r="BA85" s="478" t="str">
        <f t="shared" si="2"/>
        <v>SUM_CO2</v>
      </c>
      <c r="BB85" s="573" t="str">
        <f t="shared" si="3"/>
        <v>SUM_EnergyIN</v>
      </c>
      <c r="BC85" s="600"/>
      <c r="BD85" s="5"/>
    </row>
    <row r="86" spans="1:56" x14ac:dyDescent="0.2">
      <c r="A86" s="600"/>
      <c r="B86" s="197"/>
      <c r="C86" s="534">
        <v>63</v>
      </c>
      <c r="D86" s="594"/>
      <c r="E86" s="594"/>
      <c r="F86" s="595"/>
      <c r="G86" s="596"/>
      <c r="H86" s="595"/>
      <c r="I86" s="596"/>
      <c r="J86" s="595"/>
      <c r="K86" s="596"/>
      <c r="L86" s="596"/>
      <c r="M86" s="596"/>
      <c r="N86" s="595"/>
      <c r="O86" s="597"/>
      <c r="P86" s="595"/>
      <c r="Q86" s="597"/>
      <c r="R86" s="595"/>
      <c r="S86" s="597"/>
      <c r="T86" s="595"/>
      <c r="U86" s="597"/>
      <c r="V86" s="778"/>
      <c r="W86" s="778"/>
      <c r="X86" s="778"/>
      <c r="Y86" s="778"/>
      <c r="Z86" s="778"/>
      <c r="AA86" s="778"/>
      <c r="AB86" s="778"/>
      <c r="AC86" s="778"/>
      <c r="AD86" s="778"/>
      <c r="AE86" s="778"/>
      <c r="AF86" s="778"/>
      <c r="AG86" s="778"/>
      <c r="AH86" s="778"/>
      <c r="AI86" s="778"/>
      <c r="AJ86" s="778"/>
      <c r="AK86" s="778"/>
      <c r="AL86" s="778"/>
      <c r="AM86" s="778"/>
      <c r="AN86" s="778"/>
      <c r="AO86" s="778"/>
      <c r="AP86" s="778"/>
      <c r="AQ86" s="778"/>
      <c r="AR86" s="778"/>
      <c r="AS86" s="778"/>
      <c r="AT86" s="778"/>
      <c r="AU86" s="598"/>
      <c r="AV86" s="598"/>
      <c r="AW86" s="598"/>
      <c r="AX86" s="595"/>
      <c r="AY86" s="595"/>
      <c r="AZ86" s="197"/>
      <c r="BA86" s="478" t="str">
        <f t="shared" si="2"/>
        <v>SUM_CO2</v>
      </c>
      <c r="BB86" s="573" t="str">
        <f t="shared" si="3"/>
        <v>SUM_EnergyIN</v>
      </c>
      <c r="BC86" s="600"/>
      <c r="BD86" s="5"/>
    </row>
    <row r="87" spans="1:56" x14ac:dyDescent="0.2">
      <c r="A87" s="600"/>
      <c r="B87" s="197"/>
      <c r="C87" s="534">
        <v>64</v>
      </c>
      <c r="D87" s="594"/>
      <c r="E87" s="594"/>
      <c r="F87" s="595"/>
      <c r="G87" s="596"/>
      <c r="H87" s="595"/>
      <c r="I87" s="596"/>
      <c r="J87" s="595"/>
      <c r="K87" s="596"/>
      <c r="L87" s="596"/>
      <c r="M87" s="596"/>
      <c r="N87" s="595"/>
      <c r="O87" s="597"/>
      <c r="P87" s="595"/>
      <c r="Q87" s="597"/>
      <c r="R87" s="595"/>
      <c r="S87" s="597"/>
      <c r="T87" s="595"/>
      <c r="U87" s="597"/>
      <c r="V87" s="778"/>
      <c r="W87" s="778"/>
      <c r="X87" s="778"/>
      <c r="Y87" s="778"/>
      <c r="Z87" s="778"/>
      <c r="AA87" s="778"/>
      <c r="AB87" s="778"/>
      <c r="AC87" s="778"/>
      <c r="AD87" s="778"/>
      <c r="AE87" s="778"/>
      <c r="AF87" s="778"/>
      <c r="AG87" s="778"/>
      <c r="AH87" s="778"/>
      <c r="AI87" s="778"/>
      <c r="AJ87" s="778"/>
      <c r="AK87" s="778"/>
      <c r="AL87" s="778"/>
      <c r="AM87" s="778"/>
      <c r="AN87" s="778"/>
      <c r="AO87" s="778"/>
      <c r="AP87" s="778"/>
      <c r="AQ87" s="778"/>
      <c r="AR87" s="778"/>
      <c r="AS87" s="778"/>
      <c r="AT87" s="778"/>
      <c r="AU87" s="598"/>
      <c r="AV87" s="598"/>
      <c r="AW87" s="598"/>
      <c r="AX87" s="595"/>
      <c r="AY87" s="595"/>
      <c r="AZ87" s="197"/>
      <c r="BA87" s="478" t="str">
        <f t="shared" si="2"/>
        <v>SUM_CO2</v>
      </c>
      <c r="BB87" s="573" t="str">
        <f t="shared" si="3"/>
        <v>SUM_EnergyIN</v>
      </c>
      <c r="BC87" s="600"/>
      <c r="BD87" s="5"/>
    </row>
    <row r="88" spans="1:56" x14ac:dyDescent="0.2">
      <c r="A88" s="600"/>
      <c r="B88" s="197"/>
      <c r="C88" s="534">
        <v>65</v>
      </c>
      <c r="D88" s="594"/>
      <c r="E88" s="594"/>
      <c r="F88" s="595"/>
      <c r="G88" s="596"/>
      <c r="H88" s="595"/>
      <c r="I88" s="596"/>
      <c r="J88" s="595"/>
      <c r="K88" s="596"/>
      <c r="L88" s="596"/>
      <c r="M88" s="596"/>
      <c r="N88" s="595"/>
      <c r="O88" s="597"/>
      <c r="P88" s="595"/>
      <c r="Q88" s="597"/>
      <c r="R88" s="595"/>
      <c r="S88" s="597"/>
      <c r="T88" s="595"/>
      <c r="U88" s="597"/>
      <c r="V88" s="778"/>
      <c r="W88" s="778"/>
      <c r="X88" s="778"/>
      <c r="Y88" s="778"/>
      <c r="Z88" s="778"/>
      <c r="AA88" s="778"/>
      <c r="AB88" s="778"/>
      <c r="AC88" s="778"/>
      <c r="AD88" s="778"/>
      <c r="AE88" s="778"/>
      <c r="AF88" s="778"/>
      <c r="AG88" s="778"/>
      <c r="AH88" s="778"/>
      <c r="AI88" s="778"/>
      <c r="AJ88" s="778"/>
      <c r="AK88" s="778"/>
      <c r="AL88" s="778"/>
      <c r="AM88" s="778"/>
      <c r="AN88" s="778"/>
      <c r="AO88" s="778"/>
      <c r="AP88" s="778"/>
      <c r="AQ88" s="778"/>
      <c r="AR88" s="778"/>
      <c r="AS88" s="778"/>
      <c r="AT88" s="778"/>
      <c r="AU88" s="598"/>
      <c r="AV88" s="598"/>
      <c r="AW88" s="598"/>
      <c r="AX88" s="595"/>
      <c r="AY88" s="595"/>
      <c r="AZ88" s="197"/>
      <c r="BA88" s="478" t="str">
        <f t="shared" ref="BA88:BA98" si="4">EUconst_SumCO2</f>
        <v>SUM_CO2</v>
      </c>
      <c r="BB88" s="573" t="str">
        <f t="shared" ref="BB88:BB98" si="5">EUconst_SumEnergyIN</f>
        <v>SUM_EnergyIN</v>
      </c>
      <c r="BC88" s="600"/>
      <c r="BD88" s="5"/>
    </row>
    <row r="89" spans="1:56" x14ac:dyDescent="0.2">
      <c r="A89" s="600"/>
      <c r="B89" s="197"/>
      <c r="C89" s="534">
        <v>66</v>
      </c>
      <c r="D89" s="594"/>
      <c r="E89" s="594"/>
      <c r="F89" s="595"/>
      <c r="G89" s="596"/>
      <c r="H89" s="595"/>
      <c r="I89" s="596"/>
      <c r="J89" s="595"/>
      <c r="K89" s="596"/>
      <c r="L89" s="596"/>
      <c r="M89" s="596"/>
      <c r="N89" s="595"/>
      <c r="O89" s="597"/>
      <c r="P89" s="595"/>
      <c r="Q89" s="597"/>
      <c r="R89" s="595"/>
      <c r="S89" s="597"/>
      <c r="T89" s="595"/>
      <c r="U89" s="597"/>
      <c r="V89" s="778"/>
      <c r="W89" s="778"/>
      <c r="X89" s="778"/>
      <c r="Y89" s="778"/>
      <c r="Z89" s="778"/>
      <c r="AA89" s="778"/>
      <c r="AB89" s="778"/>
      <c r="AC89" s="778"/>
      <c r="AD89" s="778"/>
      <c r="AE89" s="778"/>
      <c r="AF89" s="778"/>
      <c r="AG89" s="778"/>
      <c r="AH89" s="778"/>
      <c r="AI89" s="778"/>
      <c r="AJ89" s="778"/>
      <c r="AK89" s="778"/>
      <c r="AL89" s="778"/>
      <c r="AM89" s="778"/>
      <c r="AN89" s="778"/>
      <c r="AO89" s="778"/>
      <c r="AP89" s="778"/>
      <c r="AQ89" s="778"/>
      <c r="AR89" s="778"/>
      <c r="AS89" s="778"/>
      <c r="AT89" s="778"/>
      <c r="AU89" s="598"/>
      <c r="AV89" s="598"/>
      <c r="AW89" s="598"/>
      <c r="AX89" s="595"/>
      <c r="AY89" s="595"/>
      <c r="AZ89" s="197"/>
      <c r="BA89" s="478" t="str">
        <f t="shared" si="4"/>
        <v>SUM_CO2</v>
      </c>
      <c r="BB89" s="573" t="str">
        <f t="shared" si="5"/>
        <v>SUM_EnergyIN</v>
      </c>
      <c r="BC89" s="600"/>
      <c r="BD89" s="5"/>
    </row>
    <row r="90" spans="1:56" x14ac:dyDescent="0.2">
      <c r="A90" s="600"/>
      <c r="B90" s="197"/>
      <c r="C90" s="534">
        <v>67</v>
      </c>
      <c r="D90" s="594"/>
      <c r="E90" s="594"/>
      <c r="F90" s="595"/>
      <c r="G90" s="596"/>
      <c r="H90" s="595"/>
      <c r="I90" s="596"/>
      <c r="J90" s="595"/>
      <c r="K90" s="596"/>
      <c r="L90" s="596"/>
      <c r="M90" s="596"/>
      <c r="N90" s="595"/>
      <c r="O90" s="597"/>
      <c r="P90" s="595"/>
      <c r="Q90" s="597"/>
      <c r="R90" s="595"/>
      <c r="S90" s="597"/>
      <c r="T90" s="595"/>
      <c r="U90" s="597"/>
      <c r="V90" s="778"/>
      <c r="W90" s="778"/>
      <c r="X90" s="778"/>
      <c r="Y90" s="778"/>
      <c r="Z90" s="778"/>
      <c r="AA90" s="778"/>
      <c r="AB90" s="778"/>
      <c r="AC90" s="778"/>
      <c r="AD90" s="778"/>
      <c r="AE90" s="778"/>
      <c r="AF90" s="778"/>
      <c r="AG90" s="778"/>
      <c r="AH90" s="778"/>
      <c r="AI90" s="778"/>
      <c r="AJ90" s="778"/>
      <c r="AK90" s="778"/>
      <c r="AL90" s="778"/>
      <c r="AM90" s="778"/>
      <c r="AN90" s="778"/>
      <c r="AO90" s="778"/>
      <c r="AP90" s="778"/>
      <c r="AQ90" s="778"/>
      <c r="AR90" s="778"/>
      <c r="AS90" s="778"/>
      <c r="AT90" s="778"/>
      <c r="AU90" s="598"/>
      <c r="AV90" s="598"/>
      <c r="AW90" s="598"/>
      <c r="AX90" s="595"/>
      <c r="AY90" s="595"/>
      <c r="AZ90" s="197"/>
      <c r="BA90" s="478" t="str">
        <f t="shared" si="4"/>
        <v>SUM_CO2</v>
      </c>
      <c r="BB90" s="573" t="str">
        <f t="shared" si="5"/>
        <v>SUM_EnergyIN</v>
      </c>
      <c r="BC90" s="600"/>
      <c r="BD90" s="5"/>
    </row>
    <row r="91" spans="1:56" x14ac:dyDescent="0.2">
      <c r="A91" s="600"/>
      <c r="B91" s="197"/>
      <c r="C91" s="534">
        <v>68</v>
      </c>
      <c r="D91" s="594"/>
      <c r="E91" s="594"/>
      <c r="F91" s="595"/>
      <c r="G91" s="596"/>
      <c r="H91" s="595"/>
      <c r="I91" s="596"/>
      <c r="J91" s="595"/>
      <c r="K91" s="596"/>
      <c r="L91" s="596"/>
      <c r="M91" s="596"/>
      <c r="N91" s="595"/>
      <c r="O91" s="597"/>
      <c r="P91" s="595"/>
      <c r="Q91" s="597"/>
      <c r="R91" s="595"/>
      <c r="S91" s="597"/>
      <c r="T91" s="595"/>
      <c r="U91" s="597"/>
      <c r="V91" s="778"/>
      <c r="W91" s="778"/>
      <c r="X91" s="778"/>
      <c r="Y91" s="778"/>
      <c r="Z91" s="778"/>
      <c r="AA91" s="778"/>
      <c r="AB91" s="778"/>
      <c r="AC91" s="778"/>
      <c r="AD91" s="778"/>
      <c r="AE91" s="778"/>
      <c r="AF91" s="778"/>
      <c r="AG91" s="778"/>
      <c r="AH91" s="778"/>
      <c r="AI91" s="778"/>
      <c r="AJ91" s="778"/>
      <c r="AK91" s="778"/>
      <c r="AL91" s="778"/>
      <c r="AM91" s="778"/>
      <c r="AN91" s="778"/>
      <c r="AO91" s="778"/>
      <c r="AP91" s="778"/>
      <c r="AQ91" s="778"/>
      <c r="AR91" s="778"/>
      <c r="AS91" s="778"/>
      <c r="AT91" s="778"/>
      <c r="AU91" s="598"/>
      <c r="AV91" s="598"/>
      <c r="AW91" s="598"/>
      <c r="AX91" s="595"/>
      <c r="AY91" s="595"/>
      <c r="AZ91" s="197"/>
      <c r="BA91" s="478" t="str">
        <f t="shared" si="4"/>
        <v>SUM_CO2</v>
      </c>
      <c r="BB91" s="573" t="str">
        <f t="shared" si="5"/>
        <v>SUM_EnergyIN</v>
      </c>
      <c r="BC91" s="600"/>
      <c r="BD91" s="5"/>
    </row>
    <row r="92" spans="1:56" x14ac:dyDescent="0.2">
      <c r="A92" s="600"/>
      <c r="B92" s="197"/>
      <c r="C92" s="534">
        <v>69</v>
      </c>
      <c r="D92" s="594"/>
      <c r="E92" s="594"/>
      <c r="F92" s="595"/>
      <c r="G92" s="596"/>
      <c r="H92" s="595"/>
      <c r="I92" s="596"/>
      <c r="J92" s="595"/>
      <c r="K92" s="596"/>
      <c r="L92" s="596"/>
      <c r="M92" s="596"/>
      <c r="N92" s="595"/>
      <c r="O92" s="597"/>
      <c r="P92" s="595"/>
      <c r="Q92" s="597"/>
      <c r="R92" s="595"/>
      <c r="S92" s="597"/>
      <c r="T92" s="595"/>
      <c r="U92" s="597"/>
      <c r="V92" s="778"/>
      <c r="W92" s="778"/>
      <c r="X92" s="778"/>
      <c r="Y92" s="778"/>
      <c r="Z92" s="778"/>
      <c r="AA92" s="778"/>
      <c r="AB92" s="778"/>
      <c r="AC92" s="778"/>
      <c r="AD92" s="778"/>
      <c r="AE92" s="778"/>
      <c r="AF92" s="778"/>
      <c r="AG92" s="778"/>
      <c r="AH92" s="778"/>
      <c r="AI92" s="778"/>
      <c r="AJ92" s="778"/>
      <c r="AK92" s="778"/>
      <c r="AL92" s="778"/>
      <c r="AM92" s="778"/>
      <c r="AN92" s="778"/>
      <c r="AO92" s="778"/>
      <c r="AP92" s="778"/>
      <c r="AQ92" s="778"/>
      <c r="AR92" s="778"/>
      <c r="AS92" s="778"/>
      <c r="AT92" s="778"/>
      <c r="AU92" s="598"/>
      <c r="AV92" s="598"/>
      <c r="AW92" s="598"/>
      <c r="AX92" s="595"/>
      <c r="AY92" s="595"/>
      <c r="AZ92" s="197"/>
      <c r="BA92" s="478" t="str">
        <f t="shared" si="4"/>
        <v>SUM_CO2</v>
      </c>
      <c r="BB92" s="573" t="str">
        <f t="shared" si="5"/>
        <v>SUM_EnergyIN</v>
      </c>
      <c r="BC92" s="600"/>
      <c r="BD92" s="5"/>
    </row>
    <row r="93" spans="1:56" x14ac:dyDescent="0.2">
      <c r="A93" s="600"/>
      <c r="B93" s="197"/>
      <c r="C93" s="534">
        <v>70</v>
      </c>
      <c r="D93" s="594"/>
      <c r="E93" s="594"/>
      <c r="F93" s="595"/>
      <c r="G93" s="596"/>
      <c r="H93" s="595"/>
      <c r="I93" s="596"/>
      <c r="J93" s="595"/>
      <c r="K93" s="596"/>
      <c r="L93" s="596"/>
      <c r="M93" s="596"/>
      <c r="N93" s="595"/>
      <c r="O93" s="597"/>
      <c r="P93" s="595"/>
      <c r="Q93" s="597"/>
      <c r="R93" s="595"/>
      <c r="S93" s="597"/>
      <c r="T93" s="595"/>
      <c r="U93" s="597"/>
      <c r="V93" s="778"/>
      <c r="W93" s="778"/>
      <c r="X93" s="778"/>
      <c r="Y93" s="778"/>
      <c r="Z93" s="778"/>
      <c r="AA93" s="778"/>
      <c r="AB93" s="778"/>
      <c r="AC93" s="778"/>
      <c r="AD93" s="778"/>
      <c r="AE93" s="778"/>
      <c r="AF93" s="778"/>
      <c r="AG93" s="778"/>
      <c r="AH93" s="778"/>
      <c r="AI93" s="778"/>
      <c r="AJ93" s="778"/>
      <c r="AK93" s="778"/>
      <c r="AL93" s="778"/>
      <c r="AM93" s="778"/>
      <c r="AN93" s="778"/>
      <c r="AO93" s="778"/>
      <c r="AP93" s="778"/>
      <c r="AQ93" s="778"/>
      <c r="AR93" s="778"/>
      <c r="AS93" s="778"/>
      <c r="AT93" s="778"/>
      <c r="AU93" s="598"/>
      <c r="AV93" s="598"/>
      <c r="AW93" s="598"/>
      <c r="AX93" s="595"/>
      <c r="AY93" s="595"/>
      <c r="AZ93" s="197"/>
      <c r="BA93" s="478" t="str">
        <f t="shared" si="4"/>
        <v>SUM_CO2</v>
      </c>
      <c r="BB93" s="573" t="str">
        <f t="shared" si="5"/>
        <v>SUM_EnergyIN</v>
      </c>
      <c r="BC93" s="600"/>
      <c r="BD93" s="5"/>
    </row>
    <row r="94" spans="1:56" x14ac:dyDescent="0.2">
      <c r="A94" s="600"/>
      <c r="B94" s="197"/>
      <c r="C94" s="534">
        <v>71</v>
      </c>
      <c r="D94" s="594"/>
      <c r="E94" s="594"/>
      <c r="F94" s="595"/>
      <c r="G94" s="596"/>
      <c r="H94" s="595"/>
      <c r="I94" s="596"/>
      <c r="J94" s="595"/>
      <c r="K94" s="596"/>
      <c r="L94" s="596"/>
      <c r="M94" s="596"/>
      <c r="N94" s="595"/>
      <c r="O94" s="597"/>
      <c r="P94" s="595"/>
      <c r="Q94" s="597"/>
      <c r="R94" s="595"/>
      <c r="S94" s="597"/>
      <c r="T94" s="595"/>
      <c r="U94" s="597"/>
      <c r="V94" s="778"/>
      <c r="W94" s="778"/>
      <c r="X94" s="778"/>
      <c r="Y94" s="778"/>
      <c r="Z94" s="778"/>
      <c r="AA94" s="778"/>
      <c r="AB94" s="778"/>
      <c r="AC94" s="778"/>
      <c r="AD94" s="778"/>
      <c r="AE94" s="778"/>
      <c r="AF94" s="778"/>
      <c r="AG94" s="778"/>
      <c r="AH94" s="778"/>
      <c r="AI94" s="778"/>
      <c r="AJ94" s="778"/>
      <c r="AK94" s="778"/>
      <c r="AL94" s="778"/>
      <c r="AM94" s="778"/>
      <c r="AN94" s="778"/>
      <c r="AO94" s="778"/>
      <c r="AP94" s="778"/>
      <c r="AQ94" s="778"/>
      <c r="AR94" s="778"/>
      <c r="AS94" s="778"/>
      <c r="AT94" s="778"/>
      <c r="AU94" s="598"/>
      <c r="AV94" s="598"/>
      <c r="AW94" s="598"/>
      <c r="AX94" s="595"/>
      <c r="AY94" s="595"/>
      <c r="AZ94" s="197"/>
      <c r="BA94" s="478" t="str">
        <f t="shared" si="4"/>
        <v>SUM_CO2</v>
      </c>
      <c r="BB94" s="573" t="str">
        <f t="shared" si="5"/>
        <v>SUM_EnergyIN</v>
      </c>
      <c r="BC94" s="600"/>
      <c r="BD94" s="5"/>
    </row>
    <row r="95" spans="1:56" x14ac:dyDescent="0.2">
      <c r="A95" s="600"/>
      <c r="B95" s="197"/>
      <c r="C95" s="534">
        <v>72</v>
      </c>
      <c r="D95" s="594"/>
      <c r="E95" s="594"/>
      <c r="F95" s="595"/>
      <c r="G95" s="596"/>
      <c r="H95" s="595"/>
      <c r="I95" s="596"/>
      <c r="J95" s="595"/>
      <c r="K95" s="596"/>
      <c r="L95" s="596"/>
      <c r="M95" s="596"/>
      <c r="N95" s="595"/>
      <c r="O95" s="597"/>
      <c r="P95" s="595"/>
      <c r="Q95" s="597"/>
      <c r="R95" s="595"/>
      <c r="S95" s="597"/>
      <c r="T95" s="595"/>
      <c r="U95" s="597"/>
      <c r="V95" s="778"/>
      <c r="W95" s="778"/>
      <c r="X95" s="778"/>
      <c r="Y95" s="778"/>
      <c r="Z95" s="778"/>
      <c r="AA95" s="778"/>
      <c r="AB95" s="778"/>
      <c r="AC95" s="778"/>
      <c r="AD95" s="778"/>
      <c r="AE95" s="778"/>
      <c r="AF95" s="778"/>
      <c r="AG95" s="778"/>
      <c r="AH95" s="778"/>
      <c r="AI95" s="778"/>
      <c r="AJ95" s="778"/>
      <c r="AK95" s="778"/>
      <c r="AL95" s="778"/>
      <c r="AM95" s="778"/>
      <c r="AN95" s="778"/>
      <c r="AO95" s="778"/>
      <c r="AP95" s="778"/>
      <c r="AQ95" s="778"/>
      <c r="AR95" s="778"/>
      <c r="AS95" s="778"/>
      <c r="AT95" s="778"/>
      <c r="AU95" s="598"/>
      <c r="AV95" s="598"/>
      <c r="AW95" s="598"/>
      <c r="AX95" s="595"/>
      <c r="AY95" s="595"/>
      <c r="AZ95" s="197"/>
      <c r="BA95" s="478" t="str">
        <f t="shared" si="4"/>
        <v>SUM_CO2</v>
      </c>
      <c r="BB95" s="573" t="str">
        <f t="shared" si="5"/>
        <v>SUM_EnergyIN</v>
      </c>
      <c r="BC95" s="600"/>
      <c r="BD95" s="5"/>
    </row>
    <row r="96" spans="1:56" x14ac:dyDescent="0.2">
      <c r="A96" s="600"/>
      <c r="B96" s="197"/>
      <c r="C96" s="534">
        <v>73</v>
      </c>
      <c r="D96" s="594"/>
      <c r="E96" s="594"/>
      <c r="F96" s="595"/>
      <c r="G96" s="596"/>
      <c r="H96" s="595"/>
      <c r="I96" s="596"/>
      <c r="J96" s="595"/>
      <c r="K96" s="596"/>
      <c r="L96" s="596"/>
      <c r="M96" s="596"/>
      <c r="N96" s="595"/>
      <c r="O96" s="597"/>
      <c r="P96" s="595"/>
      <c r="Q96" s="597"/>
      <c r="R96" s="595"/>
      <c r="S96" s="597"/>
      <c r="T96" s="595"/>
      <c r="U96" s="597"/>
      <c r="V96" s="778"/>
      <c r="W96" s="778"/>
      <c r="X96" s="778"/>
      <c r="Y96" s="778"/>
      <c r="Z96" s="778"/>
      <c r="AA96" s="778"/>
      <c r="AB96" s="778"/>
      <c r="AC96" s="778"/>
      <c r="AD96" s="778"/>
      <c r="AE96" s="778"/>
      <c r="AF96" s="778"/>
      <c r="AG96" s="778"/>
      <c r="AH96" s="778"/>
      <c r="AI96" s="778"/>
      <c r="AJ96" s="778"/>
      <c r="AK96" s="778"/>
      <c r="AL96" s="778"/>
      <c r="AM96" s="778"/>
      <c r="AN96" s="778"/>
      <c r="AO96" s="778"/>
      <c r="AP96" s="778"/>
      <c r="AQ96" s="778"/>
      <c r="AR96" s="778"/>
      <c r="AS96" s="778"/>
      <c r="AT96" s="778"/>
      <c r="AU96" s="598"/>
      <c r="AV96" s="598"/>
      <c r="AW96" s="598"/>
      <c r="AX96" s="595"/>
      <c r="AY96" s="595"/>
      <c r="AZ96" s="197"/>
      <c r="BA96" s="478" t="str">
        <f t="shared" si="4"/>
        <v>SUM_CO2</v>
      </c>
      <c r="BB96" s="573" t="str">
        <f t="shared" si="5"/>
        <v>SUM_EnergyIN</v>
      </c>
      <c r="BC96" s="600"/>
      <c r="BD96" s="5"/>
    </row>
    <row r="97" spans="1:56" x14ac:dyDescent="0.2">
      <c r="A97" s="600"/>
      <c r="B97" s="197"/>
      <c r="C97" s="534">
        <v>74</v>
      </c>
      <c r="D97" s="594"/>
      <c r="E97" s="594"/>
      <c r="F97" s="595"/>
      <c r="G97" s="596"/>
      <c r="H97" s="595"/>
      <c r="I97" s="596"/>
      <c r="J97" s="595"/>
      <c r="K97" s="596"/>
      <c r="L97" s="596"/>
      <c r="M97" s="596"/>
      <c r="N97" s="595"/>
      <c r="O97" s="597"/>
      <c r="P97" s="595"/>
      <c r="Q97" s="597"/>
      <c r="R97" s="595"/>
      <c r="S97" s="597"/>
      <c r="T97" s="595"/>
      <c r="U97" s="597"/>
      <c r="V97" s="778"/>
      <c r="W97" s="778"/>
      <c r="X97" s="778"/>
      <c r="Y97" s="778"/>
      <c r="Z97" s="778"/>
      <c r="AA97" s="778"/>
      <c r="AB97" s="778"/>
      <c r="AC97" s="778"/>
      <c r="AD97" s="778"/>
      <c r="AE97" s="778"/>
      <c r="AF97" s="778"/>
      <c r="AG97" s="778"/>
      <c r="AH97" s="778"/>
      <c r="AI97" s="778"/>
      <c r="AJ97" s="778"/>
      <c r="AK97" s="778"/>
      <c r="AL97" s="778"/>
      <c r="AM97" s="778"/>
      <c r="AN97" s="778"/>
      <c r="AO97" s="778"/>
      <c r="AP97" s="778"/>
      <c r="AQ97" s="778"/>
      <c r="AR97" s="778"/>
      <c r="AS97" s="778"/>
      <c r="AT97" s="778"/>
      <c r="AU97" s="598"/>
      <c r="AV97" s="598"/>
      <c r="AW97" s="598"/>
      <c r="AX97" s="595"/>
      <c r="AY97" s="595"/>
      <c r="AZ97" s="197"/>
      <c r="BA97" s="478" t="str">
        <f t="shared" si="4"/>
        <v>SUM_CO2</v>
      </c>
      <c r="BB97" s="573" t="str">
        <f t="shared" si="5"/>
        <v>SUM_EnergyIN</v>
      </c>
      <c r="BC97" s="600"/>
      <c r="BD97" s="5"/>
    </row>
    <row r="98" spans="1:56" x14ac:dyDescent="0.2">
      <c r="A98" s="600"/>
      <c r="B98" s="197"/>
      <c r="C98" s="534">
        <v>75</v>
      </c>
      <c r="D98" s="594"/>
      <c r="E98" s="594"/>
      <c r="F98" s="595"/>
      <c r="G98" s="596"/>
      <c r="H98" s="595"/>
      <c r="I98" s="596"/>
      <c r="J98" s="595"/>
      <c r="K98" s="596"/>
      <c r="L98" s="596"/>
      <c r="M98" s="596"/>
      <c r="N98" s="595"/>
      <c r="O98" s="597"/>
      <c r="P98" s="595"/>
      <c r="Q98" s="597"/>
      <c r="R98" s="595"/>
      <c r="S98" s="597"/>
      <c r="T98" s="595"/>
      <c r="U98" s="597"/>
      <c r="V98" s="778"/>
      <c r="W98" s="778"/>
      <c r="X98" s="778"/>
      <c r="Y98" s="778"/>
      <c r="Z98" s="778"/>
      <c r="AA98" s="778"/>
      <c r="AB98" s="778"/>
      <c r="AC98" s="778"/>
      <c r="AD98" s="778"/>
      <c r="AE98" s="778"/>
      <c r="AF98" s="778"/>
      <c r="AG98" s="778"/>
      <c r="AH98" s="778"/>
      <c r="AI98" s="778"/>
      <c r="AJ98" s="778"/>
      <c r="AK98" s="778"/>
      <c r="AL98" s="778"/>
      <c r="AM98" s="778"/>
      <c r="AN98" s="778"/>
      <c r="AO98" s="778"/>
      <c r="AP98" s="778"/>
      <c r="AQ98" s="778"/>
      <c r="AR98" s="778"/>
      <c r="AS98" s="778"/>
      <c r="AT98" s="778"/>
      <c r="AU98" s="598"/>
      <c r="AV98" s="598"/>
      <c r="AW98" s="598"/>
      <c r="AX98" s="595"/>
      <c r="AY98" s="595"/>
      <c r="AZ98" s="197"/>
      <c r="BA98" s="478" t="str">
        <f t="shared" si="4"/>
        <v>SUM_CO2</v>
      </c>
      <c r="BB98" s="573" t="str">
        <f t="shared" si="5"/>
        <v>SUM_EnergyIN</v>
      </c>
      <c r="BC98" s="600"/>
      <c r="BD98" s="5"/>
    </row>
    <row r="99" spans="1:56" x14ac:dyDescent="0.2">
      <c r="A99" s="600"/>
      <c r="B99" s="197"/>
      <c r="C99" s="77"/>
      <c r="D99" s="197"/>
      <c r="E99" s="197"/>
      <c r="F99" s="197"/>
      <c r="G99" s="197"/>
      <c r="H99" s="197"/>
      <c r="I99" s="197"/>
      <c r="J99" s="197"/>
      <c r="K99" s="197"/>
      <c r="L99" s="197"/>
      <c r="N99" s="197"/>
      <c r="O99" s="197"/>
      <c r="P99" s="197"/>
      <c r="Q99" s="197"/>
      <c r="R99" s="197"/>
      <c r="S99" s="197"/>
      <c r="T99" s="197"/>
      <c r="U99" s="197"/>
      <c r="V99" s="197"/>
      <c r="W99" s="197"/>
      <c r="X99" s="197"/>
      <c r="Y99" s="197"/>
      <c r="Z99" s="197"/>
      <c r="AA99" s="197"/>
      <c r="AB99" s="197"/>
      <c r="AC99" s="197"/>
      <c r="AD99" s="197"/>
      <c r="AE99" s="197"/>
      <c r="AF99" s="197"/>
      <c r="AG99" s="197"/>
      <c r="AH99" s="197"/>
      <c r="AI99" s="197"/>
      <c r="AJ99" s="197"/>
      <c r="AK99" s="197"/>
      <c r="AL99" s="197"/>
      <c r="AM99" s="197"/>
      <c r="AN99" s="197"/>
      <c r="AO99" s="197"/>
      <c r="AP99" s="197"/>
      <c r="AQ99" s="197"/>
      <c r="AR99" s="197"/>
      <c r="AS99" s="197"/>
      <c r="AT99" s="197"/>
      <c r="AU99" s="197"/>
      <c r="AV99" s="197"/>
      <c r="AW99" s="197"/>
      <c r="AX99" s="197"/>
      <c r="AY99" s="197"/>
      <c r="AZ99" s="197"/>
      <c r="BA99" s="600"/>
      <c r="BB99" s="600"/>
      <c r="BC99" s="600"/>
      <c r="BD99" s="5"/>
    </row>
    <row r="100" spans="1:56" ht="50.1" customHeight="1" thickBot="1" x14ac:dyDescent="0.45">
      <c r="A100" s="600"/>
      <c r="B100" s="197"/>
      <c r="C100" s="77"/>
      <c r="D100" s="522" t="str">
        <f>Translations!$B$339</f>
        <v>Strumienie materiałów wsadowych w przypadku PFC</v>
      </c>
      <c r="E100" s="197"/>
      <c r="F100" s="197"/>
      <c r="G100" s="197"/>
      <c r="H100" s="197"/>
      <c r="I100" s="197"/>
      <c r="J100" s="197"/>
      <c r="K100" s="197"/>
      <c r="L100" s="197"/>
      <c r="N100" s="197"/>
      <c r="O100" s="197"/>
      <c r="P100" s="197"/>
      <c r="Q100" s="197"/>
      <c r="R100" s="197"/>
      <c r="S100" s="197"/>
      <c r="T100" s="197"/>
      <c r="U100" s="197"/>
      <c r="V100" s="197"/>
      <c r="W100" s="197"/>
      <c r="X100" s="197"/>
      <c r="Y100" s="197"/>
      <c r="Z100" s="197"/>
      <c r="AA100" s="197"/>
      <c r="AB100" s="197"/>
      <c r="AC100" s="197"/>
      <c r="AD100" s="197"/>
      <c r="AE100" s="197"/>
      <c r="AF100" s="197"/>
      <c r="AG100" s="197"/>
      <c r="AH100" s="197"/>
      <c r="AI100" s="197"/>
      <c r="AJ100" s="197"/>
      <c r="AK100" s="197"/>
      <c r="AL100" s="197"/>
      <c r="AM100" s="197"/>
      <c r="AN100" s="197"/>
      <c r="AO100" s="197"/>
      <c r="AP100" s="197"/>
      <c r="AQ100" s="197"/>
      <c r="AR100" s="197"/>
      <c r="AS100" s="197"/>
      <c r="AT100" s="197"/>
      <c r="AU100" s="197"/>
      <c r="AV100" s="197"/>
      <c r="AW100" s="197"/>
      <c r="AX100" s="197"/>
      <c r="AY100" s="197"/>
      <c r="AZ100" s="197"/>
      <c r="BA100" s="600"/>
      <c r="BB100" s="600"/>
      <c r="BC100" s="600"/>
      <c r="BD100" s="5"/>
    </row>
    <row r="101" spans="1:56" ht="50.1" customHeight="1" thickBot="1" x14ac:dyDescent="0.25">
      <c r="A101" s="600"/>
      <c r="B101" s="197"/>
      <c r="C101" s="523" t="s">
        <v>482</v>
      </c>
      <c r="D101" s="524" t="str">
        <f>Translations!$B$282</f>
        <v>Metoda</v>
      </c>
      <c r="E101" s="524" t="str">
        <f>Translations!$B$340</f>
        <v>Nazwa</v>
      </c>
      <c r="F101" s="525" t="str">
        <f>Translations!$B$284</f>
        <v>Dane dotyczące działalności (AD)</v>
      </c>
      <c r="G101" s="525" t="str">
        <f>Translations!$B$285</f>
        <v>Jednostka AD</v>
      </c>
      <c r="H101" s="525" t="str">
        <f>Translations!$B$286</f>
        <v>Wartość opałowa (NCV)</v>
      </c>
      <c r="I101" s="525" t="str">
        <f>Translations!$B$287</f>
        <v>Jednostka NCV</v>
      </c>
      <c r="J101" s="525" t="str">
        <f>Translations!$B$288</f>
        <v>Współczynnik emisji (EF)</v>
      </c>
      <c r="K101" s="525" t="str">
        <f>Translations!$B$289</f>
        <v>Jednostka EF</v>
      </c>
      <c r="L101" s="525" t="str">
        <f>Translations!$B$290</f>
        <v>Zawartość węgla</v>
      </c>
      <c r="M101" s="525" t="str">
        <f>Translations!$B$291</f>
        <v>Jednostka zawartości węgla</v>
      </c>
      <c r="N101" s="525" t="str">
        <f>Translations!$B$292</f>
        <v>Współczynnik utleniania (OxF)</v>
      </c>
      <c r="O101" s="525" t="str">
        <f>Translations!$B$293</f>
        <v>Jednostka OxF</v>
      </c>
      <c r="P101" s="525" t="str">
        <f>Translations!$B$294</f>
        <v>Współczynnik konwersji</v>
      </c>
      <c r="Q101" s="525" t="str">
        <f>Translations!$B$295</f>
        <v>Jednostka współczynnika konwersji</v>
      </c>
      <c r="R101" s="525" t="str">
        <f>Translations!$B$296</f>
        <v>Zawartość biomasy (BioC)</v>
      </c>
      <c r="S101" s="525" t="str">
        <f>Translations!$B$297</f>
        <v>Jednostka BioC</v>
      </c>
      <c r="T101" s="525" t="str">
        <f>Translations!$B$298</f>
        <v>BioC niezrówn.</v>
      </c>
      <c r="U101" s="525" t="str">
        <f>Translations!$B$299</f>
        <v>Jednostka BioC niezrówn.</v>
      </c>
      <c r="V101" s="525" t="str">
        <f>Translations!$B$300</f>
        <v>Średnie godzinowe stężenie gazów cieplarnianych (GHG)</v>
      </c>
      <c r="W101" s="525" t="str">
        <f>Translations!$B$301</f>
        <v>Jednostka godzinowego stężenia GHG</v>
      </c>
      <c r="X101" s="525" t="str">
        <f>Translations!$B$302</f>
        <v>Godziny działania</v>
      </c>
      <c r="Y101" s="525" t="str">
        <f>Translations!$B$303</f>
        <v>Jednostka godzin działania</v>
      </c>
      <c r="Z101" s="525" t="str">
        <f>Translations!$B$304</f>
        <v>Przepływ spalin (średnia)</v>
      </c>
      <c r="AA101" s="525" t="str">
        <f>Translations!$B$305</f>
        <v>Jednostka przepływu spalin (średnia)</v>
      </c>
      <c r="AB101" s="525" t="str">
        <f>Translations!$B$306</f>
        <v>Przepływ spalin (łącznie)</v>
      </c>
      <c r="AC101" s="525" t="str">
        <f>Translations!$B$307</f>
        <v>Jednostka przepływu spalin (łącznie)</v>
      </c>
      <c r="AD101" s="525" t="str">
        <f>Translations!$B$308</f>
        <v>Roczna ilość GHG</v>
      </c>
      <c r="AE101" s="525" t="str">
        <f>Translations!$B$309</f>
        <v>Jednostka rocznej ilości GHG</v>
      </c>
      <c r="AF101" s="525" t="str">
        <f>Translations!$B$310</f>
        <v>Współczynnik ocieplenia globalnego GWP (tCO2e/t)</v>
      </c>
      <c r="AG101" s="525" t="str">
        <f>Translations!$B$311</f>
        <v>A: Częstotliwość</v>
      </c>
      <c r="AH101" s="525" t="str">
        <f>Translations!$B$312</f>
        <v>A: Czas trwania</v>
      </c>
      <c r="AI101" s="525" t="str">
        <f>Translations!$B$313</f>
        <v>A: SEF (CF4)</v>
      </c>
      <c r="AJ101" s="525" t="str">
        <f>Translations!$B$314</f>
        <v>B: AEO</v>
      </c>
      <c r="AK101" s="525" t="str">
        <f>Translations!$B$315</f>
        <v>B: CE</v>
      </c>
      <c r="AL101" s="525" t="str">
        <f>Translations!$B$316</f>
        <v>B: OVC</v>
      </c>
      <c r="AM101" s="525" t="str">
        <f>Translations!$B$317</f>
        <v>F(C2F6)</v>
      </c>
      <c r="AN101" s="525" t="str">
        <f>Translations!$B$318</f>
        <v>Emisje CF4 (t CF4)</v>
      </c>
      <c r="AO101" s="525" t="str">
        <f>Translations!$B$319</f>
        <v>Emisje C2F6 (t C2F6)</v>
      </c>
      <c r="AP101" s="525" t="str">
        <f>Translations!$B$320</f>
        <v>GWP (CF4) (tCO2e/t)</v>
      </c>
      <c r="AQ101" s="525" t="str">
        <f>Translations!$B$321</f>
        <v>GWP (C2F6) (tCO2e/t)</v>
      </c>
      <c r="AR101" s="525" t="str">
        <f>Translations!$B$322</f>
        <v>Emisje CF4 (t CO2e)</v>
      </c>
      <c r="AS101" s="525" t="str">
        <f>Translations!$B$323</f>
        <v>Emisje C2F6 (t CO2e)</v>
      </c>
      <c r="AT101" s="525" t="str">
        <f>Translations!$B$324</f>
        <v>Całkowita wydajność, %</v>
      </c>
      <c r="AU101" s="525" t="str">
        <f>Translations!$B$325</f>
        <v>Kopalne CO2e (t)</v>
      </c>
      <c r="AV101" s="525" t="str">
        <f>Translations!$B$326</f>
        <v>CO2e z biomasy (t)</v>
      </c>
      <c r="AW101" s="525" t="str">
        <f>Translations!$B$327</f>
        <v>CO2e z biomasy niezrówn. (t)</v>
      </c>
      <c r="AX101" s="526" t="str">
        <f>Translations!$B$328</f>
        <v>Zawartość energii (kopalne), TJ</v>
      </c>
      <c r="AY101" s="527" t="str">
        <f>Translations!$B$329</f>
        <v>Zawartość energii (biomasa), TJ</v>
      </c>
      <c r="AZ101" s="197"/>
      <c r="BA101" s="600"/>
      <c r="BB101" s="600"/>
      <c r="BC101" s="600"/>
      <c r="BD101" s="5"/>
    </row>
    <row r="102" spans="1:56" ht="12.75" customHeight="1" x14ac:dyDescent="0.2">
      <c r="A102" s="600"/>
      <c r="B102" s="197"/>
      <c r="C102" s="533" t="str">
        <f>Translations!$B$341</f>
        <v>Przykł.</v>
      </c>
      <c r="D102" s="690" t="str">
        <f>Translations!$B$342</f>
        <v>Emisje PFC</v>
      </c>
      <c r="E102" s="690" t="str">
        <f>Translations!$B$343</f>
        <v>Elektrolizer Prebake (CWPB); Anoda typu A</v>
      </c>
      <c r="F102" s="691">
        <v>5000</v>
      </c>
      <c r="G102" s="528" t="s">
        <v>212</v>
      </c>
      <c r="H102" s="779"/>
      <c r="I102" s="780"/>
      <c r="J102" s="779"/>
      <c r="K102" s="780"/>
      <c r="L102" s="780"/>
      <c r="M102" s="780"/>
      <c r="N102" s="779"/>
      <c r="O102" s="778"/>
      <c r="P102" s="779"/>
      <c r="Q102" s="778"/>
      <c r="R102" s="779"/>
      <c r="S102" s="778"/>
      <c r="T102" s="779"/>
      <c r="U102" s="778"/>
      <c r="V102" s="778"/>
      <c r="W102" s="778"/>
      <c r="X102" s="778"/>
      <c r="Y102" s="778"/>
      <c r="Z102" s="778"/>
      <c r="AA102" s="778"/>
      <c r="AB102" s="778"/>
      <c r="AC102" s="778"/>
      <c r="AD102" s="778"/>
      <c r="AE102" s="778"/>
      <c r="AF102" s="778"/>
      <c r="AG102" s="691">
        <v>300</v>
      </c>
      <c r="AH102" s="691">
        <v>2</v>
      </c>
      <c r="AI102" s="691">
        <v>0.14599999999999999</v>
      </c>
      <c r="AJ102" s="691">
        <v>0</v>
      </c>
      <c r="AK102" s="691">
        <v>0</v>
      </c>
      <c r="AL102" s="691">
        <v>0</v>
      </c>
      <c r="AM102" s="691">
        <v>0.122</v>
      </c>
      <c r="AN102" s="691">
        <v>4.38</v>
      </c>
      <c r="AO102" s="691">
        <v>0.53435999999999995</v>
      </c>
      <c r="AP102" s="695">
        <v>7390</v>
      </c>
      <c r="AQ102" s="695">
        <v>12200</v>
      </c>
      <c r="AR102" s="695">
        <v>32368.2</v>
      </c>
      <c r="AS102" s="695">
        <v>6519.1919999999991</v>
      </c>
      <c r="AT102" s="691">
        <v>98</v>
      </c>
      <c r="AU102" s="693">
        <v>39681.01224489796</v>
      </c>
      <c r="AV102" s="693"/>
      <c r="AW102" s="693"/>
      <c r="AX102" s="691"/>
      <c r="AY102" s="691"/>
      <c r="AZ102" s="197"/>
      <c r="BA102" s="600"/>
      <c r="BB102" s="600"/>
      <c r="BC102" s="600"/>
      <c r="BD102" s="5"/>
    </row>
    <row r="103" spans="1:56" x14ac:dyDescent="0.2">
      <c r="A103" s="600"/>
      <c r="B103" s="197"/>
      <c r="C103" s="528">
        <v>1</v>
      </c>
      <c r="D103" s="675"/>
      <c r="E103" s="594"/>
      <c r="F103" s="595"/>
      <c r="G103" s="596"/>
      <c r="H103" s="779"/>
      <c r="I103" s="780"/>
      <c r="J103" s="779"/>
      <c r="K103" s="780"/>
      <c r="L103" s="780"/>
      <c r="M103" s="780"/>
      <c r="N103" s="779"/>
      <c r="O103" s="778"/>
      <c r="P103" s="779"/>
      <c r="Q103" s="778"/>
      <c r="R103" s="779"/>
      <c r="S103" s="778"/>
      <c r="T103" s="779"/>
      <c r="U103" s="778"/>
      <c r="V103" s="778"/>
      <c r="W103" s="778"/>
      <c r="X103" s="778"/>
      <c r="Y103" s="778"/>
      <c r="Z103" s="778"/>
      <c r="AA103" s="778"/>
      <c r="AB103" s="778"/>
      <c r="AC103" s="778"/>
      <c r="AD103" s="778"/>
      <c r="AE103" s="778"/>
      <c r="AF103" s="778"/>
      <c r="AG103" s="595"/>
      <c r="AH103" s="595"/>
      <c r="AI103" s="595"/>
      <c r="AJ103" s="595"/>
      <c r="AK103" s="595"/>
      <c r="AL103" s="595"/>
      <c r="AM103" s="595"/>
      <c r="AN103" s="595"/>
      <c r="AO103" s="595"/>
      <c r="AP103" s="599"/>
      <c r="AQ103" s="599"/>
      <c r="AR103" s="599"/>
      <c r="AS103" s="599"/>
      <c r="AT103" s="595"/>
      <c r="AU103" s="598"/>
      <c r="AV103" s="598"/>
      <c r="AW103" s="598"/>
      <c r="AX103" s="595"/>
      <c r="AY103" s="595"/>
      <c r="AZ103" s="197"/>
      <c r="BA103" s="478" t="str">
        <f t="shared" ref="BA103:BA112" si="6">EUconst_SumPFC</f>
        <v>SUM_PFC</v>
      </c>
      <c r="BB103" s="573" t="str">
        <f t="shared" ref="BB103:BB112" si="7">EUconst_SumEnergyIN</f>
        <v>SUM_EnergyIN</v>
      </c>
      <c r="BC103" s="600"/>
      <c r="BD103" s="5"/>
    </row>
    <row r="104" spans="1:56" x14ac:dyDescent="0.2">
      <c r="A104" s="600"/>
      <c r="B104" s="197"/>
      <c r="C104" s="529">
        <v>2</v>
      </c>
      <c r="D104" s="675"/>
      <c r="E104" s="594"/>
      <c r="F104" s="595"/>
      <c r="G104" s="596"/>
      <c r="H104" s="779"/>
      <c r="I104" s="780"/>
      <c r="J104" s="779"/>
      <c r="K104" s="780"/>
      <c r="L104" s="780"/>
      <c r="M104" s="780"/>
      <c r="N104" s="779"/>
      <c r="O104" s="778"/>
      <c r="P104" s="779"/>
      <c r="Q104" s="778"/>
      <c r="R104" s="779"/>
      <c r="S104" s="778"/>
      <c r="T104" s="779"/>
      <c r="U104" s="778"/>
      <c r="V104" s="778"/>
      <c r="W104" s="778"/>
      <c r="X104" s="778"/>
      <c r="Y104" s="778"/>
      <c r="Z104" s="778"/>
      <c r="AA104" s="778"/>
      <c r="AB104" s="778"/>
      <c r="AC104" s="778"/>
      <c r="AD104" s="778"/>
      <c r="AE104" s="778"/>
      <c r="AF104" s="778"/>
      <c r="AG104" s="595"/>
      <c r="AH104" s="595"/>
      <c r="AI104" s="595"/>
      <c r="AJ104" s="595"/>
      <c r="AK104" s="595"/>
      <c r="AL104" s="595"/>
      <c r="AM104" s="595"/>
      <c r="AN104" s="595"/>
      <c r="AO104" s="595"/>
      <c r="AP104" s="599"/>
      <c r="AQ104" s="599"/>
      <c r="AR104" s="599"/>
      <c r="AS104" s="599"/>
      <c r="AT104" s="595"/>
      <c r="AU104" s="598"/>
      <c r="AV104" s="598"/>
      <c r="AW104" s="598"/>
      <c r="AX104" s="595"/>
      <c r="AY104" s="595"/>
      <c r="AZ104" s="197"/>
      <c r="BA104" s="478" t="str">
        <f t="shared" si="6"/>
        <v>SUM_PFC</v>
      </c>
      <c r="BB104" s="573" t="str">
        <f t="shared" si="7"/>
        <v>SUM_EnergyIN</v>
      </c>
      <c r="BC104" s="600"/>
      <c r="BD104" s="5"/>
    </row>
    <row r="105" spans="1:56" x14ac:dyDescent="0.2">
      <c r="A105" s="600"/>
      <c r="B105" s="197"/>
      <c r="C105" s="529">
        <v>3</v>
      </c>
      <c r="D105" s="675"/>
      <c r="E105" s="594"/>
      <c r="F105" s="595"/>
      <c r="G105" s="596"/>
      <c r="H105" s="779"/>
      <c r="I105" s="780"/>
      <c r="J105" s="779"/>
      <c r="K105" s="780"/>
      <c r="L105" s="780"/>
      <c r="M105" s="780"/>
      <c r="N105" s="779"/>
      <c r="O105" s="778"/>
      <c r="P105" s="779"/>
      <c r="Q105" s="778"/>
      <c r="R105" s="779"/>
      <c r="S105" s="778"/>
      <c r="T105" s="779"/>
      <c r="U105" s="778"/>
      <c r="V105" s="778"/>
      <c r="W105" s="778"/>
      <c r="X105" s="778"/>
      <c r="Y105" s="778"/>
      <c r="Z105" s="778"/>
      <c r="AA105" s="778"/>
      <c r="AB105" s="778"/>
      <c r="AC105" s="778"/>
      <c r="AD105" s="778"/>
      <c r="AE105" s="778"/>
      <c r="AF105" s="778"/>
      <c r="AG105" s="595"/>
      <c r="AH105" s="595"/>
      <c r="AI105" s="595"/>
      <c r="AJ105" s="595"/>
      <c r="AK105" s="595"/>
      <c r="AL105" s="595"/>
      <c r="AM105" s="595"/>
      <c r="AN105" s="595"/>
      <c r="AO105" s="595"/>
      <c r="AP105" s="599"/>
      <c r="AQ105" s="599"/>
      <c r="AR105" s="599"/>
      <c r="AS105" s="599"/>
      <c r="AT105" s="595"/>
      <c r="AU105" s="598"/>
      <c r="AV105" s="598"/>
      <c r="AW105" s="598"/>
      <c r="AX105" s="595"/>
      <c r="AY105" s="595"/>
      <c r="AZ105" s="197"/>
      <c r="BA105" s="478" t="str">
        <f t="shared" si="6"/>
        <v>SUM_PFC</v>
      </c>
      <c r="BB105" s="573" t="str">
        <f t="shared" si="7"/>
        <v>SUM_EnergyIN</v>
      </c>
      <c r="BC105" s="600"/>
      <c r="BD105" s="5"/>
    </row>
    <row r="106" spans="1:56" x14ac:dyDescent="0.2">
      <c r="A106" s="600"/>
      <c r="B106" s="197"/>
      <c r="C106" s="529">
        <v>4</v>
      </c>
      <c r="D106" s="675"/>
      <c r="E106" s="594"/>
      <c r="F106" s="595"/>
      <c r="G106" s="596"/>
      <c r="H106" s="779"/>
      <c r="I106" s="780"/>
      <c r="J106" s="779"/>
      <c r="K106" s="780"/>
      <c r="L106" s="780"/>
      <c r="M106" s="780"/>
      <c r="N106" s="779"/>
      <c r="O106" s="778"/>
      <c r="P106" s="779"/>
      <c r="Q106" s="778"/>
      <c r="R106" s="779"/>
      <c r="S106" s="778"/>
      <c r="T106" s="779"/>
      <c r="U106" s="778"/>
      <c r="V106" s="778"/>
      <c r="W106" s="778"/>
      <c r="X106" s="778"/>
      <c r="Y106" s="778"/>
      <c r="Z106" s="778"/>
      <c r="AA106" s="778"/>
      <c r="AB106" s="778"/>
      <c r="AC106" s="778"/>
      <c r="AD106" s="778"/>
      <c r="AE106" s="778"/>
      <c r="AF106" s="778"/>
      <c r="AG106" s="595"/>
      <c r="AH106" s="595"/>
      <c r="AI106" s="595"/>
      <c r="AJ106" s="595"/>
      <c r="AK106" s="595"/>
      <c r="AL106" s="595"/>
      <c r="AM106" s="595"/>
      <c r="AN106" s="595"/>
      <c r="AO106" s="595"/>
      <c r="AP106" s="599"/>
      <c r="AQ106" s="599"/>
      <c r="AR106" s="599"/>
      <c r="AS106" s="599"/>
      <c r="AT106" s="595"/>
      <c r="AU106" s="598"/>
      <c r="AV106" s="598"/>
      <c r="AW106" s="598"/>
      <c r="AX106" s="595"/>
      <c r="AY106" s="595"/>
      <c r="AZ106" s="197"/>
      <c r="BA106" s="478" t="str">
        <f t="shared" si="6"/>
        <v>SUM_PFC</v>
      </c>
      <c r="BB106" s="573" t="str">
        <f t="shared" si="7"/>
        <v>SUM_EnergyIN</v>
      </c>
      <c r="BC106" s="600"/>
      <c r="BD106" s="5"/>
    </row>
    <row r="107" spans="1:56" x14ac:dyDescent="0.2">
      <c r="A107" s="600"/>
      <c r="B107" s="197"/>
      <c r="C107" s="529">
        <v>5</v>
      </c>
      <c r="D107" s="675"/>
      <c r="E107" s="594"/>
      <c r="F107" s="595"/>
      <c r="G107" s="596"/>
      <c r="H107" s="779"/>
      <c r="I107" s="780"/>
      <c r="J107" s="779"/>
      <c r="K107" s="780"/>
      <c r="L107" s="780"/>
      <c r="M107" s="780"/>
      <c r="N107" s="779"/>
      <c r="O107" s="778"/>
      <c r="P107" s="779"/>
      <c r="Q107" s="778"/>
      <c r="R107" s="779"/>
      <c r="S107" s="778"/>
      <c r="T107" s="779"/>
      <c r="U107" s="778"/>
      <c r="V107" s="778"/>
      <c r="W107" s="778"/>
      <c r="X107" s="778"/>
      <c r="Y107" s="778"/>
      <c r="Z107" s="778"/>
      <c r="AA107" s="778"/>
      <c r="AB107" s="778"/>
      <c r="AC107" s="778"/>
      <c r="AD107" s="778"/>
      <c r="AE107" s="778"/>
      <c r="AF107" s="778"/>
      <c r="AG107" s="595"/>
      <c r="AH107" s="595"/>
      <c r="AI107" s="595"/>
      <c r="AJ107" s="595"/>
      <c r="AK107" s="595"/>
      <c r="AL107" s="595"/>
      <c r="AM107" s="595"/>
      <c r="AN107" s="595"/>
      <c r="AO107" s="595"/>
      <c r="AP107" s="599"/>
      <c r="AQ107" s="599"/>
      <c r="AR107" s="599"/>
      <c r="AS107" s="599"/>
      <c r="AT107" s="595"/>
      <c r="AU107" s="598"/>
      <c r="AV107" s="598"/>
      <c r="AW107" s="598"/>
      <c r="AX107" s="595"/>
      <c r="AY107" s="595"/>
      <c r="AZ107" s="197"/>
      <c r="BA107" s="478" t="str">
        <f t="shared" si="6"/>
        <v>SUM_PFC</v>
      </c>
      <c r="BB107" s="573" t="str">
        <f t="shared" si="7"/>
        <v>SUM_EnergyIN</v>
      </c>
      <c r="BC107" s="600"/>
      <c r="BD107" s="5"/>
    </row>
    <row r="108" spans="1:56" x14ac:dyDescent="0.2">
      <c r="A108" s="600"/>
      <c r="B108" s="197"/>
      <c r="C108" s="529">
        <v>6</v>
      </c>
      <c r="D108" s="675"/>
      <c r="E108" s="594"/>
      <c r="F108" s="595"/>
      <c r="G108" s="596"/>
      <c r="H108" s="779"/>
      <c r="I108" s="780"/>
      <c r="J108" s="779"/>
      <c r="K108" s="780"/>
      <c r="L108" s="780"/>
      <c r="M108" s="780"/>
      <c r="N108" s="779"/>
      <c r="O108" s="778"/>
      <c r="P108" s="779"/>
      <c r="Q108" s="778"/>
      <c r="R108" s="779"/>
      <c r="S108" s="778"/>
      <c r="T108" s="779"/>
      <c r="U108" s="778"/>
      <c r="V108" s="778"/>
      <c r="W108" s="778"/>
      <c r="X108" s="778"/>
      <c r="Y108" s="778"/>
      <c r="Z108" s="778"/>
      <c r="AA108" s="778"/>
      <c r="AB108" s="778"/>
      <c r="AC108" s="778"/>
      <c r="AD108" s="778"/>
      <c r="AE108" s="778"/>
      <c r="AF108" s="778"/>
      <c r="AG108" s="595"/>
      <c r="AH108" s="595"/>
      <c r="AI108" s="595"/>
      <c r="AJ108" s="595"/>
      <c r="AK108" s="595"/>
      <c r="AL108" s="595"/>
      <c r="AM108" s="595"/>
      <c r="AN108" s="595"/>
      <c r="AO108" s="595"/>
      <c r="AP108" s="599"/>
      <c r="AQ108" s="599"/>
      <c r="AR108" s="599"/>
      <c r="AS108" s="599"/>
      <c r="AT108" s="595"/>
      <c r="AU108" s="598"/>
      <c r="AV108" s="598"/>
      <c r="AW108" s="598"/>
      <c r="AX108" s="595"/>
      <c r="AY108" s="595"/>
      <c r="AZ108" s="197"/>
      <c r="BA108" s="478" t="str">
        <f t="shared" si="6"/>
        <v>SUM_PFC</v>
      </c>
      <c r="BB108" s="573" t="str">
        <f t="shared" si="7"/>
        <v>SUM_EnergyIN</v>
      </c>
      <c r="BC108" s="600"/>
      <c r="BD108" s="5"/>
    </row>
    <row r="109" spans="1:56" x14ac:dyDescent="0.2">
      <c r="A109" s="600"/>
      <c r="B109" s="197"/>
      <c r="C109" s="529">
        <v>7</v>
      </c>
      <c r="D109" s="675"/>
      <c r="E109" s="594"/>
      <c r="F109" s="595"/>
      <c r="G109" s="596"/>
      <c r="H109" s="779"/>
      <c r="I109" s="780"/>
      <c r="J109" s="779"/>
      <c r="K109" s="780"/>
      <c r="L109" s="780"/>
      <c r="M109" s="780"/>
      <c r="N109" s="779"/>
      <c r="O109" s="778"/>
      <c r="P109" s="779"/>
      <c r="Q109" s="778"/>
      <c r="R109" s="779"/>
      <c r="S109" s="778"/>
      <c r="T109" s="779"/>
      <c r="U109" s="778"/>
      <c r="V109" s="778"/>
      <c r="W109" s="778"/>
      <c r="X109" s="778"/>
      <c r="Y109" s="778"/>
      <c r="Z109" s="778"/>
      <c r="AA109" s="778"/>
      <c r="AB109" s="778"/>
      <c r="AC109" s="778"/>
      <c r="AD109" s="778"/>
      <c r="AE109" s="778"/>
      <c r="AF109" s="778"/>
      <c r="AG109" s="595"/>
      <c r="AH109" s="595"/>
      <c r="AI109" s="595"/>
      <c r="AJ109" s="595"/>
      <c r="AK109" s="595"/>
      <c r="AL109" s="595"/>
      <c r="AM109" s="595"/>
      <c r="AN109" s="595"/>
      <c r="AO109" s="595"/>
      <c r="AP109" s="599"/>
      <c r="AQ109" s="599"/>
      <c r="AR109" s="599"/>
      <c r="AS109" s="599"/>
      <c r="AT109" s="595"/>
      <c r="AU109" s="598"/>
      <c r="AV109" s="598"/>
      <c r="AW109" s="598"/>
      <c r="AX109" s="595"/>
      <c r="AY109" s="595"/>
      <c r="AZ109" s="197"/>
      <c r="BA109" s="478" t="str">
        <f t="shared" si="6"/>
        <v>SUM_PFC</v>
      </c>
      <c r="BB109" s="573" t="str">
        <f t="shared" si="7"/>
        <v>SUM_EnergyIN</v>
      </c>
      <c r="BC109" s="600"/>
      <c r="BD109" s="5"/>
    </row>
    <row r="110" spans="1:56" x14ac:dyDescent="0.2">
      <c r="A110" s="600"/>
      <c r="B110" s="197"/>
      <c r="C110" s="529">
        <v>8</v>
      </c>
      <c r="D110" s="675"/>
      <c r="E110" s="594"/>
      <c r="F110" s="595"/>
      <c r="G110" s="596"/>
      <c r="H110" s="779"/>
      <c r="I110" s="780"/>
      <c r="J110" s="779"/>
      <c r="K110" s="780"/>
      <c r="L110" s="780"/>
      <c r="M110" s="780"/>
      <c r="N110" s="779"/>
      <c r="O110" s="778"/>
      <c r="P110" s="779"/>
      <c r="Q110" s="778"/>
      <c r="R110" s="779"/>
      <c r="S110" s="778"/>
      <c r="T110" s="779"/>
      <c r="U110" s="778"/>
      <c r="V110" s="778"/>
      <c r="W110" s="778"/>
      <c r="X110" s="778"/>
      <c r="Y110" s="778"/>
      <c r="Z110" s="778"/>
      <c r="AA110" s="778"/>
      <c r="AB110" s="778"/>
      <c r="AC110" s="778"/>
      <c r="AD110" s="778"/>
      <c r="AE110" s="778"/>
      <c r="AF110" s="778"/>
      <c r="AG110" s="595"/>
      <c r="AH110" s="595"/>
      <c r="AI110" s="595"/>
      <c r="AJ110" s="595"/>
      <c r="AK110" s="595"/>
      <c r="AL110" s="595"/>
      <c r="AM110" s="595"/>
      <c r="AN110" s="595"/>
      <c r="AO110" s="595"/>
      <c r="AP110" s="599"/>
      <c r="AQ110" s="599"/>
      <c r="AR110" s="599"/>
      <c r="AS110" s="599"/>
      <c r="AT110" s="595"/>
      <c r="AU110" s="598"/>
      <c r="AV110" s="598"/>
      <c r="AW110" s="598"/>
      <c r="AX110" s="595"/>
      <c r="AY110" s="595"/>
      <c r="AZ110" s="197"/>
      <c r="BA110" s="478" t="str">
        <f t="shared" si="6"/>
        <v>SUM_PFC</v>
      </c>
      <c r="BB110" s="573" t="str">
        <f t="shared" si="7"/>
        <v>SUM_EnergyIN</v>
      </c>
      <c r="BC110" s="600"/>
      <c r="BD110" s="5"/>
    </row>
    <row r="111" spans="1:56" x14ac:dyDescent="0.2">
      <c r="A111" s="600"/>
      <c r="B111" s="197"/>
      <c r="C111" s="529">
        <v>9</v>
      </c>
      <c r="D111" s="675"/>
      <c r="E111" s="594"/>
      <c r="F111" s="595"/>
      <c r="G111" s="596"/>
      <c r="H111" s="779"/>
      <c r="I111" s="780"/>
      <c r="J111" s="779"/>
      <c r="K111" s="780"/>
      <c r="L111" s="780"/>
      <c r="M111" s="780"/>
      <c r="N111" s="779"/>
      <c r="O111" s="778"/>
      <c r="P111" s="779"/>
      <c r="Q111" s="778"/>
      <c r="R111" s="779"/>
      <c r="S111" s="778"/>
      <c r="T111" s="779"/>
      <c r="U111" s="778"/>
      <c r="V111" s="778"/>
      <c r="W111" s="778"/>
      <c r="X111" s="778"/>
      <c r="Y111" s="778"/>
      <c r="Z111" s="778"/>
      <c r="AA111" s="778"/>
      <c r="AB111" s="778"/>
      <c r="AC111" s="778"/>
      <c r="AD111" s="778"/>
      <c r="AE111" s="778"/>
      <c r="AF111" s="778"/>
      <c r="AG111" s="595"/>
      <c r="AH111" s="595"/>
      <c r="AI111" s="595"/>
      <c r="AJ111" s="595"/>
      <c r="AK111" s="595"/>
      <c r="AL111" s="595"/>
      <c r="AM111" s="595"/>
      <c r="AN111" s="595"/>
      <c r="AO111" s="595"/>
      <c r="AP111" s="599"/>
      <c r="AQ111" s="599"/>
      <c r="AR111" s="599"/>
      <c r="AS111" s="599"/>
      <c r="AT111" s="595"/>
      <c r="AU111" s="598"/>
      <c r="AV111" s="598"/>
      <c r="AW111" s="598"/>
      <c r="AX111" s="595"/>
      <c r="AY111" s="595"/>
      <c r="AZ111" s="197"/>
      <c r="BA111" s="478" t="str">
        <f t="shared" si="6"/>
        <v>SUM_PFC</v>
      </c>
      <c r="BB111" s="573" t="str">
        <f t="shared" si="7"/>
        <v>SUM_EnergyIN</v>
      </c>
      <c r="BC111" s="600"/>
      <c r="BD111" s="5"/>
    </row>
    <row r="112" spans="1:56" x14ac:dyDescent="0.2">
      <c r="A112" s="600"/>
      <c r="B112" s="197"/>
      <c r="C112" s="529">
        <v>10</v>
      </c>
      <c r="D112" s="675"/>
      <c r="E112" s="594"/>
      <c r="F112" s="595"/>
      <c r="G112" s="596"/>
      <c r="H112" s="779"/>
      <c r="I112" s="780"/>
      <c r="J112" s="779"/>
      <c r="K112" s="780"/>
      <c r="L112" s="780"/>
      <c r="M112" s="780"/>
      <c r="N112" s="779"/>
      <c r="O112" s="778"/>
      <c r="P112" s="779"/>
      <c r="Q112" s="778"/>
      <c r="R112" s="779"/>
      <c r="S112" s="778"/>
      <c r="T112" s="779"/>
      <c r="U112" s="778"/>
      <c r="V112" s="778"/>
      <c r="W112" s="778"/>
      <c r="X112" s="778"/>
      <c r="Y112" s="778"/>
      <c r="Z112" s="778"/>
      <c r="AA112" s="778"/>
      <c r="AB112" s="778"/>
      <c r="AC112" s="778"/>
      <c r="AD112" s="778"/>
      <c r="AE112" s="778"/>
      <c r="AF112" s="778"/>
      <c r="AG112" s="595"/>
      <c r="AH112" s="595"/>
      <c r="AI112" s="595"/>
      <c r="AJ112" s="595"/>
      <c r="AK112" s="595"/>
      <c r="AL112" s="595"/>
      <c r="AM112" s="595"/>
      <c r="AN112" s="595"/>
      <c r="AO112" s="595"/>
      <c r="AP112" s="599"/>
      <c r="AQ112" s="599"/>
      <c r="AR112" s="599"/>
      <c r="AS112" s="599"/>
      <c r="AT112" s="595"/>
      <c r="AU112" s="598"/>
      <c r="AV112" s="598"/>
      <c r="AW112" s="598"/>
      <c r="AX112" s="595"/>
      <c r="AY112" s="595"/>
      <c r="AZ112" s="197"/>
      <c r="BA112" s="478" t="str">
        <f t="shared" si="6"/>
        <v>SUM_PFC</v>
      </c>
      <c r="BB112" s="573" t="str">
        <f t="shared" si="7"/>
        <v>SUM_EnergyIN</v>
      </c>
      <c r="BC112" s="600"/>
      <c r="BD112" s="5"/>
    </row>
    <row r="113" spans="1:56" x14ac:dyDescent="0.2">
      <c r="A113" s="600"/>
      <c r="B113" s="197"/>
      <c r="F113" s="530"/>
      <c r="G113" s="6"/>
      <c r="H113" s="530"/>
      <c r="I113" s="6"/>
      <c r="J113" s="530"/>
      <c r="K113" s="6"/>
      <c r="L113" s="6"/>
      <c r="M113" s="6"/>
      <c r="N113" s="530"/>
      <c r="O113" s="531"/>
      <c r="P113" s="530"/>
      <c r="Q113" s="531"/>
      <c r="R113" s="530"/>
      <c r="S113" s="531"/>
      <c r="T113" s="530"/>
      <c r="U113" s="531"/>
      <c r="V113" s="531"/>
      <c r="W113" s="531"/>
      <c r="X113" s="531"/>
      <c r="Y113" s="531"/>
      <c r="Z113" s="531"/>
      <c r="AA113" s="531"/>
      <c r="AB113" s="531"/>
      <c r="AC113" s="531"/>
      <c r="AD113" s="531"/>
      <c r="AE113" s="531"/>
      <c r="AF113" s="531"/>
      <c r="AG113" s="531"/>
      <c r="AH113" s="531"/>
      <c r="AI113" s="531"/>
      <c r="AJ113" s="531"/>
      <c r="AK113" s="531"/>
      <c r="AL113" s="531"/>
      <c r="AM113" s="531"/>
      <c r="AN113" s="531"/>
      <c r="AO113" s="531"/>
      <c r="AP113" s="531"/>
      <c r="AQ113" s="531"/>
      <c r="AR113" s="531"/>
      <c r="AS113" s="531"/>
      <c r="AT113" s="531"/>
      <c r="AU113" s="532"/>
      <c r="AV113" s="532"/>
      <c r="AW113" s="532"/>
      <c r="AX113" s="530"/>
      <c r="AY113" s="530"/>
      <c r="AZ113" s="197"/>
      <c r="BA113" s="600"/>
      <c r="BB113" s="600"/>
      <c r="BC113" s="600"/>
      <c r="BD113" s="5"/>
    </row>
    <row r="114" spans="1:56" ht="50.1" customHeight="1" thickBot="1" x14ac:dyDescent="0.45">
      <c r="A114" s="600"/>
      <c r="B114" s="197"/>
      <c r="C114" s="77"/>
      <c r="D114" s="522" t="str">
        <f>Translations!$B$344</f>
        <v>Źródła emisji (metody oparte na pomiarach)</v>
      </c>
      <c r="E114" s="197"/>
      <c r="F114" s="197"/>
      <c r="G114" s="197"/>
      <c r="H114" s="197"/>
      <c r="I114" s="197"/>
      <c r="J114" s="197"/>
      <c r="K114" s="197"/>
      <c r="L114" s="197"/>
      <c r="N114" s="197"/>
      <c r="O114" s="197"/>
      <c r="P114" s="197"/>
      <c r="Q114" s="197"/>
      <c r="R114" s="197"/>
      <c r="S114" s="197"/>
      <c r="T114" s="197"/>
      <c r="U114" s="197"/>
      <c r="V114" s="197"/>
      <c r="W114" s="197"/>
      <c r="X114" s="197"/>
      <c r="Y114" s="197"/>
      <c r="Z114" s="197"/>
      <c r="AA114" s="197"/>
      <c r="AB114" s="197"/>
      <c r="AC114" s="197"/>
      <c r="AD114" s="197"/>
      <c r="AE114" s="197"/>
      <c r="AF114" s="677"/>
      <c r="AG114" s="197"/>
      <c r="AH114" s="197"/>
      <c r="AI114" s="197"/>
      <c r="AJ114" s="197"/>
      <c r="AK114" s="197"/>
      <c r="AL114" s="197"/>
      <c r="AM114" s="197"/>
      <c r="AN114" s="197"/>
      <c r="AO114" s="197"/>
      <c r="AP114" s="197"/>
      <c r="AQ114" s="197"/>
      <c r="AR114" s="197"/>
      <c r="AS114" s="197"/>
      <c r="AT114" s="197"/>
      <c r="AU114" s="197"/>
      <c r="AV114" s="197"/>
      <c r="AW114" s="197"/>
      <c r="AX114" s="197"/>
      <c r="AY114" s="197"/>
      <c r="AZ114" s="197"/>
      <c r="BA114" s="600"/>
      <c r="BB114" s="600"/>
      <c r="BC114" s="600"/>
      <c r="BD114" s="5"/>
    </row>
    <row r="115" spans="1:56" ht="50.1" customHeight="1" thickBot="1" x14ac:dyDescent="0.25">
      <c r="A115" s="600"/>
      <c r="B115" s="197"/>
      <c r="C115" s="523" t="s">
        <v>482</v>
      </c>
      <c r="D115" s="524" t="str">
        <f>Translations!$B$282</f>
        <v>Metoda</v>
      </c>
      <c r="E115" s="524" t="str">
        <f>Translations!$B$340</f>
        <v>Nazwa</v>
      </c>
      <c r="F115" s="525" t="str">
        <f>Translations!$B$284</f>
        <v>Dane dotyczące działalności (AD)</v>
      </c>
      <c r="G115" s="525" t="str">
        <f>Translations!$B$285</f>
        <v>Jednostka AD</v>
      </c>
      <c r="H115" s="525" t="str">
        <f>Translations!$B$286</f>
        <v>Wartość opałowa (NCV)</v>
      </c>
      <c r="I115" s="525" t="str">
        <f>Translations!$B$287</f>
        <v>Jednostka NCV</v>
      </c>
      <c r="J115" s="525" t="str">
        <f>Translations!$B$288</f>
        <v>Współczynnik emisji (EF)</v>
      </c>
      <c r="K115" s="525" t="str">
        <f>Translations!$B$289</f>
        <v>Jednostka EF</v>
      </c>
      <c r="L115" s="525" t="str">
        <f>Translations!$B$290</f>
        <v>Zawartość węgla</v>
      </c>
      <c r="M115" s="525" t="str">
        <f>Translations!$B$291</f>
        <v>Jednostka zawartości węgla</v>
      </c>
      <c r="N115" s="525" t="str">
        <f>Translations!$B$292</f>
        <v>Współczynnik utleniania (OxF)</v>
      </c>
      <c r="O115" s="525" t="str">
        <f>Translations!$B$293</f>
        <v>Jednostka OxF</v>
      </c>
      <c r="P115" s="525" t="str">
        <f>Translations!$B$294</f>
        <v>Współczynnik konwersji</v>
      </c>
      <c r="Q115" s="525" t="str">
        <f>Translations!$B$295</f>
        <v>Jednostka współczynnika konwersji</v>
      </c>
      <c r="R115" s="525" t="str">
        <f>Translations!$B$296</f>
        <v>Zawartość biomasy (BioC)</v>
      </c>
      <c r="S115" s="525" t="str">
        <f>Translations!$B$297</f>
        <v>Jednostka BioC</v>
      </c>
      <c r="T115" s="525" t="str">
        <f>Translations!$B$298</f>
        <v>BioC niezrówn.</v>
      </c>
      <c r="U115" s="525" t="str">
        <f>Translations!$B$299</f>
        <v>Jednostka BioC niezrówn.</v>
      </c>
      <c r="V115" s="525" t="str">
        <f>Translations!$B$300</f>
        <v>Średnie godzinowe stężenie gazów cieplarnianych (GHG)</v>
      </c>
      <c r="W115" s="525" t="str">
        <f>Translations!$B$301</f>
        <v>Jednostka godzinowego stężenia GHG</v>
      </c>
      <c r="X115" s="525" t="str">
        <f>Translations!$B$302</f>
        <v>Godziny działania</v>
      </c>
      <c r="Y115" s="525" t="str">
        <f>Translations!$B$303</f>
        <v>Jednostka godzin działania</v>
      </c>
      <c r="Z115" s="525" t="str">
        <f>Translations!$B$304</f>
        <v>Przepływ spalin (średnia)</v>
      </c>
      <c r="AA115" s="525" t="str">
        <f>Translations!$B$305</f>
        <v>Jednostka przepływu spalin (średnia)</v>
      </c>
      <c r="AB115" s="525" t="str">
        <f>Translations!$B$306</f>
        <v>Przepływ spalin (łącznie)</v>
      </c>
      <c r="AC115" s="525" t="str">
        <f>Translations!$B$307</f>
        <v>Jednostka przepływu spalin (łącznie)</v>
      </c>
      <c r="AD115" s="525" t="str">
        <f>Translations!$B$308</f>
        <v>Roczna ilość GHG</v>
      </c>
      <c r="AE115" s="525" t="str">
        <f>Translations!$B$309</f>
        <v>Jednostka rocznej ilości GHG</v>
      </c>
      <c r="AF115" s="525" t="str">
        <f>Translations!$B$310</f>
        <v>Współczynnik ocieplenia globalnego GWP (tCO2e/t)</v>
      </c>
      <c r="AG115" s="525" t="str">
        <f>Translations!$B$311</f>
        <v>A: Częstotliwość</v>
      </c>
      <c r="AH115" s="525" t="str">
        <f>Translations!$B$312</f>
        <v>A: Czas trwania</v>
      </c>
      <c r="AI115" s="525" t="str">
        <f>Translations!$B$313</f>
        <v>A: SEF (CF4)</v>
      </c>
      <c r="AJ115" s="525" t="str">
        <f>Translations!$B$314</f>
        <v>B: AEO</v>
      </c>
      <c r="AK115" s="525" t="str">
        <f>Translations!$B$315</f>
        <v>B: CE</v>
      </c>
      <c r="AL115" s="525" t="str">
        <f>Translations!$B$316</f>
        <v>B: OVC</v>
      </c>
      <c r="AM115" s="525" t="str">
        <f>Translations!$B$317</f>
        <v>F(C2F6)</v>
      </c>
      <c r="AN115" s="525" t="str">
        <f>Translations!$B$318</f>
        <v>Emisje CF4 (t CF4)</v>
      </c>
      <c r="AO115" s="525" t="str">
        <f>Translations!$B$319</f>
        <v>Emisje C2F6 (t C2F6)</v>
      </c>
      <c r="AP115" s="525" t="str">
        <f>Translations!$B$320</f>
        <v>GWP (CF4) (tCO2e/t)</v>
      </c>
      <c r="AQ115" s="525" t="str">
        <f>Translations!$B$321</f>
        <v>GWP (C2F6) (tCO2e/t)</v>
      </c>
      <c r="AR115" s="525" t="str">
        <f>Translations!$B$322</f>
        <v>Emisje CF4 (t CO2e)</v>
      </c>
      <c r="AS115" s="525" t="str">
        <f>Translations!$B$323</f>
        <v>Emisje C2F6 (t CO2e)</v>
      </c>
      <c r="AT115" s="525" t="str">
        <f>Translations!$B$324</f>
        <v>Całkowita wydajność, %</v>
      </c>
      <c r="AU115" s="525" t="str">
        <f>Translations!$B$325</f>
        <v>Kopalne CO2e (t)</v>
      </c>
      <c r="AV115" s="525" t="str">
        <f>Translations!$B$326</f>
        <v>CO2e z biomasy (t)</v>
      </c>
      <c r="AW115" s="525" t="str">
        <f>Translations!$B$327</f>
        <v>CO2e z biomasy niezrówn. (t)</v>
      </c>
      <c r="AX115" s="526" t="str">
        <f>Translations!$B$328</f>
        <v>Zawartość energii (kopalne), TJ</v>
      </c>
      <c r="AY115" s="527" t="str">
        <f>Translations!$B$329</f>
        <v>Zawartość energii (biomasa), TJ</v>
      </c>
      <c r="AZ115" s="197"/>
      <c r="BA115" s="600"/>
      <c r="BB115" s="600"/>
      <c r="BC115" s="600"/>
      <c r="BD115" s="5"/>
    </row>
    <row r="116" spans="1:56" ht="12.75" customHeight="1" x14ac:dyDescent="0.2">
      <c r="A116" s="600"/>
      <c r="B116" s="197"/>
      <c r="C116" s="533" t="str">
        <f>Translations!$B$330</f>
        <v>Przykł. 1</v>
      </c>
      <c r="D116" s="690" t="s">
        <v>388</v>
      </c>
      <c r="E116" s="690" t="str">
        <f>Translations!$B$345</f>
        <v>Kwas azotowy, linia 1</v>
      </c>
      <c r="F116" s="779"/>
      <c r="G116" s="780"/>
      <c r="H116" s="779"/>
      <c r="I116" s="780"/>
      <c r="J116" s="779"/>
      <c r="K116" s="780"/>
      <c r="L116" s="780"/>
      <c r="M116" s="780"/>
      <c r="N116" s="779"/>
      <c r="O116" s="778"/>
      <c r="P116" s="779"/>
      <c r="Q116" s="778"/>
      <c r="R116" s="695">
        <v>0</v>
      </c>
      <c r="S116" s="692" t="s">
        <v>409</v>
      </c>
      <c r="T116" s="695">
        <v>0</v>
      </c>
      <c r="U116" s="692" t="s">
        <v>409</v>
      </c>
      <c r="V116" s="695">
        <v>64.292500000000004</v>
      </c>
      <c r="W116" s="692" t="s">
        <v>533</v>
      </c>
      <c r="X116" s="695">
        <v>4</v>
      </c>
      <c r="Y116" s="692" t="str">
        <f>Translations!$B$346</f>
        <v>h/rok</v>
      </c>
      <c r="Z116" s="695">
        <v>265</v>
      </c>
      <c r="AA116" s="692" t="str">
        <f>Translations!$B$347</f>
        <v>1000Nm3/h</v>
      </c>
      <c r="AB116" s="695">
        <v>1060</v>
      </c>
      <c r="AC116" s="692" t="str">
        <f>Translations!$B$348</f>
        <v>1000Nm3/rok</v>
      </c>
      <c r="AD116" s="695">
        <v>68</v>
      </c>
      <c r="AE116" s="692" t="s">
        <v>212</v>
      </c>
      <c r="AF116" s="695">
        <v>298</v>
      </c>
      <c r="AG116" s="781"/>
      <c r="AH116" s="781"/>
      <c r="AI116" s="781"/>
      <c r="AJ116" s="781"/>
      <c r="AK116" s="781"/>
      <c r="AL116" s="781"/>
      <c r="AM116" s="781"/>
      <c r="AN116" s="781"/>
      <c r="AO116" s="781"/>
      <c r="AP116" s="781"/>
      <c r="AQ116" s="781"/>
      <c r="AR116" s="781"/>
      <c r="AS116" s="781"/>
      <c r="AT116" s="781"/>
      <c r="AU116" s="693">
        <v>20308.714900000003</v>
      </c>
      <c r="AV116" s="693">
        <v>0</v>
      </c>
      <c r="AW116" s="693">
        <v>0</v>
      </c>
      <c r="AX116" s="695">
        <v>0</v>
      </c>
      <c r="AY116" s="695">
        <v>0</v>
      </c>
      <c r="AZ116" s="197"/>
      <c r="BA116" s="600"/>
      <c r="BB116" s="600"/>
      <c r="BC116" s="600"/>
      <c r="BD116" s="5"/>
    </row>
    <row r="117" spans="1:56" ht="12.75" customHeight="1" x14ac:dyDescent="0.2">
      <c r="A117" s="600"/>
      <c r="B117" s="197"/>
      <c r="C117" s="533" t="str">
        <f>Translations!$B$333</f>
        <v>Przykł. 2</v>
      </c>
      <c r="D117" s="690" t="str">
        <f>Translations!$B$349</f>
        <v>Przenoszenie CO2</v>
      </c>
      <c r="E117" s="690" t="str">
        <f>Translations!$B$350</f>
        <v>Przenoszenie do instalacji objętej EU ETS X</v>
      </c>
      <c r="F117" s="779"/>
      <c r="G117" s="780"/>
      <c r="H117" s="779"/>
      <c r="I117" s="780"/>
      <c r="J117" s="779"/>
      <c r="K117" s="780"/>
      <c r="L117" s="780"/>
      <c r="M117" s="780"/>
      <c r="N117" s="779"/>
      <c r="O117" s="778"/>
      <c r="P117" s="779"/>
      <c r="Q117" s="778"/>
      <c r="R117" s="695">
        <v>0</v>
      </c>
      <c r="S117" s="692" t="s">
        <v>409</v>
      </c>
      <c r="T117" s="695">
        <v>0</v>
      </c>
      <c r="U117" s="692" t="s">
        <v>409</v>
      </c>
      <c r="V117" s="695">
        <v>1820</v>
      </c>
      <c r="W117" s="692" t="s">
        <v>533</v>
      </c>
      <c r="X117" s="695">
        <v>5000</v>
      </c>
      <c r="Y117" s="692" t="str">
        <f>Translations!$B$346</f>
        <v>h/rok</v>
      </c>
      <c r="Z117" s="695">
        <v>50</v>
      </c>
      <c r="AA117" s="692" t="str">
        <f>Translations!$B$347</f>
        <v>1000Nm3/h</v>
      </c>
      <c r="AB117" s="695">
        <v>250000</v>
      </c>
      <c r="AC117" s="692" t="str">
        <f>Translations!$B$348</f>
        <v>1000Nm3/rok</v>
      </c>
      <c r="AD117" s="695">
        <v>455000</v>
      </c>
      <c r="AE117" s="692" t="s">
        <v>212</v>
      </c>
      <c r="AF117" s="695">
        <v>1</v>
      </c>
      <c r="AG117" s="781"/>
      <c r="AH117" s="781"/>
      <c r="AI117" s="781"/>
      <c r="AJ117" s="781"/>
      <c r="AK117" s="781"/>
      <c r="AL117" s="781"/>
      <c r="AM117" s="781"/>
      <c r="AN117" s="781"/>
      <c r="AO117" s="781"/>
      <c r="AP117" s="781"/>
      <c r="AQ117" s="781"/>
      <c r="AR117" s="781"/>
      <c r="AS117" s="781"/>
      <c r="AT117" s="781"/>
      <c r="AU117" s="693">
        <v>-455000</v>
      </c>
      <c r="AV117" s="693">
        <v>0</v>
      </c>
      <c r="AW117" s="693">
        <v>0</v>
      </c>
      <c r="AX117" s="695">
        <v>0</v>
      </c>
      <c r="AY117" s="695">
        <v>0</v>
      </c>
      <c r="AZ117" s="197"/>
      <c r="BA117" s="600"/>
      <c r="BB117" s="600"/>
      <c r="BC117" s="600"/>
      <c r="BD117" s="5"/>
    </row>
    <row r="118" spans="1:56" x14ac:dyDescent="0.2">
      <c r="A118" s="600"/>
      <c r="B118" s="197"/>
      <c r="C118" s="529">
        <v>1</v>
      </c>
      <c r="D118" s="675"/>
      <c r="E118" s="594"/>
      <c r="F118" s="779"/>
      <c r="G118" s="780"/>
      <c r="H118" s="779"/>
      <c r="I118" s="780"/>
      <c r="J118" s="779"/>
      <c r="K118" s="780"/>
      <c r="L118" s="780"/>
      <c r="M118" s="780"/>
      <c r="N118" s="779"/>
      <c r="O118" s="778"/>
      <c r="P118" s="779"/>
      <c r="Q118" s="778"/>
      <c r="R118" s="599"/>
      <c r="S118" s="597"/>
      <c r="T118" s="599"/>
      <c r="U118" s="597"/>
      <c r="V118" s="599"/>
      <c r="W118" s="597"/>
      <c r="X118" s="599"/>
      <c r="Y118" s="597"/>
      <c r="Z118" s="599"/>
      <c r="AA118" s="597"/>
      <c r="AB118" s="599"/>
      <c r="AC118" s="597"/>
      <c r="AD118" s="599"/>
      <c r="AE118" s="597"/>
      <c r="AF118" s="599"/>
      <c r="AG118" s="781"/>
      <c r="AH118" s="781"/>
      <c r="AI118" s="781"/>
      <c r="AJ118" s="781"/>
      <c r="AK118" s="781"/>
      <c r="AL118" s="781"/>
      <c r="AM118" s="781"/>
      <c r="AN118" s="781"/>
      <c r="AO118" s="781"/>
      <c r="AP118" s="781"/>
      <c r="AQ118" s="781"/>
      <c r="AR118" s="781"/>
      <c r="AS118" s="781"/>
      <c r="AT118" s="781"/>
      <c r="AU118" s="598"/>
      <c r="AV118" s="598"/>
      <c r="AW118" s="598"/>
      <c r="AX118" s="599"/>
      <c r="AY118" s="599"/>
      <c r="AZ118" s="197"/>
      <c r="BA118" s="478" t="str">
        <f t="shared" ref="BA118:BA127" si="8">IF(SUM(AF118)&gt;1,EUconst_SumN2O,IF(SUM(AU118:AV118)&lt;0,EUconst_SumTransferCO2,EUconst_SumCO2))</f>
        <v>SUM_CO2</v>
      </c>
      <c r="BB118" s="573" t="str">
        <f t="shared" ref="BB118:BB127" si="9">EUconst_SumEnergyIN</f>
        <v>SUM_EnergyIN</v>
      </c>
      <c r="BC118" s="600"/>
      <c r="BD118" s="5"/>
    </row>
    <row r="119" spans="1:56" x14ac:dyDescent="0.2">
      <c r="A119" s="600"/>
      <c r="B119" s="197"/>
      <c r="C119" s="529">
        <v>2</v>
      </c>
      <c r="D119" s="675"/>
      <c r="E119" s="594"/>
      <c r="F119" s="779"/>
      <c r="G119" s="780"/>
      <c r="H119" s="779"/>
      <c r="I119" s="780"/>
      <c r="J119" s="779"/>
      <c r="K119" s="780"/>
      <c r="L119" s="780"/>
      <c r="M119" s="780"/>
      <c r="N119" s="779"/>
      <c r="O119" s="778"/>
      <c r="P119" s="779"/>
      <c r="Q119" s="778"/>
      <c r="R119" s="599"/>
      <c r="S119" s="597"/>
      <c r="T119" s="599"/>
      <c r="U119" s="597"/>
      <c r="V119" s="599"/>
      <c r="W119" s="597"/>
      <c r="X119" s="599"/>
      <c r="Y119" s="597"/>
      <c r="Z119" s="599"/>
      <c r="AA119" s="597"/>
      <c r="AB119" s="599"/>
      <c r="AC119" s="597"/>
      <c r="AD119" s="599"/>
      <c r="AE119" s="597"/>
      <c r="AF119" s="599"/>
      <c r="AG119" s="781"/>
      <c r="AH119" s="781"/>
      <c r="AI119" s="781"/>
      <c r="AJ119" s="781"/>
      <c r="AK119" s="781"/>
      <c r="AL119" s="781"/>
      <c r="AM119" s="781"/>
      <c r="AN119" s="781"/>
      <c r="AO119" s="781"/>
      <c r="AP119" s="781"/>
      <c r="AQ119" s="781"/>
      <c r="AR119" s="781"/>
      <c r="AS119" s="781"/>
      <c r="AT119" s="781"/>
      <c r="AU119" s="598"/>
      <c r="AV119" s="598"/>
      <c r="AW119" s="598"/>
      <c r="AX119" s="599"/>
      <c r="AY119" s="599"/>
      <c r="AZ119" s="197"/>
      <c r="BA119" s="478" t="str">
        <f t="shared" si="8"/>
        <v>SUM_CO2</v>
      </c>
      <c r="BB119" s="573" t="str">
        <f t="shared" si="9"/>
        <v>SUM_EnergyIN</v>
      </c>
      <c r="BC119" s="600"/>
      <c r="BD119" s="5"/>
    </row>
    <row r="120" spans="1:56" x14ac:dyDescent="0.2">
      <c r="A120" s="600"/>
      <c r="B120" s="197"/>
      <c r="C120" s="529">
        <v>3</v>
      </c>
      <c r="D120" s="675"/>
      <c r="E120" s="594"/>
      <c r="F120" s="779"/>
      <c r="G120" s="780"/>
      <c r="H120" s="779"/>
      <c r="I120" s="780"/>
      <c r="J120" s="779"/>
      <c r="K120" s="780"/>
      <c r="L120" s="780"/>
      <c r="M120" s="780"/>
      <c r="N120" s="779"/>
      <c r="O120" s="778"/>
      <c r="P120" s="779"/>
      <c r="Q120" s="778"/>
      <c r="R120" s="599"/>
      <c r="S120" s="597"/>
      <c r="T120" s="599"/>
      <c r="U120" s="597"/>
      <c r="V120" s="599"/>
      <c r="W120" s="597"/>
      <c r="X120" s="599"/>
      <c r="Y120" s="597"/>
      <c r="Z120" s="599"/>
      <c r="AA120" s="597"/>
      <c r="AB120" s="599"/>
      <c r="AC120" s="597"/>
      <c r="AD120" s="599"/>
      <c r="AE120" s="597"/>
      <c r="AF120" s="599"/>
      <c r="AG120" s="781"/>
      <c r="AH120" s="781"/>
      <c r="AI120" s="781"/>
      <c r="AJ120" s="781"/>
      <c r="AK120" s="781"/>
      <c r="AL120" s="781"/>
      <c r="AM120" s="781"/>
      <c r="AN120" s="781"/>
      <c r="AO120" s="781"/>
      <c r="AP120" s="781"/>
      <c r="AQ120" s="781"/>
      <c r="AR120" s="781"/>
      <c r="AS120" s="781"/>
      <c r="AT120" s="781"/>
      <c r="AU120" s="598"/>
      <c r="AV120" s="598"/>
      <c r="AW120" s="598"/>
      <c r="AX120" s="599"/>
      <c r="AY120" s="599"/>
      <c r="AZ120" s="197"/>
      <c r="BA120" s="478" t="str">
        <f t="shared" si="8"/>
        <v>SUM_CO2</v>
      </c>
      <c r="BB120" s="573" t="str">
        <f t="shared" si="9"/>
        <v>SUM_EnergyIN</v>
      </c>
      <c r="BC120" s="600"/>
      <c r="BD120" s="5"/>
    </row>
    <row r="121" spans="1:56" x14ac:dyDescent="0.2">
      <c r="A121" s="600"/>
      <c r="B121" s="197"/>
      <c r="C121" s="529">
        <v>4</v>
      </c>
      <c r="D121" s="675"/>
      <c r="E121" s="594"/>
      <c r="F121" s="779"/>
      <c r="G121" s="780"/>
      <c r="H121" s="779"/>
      <c r="I121" s="780"/>
      <c r="J121" s="779"/>
      <c r="K121" s="780"/>
      <c r="L121" s="780"/>
      <c r="M121" s="780"/>
      <c r="N121" s="779"/>
      <c r="O121" s="778"/>
      <c r="P121" s="779"/>
      <c r="Q121" s="778"/>
      <c r="R121" s="599"/>
      <c r="S121" s="597"/>
      <c r="T121" s="599"/>
      <c r="U121" s="597"/>
      <c r="V121" s="599"/>
      <c r="W121" s="597"/>
      <c r="X121" s="599"/>
      <c r="Y121" s="597"/>
      <c r="Z121" s="599"/>
      <c r="AA121" s="597"/>
      <c r="AB121" s="599"/>
      <c r="AC121" s="597"/>
      <c r="AD121" s="599"/>
      <c r="AE121" s="597"/>
      <c r="AF121" s="599"/>
      <c r="AG121" s="781"/>
      <c r="AH121" s="781"/>
      <c r="AI121" s="781"/>
      <c r="AJ121" s="781"/>
      <c r="AK121" s="781"/>
      <c r="AL121" s="781"/>
      <c r="AM121" s="781"/>
      <c r="AN121" s="781"/>
      <c r="AO121" s="781"/>
      <c r="AP121" s="781"/>
      <c r="AQ121" s="781"/>
      <c r="AR121" s="781"/>
      <c r="AS121" s="781"/>
      <c r="AT121" s="781"/>
      <c r="AU121" s="598"/>
      <c r="AV121" s="598"/>
      <c r="AW121" s="598"/>
      <c r="AX121" s="599"/>
      <c r="AY121" s="599"/>
      <c r="AZ121" s="197"/>
      <c r="BA121" s="478" t="str">
        <f t="shared" si="8"/>
        <v>SUM_CO2</v>
      </c>
      <c r="BB121" s="573" t="str">
        <f t="shared" si="9"/>
        <v>SUM_EnergyIN</v>
      </c>
      <c r="BC121" s="600"/>
      <c r="BD121" s="5"/>
    </row>
    <row r="122" spans="1:56" x14ac:dyDescent="0.2">
      <c r="A122" s="600"/>
      <c r="B122" s="197"/>
      <c r="C122" s="529">
        <v>5</v>
      </c>
      <c r="D122" s="675"/>
      <c r="E122" s="594"/>
      <c r="F122" s="779"/>
      <c r="G122" s="780"/>
      <c r="H122" s="779"/>
      <c r="I122" s="780"/>
      <c r="J122" s="779"/>
      <c r="K122" s="780"/>
      <c r="L122" s="780"/>
      <c r="M122" s="780"/>
      <c r="N122" s="779"/>
      <c r="O122" s="778"/>
      <c r="P122" s="779"/>
      <c r="Q122" s="778"/>
      <c r="R122" s="599"/>
      <c r="S122" s="597"/>
      <c r="T122" s="599"/>
      <c r="U122" s="597"/>
      <c r="V122" s="599"/>
      <c r="W122" s="597"/>
      <c r="X122" s="599"/>
      <c r="Y122" s="597"/>
      <c r="Z122" s="599"/>
      <c r="AA122" s="597"/>
      <c r="AB122" s="599"/>
      <c r="AC122" s="597"/>
      <c r="AD122" s="599"/>
      <c r="AE122" s="597"/>
      <c r="AF122" s="599"/>
      <c r="AG122" s="781"/>
      <c r="AH122" s="781"/>
      <c r="AI122" s="781"/>
      <c r="AJ122" s="781"/>
      <c r="AK122" s="781"/>
      <c r="AL122" s="781"/>
      <c r="AM122" s="781"/>
      <c r="AN122" s="781"/>
      <c r="AO122" s="781"/>
      <c r="AP122" s="781"/>
      <c r="AQ122" s="781"/>
      <c r="AR122" s="781"/>
      <c r="AS122" s="781"/>
      <c r="AT122" s="781"/>
      <c r="AU122" s="598"/>
      <c r="AV122" s="598"/>
      <c r="AW122" s="598"/>
      <c r="AX122" s="599"/>
      <c r="AY122" s="599"/>
      <c r="AZ122" s="197"/>
      <c r="BA122" s="478" t="str">
        <f t="shared" si="8"/>
        <v>SUM_CO2</v>
      </c>
      <c r="BB122" s="573" t="str">
        <f t="shared" si="9"/>
        <v>SUM_EnergyIN</v>
      </c>
      <c r="BC122" s="600"/>
      <c r="BD122" s="5"/>
    </row>
    <row r="123" spans="1:56" x14ac:dyDescent="0.2">
      <c r="A123" s="600"/>
      <c r="B123" s="197"/>
      <c r="C123" s="529">
        <v>6</v>
      </c>
      <c r="D123" s="675"/>
      <c r="E123" s="594"/>
      <c r="F123" s="779"/>
      <c r="G123" s="780"/>
      <c r="H123" s="779"/>
      <c r="I123" s="780"/>
      <c r="J123" s="779"/>
      <c r="K123" s="780"/>
      <c r="L123" s="780"/>
      <c r="M123" s="780"/>
      <c r="N123" s="779"/>
      <c r="O123" s="778"/>
      <c r="P123" s="779"/>
      <c r="Q123" s="778"/>
      <c r="R123" s="599"/>
      <c r="S123" s="597"/>
      <c r="T123" s="599"/>
      <c r="U123" s="597"/>
      <c r="V123" s="599"/>
      <c r="W123" s="597"/>
      <c r="X123" s="599"/>
      <c r="Y123" s="597"/>
      <c r="Z123" s="599"/>
      <c r="AA123" s="597"/>
      <c r="AB123" s="599"/>
      <c r="AC123" s="597"/>
      <c r="AD123" s="599"/>
      <c r="AE123" s="597"/>
      <c r="AF123" s="599"/>
      <c r="AG123" s="781"/>
      <c r="AH123" s="781"/>
      <c r="AI123" s="781"/>
      <c r="AJ123" s="781"/>
      <c r="AK123" s="781"/>
      <c r="AL123" s="781"/>
      <c r="AM123" s="781"/>
      <c r="AN123" s="781"/>
      <c r="AO123" s="781"/>
      <c r="AP123" s="781"/>
      <c r="AQ123" s="781"/>
      <c r="AR123" s="781"/>
      <c r="AS123" s="781"/>
      <c r="AT123" s="781"/>
      <c r="AU123" s="598"/>
      <c r="AV123" s="598"/>
      <c r="AW123" s="598"/>
      <c r="AX123" s="599"/>
      <c r="AY123" s="599"/>
      <c r="AZ123" s="197"/>
      <c r="BA123" s="478" t="str">
        <f t="shared" si="8"/>
        <v>SUM_CO2</v>
      </c>
      <c r="BB123" s="573" t="str">
        <f t="shared" si="9"/>
        <v>SUM_EnergyIN</v>
      </c>
      <c r="BC123" s="600"/>
      <c r="BD123" s="5"/>
    </row>
    <row r="124" spans="1:56" x14ac:dyDescent="0.2">
      <c r="A124" s="600"/>
      <c r="B124" s="197"/>
      <c r="C124" s="529">
        <v>7</v>
      </c>
      <c r="D124" s="675"/>
      <c r="E124" s="594"/>
      <c r="F124" s="779"/>
      <c r="G124" s="780"/>
      <c r="H124" s="779"/>
      <c r="I124" s="780"/>
      <c r="J124" s="779"/>
      <c r="K124" s="780"/>
      <c r="L124" s="780"/>
      <c r="M124" s="780"/>
      <c r="N124" s="779"/>
      <c r="O124" s="778"/>
      <c r="P124" s="779"/>
      <c r="Q124" s="778"/>
      <c r="R124" s="599"/>
      <c r="S124" s="597"/>
      <c r="T124" s="599"/>
      <c r="U124" s="597"/>
      <c r="V124" s="599"/>
      <c r="W124" s="597"/>
      <c r="X124" s="599"/>
      <c r="Y124" s="597"/>
      <c r="Z124" s="599"/>
      <c r="AA124" s="597"/>
      <c r="AB124" s="599"/>
      <c r="AC124" s="597"/>
      <c r="AD124" s="599"/>
      <c r="AE124" s="597"/>
      <c r="AF124" s="599"/>
      <c r="AG124" s="781"/>
      <c r="AH124" s="781"/>
      <c r="AI124" s="781"/>
      <c r="AJ124" s="781"/>
      <c r="AK124" s="781"/>
      <c r="AL124" s="781"/>
      <c r="AM124" s="781"/>
      <c r="AN124" s="781"/>
      <c r="AO124" s="781"/>
      <c r="AP124" s="781"/>
      <c r="AQ124" s="781"/>
      <c r="AR124" s="781"/>
      <c r="AS124" s="781"/>
      <c r="AT124" s="781"/>
      <c r="AU124" s="598"/>
      <c r="AV124" s="598"/>
      <c r="AW124" s="598"/>
      <c r="AX124" s="599"/>
      <c r="AY124" s="599"/>
      <c r="AZ124" s="197"/>
      <c r="BA124" s="478" t="str">
        <f t="shared" si="8"/>
        <v>SUM_CO2</v>
      </c>
      <c r="BB124" s="573" t="str">
        <f t="shared" si="9"/>
        <v>SUM_EnergyIN</v>
      </c>
      <c r="BC124" s="600"/>
      <c r="BD124" s="5"/>
    </row>
    <row r="125" spans="1:56" x14ac:dyDescent="0.2">
      <c r="A125" s="600"/>
      <c r="B125" s="197"/>
      <c r="C125" s="529">
        <v>8</v>
      </c>
      <c r="D125" s="675"/>
      <c r="E125" s="594"/>
      <c r="F125" s="779"/>
      <c r="G125" s="780"/>
      <c r="H125" s="779"/>
      <c r="I125" s="780"/>
      <c r="J125" s="779"/>
      <c r="K125" s="780"/>
      <c r="L125" s="780"/>
      <c r="M125" s="780"/>
      <c r="N125" s="779"/>
      <c r="O125" s="778"/>
      <c r="P125" s="779"/>
      <c r="Q125" s="778"/>
      <c r="R125" s="599"/>
      <c r="S125" s="597"/>
      <c r="T125" s="599"/>
      <c r="U125" s="597"/>
      <c r="V125" s="599"/>
      <c r="W125" s="597"/>
      <c r="X125" s="599"/>
      <c r="Y125" s="597"/>
      <c r="Z125" s="599"/>
      <c r="AA125" s="597"/>
      <c r="AB125" s="599"/>
      <c r="AC125" s="597"/>
      <c r="AD125" s="599"/>
      <c r="AE125" s="597"/>
      <c r="AF125" s="599"/>
      <c r="AG125" s="781"/>
      <c r="AH125" s="781"/>
      <c r="AI125" s="781"/>
      <c r="AJ125" s="781"/>
      <c r="AK125" s="781"/>
      <c r="AL125" s="781"/>
      <c r="AM125" s="781"/>
      <c r="AN125" s="781"/>
      <c r="AO125" s="781"/>
      <c r="AP125" s="781"/>
      <c r="AQ125" s="781"/>
      <c r="AR125" s="781"/>
      <c r="AS125" s="781"/>
      <c r="AT125" s="781"/>
      <c r="AU125" s="598"/>
      <c r="AV125" s="598"/>
      <c r="AW125" s="598"/>
      <c r="AX125" s="599"/>
      <c r="AY125" s="599"/>
      <c r="AZ125" s="197"/>
      <c r="BA125" s="478" t="str">
        <f t="shared" si="8"/>
        <v>SUM_CO2</v>
      </c>
      <c r="BB125" s="573" t="str">
        <f t="shared" si="9"/>
        <v>SUM_EnergyIN</v>
      </c>
      <c r="BC125" s="600"/>
      <c r="BD125" s="5"/>
    </row>
    <row r="126" spans="1:56" x14ac:dyDescent="0.2">
      <c r="A126" s="600"/>
      <c r="B126" s="197"/>
      <c r="C126" s="529">
        <v>9</v>
      </c>
      <c r="D126" s="675"/>
      <c r="E126" s="594"/>
      <c r="F126" s="779"/>
      <c r="G126" s="780"/>
      <c r="H126" s="779"/>
      <c r="I126" s="780"/>
      <c r="J126" s="779"/>
      <c r="K126" s="780"/>
      <c r="L126" s="780"/>
      <c r="M126" s="780"/>
      <c r="N126" s="779"/>
      <c r="O126" s="778"/>
      <c r="P126" s="779"/>
      <c r="Q126" s="778"/>
      <c r="R126" s="599"/>
      <c r="S126" s="597"/>
      <c r="T126" s="599"/>
      <c r="U126" s="597"/>
      <c r="V126" s="599"/>
      <c r="W126" s="597"/>
      <c r="X126" s="599"/>
      <c r="Y126" s="597"/>
      <c r="Z126" s="599"/>
      <c r="AA126" s="597"/>
      <c r="AB126" s="599"/>
      <c r="AC126" s="597"/>
      <c r="AD126" s="599"/>
      <c r="AE126" s="597"/>
      <c r="AF126" s="599"/>
      <c r="AG126" s="781"/>
      <c r="AH126" s="781"/>
      <c r="AI126" s="781"/>
      <c r="AJ126" s="781"/>
      <c r="AK126" s="781"/>
      <c r="AL126" s="781"/>
      <c r="AM126" s="781"/>
      <c r="AN126" s="781"/>
      <c r="AO126" s="781"/>
      <c r="AP126" s="781"/>
      <c r="AQ126" s="781"/>
      <c r="AR126" s="781"/>
      <c r="AS126" s="781"/>
      <c r="AT126" s="781"/>
      <c r="AU126" s="598"/>
      <c r="AV126" s="598"/>
      <c r="AW126" s="598"/>
      <c r="AX126" s="599"/>
      <c r="AY126" s="599"/>
      <c r="AZ126" s="197"/>
      <c r="BA126" s="478" t="str">
        <f t="shared" si="8"/>
        <v>SUM_CO2</v>
      </c>
      <c r="BB126" s="573" t="str">
        <f t="shared" si="9"/>
        <v>SUM_EnergyIN</v>
      </c>
      <c r="BC126" s="600"/>
      <c r="BD126" s="5"/>
    </row>
    <row r="127" spans="1:56" x14ac:dyDescent="0.2">
      <c r="A127" s="600"/>
      <c r="B127" s="197"/>
      <c r="C127" s="529">
        <v>10</v>
      </c>
      <c r="D127" s="675"/>
      <c r="E127" s="594"/>
      <c r="F127" s="779"/>
      <c r="G127" s="780"/>
      <c r="H127" s="779"/>
      <c r="I127" s="780"/>
      <c r="J127" s="779"/>
      <c r="K127" s="780"/>
      <c r="L127" s="780"/>
      <c r="M127" s="780"/>
      <c r="N127" s="779"/>
      <c r="O127" s="778"/>
      <c r="P127" s="779"/>
      <c r="Q127" s="778"/>
      <c r="R127" s="599"/>
      <c r="S127" s="597"/>
      <c r="T127" s="599"/>
      <c r="U127" s="597"/>
      <c r="V127" s="599"/>
      <c r="W127" s="597"/>
      <c r="X127" s="599"/>
      <c r="Y127" s="597"/>
      <c r="Z127" s="599"/>
      <c r="AA127" s="597"/>
      <c r="AB127" s="599"/>
      <c r="AC127" s="597"/>
      <c r="AD127" s="599"/>
      <c r="AE127" s="597"/>
      <c r="AF127" s="599"/>
      <c r="AG127" s="781"/>
      <c r="AH127" s="781"/>
      <c r="AI127" s="781"/>
      <c r="AJ127" s="781"/>
      <c r="AK127" s="781"/>
      <c r="AL127" s="781"/>
      <c r="AM127" s="781"/>
      <c r="AN127" s="781"/>
      <c r="AO127" s="781"/>
      <c r="AP127" s="781"/>
      <c r="AQ127" s="781"/>
      <c r="AR127" s="781"/>
      <c r="AS127" s="781"/>
      <c r="AT127" s="781"/>
      <c r="AU127" s="598"/>
      <c r="AV127" s="598"/>
      <c r="AW127" s="598"/>
      <c r="AX127" s="599"/>
      <c r="AY127" s="599"/>
      <c r="AZ127" s="197"/>
      <c r="BA127" s="478" t="str">
        <f t="shared" si="8"/>
        <v>SUM_CO2</v>
      </c>
      <c r="BB127" s="573" t="str">
        <f t="shared" si="9"/>
        <v>SUM_EnergyIN</v>
      </c>
      <c r="BC127" s="600"/>
      <c r="BD127" s="5"/>
    </row>
    <row r="128" spans="1:56" x14ac:dyDescent="0.2">
      <c r="A128" s="600"/>
      <c r="B128" s="197"/>
      <c r="C128" s="77"/>
      <c r="D128" s="197"/>
      <c r="E128" s="197"/>
      <c r="F128" s="197"/>
      <c r="G128" s="197"/>
      <c r="H128" s="197"/>
      <c r="I128" s="197"/>
      <c r="J128" s="197"/>
      <c r="K128" s="197"/>
      <c r="L128" s="197"/>
      <c r="N128" s="197"/>
      <c r="O128" s="197"/>
      <c r="P128" s="197"/>
      <c r="Q128" s="197"/>
      <c r="R128" s="197"/>
      <c r="S128" s="197"/>
      <c r="T128" s="197"/>
      <c r="U128" s="197"/>
      <c r="V128" s="197"/>
      <c r="W128" s="197"/>
      <c r="X128" s="197"/>
      <c r="Y128" s="197"/>
      <c r="Z128" s="197"/>
      <c r="AA128" s="197"/>
      <c r="AB128" s="197"/>
      <c r="AC128" s="197"/>
      <c r="AD128" s="197"/>
      <c r="AE128" s="197"/>
      <c r="AF128" s="197"/>
      <c r="AG128" s="197"/>
      <c r="AH128" s="197"/>
      <c r="AI128" s="197"/>
      <c r="AJ128" s="197"/>
      <c r="AK128" s="197"/>
      <c r="AL128" s="197"/>
      <c r="AM128" s="197"/>
      <c r="AN128" s="197"/>
      <c r="AO128" s="197"/>
      <c r="AP128" s="197"/>
      <c r="AQ128" s="197"/>
      <c r="AR128" s="197"/>
      <c r="AS128" s="197"/>
      <c r="AT128" s="197"/>
      <c r="AU128" s="197"/>
      <c r="AV128" s="197"/>
      <c r="AW128" s="197"/>
      <c r="AX128" s="197"/>
      <c r="AY128" s="197"/>
      <c r="AZ128" s="197"/>
      <c r="BA128" s="600"/>
      <c r="BB128" s="600"/>
      <c r="BC128" s="600"/>
      <c r="BD128" s="5"/>
    </row>
    <row r="129" spans="1:56" ht="50.1" customHeight="1" thickBot="1" x14ac:dyDescent="0.45">
      <c r="A129" s="600"/>
      <c r="B129" s="197"/>
      <c r="C129" s="77"/>
      <c r="D129" s="522" t="str">
        <f>Translations!$B$271</f>
        <v>Rozwiązania rezerwowe (fall-back)</v>
      </c>
      <c r="E129" s="197"/>
      <c r="F129" s="197"/>
      <c r="G129" s="197"/>
      <c r="H129" s="197"/>
      <c r="I129" s="197"/>
      <c r="J129" s="197"/>
      <c r="K129" s="197"/>
      <c r="L129" s="197"/>
      <c r="N129" s="197"/>
      <c r="O129" s="197"/>
      <c r="P129" s="197"/>
      <c r="Q129" s="197"/>
      <c r="R129" s="197"/>
      <c r="S129" s="197"/>
      <c r="T129" s="197"/>
      <c r="U129" s="197"/>
      <c r="V129" s="197"/>
      <c r="W129" s="197"/>
      <c r="X129" s="197"/>
      <c r="Y129" s="197"/>
      <c r="Z129" s="197"/>
      <c r="AA129" s="197"/>
      <c r="AB129" s="197"/>
      <c r="AC129" s="197"/>
      <c r="AD129" s="197"/>
      <c r="AE129" s="197"/>
      <c r="AF129" s="197"/>
      <c r="AG129" s="197"/>
      <c r="AH129" s="197"/>
      <c r="AI129" s="197"/>
      <c r="AJ129" s="197"/>
      <c r="AK129" s="197"/>
      <c r="AL129" s="197"/>
      <c r="AM129" s="197"/>
      <c r="AN129" s="197"/>
      <c r="AO129" s="197"/>
      <c r="AP129" s="197"/>
      <c r="AQ129" s="197"/>
      <c r="AR129" s="197"/>
      <c r="AS129" s="197"/>
      <c r="AT129" s="197"/>
      <c r="AU129" s="197"/>
      <c r="AV129" s="197"/>
      <c r="AW129" s="197"/>
      <c r="AX129" s="197"/>
      <c r="AY129" s="197"/>
      <c r="AZ129" s="197"/>
      <c r="BA129" s="600"/>
      <c r="BB129" s="600"/>
      <c r="BC129" s="600"/>
      <c r="BD129" s="5"/>
    </row>
    <row r="130" spans="1:56" ht="50.1" customHeight="1" thickBot="1" x14ac:dyDescent="0.25">
      <c r="A130" s="600"/>
      <c r="B130" s="197"/>
      <c r="C130" s="523" t="s">
        <v>482</v>
      </c>
      <c r="D130" s="524" t="str">
        <f>Translations!$B$282</f>
        <v>Metoda</v>
      </c>
      <c r="E130" s="524" t="str">
        <f>Translations!$B$340</f>
        <v>Nazwa</v>
      </c>
      <c r="F130" s="525" t="str">
        <f>Translations!$B$284</f>
        <v>Dane dotyczące działalności (AD)</v>
      </c>
      <c r="G130" s="525" t="str">
        <f>Translations!$B$285</f>
        <v>Jednostka AD</v>
      </c>
      <c r="H130" s="525" t="str">
        <f>Translations!$B$286</f>
        <v>Wartość opałowa (NCV)</v>
      </c>
      <c r="I130" s="525" t="str">
        <f>Translations!$B$287</f>
        <v>Jednostka NCV</v>
      </c>
      <c r="J130" s="525" t="str">
        <f>Translations!$B$288</f>
        <v>Współczynnik emisji (EF)</v>
      </c>
      <c r="K130" s="525" t="str">
        <f>Translations!$B$289</f>
        <v>Jednostka EF</v>
      </c>
      <c r="L130" s="525" t="str">
        <f>Translations!$B$290</f>
        <v>Zawartość węgla</v>
      </c>
      <c r="M130" s="525" t="str">
        <f>Translations!$B$291</f>
        <v>Jednostka zawartości węgla</v>
      </c>
      <c r="N130" s="525" t="str">
        <f>Translations!$B$292</f>
        <v>Współczynnik utleniania (OxF)</v>
      </c>
      <c r="O130" s="525" t="str">
        <f>Translations!$B$293</f>
        <v>Jednostka OxF</v>
      </c>
      <c r="P130" s="525" t="str">
        <f>Translations!$B$294</f>
        <v>Współczynnik konwersji</v>
      </c>
      <c r="Q130" s="525" t="str">
        <f>Translations!$B$295</f>
        <v>Jednostka współczynnika konwersji</v>
      </c>
      <c r="R130" s="525" t="str">
        <f>Translations!$B$296</f>
        <v>Zawartość biomasy (BioC)</v>
      </c>
      <c r="S130" s="525" t="str">
        <f>Translations!$B$297</f>
        <v>Jednostka BioC</v>
      </c>
      <c r="T130" s="525" t="str">
        <f>Translations!$B$298</f>
        <v>BioC niezrówn.</v>
      </c>
      <c r="U130" s="525" t="str">
        <f>Translations!$B$299</f>
        <v>Jednostka BioC niezrówn.</v>
      </c>
      <c r="V130" s="525" t="str">
        <f>Translations!$B$300</f>
        <v>Średnie godzinowe stężenie gazów cieplarnianych (GHG)</v>
      </c>
      <c r="W130" s="525" t="str">
        <f>Translations!$B$301</f>
        <v>Jednostka godzinowego stężenia GHG</v>
      </c>
      <c r="X130" s="525" t="str">
        <f>Translations!$B$302</f>
        <v>Godziny działania</v>
      </c>
      <c r="Y130" s="525" t="str">
        <f>Translations!$B$303</f>
        <v>Jednostka godzin działania</v>
      </c>
      <c r="Z130" s="525" t="str">
        <f>Translations!$B$304</f>
        <v>Przepływ spalin (średnia)</v>
      </c>
      <c r="AA130" s="525" t="str">
        <f>Translations!$B$305</f>
        <v>Jednostka przepływu spalin (średnia)</v>
      </c>
      <c r="AB130" s="525" t="str">
        <f>Translations!$B$306</f>
        <v>Przepływ spalin (łącznie)</v>
      </c>
      <c r="AC130" s="525" t="str">
        <f>Translations!$B$307</f>
        <v>Jednostka przepływu spalin (łącznie)</v>
      </c>
      <c r="AD130" s="525" t="str">
        <f>Translations!$B$308</f>
        <v>Roczna ilość GHG</v>
      </c>
      <c r="AE130" s="525" t="str">
        <f>Translations!$B$309</f>
        <v>Jednostka rocznej ilości GHG</v>
      </c>
      <c r="AF130" s="525" t="str">
        <f>Translations!$B$310</f>
        <v>Współczynnik ocieplenia globalnego GWP (tCO2e/t)</v>
      </c>
      <c r="AG130" s="525" t="str">
        <f>Translations!$B$311</f>
        <v>A: Częstotliwość</v>
      </c>
      <c r="AH130" s="525" t="str">
        <f>Translations!$B$312</f>
        <v>A: Czas trwania</v>
      </c>
      <c r="AI130" s="525" t="str">
        <f>Translations!$B$313</f>
        <v>A: SEF (CF4)</v>
      </c>
      <c r="AJ130" s="525" t="str">
        <f>Translations!$B$314</f>
        <v>B: AEO</v>
      </c>
      <c r="AK130" s="525" t="str">
        <f>Translations!$B$315</f>
        <v>B: CE</v>
      </c>
      <c r="AL130" s="525" t="str">
        <f>Translations!$B$316</f>
        <v>B: OVC</v>
      </c>
      <c r="AM130" s="525" t="str">
        <f>Translations!$B$317</f>
        <v>F(C2F6)</v>
      </c>
      <c r="AN130" s="525" t="str">
        <f>Translations!$B$318</f>
        <v>Emisje CF4 (t CF4)</v>
      </c>
      <c r="AO130" s="525" t="str">
        <f>Translations!$B$319</f>
        <v>Emisje C2F6 (t C2F6)</v>
      </c>
      <c r="AP130" s="525" t="str">
        <f>Translations!$B$320</f>
        <v>GWP (CF4) (tCO2e/t)</v>
      </c>
      <c r="AQ130" s="525" t="str">
        <f>Translations!$B$321</f>
        <v>GWP (C2F6) (tCO2e/t)</v>
      </c>
      <c r="AR130" s="525" t="str">
        <f>Translations!$B$322</f>
        <v>Emisje CF4 (t CO2e)</v>
      </c>
      <c r="AS130" s="525" t="str">
        <f>Translations!$B$323</f>
        <v>Emisje C2F6 (t CO2e)</v>
      </c>
      <c r="AT130" s="525" t="str">
        <f>Translations!$B$324</f>
        <v>Całkowita wydajność, %</v>
      </c>
      <c r="AU130" s="525" t="str">
        <f>Translations!$B$325</f>
        <v>Kopalne CO2e (t)</v>
      </c>
      <c r="AV130" s="525" t="str">
        <f>Translations!$B$326</f>
        <v>CO2e z biomasy (t)</v>
      </c>
      <c r="AW130" s="525" t="str">
        <f>Translations!$B$327</f>
        <v>CO2e z biomasy niezrówn. (t)</v>
      </c>
      <c r="AX130" s="526" t="str">
        <f>Translations!$B$328</f>
        <v>Zawartość energii (kopalne), TJ</v>
      </c>
      <c r="AY130" s="527" t="str">
        <f>Translations!$B$329</f>
        <v>Zawartość energii (biomasa), TJ</v>
      </c>
      <c r="AZ130" s="197"/>
      <c r="BA130" s="600"/>
      <c r="BB130" s="600"/>
      <c r="BC130" s="600"/>
      <c r="BD130" s="5"/>
    </row>
    <row r="131" spans="1:56" ht="12.75" customHeight="1" x14ac:dyDescent="0.2">
      <c r="A131" s="600"/>
      <c r="B131" s="197"/>
      <c r="C131" s="696" t="str">
        <f>Translations!$B$341</f>
        <v>Przykł.</v>
      </c>
      <c r="D131" s="673" t="str">
        <f>Translations!$B$271</f>
        <v>Rozwiązania rezerwowe (fall-back)</v>
      </c>
      <c r="E131" s="782"/>
      <c r="F131" s="783"/>
      <c r="G131" s="784"/>
      <c r="H131" s="783"/>
      <c r="I131" s="784"/>
      <c r="J131" s="783"/>
      <c r="K131" s="784"/>
      <c r="L131" s="784"/>
      <c r="M131" s="784"/>
      <c r="N131" s="783"/>
      <c r="O131" s="785"/>
      <c r="P131" s="783"/>
      <c r="Q131" s="785"/>
      <c r="R131" s="783"/>
      <c r="S131" s="785"/>
      <c r="T131" s="783"/>
      <c r="U131" s="785"/>
      <c r="V131" s="785"/>
      <c r="W131" s="785"/>
      <c r="X131" s="785"/>
      <c r="Y131" s="785"/>
      <c r="Z131" s="785"/>
      <c r="AA131" s="785"/>
      <c r="AB131" s="785"/>
      <c r="AC131" s="785"/>
      <c r="AD131" s="785"/>
      <c r="AE131" s="785"/>
      <c r="AF131" s="785"/>
      <c r="AG131" s="785"/>
      <c r="AH131" s="785"/>
      <c r="AI131" s="785"/>
      <c r="AJ131" s="785"/>
      <c r="AK131" s="785"/>
      <c r="AL131" s="785"/>
      <c r="AM131" s="785"/>
      <c r="AN131" s="785"/>
      <c r="AO131" s="785"/>
      <c r="AP131" s="785"/>
      <c r="AQ131" s="785"/>
      <c r="AR131" s="785"/>
      <c r="AS131" s="785"/>
      <c r="AT131" s="785"/>
      <c r="AU131" s="697">
        <v>2850</v>
      </c>
      <c r="AV131" s="697">
        <v>340</v>
      </c>
      <c r="AW131" s="697">
        <v>0</v>
      </c>
      <c r="AX131" s="698">
        <v>45</v>
      </c>
      <c r="AY131" s="698">
        <v>5</v>
      </c>
      <c r="AZ131" s="197"/>
      <c r="BA131" s="600"/>
      <c r="BB131" s="600"/>
      <c r="BC131" s="600"/>
      <c r="BD131" s="5"/>
    </row>
    <row r="132" spans="1:56" x14ac:dyDescent="0.2">
      <c r="A132" s="600"/>
      <c r="B132" s="197"/>
      <c r="C132" s="528">
        <v>1</v>
      </c>
      <c r="D132" s="690" t="str">
        <f>Translations!$B$271</f>
        <v>Rozwiązania rezerwowe (fall-back)</v>
      </c>
      <c r="E132" s="786"/>
      <c r="F132" s="779"/>
      <c r="G132" s="780"/>
      <c r="H132" s="779"/>
      <c r="I132" s="780"/>
      <c r="J132" s="779"/>
      <c r="K132" s="780"/>
      <c r="L132" s="780"/>
      <c r="M132" s="780"/>
      <c r="N132" s="779"/>
      <c r="O132" s="778"/>
      <c r="P132" s="779"/>
      <c r="Q132" s="778"/>
      <c r="R132" s="779"/>
      <c r="S132" s="778"/>
      <c r="T132" s="779"/>
      <c r="U132" s="778"/>
      <c r="V132" s="778"/>
      <c r="W132" s="778"/>
      <c r="X132" s="778"/>
      <c r="Y132" s="778"/>
      <c r="Z132" s="778"/>
      <c r="AA132" s="778"/>
      <c r="AB132" s="778"/>
      <c r="AC132" s="778"/>
      <c r="AD132" s="778"/>
      <c r="AE132" s="778"/>
      <c r="AF132" s="778"/>
      <c r="AG132" s="778"/>
      <c r="AH132" s="778"/>
      <c r="AI132" s="778"/>
      <c r="AJ132" s="778"/>
      <c r="AK132" s="778"/>
      <c r="AL132" s="778"/>
      <c r="AM132" s="778"/>
      <c r="AN132" s="778"/>
      <c r="AO132" s="778"/>
      <c r="AP132" s="778"/>
      <c r="AQ132" s="778"/>
      <c r="AR132" s="778"/>
      <c r="AS132" s="778"/>
      <c r="AT132" s="778"/>
      <c r="AU132" s="598"/>
      <c r="AV132" s="598"/>
      <c r="AW132" s="598"/>
      <c r="AX132" s="599"/>
      <c r="AY132" s="599"/>
      <c r="AZ132" s="197"/>
      <c r="BA132" s="478" t="str">
        <f>EUconst_SumCO2</f>
        <v>SUM_CO2</v>
      </c>
      <c r="BB132" s="573" t="str">
        <f>EUconst_SumEnergyIN</f>
        <v>SUM_EnergyIN</v>
      </c>
      <c r="BC132" s="600"/>
      <c r="BD132" s="5"/>
    </row>
    <row r="133" spans="1:56" x14ac:dyDescent="0.2">
      <c r="AZ133" s="672"/>
      <c r="BC133" s="674"/>
      <c r="BD133" s="5"/>
    </row>
    <row r="134" spans="1:56" s="2" customFormat="1" hidden="1" x14ac:dyDescent="0.2">
      <c r="A134" s="2" t="s">
        <v>101</v>
      </c>
      <c r="B134" s="2" t="s">
        <v>350</v>
      </c>
      <c r="C134" s="2" t="s">
        <v>350</v>
      </c>
      <c r="D134" s="2" t="s">
        <v>350</v>
      </c>
      <c r="E134" s="2" t="s">
        <v>350</v>
      </c>
      <c r="F134" s="2" t="s">
        <v>350</v>
      </c>
      <c r="G134" s="2" t="s">
        <v>350</v>
      </c>
      <c r="H134" s="2" t="s">
        <v>350</v>
      </c>
      <c r="I134" s="2" t="s">
        <v>350</v>
      </c>
      <c r="J134" s="2" t="s">
        <v>350</v>
      </c>
      <c r="K134" s="2" t="s">
        <v>350</v>
      </c>
      <c r="L134" s="2" t="s">
        <v>350</v>
      </c>
      <c r="M134" s="2" t="s">
        <v>350</v>
      </c>
      <c r="N134" s="2" t="s">
        <v>350</v>
      </c>
      <c r="O134" s="2" t="s">
        <v>350</v>
      </c>
      <c r="P134" s="2" t="s">
        <v>350</v>
      </c>
      <c r="Q134" s="2" t="s">
        <v>350</v>
      </c>
      <c r="R134" s="2" t="s">
        <v>350</v>
      </c>
      <c r="S134" s="2" t="s">
        <v>350</v>
      </c>
      <c r="T134" s="2" t="s">
        <v>350</v>
      </c>
      <c r="U134" s="2" t="s">
        <v>350</v>
      </c>
      <c r="V134" s="2" t="s">
        <v>350</v>
      </c>
      <c r="W134" s="2" t="s">
        <v>350</v>
      </c>
      <c r="X134" s="2" t="s">
        <v>350</v>
      </c>
      <c r="Y134" s="2" t="s">
        <v>350</v>
      </c>
      <c r="Z134" s="2" t="s">
        <v>350</v>
      </c>
      <c r="AA134" s="2" t="s">
        <v>350</v>
      </c>
      <c r="AB134" s="2" t="s">
        <v>350</v>
      </c>
      <c r="AC134" s="2" t="s">
        <v>350</v>
      </c>
      <c r="AD134" s="2" t="s">
        <v>350</v>
      </c>
      <c r="AE134" s="2" t="s">
        <v>350</v>
      </c>
      <c r="AF134" s="2" t="s">
        <v>350</v>
      </c>
      <c r="AG134" s="2" t="s">
        <v>350</v>
      </c>
      <c r="AH134" s="2" t="s">
        <v>350</v>
      </c>
      <c r="AI134" s="2" t="s">
        <v>350</v>
      </c>
      <c r="AJ134" s="2" t="s">
        <v>350</v>
      </c>
      <c r="AK134" s="2" t="s">
        <v>350</v>
      </c>
      <c r="AL134" s="2" t="s">
        <v>350</v>
      </c>
      <c r="AM134" s="2" t="s">
        <v>350</v>
      </c>
      <c r="AN134" s="2" t="s">
        <v>350</v>
      </c>
      <c r="AO134" s="2" t="s">
        <v>350</v>
      </c>
      <c r="AP134" s="2" t="s">
        <v>350</v>
      </c>
      <c r="AQ134" s="2" t="s">
        <v>350</v>
      </c>
      <c r="AR134" s="2" t="s">
        <v>350</v>
      </c>
      <c r="AS134" s="2" t="s">
        <v>350</v>
      </c>
      <c r="AT134" s="2" t="s">
        <v>350</v>
      </c>
      <c r="AU134" s="2" t="s">
        <v>350</v>
      </c>
      <c r="AV134" s="2" t="s">
        <v>350</v>
      </c>
      <c r="AW134" s="2" t="s">
        <v>350</v>
      </c>
      <c r="AX134" s="2" t="s">
        <v>350</v>
      </c>
      <c r="AY134" s="2" t="s">
        <v>350</v>
      </c>
      <c r="AZ134" s="2" t="s">
        <v>350</v>
      </c>
      <c r="BA134" s="2" t="s">
        <v>350</v>
      </c>
      <c r="BB134" s="2" t="s">
        <v>350</v>
      </c>
      <c r="BC134" s="430"/>
    </row>
    <row r="135" spans="1:56" x14ac:dyDescent="0.2">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674"/>
      <c r="BB135" s="674"/>
      <c r="BC135" s="674"/>
      <c r="BD135" s="5"/>
    </row>
  </sheetData>
  <sheetProtection formatCells="0" formatColumns="0" formatRows="0"/>
  <mergeCells count="26">
    <mergeCell ref="F2:G2"/>
    <mergeCell ref="H2:I2"/>
    <mergeCell ref="D15:K15"/>
    <mergeCell ref="D16:K16"/>
    <mergeCell ref="D17:K17"/>
    <mergeCell ref="D12:K12"/>
    <mergeCell ref="D10:I10"/>
    <mergeCell ref="D11:K11"/>
    <mergeCell ref="D14:N14"/>
    <mergeCell ref="J10:K10"/>
    <mergeCell ref="D18:K18"/>
    <mergeCell ref="B2:D3"/>
    <mergeCell ref="B4:D4"/>
    <mergeCell ref="J6:K6"/>
    <mergeCell ref="F4:G4"/>
    <mergeCell ref="H4:I4"/>
    <mergeCell ref="J4:K4"/>
    <mergeCell ref="J2:K2"/>
    <mergeCell ref="D8:N8"/>
    <mergeCell ref="L2:M2"/>
    <mergeCell ref="F3:G3"/>
    <mergeCell ref="H3:I3"/>
    <mergeCell ref="J3:K3"/>
    <mergeCell ref="L3:M3"/>
    <mergeCell ref="D6:I6"/>
    <mergeCell ref="L4:M4"/>
  </mergeCells>
  <conditionalFormatting sqref="D24:U24 AU24:AY24 AG103:AY112 D103:G112 D118:E127 R118:AF127 AU118:AY127 AU132:AY132 AU27:AY98 D27:U98">
    <cfRule type="expression" dxfId="373" priority="6" stopIfTrue="1">
      <formula>MSconst_AllowInstEmmisionTotals</formula>
    </cfRule>
  </conditionalFormatting>
  <conditionalFormatting sqref="AU26:AY26 D26:U26">
    <cfRule type="expression" dxfId="372" priority="3" stopIfTrue="1">
      <formula>MSconst_AllowInstEmmisionTotals</formula>
    </cfRule>
  </conditionalFormatting>
  <conditionalFormatting sqref="AU25:AY25 D25:E25 G25:U25">
    <cfRule type="expression" dxfId="371" priority="2" stopIfTrue="1">
      <formula>MSconst_AllowInstEmmisionTotals</formula>
    </cfRule>
  </conditionalFormatting>
  <conditionalFormatting sqref="F25">
    <cfRule type="expression" dxfId="370" priority="1" stopIfTrue="1">
      <formula>MSconst_AllowInstEmmisionTotals</formula>
    </cfRule>
  </conditionalFormatting>
  <hyperlinks>
    <hyperlink ref="F2:G2" location="JUMP_TOC_Home" display="Table of contents"/>
    <hyperlink ref="L2:M2" location="JUMP_K_I" display="Summary"/>
    <hyperlink ref="J2:K2" location="JUMP_BY2_Top" display="JUMP_BY2_Top"/>
    <hyperlink ref="E3" location="JUMP_B_I" display="JUMP_B_I"/>
    <hyperlink ref="H2:I2" location="JUMP_A_I" display="JUMP_A_I"/>
    <hyperlink ref="F3:G3" location="JUMP_BY1_Source" display="Source streams (excl. PFC)"/>
    <hyperlink ref="H3:I3" location="JUMP_BY1_PFC" display="PFC source streams"/>
    <hyperlink ref="J3:K3" location="JUMP_BY1_Emissions" display="Emission Sources (CEMS)"/>
    <hyperlink ref="L3:M3" location="JUMP_BY1_Fallback" display="Fall-back"/>
  </hyperlinks>
  <pageMargins left="0.70866141732283472" right="0.70866141732283472" top="0.78740157480314965" bottom="0.78740157480314965" header="0.31496062992125984" footer="0.31496062992125984"/>
  <pageSetup paperSize="9" scale="37" fitToWidth="20" orientation="portrait" r:id="rId1"/>
  <headerFooter>
    <oddFooter>&amp;L&amp;F; &amp;A&amp;C&amp;P / &amp;N&amp;R&amp;D; &amp;T</oddFooter>
  </headerFooter>
  <colBreaks count="1" manualBreakCount="1">
    <brk id="5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CCFFCC"/>
    <pageSetUpPr fitToPage="1"/>
  </sheetPr>
  <dimension ref="A1:BD136"/>
  <sheetViews>
    <sheetView topLeftCell="B1" zoomScaleNormal="100" workbookViewId="0">
      <pane ySplit="4" topLeftCell="A5" activePane="bottomLeft" state="frozen"/>
      <selection activeCell="B2" sqref="B2"/>
      <selection pane="bottomLeft" activeCell="B24" sqref="A24:XFD25"/>
    </sheetView>
  </sheetViews>
  <sheetFormatPr defaultColWidth="11.42578125" defaultRowHeight="12.75" x14ac:dyDescent="0.2"/>
  <cols>
    <col min="1" max="1" width="3.42578125" style="671" hidden="1" customWidth="1"/>
    <col min="2" max="2" width="3.42578125" style="199" customWidth="1"/>
    <col min="3" max="3" width="8.42578125" style="6" bestFit="1" customWidth="1"/>
    <col min="4" max="4" width="21.5703125" style="199" bestFit="1" customWidth="1"/>
    <col min="5" max="5" width="35.7109375" style="199" customWidth="1"/>
    <col min="6" max="6" width="15.7109375" style="199" customWidth="1"/>
    <col min="7" max="51" width="12.7109375" style="199" customWidth="1"/>
    <col min="52" max="52" width="9.140625" style="199" customWidth="1"/>
    <col min="53" max="55" width="11.42578125" style="671" hidden="1" customWidth="1"/>
    <col min="56" max="16384" width="11.42578125" style="672"/>
  </cols>
  <sheetData>
    <row r="1" spans="1:56" ht="13.5" hidden="1" thickBot="1" x14ac:dyDescent="0.25">
      <c r="A1" s="509" t="s">
        <v>101</v>
      </c>
      <c r="B1" s="519"/>
      <c r="C1" s="520"/>
      <c r="D1" s="519"/>
      <c r="E1" s="519"/>
      <c r="F1" s="519"/>
      <c r="G1" s="519"/>
      <c r="H1" s="519"/>
      <c r="I1" s="519"/>
      <c r="J1" s="519"/>
      <c r="K1" s="519"/>
      <c r="L1" s="521"/>
      <c r="M1" s="519"/>
      <c r="N1" s="519"/>
      <c r="O1" s="519"/>
      <c r="P1" s="519"/>
      <c r="Q1" s="519"/>
      <c r="R1" s="519"/>
      <c r="S1" s="519"/>
      <c r="T1" s="519"/>
      <c r="U1" s="519"/>
      <c r="V1" s="519"/>
      <c r="W1" s="519"/>
      <c r="X1" s="519"/>
      <c r="Y1" s="519"/>
      <c r="Z1" s="519"/>
      <c r="AA1" s="519"/>
      <c r="AB1" s="519"/>
      <c r="AC1" s="519"/>
      <c r="AD1" s="519"/>
      <c r="AE1" s="519"/>
      <c r="AF1" s="519"/>
      <c r="AG1" s="519"/>
      <c r="AH1" s="519"/>
      <c r="AI1" s="519"/>
      <c r="AJ1" s="519"/>
      <c r="AK1" s="519"/>
      <c r="AL1" s="519"/>
      <c r="AM1" s="519"/>
      <c r="AN1" s="519"/>
      <c r="AO1" s="519"/>
      <c r="AP1" s="519"/>
      <c r="AQ1" s="519"/>
      <c r="AR1" s="519"/>
      <c r="AS1" s="519"/>
      <c r="AT1" s="519"/>
      <c r="AU1" s="519"/>
      <c r="AV1" s="519"/>
      <c r="AW1" s="519"/>
      <c r="AX1" s="519"/>
      <c r="AY1" s="519"/>
      <c r="AZ1" s="519"/>
      <c r="BA1" s="600" t="s">
        <v>101</v>
      </c>
      <c r="BB1" s="600" t="s">
        <v>101</v>
      </c>
      <c r="BC1" s="600" t="s">
        <v>101</v>
      </c>
      <c r="BD1" s="5"/>
    </row>
    <row r="2" spans="1:56" ht="13.5" customHeight="1" thickBot="1" x14ac:dyDescent="0.25">
      <c r="A2" s="600"/>
      <c r="B2" s="1548" t="str">
        <f>Translations!$B$267</f>
        <v>Dane roczne dotyczące emisji B+C</v>
      </c>
      <c r="C2" s="1584"/>
      <c r="D2" s="1585"/>
      <c r="E2" s="793" t="str">
        <f>Translations!$B$2</f>
        <v>Obszar nawigacji:</v>
      </c>
      <c r="F2" s="1558" t="str">
        <f>Translations!$B$18</f>
        <v>Spis treści</v>
      </c>
      <c r="G2" s="1339"/>
      <c r="H2" s="1339" t="str">
        <f>Translations!$B$19</f>
        <v>Poprzedni arkusz</v>
      </c>
      <c r="I2" s="1607"/>
      <c r="J2" s="1339" t="str">
        <f>Translations!$B$3</f>
        <v>Następny arkusz</v>
      </c>
      <c r="K2" s="1607"/>
      <c r="L2" s="1339" t="str">
        <f>Translations!$B$4</f>
        <v>Podsumowanie</v>
      </c>
      <c r="M2" s="160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602" t="s">
        <v>512</v>
      </c>
      <c r="BB2" s="601">
        <v>2</v>
      </c>
      <c r="BC2" s="689"/>
      <c r="BD2" s="5"/>
    </row>
    <row r="3" spans="1:56" ht="13.5" thickBot="1" x14ac:dyDescent="0.25">
      <c r="A3" s="600"/>
      <c r="B3" s="1586"/>
      <c r="C3" s="1587"/>
      <c r="D3" s="1588"/>
      <c r="E3" s="1090" t="str">
        <f>Translations!$B$5</f>
        <v>Początek arkusza</v>
      </c>
      <c r="F3" s="1597" t="str">
        <f>Translations!$B$268</f>
        <v>Strumienie materiałów wsadowych (z wyłączeniem PFC)</v>
      </c>
      <c r="G3" s="1544"/>
      <c r="H3" s="1544" t="str">
        <f>Translations!$B$269</f>
        <v>Strumienie materiałów wsadowych w przypadku PFC</v>
      </c>
      <c r="I3" s="1544"/>
      <c r="J3" s="1544" t="str">
        <f>Translations!$B$270</f>
        <v>Źródła emisji (CEMS)</v>
      </c>
      <c r="K3" s="1544"/>
      <c r="L3" s="1544" t="str">
        <f>Translations!$B$271</f>
        <v>Rozwiązania rezerwowe (fall-back)</v>
      </c>
      <c r="M3" s="1598"/>
      <c r="N3" s="197"/>
      <c r="O3" s="197"/>
      <c r="P3" s="197"/>
      <c r="Q3" s="197"/>
      <c r="R3" s="197"/>
      <c r="S3" s="197"/>
      <c r="T3" s="197"/>
      <c r="U3" s="197"/>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602" t="s">
        <v>511</v>
      </c>
      <c r="BB3" s="604">
        <f>INDEX(EUconst_ReportingYears,BB2)+(IF(CNTR_BaselinePeriod=EUconst_NA,0,CNTR_BaselinePeriod-1)*5)</f>
        <v>2015</v>
      </c>
      <c r="BC3" s="689"/>
      <c r="BD3" s="5"/>
    </row>
    <row r="4" spans="1:56" ht="13.5" thickBot="1" x14ac:dyDescent="0.25">
      <c r="A4" s="600"/>
      <c r="B4" s="1589">
        <f>BB3</f>
        <v>2015</v>
      </c>
      <c r="C4" s="1590"/>
      <c r="D4" s="1591"/>
      <c r="E4" s="794"/>
      <c r="F4" s="1593"/>
      <c r="G4" s="1608"/>
      <c r="H4" s="1595"/>
      <c r="I4" s="1595"/>
      <c r="J4" s="1595"/>
      <c r="K4" s="1595"/>
      <c r="L4" s="1595"/>
      <c r="M4" s="1601"/>
      <c r="N4" s="77">
        <f>$B$4</f>
        <v>2015</v>
      </c>
      <c r="O4" s="197"/>
      <c r="P4" s="77">
        <f>$B$4</f>
        <v>2015</v>
      </c>
      <c r="Q4" s="197"/>
      <c r="R4" s="77">
        <f>$B$4</f>
        <v>2015</v>
      </c>
      <c r="S4" s="197"/>
      <c r="T4" s="77">
        <f>$B$4</f>
        <v>2015</v>
      </c>
      <c r="U4" s="197"/>
      <c r="V4" s="77">
        <f>$B$4</f>
        <v>2015</v>
      </c>
      <c r="W4" s="197"/>
      <c r="X4" s="77">
        <f>$B$4</f>
        <v>2015</v>
      </c>
      <c r="Y4" s="197"/>
      <c r="Z4" s="77">
        <f>$B$4</f>
        <v>2015</v>
      </c>
      <c r="AA4" s="197"/>
      <c r="AB4" s="77">
        <f>$B$4</f>
        <v>2015</v>
      </c>
      <c r="AC4" s="197"/>
      <c r="AD4" s="77">
        <f>$B$4</f>
        <v>2015</v>
      </c>
      <c r="AE4" s="197"/>
      <c r="AF4" s="77">
        <f>$B$4</f>
        <v>2015</v>
      </c>
      <c r="AG4" s="197"/>
      <c r="AH4" s="77">
        <f>$B$4</f>
        <v>2015</v>
      </c>
      <c r="AI4" s="197"/>
      <c r="AJ4" s="77">
        <f>$B$4</f>
        <v>2015</v>
      </c>
      <c r="AK4" s="197"/>
      <c r="AL4" s="77">
        <f>$B$4</f>
        <v>2015</v>
      </c>
      <c r="AM4" s="197"/>
      <c r="AN4" s="77">
        <f>$B$4</f>
        <v>2015</v>
      </c>
      <c r="AO4" s="197"/>
      <c r="AP4" s="77">
        <f>$B$4</f>
        <v>2015</v>
      </c>
      <c r="AQ4" s="197"/>
      <c r="AR4" s="77">
        <f>$B$4</f>
        <v>2015</v>
      </c>
      <c r="AS4" s="197"/>
      <c r="AT4" s="77">
        <f>$B$4</f>
        <v>2015</v>
      </c>
      <c r="AU4" s="197"/>
      <c r="AV4" s="77">
        <f>$B$4</f>
        <v>2015</v>
      </c>
      <c r="AW4" s="197"/>
      <c r="AX4" s="77">
        <f>$B$4</f>
        <v>2015</v>
      </c>
      <c r="AY4" s="197"/>
      <c r="AZ4" s="197"/>
      <c r="BA4" s="600"/>
      <c r="BB4" s="603"/>
      <c r="BC4" s="689"/>
      <c r="BD4" s="5"/>
    </row>
    <row r="5" spans="1:56" x14ac:dyDescent="0.2">
      <c r="A5" s="600"/>
      <c r="B5" s="3"/>
      <c r="C5" s="4"/>
      <c r="D5" s="5"/>
      <c r="E5" s="5"/>
      <c r="F5" s="6"/>
      <c r="G5" s="6"/>
      <c r="H5" s="6"/>
      <c r="I5" s="3"/>
      <c r="J5" s="3"/>
      <c r="K5" s="3"/>
      <c r="L5" s="3"/>
      <c r="M5" s="7"/>
      <c r="N5" s="7"/>
      <c r="O5" s="197"/>
      <c r="P5" s="197"/>
      <c r="Q5" s="197"/>
      <c r="R5" s="197"/>
      <c r="S5" s="197"/>
      <c r="T5" s="197"/>
      <c r="U5" s="197"/>
      <c r="V5" s="197"/>
      <c r="W5" s="197"/>
      <c r="X5" s="197"/>
      <c r="Y5" s="197"/>
      <c r="Z5" s="197"/>
      <c r="AA5" s="197"/>
      <c r="AB5" s="197"/>
      <c r="AC5" s="197"/>
      <c r="AD5" s="197"/>
      <c r="AE5" s="197"/>
      <c r="AF5" s="197"/>
      <c r="AG5" s="197"/>
      <c r="AH5" s="197"/>
      <c r="AI5" s="197"/>
      <c r="AJ5" s="197"/>
      <c r="AK5" s="197"/>
      <c r="AL5" s="197"/>
      <c r="AM5" s="197"/>
      <c r="AN5" s="197"/>
      <c r="AO5" s="197"/>
      <c r="AP5" s="197"/>
      <c r="AQ5" s="197"/>
      <c r="AR5" s="197"/>
      <c r="AS5" s="197"/>
      <c r="AT5" s="197"/>
      <c r="AU5" s="197"/>
      <c r="AV5" s="197"/>
      <c r="AW5" s="197"/>
      <c r="AX5" s="197"/>
      <c r="AY5" s="197"/>
      <c r="AZ5" s="197"/>
      <c r="BA5" s="600"/>
      <c r="BB5" s="603"/>
      <c r="BC5" s="689"/>
      <c r="BD5" s="5"/>
    </row>
    <row r="6" spans="1:56" ht="38.25" customHeight="1" x14ac:dyDescent="0.2">
      <c r="A6" s="600"/>
      <c r="B6" s="3"/>
      <c r="C6" s="9" t="s">
        <v>642</v>
      </c>
      <c r="D6" s="1599" t="str">
        <f>Translations!$B$272</f>
        <v>Arkusz „Annual Emissions Data” (Dane roczne dotyczące emisji) w odniesieniu do roku:</v>
      </c>
      <c r="E6" s="1599"/>
      <c r="F6" s="1599"/>
      <c r="G6" s="1599"/>
      <c r="H6" s="1599"/>
      <c r="I6" s="1600"/>
      <c r="J6" s="1592">
        <f>B4</f>
        <v>2015</v>
      </c>
      <c r="K6" s="1592"/>
      <c r="L6" s="197"/>
      <c r="N6" s="445"/>
      <c r="O6" s="197"/>
      <c r="P6" s="197"/>
      <c r="Q6" s="197"/>
      <c r="R6" s="197"/>
      <c r="S6" s="197"/>
      <c r="T6" s="197"/>
      <c r="U6" s="197"/>
      <c r="V6" s="197"/>
      <c r="W6" s="197"/>
      <c r="X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0" t="s">
        <v>75</v>
      </c>
      <c r="BB6" s="10" t="s">
        <v>75</v>
      </c>
      <c r="BC6" s="689"/>
      <c r="BD6" s="5"/>
    </row>
    <row r="7" spans="1:56" x14ac:dyDescent="0.2">
      <c r="A7" s="600"/>
      <c r="B7" s="197"/>
      <c r="C7" s="197"/>
      <c r="D7" s="197"/>
      <c r="E7" s="197"/>
      <c r="F7" s="197"/>
      <c r="G7" s="197"/>
      <c r="H7" s="197"/>
      <c r="I7" s="197"/>
      <c r="J7" s="197"/>
      <c r="K7" s="197"/>
      <c r="L7" s="197"/>
      <c r="M7" s="197"/>
      <c r="N7" s="197"/>
      <c r="O7" s="197"/>
      <c r="P7" s="197"/>
      <c r="Q7" s="197"/>
      <c r="R7" s="197"/>
      <c r="S7" s="197"/>
      <c r="T7" s="197"/>
      <c r="U7" s="197"/>
      <c r="V7" s="197"/>
      <c r="W7" s="197"/>
      <c r="X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1" t="s">
        <v>274</v>
      </c>
      <c r="BB7" s="11" t="s">
        <v>274</v>
      </c>
      <c r="BC7" s="689"/>
      <c r="BD7" s="5"/>
    </row>
    <row r="8" spans="1:56" s="670" customFormat="1" ht="15.75" x14ac:dyDescent="0.25">
      <c r="A8" s="667"/>
      <c r="B8" s="3"/>
      <c r="C8" s="12" t="s">
        <v>407</v>
      </c>
      <c r="D8" s="1596" t="str">
        <f>Translations!$B$273</f>
        <v>Ogólne wytyczne na temat danych dotyczących strumienia materiałów wsadowych</v>
      </c>
      <c r="E8" s="1596"/>
      <c r="F8" s="1596"/>
      <c r="G8" s="1596"/>
      <c r="H8" s="1596"/>
      <c r="I8" s="1596"/>
      <c r="J8" s="1596"/>
      <c r="K8" s="1596"/>
      <c r="L8" s="1596"/>
      <c r="M8" s="1596"/>
      <c r="N8" s="1596"/>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600"/>
      <c r="BB8" s="600"/>
      <c r="BC8" s="689"/>
      <c r="BD8" s="5"/>
    </row>
    <row r="9" spans="1:56" s="670" customFormat="1" x14ac:dyDescent="0.2">
      <c r="A9" s="667"/>
      <c r="B9" s="668"/>
      <c r="C9" s="124"/>
      <c r="D9" s="124"/>
      <c r="E9" s="124"/>
      <c r="F9" s="124"/>
      <c r="G9" s="124"/>
      <c r="H9" s="124"/>
      <c r="I9" s="124"/>
      <c r="J9" s="124"/>
      <c r="K9" s="124"/>
      <c r="L9" s="124"/>
      <c r="M9" s="124"/>
      <c r="N9" s="124"/>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600"/>
      <c r="BB9" s="600"/>
      <c r="BC9" s="689"/>
      <c r="BD9" s="5"/>
    </row>
    <row r="10" spans="1:56" s="670" customFormat="1" ht="25.5" customHeight="1" x14ac:dyDescent="0.2">
      <c r="A10" s="667"/>
      <c r="B10" s="3"/>
      <c r="C10" s="14"/>
      <c r="D10" s="1466" t="str">
        <f>Translations!$B$274</f>
        <v>Państwo członkowskie zwykle wymaga obowiązkowego podania szczegółowych danych dotyczących strumienia materiałów wsadowych:</v>
      </c>
      <c r="E10" s="1466"/>
      <c r="F10" s="1466"/>
      <c r="G10" s="1466"/>
      <c r="H10" s="1466"/>
      <c r="I10" s="1603"/>
      <c r="J10" s="1605" t="b">
        <f>NOT(MSconst_AllowInstEmmisionTotals)</f>
        <v>1</v>
      </c>
      <c r="K10" s="1605"/>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600"/>
      <c r="BB10" s="600"/>
      <c r="BC10" s="689"/>
      <c r="BD10" s="5"/>
    </row>
    <row r="11" spans="1:56" s="670" customFormat="1" ht="12.75" customHeight="1" x14ac:dyDescent="0.2">
      <c r="A11" s="667"/>
      <c r="B11" s="668"/>
      <c r="C11" s="668"/>
      <c r="D11" s="1416" t="str">
        <f>Translations!$B$275</f>
        <v>Jeżeli wartość tej komórki to „Fałsz”, wpisy w tym miejscu nie są obowiązkowe i przedstawiają jedynie całkowite roczne emisje w części D.I.</v>
      </c>
      <c r="E11" s="1416"/>
      <c r="F11" s="1416"/>
      <c r="G11" s="1416"/>
      <c r="H11" s="1416"/>
      <c r="I11" s="1416"/>
      <c r="J11" s="1416"/>
      <c r="K11" s="1416"/>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600"/>
      <c r="BB11" s="600"/>
      <c r="BC11" s="689"/>
      <c r="BD11" s="5"/>
    </row>
    <row r="12" spans="1:56" s="670" customFormat="1" ht="12.75" customHeight="1" x14ac:dyDescent="0.2">
      <c r="A12" s="667"/>
      <c r="B12" s="668"/>
      <c r="C12" s="668"/>
      <c r="D12" s="1606" t="str">
        <f>IF(MSconst_AllowInstEmmisionTotals,HYPERLINK(BB12,EUconst_ERR_Goto_DI2),"")</f>
        <v/>
      </c>
      <c r="E12" s="1606"/>
      <c r="F12" s="1606"/>
      <c r="G12" s="1606"/>
      <c r="H12" s="1606"/>
      <c r="I12" s="1606"/>
      <c r="J12" s="1606"/>
      <c r="K12" s="1606"/>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2" t="s">
        <v>199</v>
      </c>
      <c r="BB12" s="346" t="str">
        <f>"#JUMP_D_I"</f>
        <v>#JUMP_D_I</v>
      </c>
      <c r="BC12" s="689"/>
      <c r="BD12" s="5"/>
    </row>
    <row r="13" spans="1:56" s="670" customFormat="1" x14ac:dyDescent="0.2">
      <c r="A13" s="667"/>
      <c r="B13" s="3"/>
      <c r="C13" s="3"/>
      <c r="D13" s="3"/>
      <c r="E13" s="669"/>
      <c r="F13" s="3"/>
      <c r="G13" s="3"/>
      <c r="H13" s="3"/>
      <c r="I13" s="3"/>
      <c r="J13" s="3"/>
      <c r="K13" s="3"/>
      <c r="L13" s="3"/>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600"/>
      <c r="BB13" s="600"/>
      <c r="BC13" s="600"/>
      <c r="BD13" s="5"/>
    </row>
    <row r="14" spans="1:56" s="670" customFormat="1" ht="15.75" x14ac:dyDescent="0.25">
      <c r="A14" s="667"/>
      <c r="B14" s="3"/>
      <c r="C14" s="12" t="s">
        <v>352</v>
      </c>
      <c r="D14" s="1384" t="str">
        <f>Translations!$B$276</f>
        <v>Strumienie materiałów wsadowych i źródła emisji</v>
      </c>
      <c r="E14" s="1384"/>
      <c r="F14" s="1384"/>
      <c r="G14" s="1384"/>
      <c r="H14" s="1384"/>
      <c r="I14" s="1384"/>
      <c r="J14" s="1384"/>
      <c r="K14" s="1384"/>
      <c r="L14" s="1384"/>
      <c r="M14" s="1384"/>
      <c r="N14" s="1384"/>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600"/>
      <c r="BB14" s="600"/>
      <c r="BC14" s="600"/>
      <c r="BD14" s="5"/>
    </row>
    <row r="15" spans="1:56" s="670" customFormat="1" ht="12.75" customHeight="1" x14ac:dyDescent="0.2">
      <c r="A15" s="667"/>
      <c r="B15" s="668"/>
      <c r="C15" s="694"/>
      <c r="D15" s="1416" t="str">
        <f>Translations!$B$277</f>
        <v>Poniższe tabele są identyczne jak w arkuszu „Accounting” (Rachunkowość) w przedstawionym przez Komisję formularzu rocznego raportu na temat wielkości emisji.</v>
      </c>
      <c r="E15" s="1416"/>
      <c r="F15" s="1416"/>
      <c r="G15" s="1416"/>
      <c r="H15" s="1416"/>
      <c r="I15" s="1416"/>
      <c r="J15" s="1416"/>
      <c r="K15" s="1416"/>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600"/>
      <c r="BB15" s="600"/>
      <c r="BC15" s="689"/>
      <c r="BD15" s="5"/>
    </row>
    <row r="16" spans="1:56" s="670" customFormat="1" ht="12.75" customHeight="1" x14ac:dyDescent="0.2">
      <c r="A16" s="667"/>
      <c r="B16" s="668"/>
      <c r="C16" s="694"/>
      <c r="D16" s="1416" t="str">
        <f>Translations!$B$278</f>
        <v>W związku z tym dane do każdej tabeli można skopiować z formularza rocznego raportu na temat wielkości emisji bez późniejszych wpisów, a także znaleźć tam dodatkowe wskazówki.</v>
      </c>
      <c r="E16" s="1416"/>
      <c r="F16" s="1416"/>
      <c r="G16" s="1416"/>
      <c r="H16" s="1416"/>
      <c r="I16" s="1416"/>
      <c r="J16" s="1416"/>
      <c r="K16" s="1416"/>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600"/>
      <c r="BB16" s="600"/>
      <c r="BC16" s="689"/>
      <c r="BD16" s="5"/>
    </row>
    <row r="17" spans="1:56" s="670" customFormat="1" ht="12.75" customHeight="1" x14ac:dyDescent="0.2">
      <c r="A17" s="667"/>
      <c r="B17" s="668"/>
      <c r="C17" s="694"/>
      <c r="D17" s="1416" t="str">
        <f>Translations!$B$279</f>
        <v>Jeżeli formularz Komisji nie jest stosowany w danym państwie członkowskim lub woleliby Państwo wprowadzić dane ręcznie, każda tabela zawiera przykładowe dane na górze (białe pola).</v>
      </c>
      <c r="E17" s="1416"/>
      <c r="F17" s="1416"/>
      <c r="G17" s="1416"/>
      <c r="H17" s="1416"/>
      <c r="I17" s="1416"/>
      <c r="J17" s="1416"/>
      <c r="K17" s="1416"/>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600"/>
      <c r="BB17" s="600"/>
      <c r="BC17" s="689"/>
      <c r="BD17" s="5"/>
    </row>
    <row r="18" spans="1:56" s="670" customFormat="1" ht="25.5" customHeight="1" x14ac:dyDescent="0.2">
      <c r="A18" s="667"/>
      <c r="B18" s="668"/>
      <c r="C18" s="694"/>
      <c r="D18" s="1414" t="str">
        <f>Translations!$B$280</f>
        <v>Proszę zwrócić uwagę, że w tym arkuszu nie są dokonywane żadne obliczenia. W związku z tym należy poprawnie wpisywać sumy w kolumnach AU do AY, ponieważ dane te będą wykorzystywane w kolejnych polach niniejszego formularza!</v>
      </c>
      <c r="E18" s="1414"/>
      <c r="F18" s="1414"/>
      <c r="G18" s="1414"/>
      <c r="H18" s="1414"/>
      <c r="I18" s="1414"/>
      <c r="J18" s="1414"/>
      <c r="K18" s="1414"/>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600"/>
      <c r="BB18" s="600"/>
      <c r="BC18" s="689"/>
      <c r="BD18" s="5"/>
    </row>
    <row r="19" spans="1:56" ht="50.1" customHeight="1" thickBot="1" x14ac:dyDescent="0.45">
      <c r="A19" s="600"/>
      <c r="B19" s="197"/>
      <c r="C19" s="77"/>
      <c r="D19" s="522" t="str">
        <f>Translations!$B$281</f>
        <v>Strumienie materiałów wsadowych (z wyłączeniem emisji PFC)</v>
      </c>
      <c r="E19" s="197"/>
      <c r="F19" s="197"/>
      <c r="G19" s="197"/>
      <c r="H19" s="197"/>
      <c r="I19" s="197"/>
      <c r="J19" s="197"/>
      <c r="K19" s="197"/>
      <c r="L19" s="197"/>
      <c r="N19" s="197"/>
      <c r="O19" s="197"/>
      <c r="P19" s="197"/>
      <c r="Q19" s="197"/>
      <c r="R19" s="197"/>
      <c r="S19" s="197"/>
      <c r="T19" s="197"/>
      <c r="U19" s="197"/>
      <c r="V19" s="197"/>
      <c r="W19" s="197"/>
      <c r="X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600"/>
      <c r="BB19" s="600"/>
      <c r="BC19" s="689"/>
      <c r="BD19" s="5"/>
    </row>
    <row r="20" spans="1:56" ht="50.1" customHeight="1" thickBot="1" x14ac:dyDescent="0.25">
      <c r="A20" s="600"/>
      <c r="B20" s="197"/>
      <c r="C20" s="523" t="s">
        <v>482</v>
      </c>
      <c r="D20" s="524" t="str">
        <f>Translations!$B$282</f>
        <v>Metoda</v>
      </c>
      <c r="E20" s="524" t="str">
        <f>Translations!$B$283</f>
        <v>Nazwa strumienia materiałów wsadowych</v>
      </c>
      <c r="F20" s="525" t="str">
        <f>Translations!$B$284</f>
        <v>Dane dotyczące działalności (AD)</v>
      </c>
      <c r="G20" s="525" t="str">
        <f>Translations!$B$285</f>
        <v>Jednostka AD</v>
      </c>
      <c r="H20" s="525" t="str">
        <f>Translations!$B$286</f>
        <v>Wartość opałowa (NCV)</v>
      </c>
      <c r="I20" s="525" t="str">
        <f>Translations!$B$287</f>
        <v>Jednostka NCV</v>
      </c>
      <c r="J20" s="525" t="str">
        <f>Translations!$B$288</f>
        <v>Współczynnik emisji (EF)</v>
      </c>
      <c r="K20" s="525" t="str">
        <f>Translations!$B$289</f>
        <v>Jednostka EF</v>
      </c>
      <c r="L20" s="525" t="str">
        <f>Translations!$B$290</f>
        <v>Zawartość węgla</v>
      </c>
      <c r="M20" s="525" t="str">
        <f>Translations!$B$291</f>
        <v>Jednostka zawartości węgla</v>
      </c>
      <c r="N20" s="525" t="str">
        <f>Translations!$B$292</f>
        <v>Współczynnik utleniania (OxF)</v>
      </c>
      <c r="O20" s="525" t="str">
        <f>Translations!$B$293</f>
        <v>Jednostka OxF</v>
      </c>
      <c r="P20" s="525" t="str">
        <f>Translations!$B$294</f>
        <v>Współczynnik konwersji</v>
      </c>
      <c r="Q20" s="525" t="str">
        <f>Translations!$B$295</f>
        <v>Jednostka współczynnika konwersji</v>
      </c>
      <c r="R20" s="525" t="str">
        <f>Translations!$B$296</f>
        <v>Zawartość biomasy (BioC)</v>
      </c>
      <c r="S20" s="525" t="str">
        <f>Translations!$B$297</f>
        <v>Jednostka BioC</v>
      </c>
      <c r="T20" s="525" t="str">
        <f>Translations!$B$298</f>
        <v>BioC niezrówn.</v>
      </c>
      <c r="U20" s="525" t="str">
        <f>Translations!$B$299</f>
        <v>Jednostka BioC niezrówn.</v>
      </c>
      <c r="V20" s="525" t="str">
        <f>Translations!$B$300</f>
        <v>Średnie godzinowe stężenie gazów cieplarnianych (GHG)</v>
      </c>
      <c r="W20" s="525" t="str">
        <f>Translations!$B$301</f>
        <v>Jednostka godzinowego stężenia GHG</v>
      </c>
      <c r="X20" s="525" t="str">
        <f>Translations!$B$302</f>
        <v>Godziny działania</v>
      </c>
      <c r="Y20" s="525" t="str">
        <f>Translations!$B$303</f>
        <v>Jednostka godzin działania</v>
      </c>
      <c r="Z20" s="525" t="str">
        <f>Translations!$B$304</f>
        <v>Przepływ spalin (średnia)</v>
      </c>
      <c r="AA20" s="525" t="str">
        <f>Translations!$B$305</f>
        <v>Jednostka przepływu spalin (średnia)</v>
      </c>
      <c r="AB20" s="525" t="str">
        <f>Translations!$B$306</f>
        <v>Przepływ spalin (łącznie)</v>
      </c>
      <c r="AC20" s="525" t="str">
        <f>Translations!$B$307</f>
        <v>Jednostka przepływu spalin (łącznie)</v>
      </c>
      <c r="AD20" s="525" t="str">
        <f>Translations!$B$308</f>
        <v>Roczna ilość GHG</v>
      </c>
      <c r="AE20" s="525" t="str">
        <f>Translations!$B$309</f>
        <v>Jednostka rocznej ilości GHG</v>
      </c>
      <c r="AF20" s="525" t="str">
        <f>Translations!$B$310</f>
        <v>Współczynnik ocieplenia globalnego GWP (tCO2e/t)</v>
      </c>
      <c r="AG20" s="525" t="str">
        <f>Translations!$B$311</f>
        <v>A: Częstotliwość</v>
      </c>
      <c r="AH20" s="525" t="str">
        <f>Translations!$B$312</f>
        <v>A: Czas trwania</v>
      </c>
      <c r="AI20" s="525" t="str">
        <f>Translations!$B$313</f>
        <v>A: SEF (CF4)</v>
      </c>
      <c r="AJ20" s="525" t="str">
        <f>Translations!$B$314</f>
        <v>B: AEO</v>
      </c>
      <c r="AK20" s="525" t="str">
        <f>Translations!$B$315</f>
        <v>B: CE</v>
      </c>
      <c r="AL20" s="525" t="str">
        <f>Translations!$B$316</f>
        <v>B: OVC</v>
      </c>
      <c r="AM20" s="525" t="str">
        <f>Translations!$B$317</f>
        <v>F(C2F6)</v>
      </c>
      <c r="AN20" s="525" t="str">
        <f>Translations!$B$318</f>
        <v>Emisje CF4 (t CF4)</v>
      </c>
      <c r="AO20" s="525" t="str">
        <f>Translations!$B$319</f>
        <v>Emisje C2F6 (t C2F6)</v>
      </c>
      <c r="AP20" s="525" t="str">
        <f>Translations!$B$320</f>
        <v>GWP (CF4) (tCO2e/t)</v>
      </c>
      <c r="AQ20" s="525" t="str">
        <f>Translations!$B$321</f>
        <v>GWP (C2F6) (tCO2e/t)</v>
      </c>
      <c r="AR20" s="525" t="str">
        <f>Translations!$B$322</f>
        <v>Emisje CF4 (t CO2e)</v>
      </c>
      <c r="AS20" s="525" t="str">
        <f>Translations!$B$323</f>
        <v>Emisje C2F6 (t CO2e)</v>
      </c>
      <c r="AT20" s="525" t="str">
        <f>Translations!$B$324</f>
        <v>Całkowita wydajność, %</v>
      </c>
      <c r="AU20" s="525" t="str">
        <f>Translations!$B$325</f>
        <v>Kopalne CO2e (t)</v>
      </c>
      <c r="AV20" s="525" t="str">
        <f>Translations!$B$326</f>
        <v>CO2e z biomasy (t)</v>
      </c>
      <c r="AW20" s="525" t="str">
        <f>Translations!$B$327</f>
        <v>CO2e z biomasy niezrówn. (t)</v>
      </c>
      <c r="AX20" s="526" t="str">
        <f>Translations!$B$328</f>
        <v>Zawartość energii (kopalne), TJ</v>
      </c>
      <c r="AY20" s="527" t="str">
        <f>Translations!$B$329</f>
        <v>Zawartość energii (biomasa), TJ</v>
      </c>
      <c r="AZ20" s="197"/>
      <c r="BA20" s="600"/>
      <c r="BB20" s="600"/>
      <c r="BC20" s="689"/>
      <c r="BD20" s="5"/>
    </row>
    <row r="21" spans="1:56" ht="12.75" customHeight="1" x14ac:dyDescent="0.2">
      <c r="A21" s="600"/>
      <c r="B21" s="197"/>
      <c r="C21" s="533" t="str">
        <f>Translations!$B$330</f>
        <v>Przykł. 1</v>
      </c>
      <c r="D21" s="690" t="str">
        <f>Translations!$B$331</f>
        <v>Spalanie</v>
      </c>
      <c r="E21" s="690" t="str">
        <f>Translations!$B$332</f>
        <v>Ciężki olej opałowy</v>
      </c>
      <c r="F21" s="691">
        <v>252000</v>
      </c>
      <c r="G21" s="528" t="s">
        <v>212</v>
      </c>
      <c r="H21" s="691">
        <v>45</v>
      </c>
      <c r="I21" s="528" t="s">
        <v>529</v>
      </c>
      <c r="J21" s="691">
        <v>73</v>
      </c>
      <c r="K21" s="528" t="s">
        <v>530</v>
      </c>
      <c r="L21" s="528"/>
      <c r="M21" s="528" t="s">
        <v>489</v>
      </c>
      <c r="N21" s="691">
        <v>100</v>
      </c>
      <c r="O21" s="692" t="s">
        <v>409</v>
      </c>
      <c r="P21" s="691"/>
      <c r="Q21" s="692" t="s">
        <v>409</v>
      </c>
      <c r="R21" s="691">
        <v>0</v>
      </c>
      <c r="S21" s="692" t="s">
        <v>409</v>
      </c>
      <c r="T21" s="691">
        <v>0</v>
      </c>
      <c r="U21" s="692" t="s">
        <v>409</v>
      </c>
      <c r="V21" s="778"/>
      <c r="W21" s="778"/>
      <c r="X21" s="778"/>
      <c r="Y21" s="778"/>
      <c r="Z21" s="778"/>
      <c r="AA21" s="778"/>
      <c r="AB21" s="778"/>
      <c r="AC21" s="778"/>
      <c r="AD21" s="778"/>
      <c r="AE21" s="778"/>
      <c r="AF21" s="778"/>
      <c r="AG21" s="778"/>
      <c r="AH21" s="778"/>
      <c r="AI21" s="778"/>
      <c r="AJ21" s="778"/>
      <c r="AK21" s="778"/>
      <c r="AL21" s="778"/>
      <c r="AM21" s="778"/>
      <c r="AN21" s="778"/>
      <c r="AO21" s="778"/>
      <c r="AP21" s="778"/>
      <c r="AQ21" s="778"/>
      <c r="AR21" s="778"/>
      <c r="AS21" s="778"/>
      <c r="AT21" s="778"/>
      <c r="AU21" s="693">
        <v>827820</v>
      </c>
      <c r="AV21" s="693">
        <v>0</v>
      </c>
      <c r="AW21" s="693">
        <v>0</v>
      </c>
      <c r="AX21" s="691">
        <v>11340</v>
      </c>
      <c r="AY21" s="691">
        <v>0</v>
      </c>
      <c r="AZ21" s="197"/>
      <c r="BA21" s="600"/>
      <c r="BB21" s="600"/>
      <c r="BC21" s="689"/>
      <c r="BD21" s="5"/>
    </row>
    <row r="22" spans="1:56" ht="12.75" customHeight="1" x14ac:dyDescent="0.2">
      <c r="A22" s="600"/>
      <c r="B22" s="197"/>
      <c r="C22" s="533" t="str">
        <f>Translations!$B$333</f>
        <v>Przykł. 2</v>
      </c>
      <c r="D22" s="690" t="str">
        <f>Translations!$B$334</f>
        <v>Emisje procesowe</v>
      </c>
      <c r="E22" s="690" t="str">
        <f>Translations!$B$335</f>
        <v>Glina</v>
      </c>
      <c r="F22" s="691">
        <v>121000</v>
      </c>
      <c r="G22" s="528" t="s">
        <v>212</v>
      </c>
      <c r="H22" s="691"/>
      <c r="I22" s="528" t="s">
        <v>489</v>
      </c>
      <c r="J22" s="691">
        <v>8.7940000000000004E-2</v>
      </c>
      <c r="K22" s="528" t="s">
        <v>531</v>
      </c>
      <c r="L22" s="528"/>
      <c r="M22" s="528" t="s">
        <v>489</v>
      </c>
      <c r="N22" s="691"/>
      <c r="O22" s="692" t="s">
        <v>409</v>
      </c>
      <c r="P22" s="691"/>
      <c r="Q22" s="692" t="s">
        <v>409</v>
      </c>
      <c r="R22" s="691">
        <v>0</v>
      </c>
      <c r="S22" s="692" t="s">
        <v>409</v>
      </c>
      <c r="T22" s="691">
        <v>0</v>
      </c>
      <c r="U22" s="692" t="s">
        <v>409</v>
      </c>
      <c r="V22" s="778"/>
      <c r="W22" s="778"/>
      <c r="X22" s="778"/>
      <c r="Y22" s="778"/>
      <c r="Z22" s="778"/>
      <c r="AA22" s="778"/>
      <c r="AB22" s="778"/>
      <c r="AC22" s="778"/>
      <c r="AD22" s="778"/>
      <c r="AE22" s="778"/>
      <c r="AF22" s="778"/>
      <c r="AG22" s="778"/>
      <c r="AH22" s="778"/>
      <c r="AI22" s="778"/>
      <c r="AJ22" s="778"/>
      <c r="AK22" s="778"/>
      <c r="AL22" s="778"/>
      <c r="AM22" s="778"/>
      <c r="AN22" s="778"/>
      <c r="AO22" s="778"/>
      <c r="AP22" s="778"/>
      <c r="AQ22" s="778"/>
      <c r="AR22" s="778"/>
      <c r="AS22" s="778"/>
      <c r="AT22" s="778"/>
      <c r="AU22" s="693">
        <v>10640.74</v>
      </c>
      <c r="AV22" s="693">
        <v>0</v>
      </c>
      <c r="AW22" s="693">
        <v>0</v>
      </c>
      <c r="AX22" s="691">
        <v>0</v>
      </c>
      <c r="AY22" s="691">
        <v>0</v>
      </c>
      <c r="AZ22" s="197"/>
      <c r="BA22" s="600"/>
      <c r="BB22" s="600"/>
      <c r="BC22" s="689"/>
      <c r="BD22" s="5"/>
    </row>
    <row r="23" spans="1:56" ht="12.75" customHeight="1" x14ac:dyDescent="0.2">
      <c r="A23" s="600"/>
      <c r="B23" s="197"/>
      <c r="C23" s="533" t="str">
        <f>Translations!$B$336</f>
        <v>Przykł. 3</v>
      </c>
      <c r="D23" s="690" t="str">
        <f>Translations!$B$337</f>
        <v>Bilans masowy</v>
      </c>
      <c r="E23" s="690" t="str">
        <f>Translations!$B$338</f>
        <v>Stal</v>
      </c>
      <c r="F23" s="691">
        <v>-1808226</v>
      </c>
      <c r="G23" s="528" t="s">
        <v>212</v>
      </c>
      <c r="H23" s="691"/>
      <c r="I23" s="528" t="s">
        <v>489</v>
      </c>
      <c r="J23" s="691">
        <v>0</v>
      </c>
      <c r="K23" s="528" t="s">
        <v>489</v>
      </c>
      <c r="L23" s="528">
        <v>0.38779999999999998</v>
      </c>
      <c r="M23" s="528" t="s">
        <v>532</v>
      </c>
      <c r="N23" s="691"/>
      <c r="O23" s="692" t="s">
        <v>409</v>
      </c>
      <c r="P23" s="691">
        <v>100</v>
      </c>
      <c r="Q23" s="692" t="s">
        <v>409</v>
      </c>
      <c r="R23" s="691">
        <v>0</v>
      </c>
      <c r="S23" s="692" t="s">
        <v>409</v>
      </c>
      <c r="T23" s="691">
        <v>0</v>
      </c>
      <c r="U23" s="692" t="s">
        <v>409</v>
      </c>
      <c r="V23" s="778"/>
      <c r="W23" s="778"/>
      <c r="X23" s="778"/>
      <c r="Y23" s="778"/>
      <c r="Z23" s="778"/>
      <c r="AA23" s="778"/>
      <c r="AB23" s="778"/>
      <c r="AC23" s="778"/>
      <c r="AD23" s="778"/>
      <c r="AE23" s="778"/>
      <c r="AF23" s="778"/>
      <c r="AG23" s="778"/>
      <c r="AH23" s="778"/>
      <c r="AI23" s="778"/>
      <c r="AJ23" s="778"/>
      <c r="AK23" s="778"/>
      <c r="AL23" s="778"/>
      <c r="AM23" s="778"/>
      <c r="AN23" s="778"/>
      <c r="AO23" s="778"/>
      <c r="AP23" s="778"/>
      <c r="AQ23" s="778"/>
      <c r="AR23" s="778"/>
      <c r="AS23" s="778"/>
      <c r="AT23" s="778"/>
      <c r="AU23" s="693">
        <v>-2569306.8768191999</v>
      </c>
      <c r="AV23" s="693">
        <v>0</v>
      </c>
      <c r="AW23" s="693">
        <v>0</v>
      </c>
      <c r="AX23" s="691">
        <v>0</v>
      </c>
      <c r="AY23" s="691">
        <v>0</v>
      </c>
      <c r="AZ23" s="197"/>
      <c r="BA23" s="600"/>
      <c r="BB23" s="600"/>
      <c r="BC23" s="689"/>
      <c r="BD23" s="5"/>
    </row>
    <row r="24" spans="1:56" x14ac:dyDescent="0.2">
      <c r="A24" s="600"/>
      <c r="B24" s="197"/>
      <c r="C24" s="533">
        <v>1</v>
      </c>
      <c r="D24" s="594" t="s">
        <v>2507</v>
      </c>
      <c r="E24" s="594" t="s">
        <v>3674</v>
      </c>
      <c r="F24" s="595">
        <v>75000</v>
      </c>
      <c r="G24" s="596" t="s">
        <v>212</v>
      </c>
      <c r="H24" s="595">
        <v>19</v>
      </c>
      <c r="I24" s="596" t="s">
        <v>529</v>
      </c>
      <c r="J24" s="595">
        <v>98.013999999999996</v>
      </c>
      <c r="K24" s="596" t="s">
        <v>530</v>
      </c>
      <c r="L24" s="596">
        <v>0</v>
      </c>
      <c r="M24" s="596" t="s">
        <v>489</v>
      </c>
      <c r="N24" s="595">
        <v>99.28</v>
      </c>
      <c r="O24" s="597" t="s">
        <v>409</v>
      </c>
      <c r="P24" s="595">
        <v>100</v>
      </c>
      <c r="Q24" s="597" t="s">
        <v>409</v>
      </c>
      <c r="R24" s="595">
        <v>0</v>
      </c>
      <c r="S24" s="597" t="s">
        <v>409</v>
      </c>
      <c r="T24" s="595">
        <v>0</v>
      </c>
      <c r="U24" s="597" t="s">
        <v>409</v>
      </c>
      <c r="V24" s="778"/>
      <c r="W24" s="778"/>
      <c r="X24" s="778"/>
      <c r="Y24" s="778"/>
      <c r="Z24" s="778"/>
      <c r="AA24" s="778"/>
      <c r="AB24" s="778"/>
      <c r="AC24" s="778"/>
      <c r="AD24" s="778"/>
      <c r="AE24" s="778"/>
      <c r="AF24" s="778"/>
      <c r="AG24" s="778"/>
      <c r="AH24" s="778"/>
      <c r="AI24" s="778"/>
      <c r="AJ24" s="778"/>
      <c r="AK24" s="778"/>
      <c r="AL24" s="778"/>
      <c r="AM24" s="778"/>
      <c r="AN24" s="778"/>
      <c r="AO24" s="778"/>
      <c r="AP24" s="778"/>
      <c r="AQ24" s="778"/>
      <c r="AR24" s="778"/>
      <c r="AS24" s="778"/>
      <c r="AT24" s="778"/>
      <c r="AU24" s="598">
        <v>138664.32636000001</v>
      </c>
      <c r="AV24" s="598">
        <v>0</v>
      </c>
      <c r="AW24" s="598">
        <v>0</v>
      </c>
      <c r="AX24" s="595">
        <v>1425</v>
      </c>
      <c r="AY24" s="595">
        <v>0</v>
      </c>
      <c r="AZ24" s="197"/>
      <c r="BA24" s="478" t="s">
        <v>157</v>
      </c>
      <c r="BB24" s="573" t="s">
        <v>159</v>
      </c>
      <c r="BC24" s="600"/>
      <c r="BD24" s="5"/>
    </row>
    <row r="25" spans="1:56" x14ac:dyDescent="0.2">
      <c r="A25" s="600"/>
      <c r="B25" s="197"/>
      <c r="C25" s="534">
        <v>2</v>
      </c>
      <c r="D25" s="594" t="s">
        <v>2507</v>
      </c>
      <c r="E25" s="594" t="s">
        <v>3675</v>
      </c>
      <c r="F25" s="595">
        <v>75000</v>
      </c>
      <c r="G25" s="596" t="s">
        <v>212</v>
      </c>
      <c r="H25" s="595">
        <v>16</v>
      </c>
      <c r="I25" s="596" t="s">
        <v>529</v>
      </c>
      <c r="J25" s="595">
        <v>112</v>
      </c>
      <c r="K25" s="596" t="s">
        <v>530</v>
      </c>
      <c r="L25" s="596">
        <v>0</v>
      </c>
      <c r="M25" s="596" t="s">
        <v>489</v>
      </c>
      <c r="N25" s="595">
        <v>100</v>
      </c>
      <c r="O25" s="597" t="s">
        <v>409</v>
      </c>
      <c r="P25" s="595">
        <v>100</v>
      </c>
      <c r="Q25" s="597" t="s">
        <v>409</v>
      </c>
      <c r="R25" s="595">
        <v>100</v>
      </c>
      <c r="S25" s="597" t="s">
        <v>409</v>
      </c>
      <c r="T25" s="595">
        <v>0</v>
      </c>
      <c r="U25" s="597" t="s">
        <v>409</v>
      </c>
      <c r="V25" s="778"/>
      <c r="W25" s="778"/>
      <c r="X25" s="778"/>
      <c r="Y25" s="778"/>
      <c r="Z25" s="778"/>
      <c r="AA25" s="778"/>
      <c r="AB25" s="778"/>
      <c r="AC25" s="778"/>
      <c r="AD25" s="778"/>
      <c r="AE25" s="778"/>
      <c r="AF25" s="778"/>
      <c r="AG25" s="778"/>
      <c r="AH25" s="778"/>
      <c r="AI25" s="778"/>
      <c r="AJ25" s="778"/>
      <c r="AK25" s="778"/>
      <c r="AL25" s="778"/>
      <c r="AM25" s="778"/>
      <c r="AN25" s="778"/>
      <c r="AO25" s="778"/>
      <c r="AP25" s="778"/>
      <c r="AQ25" s="778"/>
      <c r="AR25" s="778"/>
      <c r="AS25" s="778"/>
      <c r="AT25" s="778"/>
      <c r="AU25" s="598">
        <v>0</v>
      </c>
      <c r="AV25" s="598">
        <v>134400</v>
      </c>
      <c r="AW25" s="598">
        <v>0</v>
      </c>
      <c r="AX25" s="595">
        <v>0</v>
      </c>
      <c r="AY25" s="595">
        <v>1200</v>
      </c>
      <c r="AZ25" s="197"/>
      <c r="BA25" s="478" t="s">
        <v>157</v>
      </c>
      <c r="BB25" s="573" t="s">
        <v>159</v>
      </c>
      <c r="BC25" s="600"/>
      <c r="BD25" s="5"/>
    </row>
    <row r="26" spans="1:56" x14ac:dyDescent="0.2">
      <c r="A26" s="600"/>
      <c r="B26" s="197"/>
      <c r="C26" s="534">
        <v>3</v>
      </c>
      <c r="D26" s="594"/>
      <c r="E26" s="594"/>
      <c r="F26" s="595"/>
      <c r="G26" s="596"/>
      <c r="H26" s="595"/>
      <c r="I26" s="596"/>
      <c r="J26" s="595"/>
      <c r="K26" s="596"/>
      <c r="L26" s="596"/>
      <c r="M26" s="596"/>
      <c r="N26" s="595"/>
      <c r="O26" s="597"/>
      <c r="P26" s="595"/>
      <c r="Q26" s="597"/>
      <c r="R26" s="595"/>
      <c r="S26" s="597"/>
      <c r="T26" s="595"/>
      <c r="U26" s="597"/>
      <c r="V26" s="778"/>
      <c r="W26" s="778"/>
      <c r="X26" s="778"/>
      <c r="Y26" s="778"/>
      <c r="Z26" s="778"/>
      <c r="AA26" s="778"/>
      <c r="AB26" s="778"/>
      <c r="AC26" s="778"/>
      <c r="AD26" s="778"/>
      <c r="AE26" s="778"/>
      <c r="AF26" s="778"/>
      <c r="AG26" s="778"/>
      <c r="AH26" s="778"/>
      <c r="AI26" s="778"/>
      <c r="AJ26" s="778"/>
      <c r="AK26" s="778"/>
      <c r="AL26" s="778"/>
      <c r="AM26" s="778"/>
      <c r="AN26" s="778"/>
      <c r="AO26" s="778"/>
      <c r="AP26" s="778"/>
      <c r="AQ26" s="778"/>
      <c r="AR26" s="778"/>
      <c r="AS26" s="778"/>
      <c r="AT26" s="778"/>
      <c r="AU26" s="598"/>
      <c r="AV26" s="598"/>
      <c r="AW26" s="598"/>
      <c r="AX26" s="595"/>
      <c r="AY26" s="595"/>
      <c r="AZ26" s="197"/>
      <c r="BA26" s="478"/>
      <c r="BB26" s="573"/>
      <c r="BC26" s="600"/>
      <c r="BD26" s="5"/>
    </row>
    <row r="27" spans="1:56" x14ac:dyDescent="0.2">
      <c r="A27" s="600"/>
      <c r="B27" s="197"/>
      <c r="C27" s="534">
        <v>4</v>
      </c>
      <c r="D27" s="594"/>
      <c r="E27" s="594"/>
      <c r="F27" s="595"/>
      <c r="G27" s="596"/>
      <c r="H27" s="595"/>
      <c r="I27" s="596"/>
      <c r="J27" s="595"/>
      <c r="K27" s="596"/>
      <c r="L27" s="596"/>
      <c r="M27" s="596"/>
      <c r="N27" s="595"/>
      <c r="O27" s="597"/>
      <c r="P27" s="595"/>
      <c r="Q27" s="597"/>
      <c r="R27" s="595"/>
      <c r="S27" s="597"/>
      <c r="T27" s="595"/>
      <c r="U27" s="597"/>
      <c r="V27" s="778"/>
      <c r="W27" s="778"/>
      <c r="X27" s="778"/>
      <c r="Y27" s="778"/>
      <c r="Z27" s="778"/>
      <c r="AA27" s="778"/>
      <c r="AB27" s="778"/>
      <c r="AC27" s="778"/>
      <c r="AD27" s="778"/>
      <c r="AE27" s="778"/>
      <c r="AF27" s="778"/>
      <c r="AG27" s="778"/>
      <c r="AH27" s="778"/>
      <c r="AI27" s="778"/>
      <c r="AJ27" s="778"/>
      <c r="AK27" s="778"/>
      <c r="AL27" s="778"/>
      <c r="AM27" s="778"/>
      <c r="AN27" s="778"/>
      <c r="AO27" s="778"/>
      <c r="AP27" s="778"/>
      <c r="AQ27" s="778"/>
      <c r="AR27" s="778"/>
      <c r="AS27" s="778"/>
      <c r="AT27" s="778"/>
      <c r="AU27" s="598"/>
      <c r="AV27" s="598"/>
      <c r="AW27" s="598"/>
      <c r="AX27" s="595"/>
      <c r="AY27" s="595"/>
      <c r="AZ27" s="197"/>
      <c r="BA27" s="478" t="str">
        <f t="shared" ref="BA24:BA87" si="0">EUconst_SumCO2</f>
        <v>SUM_CO2</v>
      </c>
      <c r="BB27" s="573" t="str">
        <f t="shared" ref="BB24:BB87" si="1">EUconst_SumEnergyIN</f>
        <v>SUM_EnergyIN</v>
      </c>
      <c r="BC27" s="600"/>
      <c r="BD27" s="5"/>
    </row>
    <row r="28" spans="1:56" x14ac:dyDescent="0.2">
      <c r="A28" s="600"/>
      <c r="B28" s="197"/>
      <c r="C28" s="534">
        <v>5</v>
      </c>
      <c r="D28" s="594"/>
      <c r="E28" s="594"/>
      <c r="F28" s="595"/>
      <c r="G28" s="596"/>
      <c r="H28" s="595"/>
      <c r="I28" s="596"/>
      <c r="J28" s="595"/>
      <c r="K28" s="596"/>
      <c r="L28" s="596"/>
      <c r="M28" s="596"/>
      <c r="N28" s="595"/>
      <c r="O28" s="597"/>
      <c r="P28" s="595"/>
      <c r="Q28" s="597"/>
      <c r="R28" s="595"/>
      <c r="S28" s="597"/>
      <c r="T28" s="595"/>
      <c r="U28" s="597"/>
      <c r="V28" s="778"/>
      <c r="W28" s="778"/>
      <c r="X28" s="778"/>
      <c r="Y28" s="778"/>
      <c r="Z28" s="778"/>
      <c r="AA28" s="778"/>
      <c r="AB28" s="778"/>
      <c r="AC28" s="778"/>
      <c r="AD28" s="778"/>
      <c r="AE28" s="778"/>
      <c r="AF28" s="778"/>
      <c r="AG28" s="778"/>
      <c r="AH28" s="778"/>
      <c r="AI28" s="778"/>
      <c r="AJ28" s="778"/>
      <c r="AK28" s="778"/>
      <c r="AL28" s="778"/>
      <c r="AM28" s="778"/>
      <c r="AN28" s="778"/>
      <c r="AO28" s="778"/>
      <c r="AP28" s="778"/>
      <c r="AQ28" s="778"/>
      <c r="AR28" s="778"/>
      <c r="AS28" s="778"/>
      <c r="AT28" s="778"/>
      <c r="AU28" s="598"/>
      <c r="AV28" s="598"/>
      <c r="AW28" s="598"/>
      <c r="AX28" s="595"/>
      <c r="AY28" s="595"/>
      <c r="AZ28" s="197"/>
      <c r="BA28" s="478" t="str">
        <f t="shared" si="0"/>
        <v>SUM_CO2</v>
      </c>
      <c r="BB28" s="573" t="str">
        <f t="shared" si="1"/>
        <v>SUM_EnergyIN</v>
      </c>
      <c r="BC28" s="600"/>
      <c r="BD28" s="5"/>
    </row>
    <row r="29" spans="1:56" x14ac:dyDescent="0.2">
      <c r="A29" s="600"/>
      <c r="B29" s="197"/>
      <c r="C29" s="534">
        <v>6</v>
      </c>
      <c r="D29" s="594"/>
      <c r="E29" s="594"/>
      <c r="F29" s="595"/>
      <c r="G29" s="596"/>
      <c r="H29" s="595"/>
      <c r="I29" s="596"/>
      <c r="J29" s="595"/>
      <c r="K29" s="596"/>
      <c r="L29" s="596"/>
      <c r="M29" s="596"/>
      <c r="N29" s="595"/>
      <c r="O29" s="597"/>
      <c r="P29" s="595"/>
      <c r="Q29" s="597"/>
      <c r="R29" s="595"/>
      <c r="S29" s="597"/>
      <c r="T29" s="595"/>
      <c r="U29" s="597"/>
      <c r="V29" s="778"/>
      <c r="W29" s="778"/>
      <c r="X29" s="778"/>
      <c r="Y29" s="778"/>
      <c r="Z29" s="778"/>
      <c r="AA29" s="778"/>
      <c r="AB29" s="778"/>
      <c r="AC29" s="778"/>
      <c r="AD29" s="778"/>
      <c r="AE29" s="778"/>
      <c r="AF29" s="778"/>
      <c r="AG29" s="778"/>
      <c r="AH29" s="778"/>
      <c r="AI29" s="778"/>
      <c r="AJ29" s="778"/>
      <c r="AK29" s="778"/>
      <c r="AL29" s="778"/>
      <c r="AM29" s="778"/>
      <c r="AN29" s="778"/>
      <c r="AO29" s="778"/>
      <c r="AP29" s="778"/>
      <c r="AQ29" s="778"/>
      <c r="AR29" s="778"/>
      <c r="AS29" s="778"/>
      <c r="AT29" s="778"/>
      <c r="AU29" s="598"/>
      <c r="AV29" s="598"/>
      <c r="AW29" s="598"/>
      <c r="AX29" s="595"/>
      <c r="AY29" s="595"/>
      <c r="AZ29" s="197"/>
      <c r="BA29" s="478" t="str">
        <f t="shared" si="0"/>
        <v>SUM_CO2</v>
      </c>
      <c r="BB29" s="573" t="str">
        <f t="shared" si="1"/>
        <v>SUM_EnergyIN</v>
      </c>
      <c r="BC29" s="600"/>
      <c r="BD29" s="5"/>
    </row>
    <row r="30" spans="1:56" x14ac:dyDescent="0.2">
      <c r="A30" s="600"/>
      <c r="B30" s="197"/>
      <c r="C30" s="534">
        <v>7</v>
      </c>
      <c r="D30" s="594"/>
      <c r="E30" s="594"/>
      <c r="F30" s="595"/>
      <c r="G30" s="596"/>
      <c r="H30" s="595"/>
      <c r="I30" s="596"/>
      <c r="J30" s="595"/>
      <c r="K30" s="596"/>
      <c r="L30" s="596"/>
      <c r="M30" s="596"/>
      <c r="N30" s="595"/>
      <c r="O30" s="597"/>
      <c r="P30" s="595"/>
      <c r="Q30" s="597"/>
      <c r="R30" s="595"/>
      <c r="S30" s="597"/>
      <c r="T30" s="595"/>
      <c r="U30" s="597"/>
      <c r="V30" s="778"/>
      <c r="W30" s="778"/>
      <c r="X30" s="778"/>
      <c r="Y30" s="778"/>
      <c r="Z30" s="778"/>
      <c r="AA30" s="778"/>
      <c r="AB30" s="778"/>
      <c r="AC30" s="778"/>
      <c r="AD30" s="778"/>
      <c r="AE30" s="778"/>
      <c r="AF30" s="778"/>
      <c r="AG30" s="778"/>
      <c r="AH30" s="778"/>
      <c r="AI30" s="778"/>
      <c r="AJ30" s="778"/>
      <c r="AK30" s="778"/>
      <c r="AL30" s="778"/>
      <c r="AM30" s="778"/>
      <c r="AN30" s="778"/>
      <c r="AO30" s="778"/>
      <c r="AP30" s="778"/>
      <c r="AQ30" s="778"/>
      <c r="AR30" s="778"/>
      <c r="AS30" s="778"/>
      <c r="AT30" s="778"/>
      <c r="AU30" s="598"/>
      <c r="AV30" s="598"/>
      <c r="AW30" s="598"/>
      <c r="AX30" s="595"/>
      <c r="AY30" s="595"/>
      <c r="AZ30" s="197"/>
      <c r="BA30" s="478" t="str">
        <f t="shared" si="0"/>
        <v>SUM_CO2</v>
      </c>
      <c r="BB30" s="573" t="str">
        <f t="shared" si="1"/>
        <v>SUM_EnergyIN</v>
      </c>
      <c r="BC30" s="600"/>
      <c r="BD30" s="5"/>
    </row>
    <row r="31" spans="1:56" x14ac:dyDescent="0.2">
      <c r="A31" s="600"/>
      <c r="B31" s="197"/>
      <c r="C31" s="534">
        <v>8</v>
      </c>
      <c r="D31" s="594"/>
      <c r="E31" s="594"/>
      <c r="F31" s="595"/>
      <c r="G31" s="596"/>
      <c r="H31" s="595"/>
      <c r="I31" s="596"/>
      <c r="J31" s="595"/>
      <c r="K31" s="596"/>
      <c r="L31" s="596"/>
      <c r="M31" s="596"/>
      <c r="N31" s="595"/>
      <c r="O31" s="597"/>
      <c r="P31" s="595"/>
      <c r="Q31" s="597"/>
      <c r="R31" s="595"/>
      <c r="S31" s="597"/>
      <c r="T31" s="595"/>
      <c r="U31" s="597"/>
      <c r="V31" s="778"/>
      <c r="W31" s="778"/>
      <c r="X31" s="778"/>
      <c r="Y31" s="778"/>
      <c r="Z31" s="778"/>
      <c r="AA31" s="778"/>
      <c r="AB31" s="778"/>
      <c r="AC31" s="778"/>
      <c r="AD31" s="778"/>
      <c r="AE31" s="778"/>
      <c r="AF31" s="778"/>
      <c r="AG31" s="778"/>
      <c r="AH31" s="778"/>
      <c r="AI31" s="778"/>
      <c r="AJ31" s="778"/>
      <c r="AK31" s="778"/>
      <c r="AL31" s="778"/>
      <c r="AM31" s="778"/>
      <c r="AN31" s="778"/>
      <c r="AO31" s="778"/>
      <c r="AP31" s="778"/>
      <c r="AQ31" s="778"/>
      <c r="AR31" s="778"/>
      <c r="AS31" s="778"/>
      <c r="AT31" s="778"/>
      <c r="AU31" s="598"/>
      <c r="AV31" s="598"/>
      <c r="AW31" s="598"/>
      <c r="AX31" s="595"/>
      <c r="AY31" s="595"/>
      <c r="AZ31" s="197"/>
      <c r="BA31" s="478" t="str">
        <f t="shared" si="0"/>
        <v>SUM_CO2</v>
      </c>
      <c r="BB31" s="573" t="str">
        <f t="shared" si="1"/>
        <v>SUM_EnergyIN</v>
      </c>
      <c r="BC31" s="600"/>
      <c r="BD31" s="5"/>
    </row>
    <row r="32" spans="1:56" x14ac:dyDescent="0.2">
      <c r="A32" s="600"/>
      <c r="B32" s="197"/>
      <c r="C32" s="534">
        <v>9</v>
      </c>
      <c r="D32" s="594"/>
      <c r="E32" s="594"/>
      <c r="F32" s="595"/>
      <c r="G32" s="596"/>
      <c r="H32" s="595"/>
      <c r="I32" s="596"/>
      <c r="J32" s="595"/>
      <c r="K32" s="596"/>
      <c r="L32" s="596"/>
      <c r="M32" s="596"/>
      <c r="N32" s="595"/>
      <c r="O32" s="597"/>
      <c r="P32" s="595"/>
      <c r="Q32" s="597"/>
      <c r="R32" s="595"/>
      <c r="S32" s="597"/>
      <c r="T32" s="595"/>
      <c r="U32" s="597"/>
      <c r="V32" s="778"/>
      <c r="W32" s="778"/>
      <c r="X32" s="778"/>
      <c r="Y32" s="778"/>
      <c r="Z32" s="778"/>
      <c r="AA32" s="778"/>
      <c r="AB32" s="778"/>
      <c r="AC32" s="778"/>
      <c r="AD32" s="778"/>
      <c r="AE32" s="778"/>
      <c r="AF32" s="778"/>
      <c r="AG32" s="778"/>
      <c r="AH32" s="778"/>
      <c r="AI32" s="778"/>
      <c r="AJ32" s="778"/>
      <c r="AK32" s="778"/>
      <c r="AL32" s="778"/>
      <c r="AM32" s="778"/>
      <c r="AN32" s="778"/>
      <c r="AO32" s="778"/>
      <c r="AP32" s="778"/>
      <c r="AQ32" s="778"/>
      <c r="AR32" s="778"/>
      <c r="AS32" s="778"/>
      <c r="AT32" s="778"/>
      <c r="AU32" s="598"/>
      <c r="AV32" s="598"/>
      <c r="AW32" s="598"/>
      <c r="AX32" s="595"/>
      <c r="AY32" s="595"/>
      <c r="AZ32" s="197"/>
      <c r="BA32" s="478" t="str">
        <f t="shared" si="0"/>
        <v>SUM_CO2</v>
      </c>
      <c r="BB32" s="573" t="str">
        <f t="shared" si="1"/>
        <v>SUM_EnergyIN</v>
      </c>
      <c r="BC32" s="600"/>
      <c r="BD32" s="5"/>
    </row>
    <row r="33" spans="1:56" x14ac:dyDescent="0.2">
      <c r="A33" s="600"/>
      <c r="B33" s="197"/>
      <c r="C33" s="534">
        <v>10</v>
      </c>
      <c r="D33" s="594"/>
      <c r="E33" s="594"/>
      <c r="F33" s="595"/>
      <c r="G33" s="596"/>
      <c r="H33" s="595"/>
      <c r="I33" s="596"/>
      <c r="J33" s="595"/>
      <c r="K33" s="596"/>
      <c r="L33" s="596"/>
      <c r="M33" s="596"/>
      <c r="N33" s="595"/>
      <c r="O33" s="597"/>
      <c r="P33" s="595"/>
      <c r="Q33" s="597"/>
      <c r="R33" s="595"/>
      <c r="S33" s="597"/>
      <c r="T33" s="595"/>
      <c r="U33" s="597"/>
      <c r="V33" s="778"/>
      <c r="W33" s="778"/>
      <c r="X33" s="778"/>
      <c r="Y33" s="778"/>
      <c r="Z33" s="778"/>
      <c r="AA33" s="778"/>
      <c r="AB33" s="778"/>
      <c r="AC33" s="778"/>
      <c r="AD33" s="778"/>
      <c r="AE33" s="778"/>
      <c r="AF33" s="778"/>
      <c r="AG33" s="778"/>
      <c r="AH33" s="778"/>
      <c r="AI33" s="778"/>
      <c r="AJ33" s="778"/>
      <c r="AK33" s="778"/>
      <c r="AL33" s="778"/>
      <c r="AM33" s="778"/>
      <c r="AN33" s="778"/>
      <c r="AO33" s="778"/>
      <c r="AP33" s="778"/>
      <c r="AQ33" s="778"/>
      <c r="AR33" s="778"/>
      <c r="AS33" s="778"/>
      <c r="AT33" s="778"/>
      <c r="AU33" s="598"/>
      <c r="AV33" s="598"/>
      <c r="AW33" s="598"/>
      <c r="AX33" s="595"/>
      <c r="AY33" s="595"/>
      <c r="AZ33" s="197"/>
      <c r="BA33" s="478" t="str">
        <f t="shared" si="0"/>
        <v>SUM_CO2</v>
      </c>
      <c r="BB33" s="573" t="str">
        <f t="shared" si="1"/>
        <v>SUM_EnergyIN</v>
      </c>
      <c r="BC33" s="600"/>
      <c r="BD33" s="5"/>
    </row>
    <row r="34" spans="1:56" x14ac:dyDescent="0.2">
      <c r="A34" s="600"/>
      <c r="B34" s="197"/>
      <c r="C34" s="534">
        <v>11</v>
      </c>
      <c r="D34" s="594"/>
      <c r="E34" s="594"/>
      <c r="F34" s="595"/>
      <c r="G34" s="596"/>
      <c r="H34" s="595"/>
      <c r="I34" s="596"/>
      <c r="J34" s="595"/>
      <c r="K34" s="596"/>
      <c r="L34" s="596"/>
      <c r="M34" s="596"/>
      <c r="N34" s="595"/>
      <c r="O34" s="597"/>
      <c r="P34" s="595"/>
      <c r="Q34" s="597"/>
      <c r="R34" s="595"/>
      <c r="S34" s="597"/>
      <c r="T34" s="595"/>
      <c r="U34" s="597"/>
      <c r="V34" s="778"/>
      <c r="W34" s="778"/>
      <c r="X34" s="778"/>
      <c r="Y34" s="778"/>
      <c r="Z34" s="778"/>
      <c r="AA34" s="778"/>
      <c r="AB34" s="778"/>
      <c r="AC34" s="778"/>
      <c r="AD34" s="778"/>
      <c r="AE34" s="778"/>
      <c r="AF34" s="778"/>
      <c r="AG34" s="778"/>
      <c r="AH34" s="778"/>
      <c r="AI34" s="778"/>
      <c r="AJ34" s="778"/>
      <c r="AK34" s="778"/>
      <c r="AL34" s="778"/>
      <c r="AM34" s="778"/>
      <c r="AN34" s="778"/>
      <c r="AO34" s="778"/>
      <c r="AP34" s="778"/>
      <c r="AQ34" s="778"/>
      <c r="AR34" s="778"/>
      <c r="AS34" s="778"/>
      <c r="AT34" s="778"/>
      <c r="AU34" s="598"/>
      <c r="AV34" s="598"/>
      <c r="AW34" s="598"/>
      <c r="AX34" s="595"/>
      <c r="AY34" s="595"/>
      <c r="AZ34" s="197"/>
      <c r="BA34" s="478" t="str">
        <f t="shared" si="0"/>
        <v>SUM_CO2</v>
      </c>
      <c r="BB34" s="573" t="str">
        <f t="shared" si="1"/>
        <v>SUM_EnergyIN</v>
      </c>
      <c r="BC34" s="600"/>
      <c r="BD34" s="5"/>
    </row>
    <row r="35" spans="1:56" x14ac:dyDescent="0.2">
      <c r="A35" s="600"/>
      <c r="B35" s="197"/>
      <c r="C35" s="534">
        <v>12</v>
      </c>
      <c r="D35" s="594"/>
      <c r="E35" s="594"/>
      <c r="F35" s="595"/>
      <c r="G35" s="596"/>
      <c r="H35" s="595"/>
      <c r="I35" s="596"/>
      <c r="J35" s="595"/>
      <c r="K35" s="596"/>
      <c r="L35" s="596"/>
      <c r="M35" s="596"/>
      <c r="N35" s="595"/>
      <c r="O35" s="597"/>
      <c r="P35" s="595"/>
      <c r="Q35" s="597"/>
      <c r="R35" s="595"/>
      <c r="S35" s="597"/>
      <c r="T35" s="595"/>
      <c r="U35" s="597"/>
      <c r="V35" s="778"/>
      <c r="W35" s="778"/>
      <c r="X35" s="778"/>
      <c r="Y35" s="778"/>
      <c r="Z35" s="778"/>
      <c r="AA35" s="778"/>
      <c r="AB35" s="778"/>
      <c r="AC35" s="778"/>
      <c r="AD35" s="778"/>
      <c r="AE35" s="778"/>
      <c r="AF35" s="778"/>
      <c r="AG35" s="778"/>
      <c r="AH35" s="778"/>
      <c r="AI35" s="778"/>
      <c r="AJ35" s="778"/>
      <c r="AK35" s="778"/>
      <c r="AL35" s="778"/>
      <c r="AM35" s="778"/>
      <c r="AN35" s="778"/>
      <c r="AO35" s="778"/>
      <c r="AP35" s="778"/>
      <c r="AQ35" s="778"/>
      <c r="AR35" s="778"/>
      <c r="AS35" s="778"/>
      <c r="AT35" s="778"/>
      <c r="AU35" s="598"/>
      <c r="AV35" s="598"/>
      <c r="AW35" s="598"/>
      <c r="AX35" s="595"/>
      <c r="AY35" s="595"/>
      <c r="AZ35" s="197"/>
      <c r="BA35" s="478" t="str">
        <f t="shared" si="0"/>
        <v>SUM_CO2</v>
      </c>
      <c r="BB35" s="573" t="str">
        <f t="shared" si="1"/>
        <v>SUM_EnergyIN</v>
      </c>
      <c r="BC35" s="600"/>
      <c r="BD35" s="5"/>
    </row>
    <row r="36" spans="1:56" x14ac:dyDescent="0.2">
      <c r="A36" s="600"/>
      <c r="B36" s="197"/>
      <c r="C36" s="534">
        <v>13</v>
      </c>
      <c r="D36" s="594"/>
      <c r="E36" s="594"/>
      <c r="F36" s="595"/>
      <c r="G36" s="596"/>
      <c r="H36" s="595"/>
      <c r="I36" s="596"/>
      <c r="J36" s="595"/>
      <c r="K36" s="596"/>
      <c r="L36" s="596"/>
      <c r="M36" s="596"/>
      <c r="N36" s="595"/>
      <c r="O36" s="597"/>
      <c r="P36" s="595"/>
      <c r="Q36" s="597"/>
      <c r="R36" s="595"/>
      <c r="S36" s="597"/>
      <c r="T36" s="595"/>
      <c r="U36" s="597"/>
      <c r="V36" s="778"/>
      <c r="W36" s="778"/>
      <c r="X36" s="778"/>
      <c r="Y36" s="778"/>
      <c r="Z36" s="778"/>
      <c r="AA36" s="778"/>
      <c r="AB36" s="778"/>
      <c r="AC36" s="778"/>
      <c r="AD36" s="778"/>
      <c r="AE36" s="778"/>
      <c r="AF36" s="778"/>
      <c r="AG36" s="778"/>
      <c r="AH36" s="778"/>
      <c r="AI36" s="778"/>
      <c r="AJ36" s="778"/>
      <c r="AK36" s="778"/>
      <c r="AL36" s="778"/>
      <c r="AM36" s="778"/>
      <c r="AN36" s="778"/>
      <c r="AO36" s="778"/>
      <c r="AP36" s="778"/>
      <c r="AQ36" s="778"/>
      <c r="AR36" s="778"/>
      <c r="AS36" s="778"/>
      <c r="AT36" s="778"/>
      <c r="AU36" s="598"/>
      <c r="AV36" s="598"/>
      <c r="AW36" s="598"/>
      <c r="AX36" s="595"/>
      <c r="AY36" s="595"/>
      <c r="AZ36" s="197"/>
      <c r="BA36" s="478" t="str">
        <f t="shared" si="0"/>
        <v>SUM_CO2</v>
      </c>
      <c r="BB36" s="573" t="str">
        <f t="shared" si="1"/>
        <v>SUM_EnergyIN</v>
      </c>
      <c r="BC36" s="600"/>
      <c r="BD36" s="5"/>
    </row>
    <row r="37" spans="1:56" x14ac:dyDescent="0.2">
      <c r="A37" s="600"/>
      <c r="B37" s="197"/>
      <c r="C37" s="534">
        <v>14</v>
      </c>
      <c r="D37" s="594"/>
      <c r="E37" s="594"/>
      <c r="F37" s="595"/>
      <c r="G37" s="596"/>
      <c r="H37" s="595"/>
      <c r="I37" s="596"/>
      <c r="J37" s="595"/>
      <c r="K37" s="596"/>
      <c r="L37" s="596"/>
      <c r="M37" s="596"/>
      <c r="N37" s="595"/>
      <c r="O37" s="597"/>
      <c r="P37" s="595"/>
      <c r="Q37" s="597"/>
      <c r="R37" s="595"/>
      <c r="S37" s="597"/>
      <c r="T37" s="595"/>
      <c r="U37" s="597"/>
      <c r="V37" s="778"/>
      <c r="W37" s="778"/>
      <c r="X37" s="778"/>
      <c r="Y37" s="778"/>
      <c r="Z37" s="778"/>
      <c r="AA37" s="778"/>
      <c r="AB37" s="778"/>
      <c r="AC37" s="778"/>
      <c r="AD37" s="778"/>
      <c r="AE37" s="778"/>
      <c r="AF37" s="778"/>
      <c r="AG37" s="778"/>
      <c r="AH37" s="778"/>
      <c r="AI37" s="778"/>
      <c r="AJ37" s="778"/>
      <c r="AK37" s="778"/>
      <c r="AL37" s="778"/>
      <c r="AM37" s="778"/>
      <c r="AN37" s="778"/>
      <c r="AO37" s="778"/>
      <c r="AP37" s="778"/>
      <c r="AQ37" s="778"/>
      <c r="AR37" s="778"/>
      <c r="AS37" s="778"/>
      <c r="AT37" s="778"/>
      <c r="AU37" s="598"/>
      <c r="AV37" s="598"/>
      <c r="AW37" s="598"/>
      <c r="AX37" s="595"/>
      <c r="AY37" s="595"/>
      <c r="AZ37" s="197"/>
      <c r="BA37" s="478" t="str">
        <f t="shared" si="0"/>
        <v>SUM_CO2</v>
      </c>
      <c r="BB37" s="573" t="str">
        <f t="shared" si="1"/>
        <v>SUM_EnergyIN</v>
      </c>
      <c r="BC37" s="600"/>
      <c r="BD37" s="5"/>
    </row>
    <row r="38" spans="1:56" x14ac:dyDescent="0.2">
      <c r="A38" s="600"/>
      <c r="B38" s="197"/>
      <c r="C38" s="534">
        <v>15</v>
      </c>
      <c r="D38" s="594"/>
      <c r="E38" s="594"/>
      <c r="F38" s="595"/>
      <c r="G38" s="596"/>
      <c r="H38" s="595"/>
      <c r="I38" s="596"/>
      <c r="J38" s="595"/>
      <c r="K38" s="596"/>
      <c r="L38" s="596"/>
      <c r="M38" s="596"/>
      <c r="N38" s="595"/>
      <c r="O38" s="597"/>
      <c r="P38" s="595"/>
      <c r="Q38" s="597"/>
      <c r="R38" s="595"/>
      <c r="S38" s="597"/>
      <c r="T38" s="595"/>
      <c r="U38" s="597"/>
      <c r="V38" s="778"/>
      <c r="W38" s="778"/>
      <c r="X38" s="778"/>
      <c r="Y38" s="778"/>
      <c r="Z38" s="778"/>
      <c r="AA38" s="778"/>
      <c r="AB38" s="778"/>
      <c r="AC38" s="778"/>
      <c r="AD38" s="778"/>
      <c r="AE38" s="778"/>
      <c r="AF38" s="778"/>
      <c r="AG38" s="778"/>
      <c r="AH38" s="778"/>
      <c r="AI38" s="778"/>
      <c r="AJ38" s="778"/>
      <c r="AK38" s="778"/>
      <c r="AL38" s="778"/>
      <c r="AM38" s="778"/>
      <c r="AN38" s="778"/>
      <c r="AO38" s="778"/>
      <c r="AP38" s="778"/>
      <c r="AQ38" s="778"/>
      <c r="AR38" s="778"/>
      <c r="AS38" s="778"/>
      <c r="AT38" s="778"/>
      <c r="AU38" s="598"/>
      <c r="AV38" s="598"/>
      <c r="AW38" s="598"/>
      <c r="AX38" s="595"/>
      <c r="AY38" s="595"/>
      <c r="AZ38" s="197"/>
      <c r="BA38" s="478" t="str">
        <f t="shared" si="0"/>
        <v>SUM_CO2</v>
      </c>
      <c r="BB38" s="573" t="str">
        <f t="shared" si="1"/>
        <v>SUM_EnergyIN</v>
      </c>
      <c r="BC38" s="600"/>
      <c r="BD38" s="5"/>
    </row>
    <row r="39" spans="1:56" x14ac:dyDescent="0.2">
      <c r="A39" s="600"/>
      <c r="B39" s="197"/>
      <c r="C39" s="534">
        <v>16</v>
      </c>
      <c r="D39" s="594"/>
      <c r="E39" s="594"/>
      <c r="F39" s="595"/>
      <c r="G39" s="596"/>
      <c r="H39" s="595"/>
      <c r="I39" s="596"/>
      <c r="J39" s="595"/>
      <c r="K39" s="596"/>
      <c r="L39" s="596"/>
      <c r="M39" s="596"/>
      <c r="N39" s="595"/>
      <c r="O39" s="597"/>
      <c r="P39" s="595"/>
      <c r="Q39" s="597"/>
      <c r="R39" s="595"/>
      <c r="S39" s="597"/>
      <c r="T39" s="595"/>
      <c r="U39" s="597"/>
      <c r="V39" s="778"/>
      <c r="W39" s="778"/>
      <c r="X39" s="778"/>
      <c r="Y39" s="778"/>
      <c r="Z39" s="778"/>
      <c r="AA39" s="778"/>
      <c r="AB39" s="778"/>
      <c r="AC39" s="778"/>
      <c r="AD39" s="778"/>
      <c r="AE39" s="778"/>
      <c r="AF39" s="778"/>
      <c r="AG39" s="778"/>
      <c r="AH39" s="778"/>
      <c r="AI39" s="778"/>
      <c r="AJ39" s="778"/>
      <c r="AK39" s="778"/>
      <c r="AL39" s="778"/>
      <c r="AM39" s="778"/>
      <c r="AN39" s="778"/>
      <c r="AO39" s="778"/>
      <c r="AP39" s="778"/>
      <c r="AQ39" s="778"/>
      <c r="AR39" s="778"/>
      <c r="AS39" s="778"/>
      <c r="AT39" s="778"/>
      <c r="AU39" s="598"/>
      <c r="AV39" s="598"/>
      <c r="AW39" s="598"/>
      <c r="AX39" s="595"/>
      <c r="AY39" s="595"/>
      <c r="AZ39" s="197"/>
      <c r="BA39" s="478" t="str">
        <f t="shared" si="0"/>
        <v>SUM_CO2</v>
      </c>
      <c r="BB39" s="573" t="str">
        <f t="shared" si="1"/>
        <v>SUM_EnergyIN</v>
      </c>
      <c r="BC39" s="600"/>
      <c r="BD39" s="5"/>
    </row>
    <row r="40" spans="1:56" x14ac:dyDescent="0.2">
      <c r="A40" s="600"/>
      <c r="B40" s="197"/>
      <c r="C40" s="534">
        <v>17</v>
      </c>
      <c r="D40" s="594"/>
      <c r="E40" s="594"/>
      <c r="F40" s="595"/>
      <c r="G40" s="596"/>
      <c r="H40" s="595"/>
      <c r="I40" s="596"/>
      <c r="J40" s="595"/>
      <c r="K40" s="596"/>
      <c r="L40" s="596"/>
      <c r="M40" s="596"/>
      <c r="N40" s="595"/>
      <c r="O40" s="597"/>
      <c r="P40" s="595"/>
      <c r="Q40" s="597"/>
      <c r="R40" s="595"/>
      <c r="S40" s="597"/>
      <c r="T40" s="595"/>
      <c r="U40" s="597"/>
      <c r="V40" s="778"/>
      <c r="W40" s="778"/>
      <c r="X40" s="778"/>
      <c r="Y40" s="778"/>
      <c r="Z40" s="778"/>
      <c r="AA40" s="778"/>
      <c r="AB40" s="778"/>
      <c r="AC40" s="778"/>
      <c r="AD40" s="778"/>
      <c r="AE40" s="778"/>
      <c r="AF40" s="778"/>
      <c r="AG40" s="778"/>
      <c r="AH40" s="778"/>
      <c r="AI40" s="778"/>
      <c r="AJ40" s="778"/>
      <c r="AK40" s="778"/>
      <c r="AL40" s="778"/>
      <c r="AM40" s="778"/>
      <c r="AN40" s="778"/>
      <c r="AO40" s="778"/>
      <c r="AP40" s="778"/>
      <c r="AQ40" s="778"/>
      <c r="AR40" s="778"/>
      <c r="AS40" s="778"/>
      <c r="AT40" s="778"/>
      <c r="AU40" s="598"/>
      <c r="AV40" s="598"/>
      <c r="AW40" s="598"/>
      <c r="AX40" s="595"/>
      <c r="AY40" s="595"/>
      <c r="AZ40" s="197"/>
      <c r="BA40" s="478" t="str">
        <f t="shared" si="0"/>
        <v>SUM_CO2</v>
      </c>
      <c r="BB40" s="573" t="str">
        <f t="shared" si="1"/>
        <v>SUM_EnergyIN</v>
      </c>
      <c r="BC40" s="600"/>
      <c r="BD40" s="5"/>
    </row>
    <row r="41" spans="1:56" x14ac:dyDescent="0.2">
      <c r="A41" s="600"/>
      <c r="B41" s="197"/>
      <c r="C41" s="534">
        <v>18</v>
      </c>
      <c r="D41" s="594"/>
      <c r="E41" s="594"/>
      <c r="F41" s="595"/>
      <c r="G41" s="596"/>
      <c r="H41" s="595"/>
      <c r="I41" s="596"/>
      <c r="J41" s="595"/>
      <c r="K41" s="596"/>
      <c r="L41" s="596"/>
      <c r="M41" s="596"/>
      <c r="N41" s="595"/>
      <c r="O41" s="597"/>
      <c r="P41" s="595"/>
      <c r="Q41" s="597"/>
      <c r="R41" s="595"/>
      <c r="S41" s="597"/>
      <c r="T41" s="595"/>
      <c r="U41" s="597"/>
      <c r="V41" s="778"/>
      <c r="W41" s="778"/>
      <c r="X41" s="778"/>
      <c r="Y41" s="778"/>
      <c r="Z41" s="778"/>
      <c r="AA41" s="778"/>
      <c r="AB41" s="778"/>
      <c r="AC41" s="778"/>
      <c r="AD41" s="778"/>
      <c r="AE41" s="778"/>
      <c r="AF41" s="778"/>
      <c r="AG41" s="778"/>
      <c r="AH41" s="778"/>
      <c r="AI41" s="778"/>
      <c r="AJ41" s="778"/>
      <c r="AK41" s="778"/>
      <c r="AL41" s="778"/>
      <c r="AM41" s="778"/>
      <c r="AN41" s="778"/>
      <c r="AO41" s="778"/>
      <c r="AP41" s="778"/>
      <c r="AQ41" s="778"/>
      <c r="AR41" s="778"/>
      <c r="AS41" s="778"/>
      <c r="AT41" s="778"/>
      <c r="AU41" s="598"/>
      <c r="AV41" s="598"/>
      <c r="AW41" s="598"/>
      <c r="AX41" s="595"/>
      <c r="AY41" s="595"/>
      <c r="AZ41" s="197"/>
      <c r="BA41" s="478" t="str">
        <f t="shared" si="0"/>
        <v>SUM_CO2</v>
      </c>
      <c r="BB41" s="573" t="str">
        <f t="shared" si="1"/>
        <v>SUM_EnergyIN</v>
      </c>
      <c r="BC41" s="600"/>
      <c r="BD41" s="5"/>
    </row>
    <row r="42" spans="1:56" x14ac:dyDescent="0.2">
      <c r="A42" s="600"/>
      <c r="B42" s="197"/>
      <c r="C42" s="534">
        <v>19</v>
      </c>
      <c r="D42" s="594"/>
      <c r="E42" s="594"/>
      <c r="F42" s="595"/>
      <c r="G42" s="596"/>
      <c r="H42" s="595"/>
      <c r="I42" s="596"/>
      <c r="J42" s="595"/>
      <c r="K42" s="596"/>
      <c r="L42" s="596"/>
      <c r="M42" s="596"/>
      <c r="N42" s="595"/>
      <c r="O42" s="597"/>
      <c r="P42" s="595"/>
      <c r="Q42" s="597"/>
      <c r="R42" s="595"/>
      <c r="S42" s="597"/>
      <c r="T42" s="595"/>
      <c r="U42" s="597"/>
      <c r="V42" s="778"/>
      <c r="W42" s="778"/>
      <c r="X42" s="778"/>
      <c r="Y42" s="778"/>
      <c r="Z42" s="778"/>
      <c r="AA42" s="778"/>
      <c r="AB42" s="778"/>
      <c r="AC42" s="778"/>
      <c r="AD42" s="778"/>
      <c r="AE42" s="778"/>
      <c r="AF42" s="778"/>
      <c r="AG42" s="778"/>
      <c r="AH42" s="778"/>
      <c r="AI42" s="778"/>
      <c r="AJ42" s="778"/>
      <c r="AK42" s="778"/>
      <c r="AL42" s="778"/>
      <c r="AM42" s="778"/>
      <c r="AN42" s="778"/>
      <c r="AO42" s="778"/>
      <c r="AP42" s="778"/>
      <c r="AQ42" s="778"/>
      <c r="AR42" s="778"/>
      <c r="AS42" s="778"/>
      <c r="AT42" s="778"/>
      <c r="AU42" s="598"/>
      <c r="AV42" s="598"/>
      <c r="AW42" s="598"/>
      <c r="AX42" s="595"/>
      <c r="AY42" s="595"/>
      <c r="AZ42" s="197"/>
      <c r="BA42" s="478" t="str">
        <f t="shared" si="0"/>
        <v>SUM_CO2</v>
      </c>
      <c r="BB42" s="573" t="str">
        <f t="shared" si="1"/>
        <v>SUM_EnergyIN</v>
      </c>
      <c r="BC42" s="600"/>
      <c r="BD42" s="5"/>
    </row>
    <row r="43" spans="1:56" x14ac:dyDescent="0.2">
      <c r="A43" s="600"/>
      <c r="B43" s="197"/>
      <c r="C43" s="534">
        <v>20</v>
      </c>
      <c r="D43" s="594"/>
      <c r="E43" s="594"/>
      <c r="F43" s="595"/>
      <c r="G43" s="596"/>
      <c r="H43" s="595"/>
      <c r="I43" s="596"/>
      <c r="J43" s="595"/>
      <c r="K43" s="596"/>
      <c r="L43" s="596"/>
      <c r="M43" s="596"/>
      <c r="N43" s="595"/>
      <c r="O43" s="597"/>
      <c r="P43" s="595"/>
      <c r="Q43" s="597"/>
      <c r="R43" s="595"/>
      <c r="S43" s="597"/>
      <c r="T43" s="595"/>
      <c r="U43" s="597"/>
      <c r="V43" s="778"/>
      <c r="W43" s="778"/>
      <c r="X43" s="778"/>
      <c r="Y43" s="778"/>
      <c r="Z43" s="778"/>
      <c r="AA43" s="778"/>
      <c r="AB43" s="778"/>
      <c r="AC43" s="778"/>
      <c r="AD43" s="778"/>
      <c r="AE43" s="778"/>
      <c r="AF43" s="778"/>
      <c r="AG43" s="778"/>
      <c r="AH43" s="778"/>
      <c r="AI43" s="778"/>
      <c r="AJ43" s="778"/>
      <c r="AK43" s="778"/>
      <c r="AL43" s="778"/>
      <c r="AM43" s="778"/>
      <c r="AN43" s="778"/>
      <c r="AO43" s="778"/>
      <c r="AP43" s="778"/>
      <c r="AQ43" s="778"/>
      <c r="AR43" s="778"/>
      <c r="AS43" s="778"/>
      <c r="AT43" s="778"/>
      <c r="AU43" s="598"/>
      <c r="AV43" s="598"/>
      <c r="AW43" s="598"/>
      <c r="AX43" s="595"/>
      <c r="AY43" s="595"/>
      <c r="AZ43" s="197"/>
      <c r="BA43" s="478" t="str">
        <f t="shared" si="0"/>
        <v>SUM_CO2</v>
      </c>
      <c r="BB43" s="573" t="str">
        <f t="shared" si="1"/>
        <v>SUM_EnergyIN</v>
      </c>
      <c r="BC43" s="600"/>
      <c r="BD43" s="5"/>
    </row>
    <row r="44" spans="1:56" x14ac:dyDescent="0.2">
      <c r="A44" s="600"/>
      <c r="B44" s="197"/>
      <c r="C44" s="534">
        <v>21</v>
      </c>
      <c r="D44" s="594"/>
      <c r="E44" s="594"/>
      <c r="F44" s="595"/>
      <c r="G44" s="596"/>
      <c r="H44" s="595"/>
      <c r="I44" s="596"/>
      <c r="J44" s="595"/>
      <c r="K44" s="596"/>
      <c r="L44" s="596"/>
      <c r="M44" s="596"/>
      <c r="N44" s="595"/>
      <c r="O44" s="597"/>
      <c r="P44" s="595"/>
      <c r="Q44" s="597"/>
      <c r="R44" s="595"/>
      <c r="S44" s="597"/>
      <c r="T44" s="595"/>
      <c r="U44" s="597"/>
      <c r="V44" s="778"/>
      <c r="W44" s="778"/>
      <c r="X44" s="778"/>
      <c r="Y44" s="778"/>
      <c r="Z44" s="778"/>
      <c r="AA44" s="778"/>
      <c r="AB44" s="778"/>
      <c r="AC44" s="778"/>
      <c r="AD44" s="778"/>
      <c r="AE44" s="778"/>
      <c r="AF44" s="778"/>
      <c r="AG44" s="778"/>
      <c r="AH44" s="778"/>
      <c r="AI44" s="778"/>
      <c r="AJ44" s="778"/>
      <c r="AK44" s="778"/>
      <c r="AL44" s="778"/>
      <c r="AM44" s="778"/>
      <c r="AN44" s="778"/>
      <c r="AO44" s="778"/>
      <c r="AP44" s="778"/>
      <c r="AQ44" s="778"/>
      <c r="AR44" s="778"/>
      <c r="AS44" s="778"/>
      <c r="AT44" s="778"/>
      <c r="AU44" s="598"/>
      <c r="AV44" s="598"/>
      <c r="AW44" s="598"/>
      <c r="AX44" s="595"/>
      <c r="AY44" s="595"/>
      <c r="AZ44" s="197"/>
      <c r="BA44" s="478" t="str">
        <f t="shared" si="0"/>
        <v>SUM_CO2</v>
      </c>
      <c r="BB44" s="573" t="str">
        <f t="shared" si="1"/>
        <v>SUM_EnergyIN</v>
      </c>
      <c r="BC44" s="600"/>
      <c r="BD44" s="5"/>
    </row>
    <row r="45" spans="1:56" x14ac:dyDescent="0.2">
      <c r="A45" s="600"/>
      <c r="B45" s="197"/>
      <c r="C45" s="534">
        <v>22</v>
      </c>
      <c r="D45" s="594"/>
      <c r="E45" s="594"/>
      <c r="F45" s="595"/>
      <c r="G45" s="596"/>
      <c r="H45" s="595"/>
      <c r="I45" s="596"/>
      <c r="J45" s="595"/>
      <c r="K45" s="596"/>
      <c r="L45" s="596"/>
      <c r="M45" s="596"/>
      <c r="N45" s="595"/>
      <c r="O45" s="597"/>
      <c r="P45" s="595"/>
      <c r="Q45" s="597"/>
      <c r="R45" s="595"/>
      <c r="S45" s="597"/>
      <c r="T45" s="595"/>
      <c r="U45" s="597"/>
      <c r="V45" s="778"/>
      <c r="W45" s="778"/>
      <c r="X45" s="778"/>
      <c r="Y45" s="778"/>
      <c r="Z45" s="778"/>
      <c r="AA45" s="778"/>
      <c r="AB45" s="778"/>
      <c r="AC45" s="778"/>
      <c r="AD45" s="778"/>
      <c r="AE45" s="778"/>
      <c r="AF45" s="778"/>
      <c r="AG45" s="778"/>
      <c r="AH45" s="778"/>
      <c r="AI45" s="778"/>
      <c r="AJ45" s="778"/>
      <c r="AK45" s="778"/>
      <c r="AL45" s="778"/>
      <c r="AM45" s="778"/>
      <c r="AN45" s="778"/>
      <c r="AO45" s="778"/>
      <c r="AP45" s="778"/>
      <c r="AQ45" s="778"/>
      <c r="AR45" s="778"/>
      <c r="AS45" s="778"/>
      <c r="AT45" s="778"/>
      <c r="AU45" s="598"/>
      <c r="AV45" s="598"/>
      <c r="AW45" s="598"/>
      <c r="AX45" s="595"/>
      <c r="AY45" s="595"/>
      <c r="AZ45" s="197"/>
      <c r="BA45" s="478" t="str">
        <f t="shared" si="0"/>
        <v>SUM_CO2</v>
      </c>
      <c r="BB45" s="573" t="str">
        <f t="shared" si="1"/>
        <v>SUM_EnergyIN</v>
      </c>
      <c r="BC45" s="600"/>
      <c r="BD45" s="5"/>
    </row>
    <row r="46" spans="1:56" x14ac:dyDescent="0.2">
      <c r="A46" s="600"/>
      <c r="B46" s="197"/>
      <c r="C46" s="534">
        <v>23</v>
      </c>
      <c r="D46" s="594"/>
      <c r="E46" s="594"/>
      <c r="F46" s="595"/>
      <c r="G46" s="596"/>
      <c r="H46" s="595"/>
      <c r="I46" s="596"/>
      <c r="J46" s="595"/>
      <c r="K46" s="596"/>
      <c r="L46" s="596"/>
      <c r="M46" s="596"/>
      <c r="N46" s="595"/>
      <c r="O46" s="597"/>
      <c r="P46" s="595"/>
      <c r="Q46" s="597"/>
      <c r="R46" s="595"/>
      <c r="S46" s="597"/>
      <c r="T46" s="595"/>
      <c r="U46" s="597"/>
      <c r="V46" s="778"/>
      <c r="W46" s="778"/>
      <c r="X46" s="778"/>
      <c r="Y46" s="778"/>
      <c r="Z46" s="778"/>
      <c r="AA46" s="778"/>
      <c r="AB46" s="778"/>
      <c r="AC46" s="778"/>
      <c r="AD46" s="778"/>
      <c r="AE46" s="778"/>
      <c r="AF46" s="778"/>
      <c r="AG46" s="778"/>
      <c r="AH46" s="778"/>
      <c r="AI46" s="778"/>
      <c r="AJ46" s="778"/>
      <c r="AK46" s="778"/>
      <c r="AL46" s="778"/>
      <c r="AM46" s="778"/>
      <c r="AN46" s="778"/>
      <c r="AO46" s="778"/>
      <c r="AP46" s="778"/>
      <c r="AQ46" s="778"/>
      <c r="AR46" s="778"/>
      <c r="AS46" s="778"/>
      <c r="AT46" s="778"/>
      <c r="AU46" s="598"/>
      <c r="AV46" s="598"/>
      <c r="AW46" s="598"/>
      <c r="AX46" s="595"/>
      <c r="AY46" s="595"/>
      <c r="AZ46" s="197"/>
      <c r="BA46" s="478" t="str">
        <f t="shared" si="0"/>
        <v>SUM_CO2</v>
      </c>
      <c r="BB46" s="573" t="str">
        <f t="shared" si="1"/>
        <v>SUM_EnergyIN</v>
      </c>
      <c r="BC46" s="600"/>
      <c r="BD46" s="5"/>
    </row>
    <row r="47" spans="1:56" x14ac:dyDescent="0.2">
      <c r="A47" s="600"/>
      <c r="B47" s="197"/>
      <c r="C47" s="534">
        <v>24</v>
      </c>
      <c r="D47" s="594"/>
      <c r="E47" s="594"/>
      <c r="F47" s="595"/>
      <c r="G47" s="596"/>
      <c r="H47" s="595"/>
      <c r="I47" s="596"/>
      <c r="J47" s="595"/>
      <c r="K47" s="596"/>
      <c r="L47" s="596"/>
      <c r="M47" s="596"/>
      <c r="N47" s="595"/>
      <c r="O47" s="597"/>
      <c r="P47" s="595"/>
      <c r="Q47" s="597"/>
      <c r="R47" s="595"/>
      <c r="S47" s="597"/>
      <c r="T47" s="595"/>
      <c r="U47" s="597"/>
      <c r="V47" s="778"/>
      <c r="W47" s="778"/>
      <c r="X47" s="778"/>
      <c r="Y47" s="778"/>
      <c r="Z47" s="778"/>
      <c r="AA47" s="778"/>
      <c r="AB47" s="778"/>
      <c r="AC47" s="778"/>
      <c r="AD47" s="778"/>
      <c r="AE47" s="778"/>
      <c r="AF47" s="778"/>
      <c r="AG47" s="778"/>
      <c r="AH47" s="778"/>
      <c r="AI47" s="778"/>
      <c r="AJ47" s="778"/>
      <c r="AK47" s="778"/>
      <c r="AL47" s="778"/>
      <c r="AM47" s="778"/>
      <c r="AN47" s="778"/>
      <c r="AO47" s="778"/>
      <c r="AP47" s="778"/>
      <c r="AQ47" s="778"/>
      <c r="AR47" s="778"/>
      <c r="AS47" s="778"/>
      <c r="AT47" s="778"/>
      <c r="AU47" s="598"/>
      <c r="AV47" s="598"/>
      <c r="AW47" s="598"/>
      <c r="AX47" s="595"/>
      <c r="AY47" s="595"/>
      <c r="AZ47" s="197"/>
      <c r="BA47" s="478" t="str">
        <f t="shared" si="0"/>
        <v>SUM_CO2</v>
      </c>
      <c r="BB47" s="573" t="str">
        <f t="shared" si="1"/>
        <v>SUM_EnergyIN</v>
      </c>
      <c r="BC47" s="600"/>
      <c r="BD47" s="5"/>
    </row>
    <row r="48" spans="1:56" x14ac:dyDescent="0.2">
      <c r="A48" s="600"/>
      <c r="B48" s="197"/>
      <c r="C48" s="534">
        <v>25</v>
      </c>
      <c r="D48" s="594"/>
      <c r="E48" s="594"/>
      <c r="F48" s="595"/>
      <c r="G48" s="596"/>
      <c r="H48" s="595"/>
      <c r="I48" s="596"/>
      <c r="J48" s="595"/>
      <c r="K48" s="596"/>
      <c r="L48" s="596"/>
      <c r="M48" s="596"/>
      <c r="N48" s="595"/>
      <c r="O48" s="597"/>
      <c r="P48" s="595"/>
      <c r="Q48" s="597"/>
      <c r="R48" s="595"/>
      <c r="S48" s="597"/>
      <c r="T48" s="595"/>
      <c r="U48" s="597"/>
      <c r="V48" s="778"/>
      <c r="W48" s="778"/>
      <c r="X48" s="778"/>
      <c r="Y48" s="778"/>
      <c r="Z48" s="778"/>
      <c r="AA48" s="778"/>
      <c r="AB48" s="778"/>
      <c r="AC48" s="778"/>
      <c r="AD48" s="778"/>
      <c r="AE48" s="778"/>
      <c r="AF48" s="778"/>
      <c r="AG48" s="778"/>
      <c r="AH48" s="778"/>
      <c r="AI48" s="778"/>
      <c r="AJ48" s="778"/>
      <c r="AK48" s="778"/>
      <c r="AL48" s="778"/>
      <c r="AM48" s="778"/>
      <c r="AN48" s="778"/>
      <c r="AO48" s="778"/>
      <c r="AP48" s="778"/>
      <c r="AQ48" s="778"/>
      <c r="AR48" s="778"/>
      <c r="AS48" s="778"/>
      <c r="AT48" s="778"/>
      <c r="AU48" s="598"/>
      <c r="AV48" s="598"/>
      <c r="AW48" s="598"/>
      <c r="AX48" s="595"/>
      <c r="AY48" s="595"/>
      <c r="AZ48" s="197"/>
      <c r="BA48" s="478" t="str">
        <f t="shared" si="0"/>
        <v>SUM_CO2</v>
      </c>
      <c r="BB48" s="573" t="str">
        <f t="shared" si="1"/>
        <v>SUM_EnergyIN</v>
      </c>
      <c r="BC48" s="600"/>
      <c r="BD48" s="5"/>
    </row>
    <row r="49" spans="1:56" x14ac:dyDescent="0.2">
      <c r="A49" s="600"/>
      <c r="B49" s="197"/>
      <c r="C49" s="534">
        <v>26</v>
      </c>
      <c r="D49" s="594"/>
      <c r="E49" s="594"/>
      <c r="F49" s="595"/>
      <c r="G49" s="596"/>
      <c r="H49" s="595"/>
      <c r="I49" s="596"/>
      <c r="J49" s="595"/>
      <c r="K49" s="596"/>
      <c r="L49" s="596"/>
      <c r="M49" s="596"/>
      <c r="N49" s="595"/>
      <c r="O49" s="597"/>
      <c r="P49" s="595"/>
      <c r="Q49" s="597"/>
      <c r="R49" s="595"/>
      <c r="S49" s="597"/>
      <c r="T49" s="595"/>
      <c r="U49" s="597"/>
      <c r="V49" s="778"/>
      <c r="W49" s="778"/>
      <c r="X49" s="778"/>
      <c r="Y49" s="778"/>
      <c r="Z49" s="778"/>
      <c r="AA49" s="778"/>
      <c r="AB49" s="778"/>
      <c r="AC49" s="778"/>
      <c r="AD49" s="778"/>
      <c r="AE49" s="778"/>
      <c r="AF49" s="778"/>
      <c r="AG49" s="778"/>
      <c r="AH49" s="778"/>
      <c r="AI49" s="778"/>
      <c r="AJ49" s="778"/>
      <c r="AK49" s="778"/>
      <c r="AL49" s="778"/>
      <c r="AM49" s="778"/>
      <c r="AN49" s="778"/>
      <c r="AO49" s="778"/>
      <c r="AP49" s="778"/>
      <c r="AQ49" s="778"/>
      <c r="AR49" s="778"/>
      <c r="AS49" s="778"/>
      <c r="AT49" s="778"/>
      <c r="AU49" s="598"/>
      <c r="AV49" s="598"/>
      <c r="AW49" s="598"/>
      <c r="AX49" s="595"/>
      <c r="AY49" s="595"/>
      <c r="AZ49" s="197"/>
      <c r="BA49" s="478" t="str">
        <f t="shared" si="0"/>
        <v>SUM_CO2</v>
      </c>
      <c r="BB49" s="573" t="str">
        <f t="shared" si="1"/>
        <v>SUM_EnergyIN</v>
      </c>
      <c r="BC49" s="600"/>
      <c r="BD49" s="5"/>
    </row>
    <row r="50" spans="1:56" x14ac:dyDescent="0.2">
      <c r="A50" s="600"/>
      <c r="B50" s="197"/>
      <c r="C50" s="534">
        <v>27</v>
      </c>
      <c r="D50" s="594"/>
      <c r="E50" s="594"/>
      <c r="F50" s="595"/>
      <c r="G50" s="596"/>
      <c r="H50" s="595"/>
      <c r="I50" s="596"/>
      <c r="J50" s="595"/>
      <c r="K50" s="596"/>
      <c r="L50" s="596"/>
      <c r="M50" s="596"/>
      <c r="N50" s="595"/>
      <c r="O50" s="597"/>
      <c r="P50" s="595"/>
      <c r="Q50" s="597"/>
      <c r="R50" s="595"/>
      <c r="S50" s="597"/>
      <c r="T50" s="595"/>
      <c r="U50" s="597"/>
      <c r="V50" s="778"/>
      <c r="W50" s="778"/>
      <c r="X50" s="778"/>
      <c r="Y50" s="778"/>
      <c r="Z50" s="778"/>
      <c r="AA50" s="778"/>
      <c r="AB50" s="778"/>
      <c r="AC50" s="778"/>
      <c r="AD50" s="778"/>
      <c r="AE50" s="778"/>
      <c r="AF50" s="778"/>
      <c r="AG50" s="778"/>
      <c r="AH50" s="778"/>
      <c r="AI50" s="778"/>
      <c r="AJ50" s="778"/>
      <c r="AK50" s="778"/>
      <c r="AL50" s="778"/>
      <c r="AM50" s="778"/>
      <c r="AN50" s="778"/>
      <c r="AO50" s="778"/>
      <c r="AP50" s="778"/>
      <c r="AQ50" s="778"/>
      <c r="AR50" s="778"/>
      <c r="AS50" s="778"/>
      <c r="AT50" s="778"/>
      <c r="AU50" s="598"/>
      <c r="AV50" s="598"/>
      <c r="AW50" s="598"/>
      <c r="AX50" s="595"/>
      <c r="AY50" s="595"/>
      <c r="AZ50" s="197"/>
      <c r="BA50" s="478" t="str">
        <f t="shared" si="0"/>
        <v>SUM_CO2</v>
      </c>
      <c r="BB50" s="573" t="str">
        <f t="shared" si="1"/>
        <v>SUM_EnergyIN</v>
      </c>
      <c r="BC50" s="600"/>
      <c r="BD50" s="5"/>
    </row>
    <row r="51" spans="1:56" x14ac:dyDescent="0.2">
      <c r="A51" s="600"/>
      <c r="B51" s="197"/>
      <c r="C51" s="534">
        <v>28</v>
      </c>
      <c r="D51" s="594"/>
      <c r="E51" s="594"/>
      <c r="F51" s="595"/>
      <c r="G51" s="596"/>
      <c r="H51" s="595"/>
      <c r="I51" s="596"/>
      <c r="J51" s="595"/>
      <c r="K51" s="596"/>
      <c r="L51" s="596"/>
      <c r="M51" s="596"/>
      <c r="N51" s="595"/>
      <c r="O51" s="597"/>
      <c r="P51" s="595"/>
      <c r="Q51" s="597"/>
      <c r="R51" s="595"/>
      <c r="S51" s="597"/>
      <c r="T51" s="595"/>
      <c r="U51" s="597"/>
      <c r="V51" s="778"/>
      <c r="W51" s="778"/>
      <c r="X51" s="778"/>
      <c r="Y51" s="778"/>
      <c r="Z51" s="778"/>
      <c r="AA51" s="778"/>
      <c r="AB51" s="778"/>
      <c r="AC51" s="778"/>
      <c r="AD51" s="778"/>
      <c r="AE51" s="778"/>
      <c r="AF51" s="778"/>
      <c r="AG51" s="778"/>
      <c r="AH51" s="778"/>
      <c r="AI51" s="778"/>
      <c r="AJ51" s="778"/>
      <c r="AK51" s="778"/>
      <c r="AL51" s="778"/>
      <c r="AM51" s="778"/>
      <c r="AN51" s="778"/>
      <c r="AO51" s="778"/>
      <c r="AP51" s="778"/>
      <c r="AQ51" s="778"/>
      <c r="AR51" s="778"/>
      <c r="AS51" s="778"/>
      <c r="AT51" s="778"/>
      <c r="AU51" s="598"/>
      <c r="AV51" s="598"/>
      <c r="AW51" s="598"/>
      <c r="AX51" s="595"/>
      <c r="AY51" s="595"/>
      <c r="AZ51" s="197"/>
      <c r="BA51" s="478" t="str">
        <f t="shared" si="0"/>
        <v>SUM_CO2</v>
      </c>
      <c r="BB51" s="573" t="str">
        <f t="shared" si="1"/>
        <v>SUM_EnergyIN</v>
      </c>
      <c r="BC51" s="600"/>
      <c r="BD51" s="5"/>
    </row>
    <row r="52" spans="1:56" x14ac:dyDescent="0.2">
      <c r="A52" s="600"/>
      <c r="B52" s="197"/>
      <c r="C52" s="534">
        <v>29</v>
      </c>
      <c r="D52" s="594"/>
      <c r="E52" s="594"/>
      <c r="F52" s="595"/>
      <c r="G52" s="596"/>
      <c r="H52" s="595"/>
      <c r="I52" s="596"/>
      <c r="J52" s="595"/>
      <c r="K52" s="596"/>
      <c r="L52" s="596"/>
      <c r="M52" s="596"/>
      <c r="N52" s="595"/>
      <c r="O52" s="597"/>
      <c r="P52" s="595"/>
      <c r="Q52" s="597"/>
      <c r="R52" s="595"/>
      <c r="S52" s="597"/>
      <c r="T52" s="595"/>
      <c r="U52" s="597"/>
      <c r="V52" s="778"/>
      <c r="W52" s="778"/>
      <c r="X52" s="778"/>
      <c r="Y52" s="778"/>
      <c r="Z52" s="778"/>
      <c r="AA52" s="778"/>
      <c r="AB52" s="778"/>
      <c r="AC52" s="778"/>
      <c r="AD52" s="778"/>
      <c r="AE52" s="778"/>
      <c r="AF52" s="778"/>
      <c r="AG52" s="778"/>
      <c r="AH52" s="778"/>
      <c r="AI52" s="778"/>
      <c r="AJ52" s="778"/>
      <c r="AK52" s="778"/>
      <c r="AL52" s="778"/>
      <c r="AM52" s="778"/>
      <c r="AN52" s="778"/>
      <c r="AO52" s="778"/>
      <c r="AP52" s="778"/>
      <c r="AQ52" s="778"/>
      <c r="AR52" s="778"/>
      <c r="AS52" s="778"/>
      <c r="AT52" s="778"/>
      <c r="AU52" s="598"/>
      <c r="AV52" s="598"/>
      <c r="AW52" s="598"/>
      <c r="AX52" s="595"/>
      <c r="AY52" s="595"/>
      <c r="AZ52" s="197"/>
      <c r="BA52" s="478" t="str">
        <f t="shared" si="0"/>
        <v>SUM_CO2</v>
      </c>
      <c r="BB52" s="573" t="str">
        <f t="shared" si="1"/>
        <v>SUM_EnergyIN</v>
      </c>
      <c r="BC52" s="600"/>
      <c r="BD52" s="5"/>
    </row>
    <row r="53" spans="1:56" x14ac:dyDescent="0.2">
      <c r="A53" s="600"/>
      <c r="B53" s="197"/>
      <c r="C53" s="534">
        <v>30</v>
      </c>
      <c r="D53" s="594"/>
      <c r="E53" s="594"/>
      <c r="F53" s="595"/>
      <c r="G53" s="596"/>
      <c r="H53" s="595"/>
      <c r="I53" s="596"/>
      <c r="J53" s="595"/>
      <c r="K53" s="596"/>
      <c r="L53" s="596"/>
      <c r="M53" s="596"/>
      <c r="N53" s="595"/>
      <c r="O53" s="597"/>
      <c r="P53" s="595"/>
      <c r="Q53" s="597"/>
      <c r="R53" s="595"/>
      <c r="S53" s="597"/>
      <c r="T53" s="595"/>
      <c r="U53" s="597"/>
      <c r="V53" s="778"/>
      <c r="W53" s="778"/>
      <c r="X53" s="778"/>
      <c r="Y53" s="778"/>
      <c r="Z53" s="778"/>
      <c r="AA53" s="778"/>
      <c r="AB53" s="778"/>
      <c r="AC53" s="778"/>
      <c r="AD53" s="778"/>
      <c r="AE53" s="778"/>
      <c r="AF53" s="778"/>
      <c r="AG53" s="778"/>
      <c r="AH53" s="778"/>
      <c r="AI53" s="778"/>
      <c r="AJ53" s="778"/>
      <c r="AK53" s="778"/>
      <c r="AL53" s="778"/>
      <c r="AM53" s="778"/>
      <c r="AN53" s="778"/>
      <c r="AO53" s="778"/>
      <c r="AP53" s="778"/>
      <c r="AQ53" s="778"/>
      <c r="AR53" s="778"/>
      <c r="AS53" s="778"/>
      <c r="AT53" s="778"/>
      <c r="AU53" s="598"/>
      <c r="AV53" s="598"/>
      <c r="AW53" s="598"/>
      <c r="AX53" s="595"/>
      <c r="AY53" s="595"/>
      <c r="AZ53" s="197"/>
      <c r="BA53" s="478" t="str">
        <f t="shared" si="0"/>
        <v>SUM_CO2</v>
      </c>
      <c r="BB53" s="573" t="str">
        <f t="shared" si="1"/>
        <v>SUM_EnergyIN</v>
      </c>
      <c r="BC53" s="600"/>
      <c r="BD53" s="5"/>
    </row>
    <row r="54" spans="1:56" x14ac:dyDescent="0.2">
      <c r="A54" s="600"/>
      <c r="B54" s="197"/>
      <c r="C54" s="534">
        <v>31</v>
      </c>
      <c r="D54" s="594"/>
      <c r="E54" s="594"/>
      <c r="F54" s="595"/>
      <c r="G54" s="596"/>
      <c r="H54" s="595"/>
      <c r="I54" s="596"/>
      <c r="J54" s="595"/>
      <c r="K54" s="596"/>
      <c r="L54" s="596"/>
      <c r="M54" s="596"/>
      <c r="N54" s="595"/>
      <c r="O54" s="597"/>
      <c r="P54" s="595"/>
      <c r="Q54" s="597"/>
      <c r="R54" s="595"/>
      <c r="S54" s="597"/>
      <c r="T54" s="595"/>
      <c r="U54" s="597"/>
      <c r="V54" s="778"/>
      <c r="W54" s="778"/>
      <c r="X54" s="778"/>
      <c r="Y54" s="778"/>
      <c r="Z54" s="778"/>
      <c r="AA54" s="778"/>
      <c r="AB54" s="778"/>
      <c r="AC54" s="778"/>
      <c r="AD54" s="778"/>
      <c r="AE54" s="778"/>
      <c r="AF54" s="778"/>
      <c r="AG54" s="778"/>
      <c r="AH54" s="778"/>
      <c r="AI54" s="778"/>
      <c r="AJ54" s="778"/>
      <c r="AK54" s="778"/>
      <c r="AL54" s="778"/>
      <c r="AM54" s="778"/>
      <c r="AN54" s="778"/>
      <c r="AO54" s="778"/>
      <c r="AP54" s="778"/>
      <c r="AQ54" s="778"/>
      <c r="AR54" s="778"/>
      <c r="AS54" s="778"/>
      <c r="AT54" s="778"/>
      <c r="AU54" s="598"/>
      <c r="AV54" s="598"/>
      <c r="AW54" s="598"/>
      <c r="AX54" s="595"/>
      <c r="AY54" s="595"/>
      <c r="AZ54" s="197"/>
      <c r="BA54" s="478" t="str">
        <f t="shared" si="0"/>
        <v>SUM_CO2</v>
      </c>
      <c r="BB54" s="573" t="str">
        <f t="shared" si="1"/>
        <v>SUM_EnergyIN</v>
      </c>
      <c r="BC54" s="600"/>
      <c r="BD54" s="5"/>
    </row>
    <row r="55" spans="1:56" x14ac:dyDescent="0.2">
      <c r="A55" s="600"/>
      <c r="B55" s="197"/>
      <c r="C55" s="534">
        <v>32</v>
      </c>
      <c r="D55" s="594"/>
      <c r="E55" s="594"/>
      <c r="F55" s="595"/>
      <c r="G55" s="596"/>
      <c r="H55" s="595"/>
      <c r="I55" s="596"/>
      <c r="J55" s="595"/>
      <c r="K55" s="596"/>
      <c r="L55" s="596"/>
      <c r="M55" s="596"/>
      <c r="N55" s="595"/>
      <c r="O55" s="597"/>
      <c r="P55" s="595"/>
      <c r="Q55" s="597"/>
      <c r="R55" s="595"/>
      <c r="S55" s="597"/>
      <c r="T55" s="595"/>
      <c r="U55" s="597"/>
      <c r="V55" s="778"/>
      <c r="W55" s="778"/>
      <c r="X55" s="778"/>
      <c r="Y55" s="778"/>
      <c r="Z55" s="778"/>
      <c r="AA55" s="778"/>
      <c r="AB55" s="778"/>
      <c r="AC55" s="778"/>
      <c r="AD55" s="778"/>
      <c r="AE55" s="778"/>
      <c r="AF55" s="778"/>
      <c r="AG55" s="778"/>
      <c r="AH55" s="778"/>
      <c r="AI55" s="778"/>
      <c r="AJ55" s="778"/>
      <c r="AK55" s="778"/>
      <c r="AL55" s="778"/>
      <c r="AM55" s="778"/>
      <c r="AN55" s="778"/>
      <c r="AO55" s="778"/>
      <c r="AP55" s="778"/>
      <c r="AQ55" s="778"/>
      <c r="AR55" s="778"/>
      <c r="AS55" s="778"/>
      <c r="AT55" s="778"/>
      <c r="AU55" s="598"/>
      <c r="AV55" s="598"/>
      <c r="AW55" s="598"/>
      <c r="AX55" s="595"/>
      <c r="AY55" s="595"/>
      <c r="AZ55" s="197"/>
      <c r="BA55" s="478" t="str">
        <f t="shared" si="0"/>
        <v>SUM_CO2</v>
      </c>
      <c r="BB55" s="573" t="str">
        <f t="shared" si="1"/>
        <v>SUM_EnergyIN</v>
      </c>
      <c r="BC55" s="600"/>
      <c r="BD55" s="5"/>
    </row>
    <row r="56" spans="1:56" x14ac:dyDescent="0.2">
      <c r="A56" s="600"/>
      <c r="B56" s="197"/>
      <c r="C56" s="534">
        <v>33</v>
      </c>
      <c r="D56" s="594"/>
      <c r="E56" s="594"/>
      <c r="F56" s="595"/>
      <c r="G56" s="596"/>
      <c r="H56" s="595"/>
      <c r="I56" s="596"/>
      <c r="J56" s="595"/>
      <c r="K56" s="596"/>
      <c r="L56" s="596"/>
      <c r="M56" s="596"/>
      <c r="N56" s="595"/>
      <c r="O56" s="597"/>
      <c r="P56" s="595"/>
      <c r="Q56" s="597"/>
      <c r="R56" s="595"/>
      <c r="S56" s="597"/>
      <c r="T56" s="595"/>
      <c r="U56" s="597"/>
      <c r="V56" s="778"/>
      <c r="W56" s="778"/>
      <c r="X56" s="778"/>
      <c r="Y56" s="778"/>
      <c r="Z56" s="778"/>
      <c r="AA56" s="778"/>
      <c r="AB56" s="778"/>
      <c r="AC56" s="778"/>
      <c r="AD56" s="778"/>
      <c r="AE56" s="778"/>
      <c r="AF56" s="778"/>
      <c r="AG56" s="778"/>
      <c r="AH56" s="778"/>
      <c r="AI56" s="778"/>
      <c r="AJ56" s="778"/>
      <c r="AK56" s="778"/>
      <c r="AL56" s="778"/>
      <c r="AM56" s="778"/>
      <c r="AN56" s="778"/>
      <c r="AO56" s="778"/>
      <c r="AP56" s="778"/>
      <c r="AQ56" s="778"/>
      <c r="AR56" s="778"/>
      <c r="AS56" s="778"/>
      <c r="AT56" s="778"/>
      <c r="AU56" s="598"/>
      <c r="AV56" s="598"/>
      <c r="AW56" s="598"/>
      <c r="AX56" s="595"/>
      <c r="AY56" s="595"/>
      <c r="AZ56" s="197"/>
      <c r="BA56" s="478" t="str">
        <f t="shared" si="0"/>
        <v>SUM_CO2</v>
      </c>
      <c r="BB56" s="573" t="str">
        <f t="shared" si="1"/>
        <v>SUM_EnergyIN</v>
      </c>
      <c r="BC56" s="600"/>
      <c r="BD56" s="5"/>
    </row>
    <row r="57" spans="1:56" x14ac:dyDescent="0.2">
      <c r="A57" s="600"/>
      <c r="B57" s="197"/>
      <c r="C57" s="534">
        <v>34</v>
      </c>
      <c r="D57" s="594"/>
      <c r="E57" s="594"/>
      <c r="F57" s="595"/>
      <c r="G57" s="596"/>
      <c r="H57" s="595"/>
      <c r="I57" s="596"/>
      <c r="J57" s="595"/>
      <c r="K57" s="596"/>
      <c r="L57" s="596"/>
      <c r="M57" s="596"/>
      <c r="N57" s="595"/>
      <c r="O57" s="597"/>
      <c r="P57" s="595"/>
      <c r="Q57" s="597"/>
      <c r="R57" s="595"/>
      <c r="S57" s="597"/>
      <c r="T57" s="595"/>
      <c r="U57" s="597"/>
      <c r="V57" s="778"/>
      <c r="W57" s="778"/>
      <c r="X57" s="778"/>
      <c r="Y57" s="778"/>
      <c r="Z57" s="778"/>
      <c r="AA57" s="778"/>
      <c r="AB57" s="778"/>
      <c r="AC57" s="778"/>
      <c r="AD57" s="778"/>
      <c r="AE57" s="778"/>
      <c r="AF57" s="778"/>
      <c r="AG57" s="778"/>
      <c r="AH57" s="778"/>
      <c r="AI57" s="778"/>
      <c r="AJ57" s="778"/>
      <c r="AK57" s="778"/>
      <c r="AL57" s="778"/>
      <c r="AM57" s="778"/>
      <c r="AN57" s="778"/>
      <c r="AO57" s="778"/>
      <c r="AP57" s="778"/>
      <c r="AQ57" s="778"/>
      <c r="AR57" s="778"/>
      <c r="AS57" s="778"/>
      <c r="AT57" s="778"/>
      <c r="AU57" s="598"/>
      <c r="AV57" s="598"/>
      <c r="AW57" s="598"/>
      <c r="AX57" s="595"/>
      <c r="AY57" s="595"/>
      <c r="AZ57" s="197"/>
      <c r="BA57" s="478" t="str">
        <f t="shared" si="0"/>
        <v>SUM_CO2</v>
      </c>
      <c r="BB57" s="573" t="str">
        <f t="shared" si="1"/>
        <v>SUM_EnergyIN</v>
      </c>
      <c r="BC57" s="600"/>
      <c r="BD57" s="5"/>
    </row>
    <row r="58" spans="1:56" x14ac:dyDescent="0.2">
      <c r="A58" s="600"/>
      <c r="B58" s="197"/>
      <c r="C58" s="534">
        <v>35</v>
      </c>
      <c r="D58" s="594"/>
      <c r="E58" s="594"/>
      <c r="F58" s="595"/>
      <c r="G58" s="596"/>
      <c r="H58" s="595"/>
      <c r="I58" s="596"/>
      <c r="J58" s="595"/>
      <c r="K58" s="596"/>
      <c r="L58" s="596"/>
      <c r="M58" s="596"/>
      <c r="N58" s="595"/>
      <c r="O58" s="597"/>
      <c r="P58" s="595"/>
      <c r="Q58" s="597"/>
      <c r="R58" s="595"/>
      <c r="S58" s="597"/>
      <c r="T58" s="595"/>
      <c r="U58" s="597"/>
      <c r="V58" s="778"/>
      <c r="W58" s="778"/>
      <c r="X58" s="778"/>
      <c r="Y58" s="778"/>
      <c r="Z58" s="778"/>
      <c r="AA58" s="778"/>
      <c r="AB58" s="778"/>
      <c r="AC58" s="778"/>
      <c r="AD58" s="778"/>
      <c r="AE58" s="778"/>
      <c r="AF58" s="778"/>
      <c r="AG58" s="778"/>
      <c r="AH58" s="778"/>
      <c r="AI58" s="778"/>
      <c r="AJ58" s="778"/>
      <c r="AK58" s="778"/>
      <c r="AL58" s="778"/>
      <c r="AM58" s="778"/>
      <c r="AN58" s="778"/>
      <c r="AO58" s="778"/>
      <c r="AP58" s="778"/>
      <c r="AQ58" s="778"/>
      <c r="AR58" s="778"/>
      <c r="AS58" s="778"/>
      <c r="AT58" s="778"/>
      <c r="AU58" s="598"/>
      <c r="AV58" s="598"/>
      <c r="AW58" s="598"/>
      <c r="AX58" s="595"/>
      <c r="AY58" s="595"/>
      <c r="AZ58" s="197"/>
      <c r="BA58" s="478" t="str">
        <f t="shared" si="0"/>
        <v>SUM_CO2</v>
      </c>
      <c r="BB58" s="573" t="str">
        <f t="shared" si="1"/>
        <v>SUM_EnergyIN</v>
      </c>
      <c r="BC58" s="600"/>
      <c r="BD58" s="5"/>
    </row>
    <row r="59" spans="1:56" x14ac:dyDescent="0.2">
      <c r="A59" s="600"/>
      <c r="B59" s="197"/>
      <c r="C59" s="534">
        <v>36</v>
      </c>
      <c r="D59" s="594"/>
      <c r="E59" s="594"/>
      <c r="F59" s="595"/>
      <c r="G59" s="596"/>
      <c r="H59" s="595"/>
      <c r="I59" s="596"/>
      <c r="J59" s="595"/>
      <c r="K59" s="596"/>
      <c r="L59" s="596"/>
      <c r="M59" s="596"/>
      <c r="N59" s="595"/>
      <c r="O59" s="597"/>
      <c r="P59" s="595"/>
      <c r="Q59" s="597"/>
      <c r="R59" s="595"/>
      <c r="S59" s="597"/>
      <c r="T59" s="595"/>
      <c r="U59" s="597"/>
      <c r="V59" s="778"/>
      <c r="W59" s="778"/>
      <c r="X59" s="778"/>
      <c r="Y59" s="778"/>
      <c r="Z59" s="778"/>
      <c r="AA59" s="778"/>
      <c r="AB59" s="778"/>
      <c r="AC59" s="778"/>
      <c r="AD59" s="778"/>
      <c r="AE59" s="778"/>
      <c r="AF59" s="778"/>
      <c r="AG59" s="778"/>
      <c r="AH59" s="778"/>
      <c r="AI59" s="778"/>
      <c r="AJ59" s="778"/>
      <c r="AK59" s="778"/>
      <c r="AL59" s="778"/>
      <c r="AM59" s="778"/>
      <c r="AN59" s="778"/>
      <c r="AO59" s="778"/>
      <c r="AP59" s="778"/>
      <c r="AQ59" s="778"/>
      <c r="AR59" s="778"/>
      <c r="AS59" s="778"/>
      <c r="AT59" s="778"/>
      <c r="AU59" s="598"/>
      <c r="AV59" s="598"/>
      <c r="AW59" s="598"/>
      <c r="AX59" s="595"/>
      <c r="AY59" s="595"/>
      <c r="AZ59" s="197"/>
      <c r="BA59" s="478" t="str">
        <f t="shared" si="0"/>
        <v>SUM_CO2</v>
      </c>
      <c r="BB59" s="573" t="str">
        <f t="shared" si="1"/>
        <v>SUM_EnergyIN</v>
      </c>
      <c r="BC59" s="600"/>
      <c r="BD59" s="5"/>
    </row>
    <row r="60" spans="1:56" x14ac:dyDescent="0.2">
      <c r="A60" s="600"/>
      <c r="B60" s="197"/>
      <c r="C60" s="534">
        <v>37</v>
      </c>
      <c r="D60" s="594"/>
      <c r="E60" s="594"/>
      <c r="F60" s="595"/>
      <c r="G60" s="596"/>
      <c r="H60" s="595"/>
      <c r="I60" s="596"/>
      <c r="J60" s="595"/>
      <c r="K60" s="596"/>
      <c r="L60" s="596"/>
      <c r="M60" s="596"/>
      <c r="N60" s="595"/>
      <c r="O60" s="597"/>
      <c r="P60" s="595"/>
      <c r="Q60" s="597"/>
      <c r="R60" s="595"/>
      <c r="S60" s="597"/>
      <c r="T60" s="595"/>
      <c r="U60" s="597"/>
      <c r="V60" s="778"/>
      <c r="W60" s="778"/>
      <c r="X60" s="778"/>
      <c r="Y60" s="778"/>
      <c r="Z60" s="778"/>
      <c r="AA60" s="778"/>
      <c r="AB60" s="778"/>
      <c r="AC60" s="778"/>
      <c r="AD60" s="778"/>
      <c r="AE60" s="778"/>
      <c r="AF60" s="778"/>
      <c r="AG60" s="778"/>
      <c r="AH60" s="778"/>
      <c r="AI60" s="778"/>
      <c r="AJ60" s="778"/>
      <c r="AK60" s="778"/>
      <c r="AL60" s="778"/>
      <c r="AM60" s="778"/>
      <c r="AN60" s="778"/>
      <c r="AO60" s="778"/>
      <c r="AP60" s="778"/>
      <c r="AQ60" s="778"/>
      <c r="AR60" s="778"/>
      <c r="AS60" s="778"/>
      <c r="AT60" s="778"/>
      <c r="AU60" s="598"/>
      <c r="AV60" s="598"/>
      <c r="AW60" s="598"/>
      <c r="AX60" s="595"/>
      <c r="AY60" s="595"/>
      <c r="AZ60" s="197"/>
      <c r="BA60" s="478" t="str">
        <f t="shared" si="0"/>
        <v>SUM_CO2</v>
      </c>
      <c r="BB60" s="573" t="str">
        <f t="shared" si="1"/>
        <v>SUM_EnergyIN</v>
      </c>
      <c r="BC60" s="600"/>
      <c r="BD60" s="5"/>
    </row>
    <row r="61" spans="1:56" x14ac:dyDescent="0.2">
      <c r="A61" s="600"/>
      <c r="B61" s="197"/>
      <c r="C61" s="534">
        <v>38</v>
      </c>
      <c r="D61" s="594"/>
      <c r="E61" s="594"/>
      <c r="F61" s="595"/>
      <c r="G61" s="596"/>
      <c r="H61" s="595"/>
      <c r="I61" s="596"/>
      <c r="J61" s="595"/>
      <c r="K61" s="596"/>
      <c r="L61" s="596"/>
      <c r="M61" s="596"/>
      <c r="N61" s="595"/>
      <c r="O61" s="597"/>
      <c r="P61" s="595"/>
      <c r="Q61" s="597"/>
      <c r="R61" s="595"/>
      <c r="S61" s="597"/>
      <c r="T61" s="595"/>
      <c r="U61" s="597"/>
      <c r="V61" s="778"/>
      <c r="W61" s="778"/>
      <c r="X61" s="778"/>
      <c r="Y61" s="778"/>
      <c r="Z61" s="778"/>
      <c r="AA61" s="778"/>
      <c r="AB61" s="778"/>
      <c r="AC61" s="778"/>
      <c r="AD61" s="778"/>
      <c r="AE61" s="778"/>
      <c r="AF61" s="778"/>
      <c r="AG61" s="778"/>
      <c r="AH61" s="778"/>
      <c r="AI61" s="778"/>
      <c r="AJ61" s="778"/>
      <c r="AK61" s="778"/>
      <c r="AL61" s="778"/>
      <c r="AM61" s="778"/>
      <c r="AN61" s="778"/>
      <c r="AO61" s="778"/>
      <c r="AP61" s="778"/>
      <c r="AQ61" s="778"/>
      <c r="AR61" s="778"/>
      <c r="AS61" s="778"/>
      <c r="AT61" s="778"/>
      <c r="AU61" s="598"/>
      <c r="AV61" s="598"/>
      <c r="AW61" s="598"/>
      <c r="AX61" s="595"/>
      <c r="AY61" s="595"/>
      <c r="AZ61" s="197"/>
      <c r="BA61" s="478" t="str">
        <f t="shared" si="0"/>
        <v>SUM_CO2</v>
      </c>
      <c r="BB61" s="573" t="str">
        <f t="shared" si="1"/>
        <v>SUM_EnergyIN</v>
      </c>
      <c r="BC61" s="600"/>
      <c r="BD61" s="5"/>
    </row>
    <row r="62" spans="1:56" x14ac:dyDescent="0.2">
      <c r="A62" s="600"/>
      <c r="B62" s="197"/>
      <c r="C62" s="534">
        <v>39</v>
      </c>
      <c r="D62" s="594"/>
      <c r="E62" s="594"/>
      <c r="F62" s="595"/>
      <c r="G62" s="596"/>
      <c r="H62" s="595"/>
      <c r="I62" s="596"/>
      <c r="J62" s="595"/>
      <c r="K62" s="596"/>
      <c r="L62" s="596"/>
      <c r="M62" s="596"/>
      <c r="N62" s="595"/>
      <c r="O62" s="597"/>
      <c r="P62" s="595"/>
      <c r="Q62" s="597"/>
      <c r="R62" s="595"/>
      <c r="S62" s="597"/>
      <c r="T62" s="595"/>
      <c r="U62" s="597"/>
      <c r="V62" s="778"/>
      <c r="W62" s="778"/>
      <c r="X62" s="778"/>
      <c r="Y62" s="778"/>
      <c r="Z62" s="778"/>
      <c r="AA62" s="778"/>
      <c r="AB62" s="778"/>
      <c r="AC62" s="778"/>
      <c r="AD62" s="778"/>
      <c r="AE62" s="778"/>
      <c r="AF62" s="778"/>
      <c r="AG62" s="778"/>
      <c r="AH62" s="778"/>
      <c r="AI62" s="778"/>
      <c r="AJ62" s="778"/>
      <c r="AK62" s="778"/>
      <c r="AL62" s="778"/>
      <c r="AM62" s="778"/>
      <c r="AN62" s="778"/>
      <c r="AO62" s="778"/>
      <c r="AP62" s="778"/>
      <c r="AQ62" s="778"/>
      <c r="AR62" s="778"/>
      <c r="AS62" s="778"/>
      <c r="AT62" s="778"/>
      <c r="AU62" s="598"/>
      <c r="AV62" s="598"/>
      <c r="AW62" s="598"/>
      <c r="AX62" s="595"/>
      <c r="AY62" s="595"/>
      <c r="AZ62" s="197"/>
      <c r="BA62" s="478" t="str">
        <f t="shared" si="0"/>
        <v>SUM_CO2</v>
      </c>
      <c r="BB62" s="573" t="str">
        <f t="shared" si="1"/>
        <v>SUM_EnergyIN</v>
      </c>
      <c r="BC62" s="600"/>
      <c r="BD62" s="5"/>
    </row>
    <row r="63" spans="1:56" x14ac:dyDescent="0.2">
      <c r="A63" s="600"/>
      <c r="B63" s="197"/>
      <c r="C63" s="534">
        <v>40</v>
      </c>
      <c r="D63" s="594"/>
      <c r="E63" s="594"/>
      <c r="F63" s="595"/>
      <c r="G63" s="596"/>
      <c r="H63" s="595"/>
      <c r="I63" s="596"/>
      <c r="J63" s="595"/>
      <c r="K63" s="596"/>
      <c r="L63" s="596"/>
      <c r="M63" s="596"/>
      <c r="N63" s="595"/>
      <c r="O63" s="597"/>
      <c r="P63" s="595"/>
      <c r="Q63" s="597"/>
      <c r="R63" s="595"/>
      <c r="S63" s="597"/>
      <c r="T63" s="595"/>
      <c r="U63" s="597"/>
      <c r="V63" s="778"/>
      <c r="W63" s="778"/>
      <c r="X63" s="778"/>
      <c r="Y63" s="778"/>
      <c r="Z63" s="778"/>
      <c r="AA63" s="778"/>
      <c r="AB63" s="778"/>
      <c r="AC63" s="778"/>
      <c r="AD63" s="778"/>
      <c r="AE63" s="778"/>
      <c r="AF63" s="778"/>
      <c r="AG63" s="778"/>
      <c r="AH63" s="778"/>
      <c r="AI63" s="778"/>
      <c r="AJ63" s="778"/>
      <c r="AK63" s="778"/>
      <c r="AL63" s="778"/>
      <c r="AM63" s="778"/>
      <c r="AN63" s="778"/>
      <c r="AO63" s="778"/>
      <c r="AP63" s="778"/>
      <c r="AQ63" s="778"/>
      <c r="AR63" s="778"/>
      <c r="AS63" s="778"/>
      <c r="AT63" s="778"/>
      <c r="AU63" s="598"/>
      <c r="AV63" s="598"/>
      <c r="AW63" s="598"/>
      <c r="AX63" s="595"/>
      <c r="AY63" s="595"/>
      <c r="AZ63" s="197"/>
      <c r="BA63" s="478" t="str">
        <f t="shared" si="0"/>
        <v>SUM_CO2</v>
      </c>
      <c r="BB63" s="573" t="str">
        <f t="shared" si="1"/>
        <v>SUM_EnergyIN</v>
      </c>
      <c r="BC63" s="600"/>
      <c r="BD63" s="5"/>
    </row>
    <row r="64" spans="1:56" x14ac:dyDescent="0.2">
      <c r="A64" s="600"/>
      <c r="B64" s="197"/>
      <c r="C64" s="534">
        <v>41</v>
      </c>
      <c r="D64" s="594"/>
      <c r="E64" s="594"/>
      <c r="F64" s="595"/>
      <c r="G64" s="596"/>
      <c r="H64" s="595"/>
      <c r="I64" s="596"/>
      <c r="J64" s="595"/>
      <c r="K64" s="596"/>
      <c r="L64" s="596"/>
      <c r="M64" s="596"/>
      <c r="N64" s="595"/>
      <c r="O64" s="597"/>
      <c r="P64" s="595"/>
      <c r="Q64" s="597"/>
      <c r="R64" s="595"/>
      <c r="S64" s="597"/>
      <c r="T64" s="595"/>
      <c r="U64" s="597"/>
      <c r="V64" s="778"/>
      <c r="W64" s="778"/>
      <c r="X64" s="778"/>
      <c r="Y64" s="778"/>
      <c r="Z64" s="778"/>
      <c r="AA64" s="778"/>
      <c r="AB64" s="778"/>
      <c r="AC64" s="778"/>
      <c r="AD64" s="778"/>
      <c r="AE64" s="778"/>
      <c r="AF64" s="778"/>
      <c r="AG64" s="778"/>
      <c r="AH64" s="778"/>
      <c r="AI64" s="778"/>
      <c r="AJ64" s="778"/>
      <c r="AK64" s="778"/>
      <c r="AL64" s="778"/>
      <c r="AM64" s="778"/>
      <c r="AN64" s="778"/>
      <c r="AO64" s="778"/>
      <c r="AP64" s="778"/>
      <c r="AQ64" s="778"/>
      <c r="AR64" s="778"/>
      <c r="AS64" s="778"/>
      <c r="AT64" s="778"/>
      <c r="AU64" s="598"/>
      <c r="AV64" s="598"/>
      <c r="AW64" s="598"/>
      <c r="AX64" s="595"/>
      <c r="AY64" s="595"/>
      <c r="AZ64" s="197"/>
      <c r="BA64" s="478" t="str">
        <f t="shared" si="0"/>
        <v>SUM_CO2</v>
      </c>
      <c r="BB64" s="573" t="str">
        <f t="shared" si="1"/>
        <v>SUM_EnergyIN</v>
      </c>
      <c r="BC64" s="600"/>
      <c r="BD64" s="5"/>
    </row>
    <row r="65" spans="1:56" x14ac:dyDescent="0.2">
      <c r="A65" s="600"/>
      <c r="B65" s="197"/>
      <c r="C65" s="534">
        <v>42</v>
      </c>
      <c r="D65" s="594"/>
      <c r="E65" s="594"/>
      <c r="F65" s="595"/>
      <c r="G65" s="596"/>
      <c r="H65" s="595"/>
      <c r="I65" s="596"/>
      <c r="J65" s="595"/>
      <c r="K65" s="596"/>
      <c r="L65" s="596"/>
      <c r="M65" s="596"/>
      <c r="N65" s="595"/>
      <c r="O65" s="597"/>
      <c r="P65" s="595"/>
      <c r="Q65" s="597"/>
      <c r="R65" s="595"/>
      <c r="S65" s="597"/>
      <c r="T65" s="595"/>
      <c r="U65" s="597"/>
      <c r="V65" s="778"/>
      <c r="W65" s="778"/>
      <c r="X65" s="778"/>
      <c r="Y65" s="778"/>
      <c r="Z65" s="778"/>
      <c r="AA65" s="778"/>
      <c r="AB65" s="778"/>
      <c r="AC65" s="778"/>
      <c r="AD65" s="778"/>
      <c r="AE65" s="778"/>
      <c r="AF65" s="778"/>
      <c r="AG65" s="778"/>
      <c r="AH65" s="778"/>
      <c r="AI65" s="778"/>
      <c r="AJ65" s="778"/>
      <c r="AK65" s="778"/>
      <c r="AL65" s="778"/>
      <c r="AM65" s="778"/>
      <c r="AN65" s="778"/>
      <c r="AO65" s="778"/>
      <c r="AP65" s="778"/>
      <c r="AQ65" s="778"/>
      <c r="AR65" s="778"/>
      <c r="AS65" s="778"/>
      <c r="AT65" s="778"/>
      <c r="AU65" s="598"/>
      <c r="AV65" s="598"/>
      <c r="AW65" s="598"/>
      <c r="AX65" s="595"/>
      <c r="AY65" s="595"/>
      <c r="AZ65" s="197"/>
      <c r="BA65" s="478" t="str">
        <f t="shared" si="0"/>
        <v>SUM_CO2</v>
      </c>
      <c r="BB65" s="573" t="str">
        <f t="shared" si="1"/>
        <v>SUM_EnergyIN</v>
      </c>
      <c r="BC65" s="600"/>
      <c r="BD65" s="5"/>
    </row>
    <row r="66" spans="1:56" x14ac:dyDescent="0.2">
      <c r="A66" s="600"/>
      <c r="B66" s="197"/>
      <c r="C66" s="534">
        <v>43</v>
      </c>
      <c r="D66" s="594"/>
      <c r="E66" s="594"/>
      <c r="F66" s="595"/>
      <c r="G66" s="596"/>
      <c r="H66" s="595"/>
      <c r="I66" s="596"/>
      <c r="J66" s="595"/>
      <c r="K66" s="596"/>
      <c r="L66" s="596"/>
      <c r="M66" s="596"/>
      <c r="N66" s="595"/>
      <c r="O66" s="597"/>
      <c r="P66" s="595"/>
      <c r="Q66" s="597"/>
      <c r="R66" s="595"/>
      <c r="S66" s="597"/>
      <c r="T66" s="595"/>
      <c r="U66" s="597"/>
      <c r="V66" s="778"/>
      <c r="W66" s="778"/>
      <c r="X66" s="778"/>
      <c r="Y66" s="778"/>
      <c r="Z66" s="778"/>
      <c r="AA66" s="778"/>
      <c r="AB66" s="778"/>
      <c r="AC66" s="778"/>
      <c r="AD66" s="778"/>
      <c r="AE66" s="778"/>
      <c r="AF66" s="778"/>
      <c r="AG66" s="778"/>
      <c r="AH66" s="778"/>
      <c r="AI66" s="778"/>
      <c r="AJ66" s="778"/>
      <c r="AK66" s="778"/>
      <c r="AL66" s="778"/>
      <c r="AM66" s="778"/>
      <c r="AN66" s="778"/>
      <c r="AO66" s="778"/>
      <c r="AP66" s="778"/>
      <c r="AQ66" s="778"/>
      <c r="AR66" s="778"/>
      <c r="AS66" s="778"/>
      <c r="AT66" s="778"/>
      <c r="AU66" s="598"/>
      <c r="AV66" s="598"/>
      <c r="AW66" s="598"/>
      <c r="AX66" s="595"/>
      <c r="AY66" s="595"/>
      <c r="AZ66" s="197"/>
      <c r="BA66" s="478" t="str">
        <f t="shared" si="0"/>
        <v>SUM_CO2</v>
      </c>
      <c r="BB66" s="573" t="str">
        <f t="shared" si="1"/>
        <v>SUM_EnergyIN</v>
      </c>
      <c r="BC66" s="600"/>
      <c r="BD66" s="5"/>
    </row>
    <row r="67" spans="1:56" x14ac:dyDescent="0.2">
      <c r="A67" s="600"/>
      <c r="B67" s="197"/>
      <c r="C67" s="534">
        <v>44</v>
      </c>
      <c r="D67" s="594"/>
      <c r="E67" s="594"/>
      <c r="F67" s="595"/>
      <c r="G67" s="596"/>
      <c r="H67" s="595"/>
      <c r="I67" s="596"/>
      <c r="J67" s="595"/>
      <c r="K67" s="596"/>
      <c r="L67" s="596"/>
      <c r="M67" s="596"/>
      <c r="N67" s="595"/>
      <c r="O67" s="597"/>
      <c r="P67" s="595"/>
      <c r="Q67" s="597"/>
      <c r="R67" s="595"/>
      <c r="S67" s="597"/>
      <c r="T67" s="595"/>
      <c r="U67" s="597"/>
      <c r="V67" s="778"/>
      <c r="W67" s="778"/>
      <c r="X67" s="778"/>
      <c r="Y67" s="778"/>
      <c r="Z67" s="778"/>
      <c r="AA67" s="778"/>
      <c r="AB67" s="778"/>
      <c r="AC67" s="778"/>
      <c r="AD67" s="778"/>
      <c r="AE67" s="778"/>
      <c r="AF67" s="778"/>
      <c r="AG67" s="778"/>
      <c r="AH67" s="778"/>
      <c r="AI67" s="778"/>
      <c r="AJ67" s="778"/>
      <c r="AK67" s="778"/>
      <c r="AL67" s="778"/>
      <c r="AM67" s="778"/>
      <c r="AN67" s="778"/>
      <c r="AO67" s="778"/>
      <c r="AP67" s="778"/>
      <c r="AQ67" s="778"/>
      <c r="AR67" s="778"/>
      <c r="AS67" s="778"/>
      <c r="AT67" s="778"/>
      <c r="AU67" s="598"/>
      <c r="AV67" s="598"/>
      <c r="AW67" s="598"/>
      <c r="AX67" s="595"/>
      <c r="AY67" s="595"/>
      <c r="AZ67" s="197"/>
      <c r="BA67" s="478" t="str">
        <f t="shared" si="0"/>
        <v>SUM_CO2</v>
      </c>
      <c r="BB67" s="573" t="str">
        <f t="shared" si="1"/>
        <v>SUM_EnergyIN</v>
      </c>
      <c r="BC67" s="600"/>
      <c r="BD67" s="5"/>
    </row>
    <row r="68" spans="1:56" x14ac:dyDescent="0.2">
      <c r="A68" s="600"/>
      <c r="B68" s="197"/>
      <c r="C68" s="534">
        <v>45</v>
      </c>
      <c r="D68" s="594"/>
      <c r="E68" s="594"/>
      <c r="F68" s="595"/>
      <c r="G68" s="596"/>
      <c r="H68" s="595"/>
      <c r="I68" s="596"/>
      <c r="J68" s="595"/>
      <c r="K68" s="596"/>
      <c r="L68" s="596"/>
      <c r="M68" s="596"/>
      <c r="N68" s="595"/>
      <c r="O68" s="597"/>
      <c r="P68" s="595"/>
      <c r="Q68" s="597"/>
      <c r="R68" s="595"/>
      <c r="S68" s="597"/>
      <c r="T68" s="595"/>
      <c r="U68" s="597"/>
      <c r="V68" s="778"/>
      <c r="W68" s="778"/>
      <c r="X68" s="778"/>
      <c r="Y68" s="778"/>
      <c r="Z68" s="778"/>
      <c r="AA68" s="778"/>
      <c r="AB68" s="778"/>
      <c r="AC68" s="778"/>
      <c r="AD68" s="778"/>
      <c r="AE68" s="778"/>
      <c r="AF68" s="778"/>
      <c r="AG68" s="778"/>
      <c r="AH68" s="778"/>
      <c r="AI68" s="778"/>
      <c r="AJ68" s="778"/>
      <c r="AK68" s="778"/>
      <c r="AL68" s="778"/>
      <c r="AM68" s="778"/>
      <c r="AN68" s="778"/>
      <c r="AO68" s="778"/>
      <c r="AP68" s="778"/>
      <c r="AQ68" s="778"/>
      <c r="AR68" s="778"/>
      <c r="AS68" s="778"/>
      <c r="AT68" s="778"/>
      <c r="AU68" s="598"/>
      <c r="AV68" s="598"/>
      <c r="AW68" s="598"/>
      <c r="AX68" s="595"/>
      <c r="AY68" s="595"/>
      <c r="AZ68" s="197"/>
      <c r="BA68" s="478" t="str">
        <f t="shared" si="0"/>
        <v>SUM_CO2</v>
      </c>
      <c r="BB68" s="573" t="str">
        <f t="shared" si="1"/>
        <v>SUM_EnergyIN</v>
      </c>
      <c r="BC68" s="600"/>
      <c r="BD68" s="5"/>
    </row>
    <row r="69" spans="1:56" x14ac:dyDescent="0.2">
      <c r="A69" s="600"/>
      <c r="B69" s="197"/>
      <c r="C69" s="534">
        <v>46</v>
      </c>
      <c r="D69" s="594"/>
      <c r="E69" s="594"/>
      <c r="F69" s="595"/>
      <c r="G69" s="596"/>
      <c r="H69" s="595"/>
      <c r="I69" s="596"/>
      <c r="J69" s="595"/>
      <c r="K69" s="596"/>
      <c r="L69" s="596"/>
      <c r="M69" s="596"/>
      <c r="N69" s="595"/>
      <c r="O69" s="597"/>
      <c r="P69" s="595"/>
      <c r="Q69" s="597"/>
      <c r="R69" s="595"/>
      <c r="S69" s="597"/>
      <c r="T69" s="595"/>
      <c r="U69" s="597"/>
      <c r="V69" s="778"/>
      <c r="W69" s="778"/>
      <c r="X69" s="778"/>
      <c r="Y69" s="778"/>
      <c r="Z69" s="778"/>
      <c r="AA69" s="778"/>
      <c r="AB69" s="778"/>
      <c r="AC69" s="778"/>
      <c r="AD69" s="778"/>
      <c r="AE69" s="778"/>
      <c r="AF69" s="778"/>
      <c r="AG69" s="778"/>
      <c r="AH69" s="778"/>
      <c r="AI69" s="778"/>
      <c r="AJ69" s="778"/>
      <c r="AK69" s="778"/>
      <c r="AL69" s="778"/>
      <c r="AM69" s="778"/>
      <c r="AN69" s="778"/>
      <c r="AO69" s="778"/>
      <c r="AP69" s="778"/>
      <c r="AQ69" s="778"/>
      <c r="AR69" s="778"/>
      <c r="AS69" s="778"/>
      <c r="AT69" s="778"/>
      <c r="AU69" s="598"/>
      <c r="AV69" s="598"/>
      <c r="AW69" s="598"/>
      <c r="AX69" s="595"/>
      <c r="AY69" s="595"/>
      <c r="AZ69" s="197"/>
      <c r="BA69" s="478" t="str">
        <f t="shared" si="0"/>
        <v>SUM_CO2</v>
      </c>
      <c r="BB69" s="573" t="str">
        <f t="shared" si="1"/>
        <v>SUM_EnergyIN</v>
      </c>
      <c r="BC69" s="600"/>
      <c r="BD69" s="5"/>
    </row>
    <row r="70" spans="1:56" x14ac:dyDescent="0.2">
      <c r="A70" s="600"/>
      <c r="B70" s="197"/>
      <c r="C70" s="534">
        <v>47</v>
      </c>
      <c r="D70" s="594"/>
      <c r="E70" s="594"/>
      <c r="F70" s="595"/>
      <c r="G70" s="596"/>
      <c r="H70" s="595"/>
      <c r="I70" s="596"/>
      <c r="J70" s="595"/>
      <c r="K70" s="596"/>
      <c r="L70" s="596"/>
      <c r="M70" s="596"/>
      <c r="N70" s="595"/>
      <c r="O70" s="597"/>
      <c r="P70" s="595"/>
      <c r="Q70" s="597"/>
      <c r="R70" s="595"/>
      <c r="S70" s="597"/>
      <c r="T70" s="595"/>
      <c r="U70" s="597"/>
      <c r="V70" s="778"/>
      <c r="W70" s="778"/>
      <c r="X70" s="778"/>
      <c r="Y70" s="778"/>
      <c r="Z70" s="778"/>
      <c r="AA70" s="778"/>
      <c r="AB70" s="778"/>
      <c r="AC70" s="778"/>
      <c r="AD70" s="778"/>
      <c r="AE70" s="778"/>
      <c r="AF70" s="778"/>
      <c r="AG70" s="778"/>
      <c r="AH70" s="778"/>
      <c r="AI70" s="778"/>
      <c r="AJ70" s="778"/>
      <c r="AK70" s="778"/>
      <c r="AL70" s="778"/>
      <c r="AM70" s="778"/>
      <c r="AN70" s="778"/>
      <c r="AO70" s="778"/>
      <c r="AP70" s="778"/>
      <c r="AQ70" s="778"/>
      <c r="AR70" s="778"/>
      <c r="AS70" s="778"/>
      <c r="AT70" s="778"/>
      <c r="AU70" s="598"/>
      <c r="AV70" s="598"/>
      <c r="AW70" s="598"/>
      <c r="AX70" s="595"/>
      <c r="AY70" s="595"/>
      <c r="AZ70" s="197"/>
      <c r="BA70" s="478" t="str">
        <f t="shared" si="0"/>
        <v>SUM_CO2</v>
      </c>
      <c r="BB70" s="573" t="str">
        <f t="shared" si="1"/>
        <v>SUM_EnergyIN</v>
      </c>
      <c r="BC70" s="600"/>
      <c r="BD70" s="5"/>
    </row>
    <row r="71" spans="1:56" x14ac:dyDescent="0.2">
      <c r="A71" s="600"/>
      <c r="B71" s="197"/>
      <c r="C71" s="534">
        <v>48</v>
      </c>
      <c r="D71" s="594"/>
      <c r="E71" s="594"/>
      <c r="F71" s="595"/>
      <c r="G71" s="596"/>
      <c r="H71" s="595"/>
      <c r="I71" s="596"/>
      <c r="J71" s="595"/>
      <c r="K71" s="596"/>
      <c r="L71" s="596"/>
      <c r="M71" s="596"/>
      <c r="N71" s="595"/>
      <c r="O71" s="597"/>
      <c r="P71" s="595"/>
      <c r="Q71" s="597"/>
      <c r="R71" s="595"/>
      <c r="S71" s="597"/>
      <c r="T71" s="595"/>
      <c r="U71" s="597"/>
      <c r="V71" s="778"/>
      <c r="W71" s="778"/>
      <c r="X71" s="778"/>
      <c r="Y71" s="778"/>
      <c r="Z71" s="778"/>
      <c r="AA71" s="778"/>
      <c r="AB71" s="778"/>
      <c r="AC71" s="778"/>
      <c r="AD71" s="778"/>
      <c r="AE71" s="778"/>
      <c r="AF71" s="778"/>
      <c r="AG71" s="778"/>
      <c r="AH71" s="778"/>
      <c r="AI71" s="778"/>
      <c r="AJ71" s="778"/>
      <c r="AK71" s="778"/>
      <c r="AL71" s="778"/>
      <c r="AM71" s="778"/>
      <c r="AN71" s="778"/>
      <c r="AO71" s="778"/>
      <c r="AP71" s="778"/>
      <c r="AQ71" s="778"/>
      <c r="AR71" s="778"/>
      <c r="AS71" s="778"/>
      <c r="AT71" s="778"/>
      <c r="AU71" s="598"/>
      <c r="AV71" s="598"/>
      <c r="AW71" s="598"/>
      <c r="AX71" s="595"/>
      <c r="AY71" s="595"/>
      <c r="AZ71" s="197"/>
      <c r="BA71" s="478" t="str">
        <f t="shared" si="0"/>
        <v>SUM_CO2</v>
      </c>
      <c r="BB71" s="573" t="str">
        <f t="shared" si="1"/>
        <v>SUM_EnergyIN</v>
      </c>
      <c r="BC71" s="600"/>
      <c r="BD71" s="5"/>
    </row>
    <row r="72" spans="1:56" x14ac:dyDescent="0.2">
      <c r="A72" s="600"/>
      <c r="B72" s="197"/>
      <c r="C72" s="534">
        <v>49</v>
      </c>
      <c r="D72" s="594"/>
      <c r="E72" s="594"/>
      <c r="F72" s="595"/>
      <c r="G72" s="596"/>
      <c r="H72" s="595"/>
      <c r="I72" s="596"/>
      <c r="J72" s="595"/>
      <c r="K72" s="596"/>
      <c r="L72" s="596"/>
      <c r="M72" s="596"/>
      <c r="N72" s="595"/>
      <c r="O72" s="597"/>
      <c r="P72" s="595"/>
      <c r="Q72" s="597"/>
      <c r="R72" s="595"/>
      <c r="S72" s="597"/>
      <c r="T72" s="595"/>
      <c r="U72" s="597"/>
      <c r="V72" s="778"/>
      <c r="W72" s="778"/>
      <c r="X72" s="778"/>
      <c r="Y72" s="778"/>
      <c r="Z72" s="778"/>
      <c r="AA72" s="778"/>
      <c r="AB72" s="778"/>
      <c r="AC72" s="778"/>
      <c r="AD72" s="778"/>
      <c r="AE72" s="778"/>
      <c r="AF72" s="778"/>
      <c r="AG72" s="778"/>
      <c r="AH72" s="778"/>
      <c r="AI72" s="778"/>
      <c r="AJ72" s="778"/>
      <c r="AK72" s="778"/>
      <c r="AL72" s="778"/>
      <c r="AM72" s="778"/>
      <c r="AN72" s="778"/>
      <c r="AO72" s="778"/>
      <c r="AP72" s="778"/>
      <c r="AQ72" s="778"/>
      <c r="AR72" s="778"/>
      <c r="AS72" s="778"/>
      <c r="AT72" s="778"/>
      <c r="AU72" s="598"/>
      <c r="AV72" s="598"/>
      <c r="AW72" s="598"/>
      <c r="AX72" s="595"/>
      <c r="AY72" s="595"/>
      <c r="AZ72" s="197"/>
      <c r="BA72" s="478" t="str">
        <f t="shared" si="0"/>
        <v>SUM_CO2</v>
      </c>
      <c r="BB72" s="573" t="str">
        <f t="shared" si="1"/>
        <v>SUM_EnergyIN</v>
      </c>
      <c r="BC72" s="600"/>
      <c r="BD72" s="5"/>
    </row>
    <row r="73" spans="1:56" x14ac:dyDescent="0.2">
      <c r="A73" s="600"/>
      <c r="B73" s="197"/>
      <c r="C73" s="534">
        <v>50</v>
      </c>
      <c r="D73" s="594"/>
      <c r="E73" s="594"/>
      <c r="F73" s="595"/>
      <c r="G73" s="596"/>
      <c r="H73" s="595"/>
      <c r="I73" s="596"/>
      <c r="J73" s="595"/>
      <c r="K73" s="596"/>
      <c r="L73" s="596"/>
      <c r="M73" s="596"/>
      <c r="N73" s="595"/>
      <c r="O73" s="597"/>
      <c r="P73" s="595"/>
      <c r="Q73" s="597"/>
      <c r="R73" s="595"/>
      <c r="S73" s="597"/>
      <c r="T73" s="595"/>
      <c r="U73" s="597"/>
      <c r="V73" s="778"/>
      <c r="W73" s="778"/>
      <c r="X73" s="778"/>
      <c r="Y73" s="778"/>
      <c r="Z73" s="778"/>
      <c r="AA73" s="778"/>
      <c r="AB73" s="778"/>
      <c r="AC73" s="778"/>
      <c r="AD73" s="778"/>
      <c r="AE73" s="778"/>
      <c r="AF73" s="778"/>
      <c r="AG73" s="778"/>
      <c r="AH73" s="778"/>
      <c r="AI73" s="778"/>
      <c r="AJ73" s="778"/>
      <c r="AK73" s="778"/>
      <c r="AL73" s="778"/>
      <c r="AM73" s="778"/>
      <c r="AN73" s="778"/>
      <c r="AO73" s="778"/>
      <c r="AP73" s="778"/>
      <c r="AQ73" s="778"/>
      <c r="AR73" s="778"/>
      <c r="AS73" s="778"/>
      <c r="AT73" s="778"/>
      <c r="AU73" s="598"/>
      <c r="AV73" s="598"/>
      <c r="AW73" s="598"/>
      <c r="AX73" s="595"/>
      <c r="AY73" s="595"/>
      <c r="AZ73" s="197"/>
      <c r="BA73" s="478" t="str">
        <f t="shared" si="0"/>
        <v>SUM_CO2</v>
      </c>
      <c r="BB73" s="573" t="str">
        <f t="shared" si="1"/>
        <v>SUM_EnergyIN</v>
      </c>
      <c r="BC73" s="600"/>
      <c r="BD73" s="5"/>
    </row>
    <row r="74" spans="1:56" x14ac:dyDescent="0.2">
      <c r="A74" s="600"/>
      <c r="B74" s="197"/>
      <c r="C74" s="534">
        <v>51</v>
      </c>
      <c r="D74" s="594"/>
      <c r="E74" s="594"/>
      <c r="F74" s="595"/>
      <c r="G74" s="596"/>
      <c r="H74" s="595"/>
      <c r="I74" s="596"/>
      <c r="J74" s="595"/>
      <c r="K74" s="596"/>
      <c r="L74" s="596"/>
      <c r="M74" s="596"/>
      <c r="N74" s="595"/>
      <c r="O74" s="597"/>
      <c r="P74" s="595"/>
      <c r="Q74" s="597"/>
      <c r="R74" s="595"/>
      <c r="S74" s="597"/>
      <c r="T74" s="595"/>
      <c r="U74" s="597"/>
      <c r="V74" s="778"/>
      <c r="W74" s="778"/>
      <c r="X74" s="778"/>
      <c r="Y74" s="778"/>
      <c r="Z74" s="778"/>
      <c r="AA74" s="778"/>
      <c r="AB74" s="778"/>
      <c r="AC74" s="778"/>
      <c r="AD74" s="778"/>
      <c r="AE74" s="778"/>
      <c r="AF74" s="778"/>
      <c r="AG74" s="778"/>
      <c r="AH74" s="778"/>
      <c r="AI74" s="778"/>
      <c r="AJ74" s="778"/>
      <c r="AK74" s="778"/>
      <c r="AL74" s="778"/>
      <c r="AM74" s="778"/>
      <c r="AN74" s="778"/>
      <c r="AO74" s="778"/>
      <c r="AP74" s="778"/>
      <c r="AQ74" s="778"/>
      <c r="AR74" s="778"/>
      <c r="AS74" s="778"/>
      <c r="AT74" s="778"/>
      <c r="AU74" s="598"/>
      <c r="AV74" s="598"/>
      <c r="AW74" s="598"/>
      <c r="AX74" s="595"/>
      <c r="AY74" s="595"/>
      <c r="AZ74" s="197"/>
      <c r="BA74" s="478" t="str">
        <f t="shared" si="0"/>
        <v>SUM_CO2</v>
      </c>
      <c r="BB74" s="573" t="str">
        <f t="shared" si="1"/>
        <v>SUM_EnergyIN</v>
      </c>
      <c r="BC74" s="600"/>
      <c r="BD74" s="5"/>
    </row>
    <row r="75" spans="1:56" x14ac:dyDescent="0.2">
      <c r="A75" s="600"/>
      <c r="B75" s="197"/>
      <c r="C75" s="534">
        <v>52</v>
      </c>
      <c r="D75" s="594"/>
      <c r="E75" s="594"/>
      <c r="F75" s="595"/>
      <c r="G75" s="596"/>
      <c r="H75" s="595"/>
      <c r="I75" s="596"/>
      <c r="J75" s="595"/>
      <c r="K75" s="596"/>
      <c r="L75" s="596"/>
      <c r="M75" s="596"/>
      <c r="N75" s="595"/>
      <c r="O75" s="597"/>
      <c r="P75" s="595"/>
      <c r="Q75" s="597"/>
      <c r="R75" s="595"/>
      <c r="S75" s="597"/>
      <c r="T75" s="595"/>
      <c r="U75" s="597"/>
      <c r="V75" s="778"/>
      <c r="W75" s="778"/>
      <c r="X75" s="778"/>
      <c r="Y75" s="778"/>
      <c r="Z75" s="778"/>
      <c r="AA75" s="778"/>
      <c r="AB75" s="778"/>
      <c r="AC75" s="778"/>
      <c r="AD75" s="778"/>
      <c r="AE75" s="778"/>
      <c r="AF75" s="778"/>
      <c r="AG75" s="778"/>
      <c r="AH75" s="778"/>
      <c r="AI75" s="778"/>
      <c r="AJ75" s="778"/>
      <c r="AK75" s="778"/>
      <c r="AL75" s="778"/>
      <c r="AM75" s="778"/>
      <c r="AN75" s="778"/>
      <c r="AO75" s="778"/>
      <c r="AP75" s="778"/>
      <c r="AQ75" s="778"/>
      <c r="AR75" s="778"/>
      <c r="AS75" s="778"/>
      <c r="AT75" s="778"/>
      <c r="AU75" s="598"/>
      <c r="AV75" s="598"/>
      <c r="AW75" s="598"/>
      <c r="AX75" s="595"/>
      <c r="AY75" s="595"/>
      <c r="AZ75" s="197"/>
      <c r="BA75" s="478" t="str">
        <f t="shared" si="0"/>
        <v>SUM_CO2</v>
      </c>
      <c r="BB75" s="573" t="str">
        <f t="shared" si="1"/>
        <v>SUM_EnergyIN</v>
      </c>
      <c r="BC75" s="600"/>
      <c r="BD75" s="5"/>
    </row>
    <row r="76" spans="1:56" x14ac:dyDescent="0.2">
      <c r="A76" s="600"/>
      <c r="B76" s="197"/>
      <c r="C76" s="534">
        <v>53</v>
      </c>
      <c r="D76" s="594"/>
      <c r="E76" s="594"/>
      <c r="F76" s="595"/>
      <c r="G76" s="596"/>
      <c r="H76" s="595"/>
      <c r="I76" s="596"/>
      <c r="J76" s="595"/>
      <c r="K76" s="596"/>
      <c r="L76" s="596"/>
      <c r="M76" s="596"/>
      <c r="N76" s="595"/>
      <c r="O76" s="597"/>
      <c r="P76" s="595"/>
      <c r="Q76" s="597"/>
      <c r="R76" s="595"/>
      <c r="S76" s="597"/>
      <c r="T76" s="595"/>
      <c r="U76" s="597"/>
      <c r="V76" s="778"/>
      <c r="W76" s="778"/>
      <c r="X76" s="778"/>
      <c r="Y76" s="778"/>
      <c r="Z76" s="778"/>
      <c r="AA76" s="778"/>
      <c r="AB76" s="778"/>
      <c r="AC76" s="778"/>
      <c r="AD76" s="778"/>
      <c r="AE76" s="778"/>
      <c r="AF76" s="778"/>
      <c r="AG76" s="778"/>
      <c r="AH76" s="778"/>
      <c r="AI76" s="778"/>
      <c r="AJ76" s="778"/>
      <c r="AK76" s="778"/>
      <c r="AL76" s="778"/>
      <c r="AM76" s="778"/>
      <c r="AN76" s="778"/>
      <c r="AO76" s="778"/>
      <c r="AP76" s="778"/>
      <c r="AQ76" s="778"/>
      <c r="AR76" s="778"/>
      <c r="AS76" s="778"/>
      <c r="AT76" s="778"/>
      <c r="AU76" s="598"/>
      <c r="AV76" s="598"/>
      <c r="AW76" s="598"/>
      <c r="AX76" s="595"/>
      <c r="AY76" s="595"/>
      <c r="AZ76" s="197"/>
      <c r="BA76" s="478" t="str">
        <f t="shared" si="0"/>
        <v>SUM_CO2</v>
      </c>
      <c r="BB76" s="573" t="str">
        <f t="shared" si="1"/>
        <v>SUM_EnergyIN</v>
      </c>
      <c r="BC76" s="600"/>
      <c r="BD76" s="5"/>
    </row>
    <row r="77" spans="1:56" x14ac:dyDescent="0.2">
      <c r="A77" s="600"/>
      <c r="B77" s="197"/>
      <c r="C77" s="534">
        <v>54</v>
      </c>
      <c r="D77" s="594"/>
      <c r="E77" s="594"/>
      <c r="F77" s="595"/>
      <c r="G77" s="596"/>
      <c r="H77" s="595"/>
      <c r="I77" s="596"/>
      <c r="J77" s="595"/>
      <c r="K77" s="596"/>
      <c r="L77" s="596"/>
      <c r="M77" s="596"/>
      <c r="N77" s="595"/>
      <c r="O77" s="597"/>
      <c r="P77" s="595"/>
      <c r="Q77" s="597"/>
      <c r="R77" s="595"/>
      <c r="S77" s="597"/>
      <c r="T77" s="595"/>
      <c r="U77" s="597"/>
      <c r="V77" s="778"/>
      <c r="W77" s="778"/>
      <c r="X77" s="778"/>
      <c r="Y77" s="778"/>
      <c r="Z77" s="778"/>
      <c r="AA77" s="778"/>
      <c r="AB77" s="778"/>
      <c r="AC77" s="778"/>
      <c r="AD77" s="778"/>
      <c r="AE77" s="778"/>
      <c r="AF77" s="778"/>
      <c r="AG77" s="778"/>
      <c r="AH77" s="778"/>
      <c r="AI77" s="778"/>
      <c r="AJ77" s="778"/>
      <c r="AK77" s="778"/>
      <c r="AL77" s="778"/>
      <c r="AM77" s="778"/>
      <c r="AN77" s="778"/>
      <c r="AO77" s="778"/>
      <c r="AP77" s="778"/>
      <c r="AQ77" s="778"/>
      <c r="AR77" s="778"/>
      <c r="AS77" s="778"/>
      <c r="AT77" s="778"/>
      <c r="AU77" s="598"/>
      <c r="AV77" s="598"/>
      <c r="AW77" s="598"/>
      <c r="AX77" s="595"/>
      <c r="AY77" s="595"/>
      <c r="AZ77" s="197"/>
      <c r="BA77" s="478" t="str">
        <f t="shared" si="0"/>
        <v>SUM_CO2</v>
      </c>
      <c r="BB77" s="573" t="str">
        <f t="shared" si="1"/>
        <v>SUM_EnergyIN</v>
      </c>
      <c r="BC77" s="600"/>
      <c r="BD77" s="5"/>
    </row>
    <row r="78" spans="1:56" x14ac:dyDescent="0.2">
      <c r="A78" s="600"/>
      <c r="B78" s="197"/>
      <c r="C78" s="534">
        <v>55</v>
      </c>
      <c r="D78" s="594"/>
      <c r="E78" s="594"/>
      <c r="F78" s="595"/>
      <c r="G78" s="596"/>
      <c r="H78" s="595"/>
      <c r="I78" s="596"/>
      <c r="J78" s="595"/>
      <c r="K78" s="596"/>
      <c r="L78" s="596"/>
      <c r="M78" s="596"/>
      <c r="N78" s="595"/>
      <c r="O78" s="597"/>
      <c r="P78" s="595"/>
      <c r="Q78" s="597"/>
      <c r="R78" s="595"/>
      <c r="S78" s="597"/>
      <c r="T78" s="595"/>
      <c r="U78" s="597"/>
      <c r="V78" s="778"/>
      <c r="W78" s="778"/>
      <c r="X78" s="778"/>
      <c r="Y78" s="778"/>
      <c r="Z78" s="778"/>
      <c r="AA78" s="778"/>
      <c r="AB78" s="778"/>
      <c r="AC78" s="778"/>
      <c r="AD78" s="778"/>
      <c r="AE78" s="778"/>
      <c r="AF78" s="778"/>
      <c r="AG78" s="778"/>
      <c r="AH78" s="778"/>
      <c r="AI78" s="778"/>
      <c r="AJ78" s="778"/>
      <c r="AK78" s="778"/>
      <c r="AL78" s="778"/>
      <c r="AM78" s="778"/>
      <c r="AN78" s="778"/>
      <c r="AO78" s="778"/>
      <c r="AP78" s="778"/>
      <c r="AQ78" s="778"/>
      <c r="AR78" s="778"/>
      <c r="AS78" s="778"/>
      <c r="AT78" s="778"/>
      <c r="AU78" s="598"/>
      <c r="AV78" s="598"/>
      <c r="AW78" s="598"/>
      <c r="AX78" s="595"/>
      <c r="AY78" s="595"/>
      <c r="AZ78" s="197"/>
      <c r="BA78" s="478" t="str">
        <f t="shared" si="0"/>
        <v>SUM_CO2</v>
      </c>
      <c r="BB78" s="573" t="str">
        <f t="shared" si="1"/>
        <v>SUM_EnergyIN</v>
      </c>
      <c r="BC78" s="600"/>
      <c r="BD78" s="5"/>
    </row>
    <row r="79" spans="1:56" x14ac:dyDescent="0.2">
      <c r="A79" s="600"/>
      <c r="B79" s="197"/>
      <c r="C79" s="534">
        <v>56</v>
      </c>
      <c r="D79" s="594"/>
      <c r="E79" s="594"/>
      <c r="F79" s="595"/>
      <c r="G79" s="596"/>
      <c r="H79" s="595"/>
      <c r="I79" s="596"/>
      <c r="J79" s="595"/>
      <c r="K79" s="596"/>
      <c r="L79" s="596"/>
      <c r="M79" s="596"/>
      <c r="N79" s="595"/>
      <c r="O79" s="597"/>
      <c r="P79" s="595"/>
      <c r="Q79" s="597"/>
      <c r="R79" s="595"/>
      <c r="S79" s="597"/>
      <c r="T79" s="595"/>
      <c r="U79" s="597"/>
      <c r="V79" s="778"/>
      <c r="W79" s="778"/>
      <c r="X79" s="778"/>
      <c r="Y79" s="778"/>
      <c r="Z79" s="778"/>
      <c r="AA79" s="778"/>
      <c r="AB79" s="778"/>
      <c r="AC79" s="778"/>
      <c r="AD79" s="778"/>
      <c r="AE79" s="778"/>
      <c r="AF79" s="778"/>
      <c r="AG79" s="778"/>
      <c r="AH79" s="778"/>
      <c r="AI79" s="778"/>
      <c r="AJ79" s="778"/>
      <c r="AK79" s="778"/>
      <c r="AL79" s="778"/>
      <c r="AM79" s="778"/>
      <c r="AN79" s="778"/>
      <c r="AO79" s="778"/>
      <c r="AP79" s="778"/>
      <c r="AQ79" s="778"/>
      <c r="AR79" s="778"/>
      <c r="AS79" s="778"/>
      <c r="AT79" s="778"/>
      <c r="AU79" s="598"/>
      <c r="AV79" s="598"/>
      <c r="AW79" s="598"/>
      <c r="AX79" s="595"/>
      <c r="AY79" s="595"/>
      <c r="AZ79" s="197"/>
      <c r="BA79" s="478" t="str">
        <f t="shared" si="0"/>
        <v>SUM_CO2</v>
      </c>
      <c r="BB79" s="573" t="str">
        <f t="shared" si="1"/>
        <v>SUM_EnergyIN</v>
      </c>
      <c r="BC79" s="600"/>
      <c r="BD79" s="5"/>
    </row>
    <row r="80" spans="1:56" x14ac:dyDescent="0.2">
      <c r="A80" s="600"/>
      <c r="B80" s="197"/>
      <c r="C80" s="534">
        <v>57</v>
      </c>
      <c r="D80" s="594"/>
      <c r="E80" s="594"/>
      <c r="F80" s="595"/>
      <c r="G80" s="596"/>
      <c r="H80" s="595"/>
      <c r="I80" s="596"/>
      <c r="J80" s="595"/>
      <c r="K80" s="596"/>
      <c r="L80" s="596"/>
      <c r="M80" s="596"/>
      <c r="N80" s="595"/>
      <c r="O80" s="597"/>
      <c r="P80" s="595"/>
      <c r="Q80" s="597"/>
      <c r="R80" s="595"/>
      <c r="S80" s="597"/>
      <c r="T80" s="595"/>
      <c r="U80" s="597"/>
      <c r="V80" s="778"/>
      <c r="W80" s="778"/>
      <c r="X80" s="778"/>
      <c r="Y80" s="778"/>
      <c r="Z80" s="778"/>
      <c r="AA80" s="778"/>
      <c r="AB80" s="778"/>
      <c r="AC80" s="778"/>
      <c r="AD80" s="778"/>
      <c r="AE80" s="778"/>
      <c r="AF80" s="778"/>
      <c r="AG80" s="778"/>
      <c r="AH80" s="778"/>
      <c r="AI80" s="778"/>
      <c r="AJ80" s="778"/>
      <c r="AK80" s="778"/>
      <c r="AL80" s="778"/>
      <c r="AM80" s="778"/>
      <c r="AN80" s="778"/>
      <c r="AO80" s="778"/>
      <c r="AP80" s="778"/>
      <c r="AQ80" s="778"/>
      <c r="AR80" s="778"/>
      <c r="AS80" s="778"/>
      <c r="AT80" s="778"/>
      <c r="AU80" s="598"/>
      <c r="AV80" s="598"/>
      <c r="AW80" s="598"/>
      <c r="AX80" s="595"/>
      <c r="AY80" s="595"/>
      <c r="AZ80" s="197"/>
      <c r="BA80" s="478" t="str">
        <f t="shared" si="0"/>
        <v>SUM_CO2</v>
      </c>
      <c r="BB80" s="573" t="str">
        <f t="shared" si="1"/>
        <v>SUM_EnergyIN</v>
      </c>
      <c r="BC80" s="600"/>
      <c r="BD80" s="5"/>
    </row>
    <row r="81" spans="1:56" x14ac:dyDescent="0.2">
      <c r="A81" s="600"/>
      <c r="B81" s="197"/>
      <c r="C81" s="534">
        <v>58</v>
      </c>
      <c r="D81" s="594"/>
      <c r="E81" s="594"/>
      <c r="F81" s="595"/>
      <c r="G81" s="596"/>
      <c r="H81" s="595"/>
      <c r="I81" s="596"/>
      <c r="J81" s="595"/>
      <c r="K81" s="596"/>
      <c r="L81" s="596"/>
      <c r="M81" s="596"/>
      <c r="N81" s="595"/>
      <c r="O81" s="597"/>
      <c r="P81" s="595"/>
      <c r="Q81" s="597"/>
      <c r="R81" s="595"/>
      <c r="S81" s="597"/>
      <c r="T81" s="595"/>
      <c r="U81" s="597"/>
      <c r="V81" s="778"/>
      <c r="W81" s="778"/>
      <c r="X81" s="778"/>
      <c r="Y81" s="778"/>
      <c r="Z81" s="778"/>
      <c r="AA81" s="778"/>
      <c r="AB81" s="778"/>
      <c r="AC81" s="778"/>
      <c r="AD81" s="778"/>
      <c r="AE81" s="778"/>
      <c r="AF81" s="778"/>
      <c r="AG81" s="778"/>
      <c r="AH81" s="778"/>
      <c r="AI81" s="778"/>
      <c r="AJ81" s="778"/>
      <c r="AK81" s="778"/>
      <c r="AL81" s="778"/>
      <c r="AM81" s="778"/>
      <c r="AN81" s="778"/>
      <c r="AO81" s="778"/>
      <c r="AP81" s="778"/>
      <c r="AQ81" s="778"/>
      <c r="AR81" s="778"/>
      <c r="AS81" s="778"/>
      <c r="AT81" s="778"/>
      <c r="AU81" s="598"/>
      <c r="AV81" s="598"/>
      <c r="AW81" s="598"/>
      <c r="AX81" s="595"/>
      <c r="AY81" s="595"/>
      <c r="AZ81" s="197"/>
      <c r="BA81" s="478" t="str">
        <f t="shared" si="0"/>
        <v>SUM_CO2</v>
      </c>
      <c r="BB81" s="573" t="str">
        <f t="shared" si="1"/>
        <v>SUM_EnergyIN</v>
      </c>
      <c r="BC81" s="600"/>
      <c r="BD81" s="5"/>
    </row>
    <row r="82" spans="1:56" x14ac:dyDescent="0.2">
      <c r="A82" s="600"/>
      <c r="B82" s="197"/>
      <c r="C82" s="534">
        <v>59</v>
      </c>
      <c r="D82" s="594"/>
      <c r="E82" s="594"/>
      <c r="F82" s="595"/>
      <c r="G82" s="596"/>
      <c r="H82" s="595"/>
      <c r="I82" s="596"/>
      <c r="J82" s="595"/>
      <c r="K82" s="596"/>
      <c r="L82" s="596"/>
      <c r="M82" s="596"/>
      <c r="N82" s="595"/>
      <c r="O82" s="597"/>
      <c r="P82" s="595"/>
      <c r="Q82" s="597"/>
      <c r="R82" s="595"/>
      <c r="S82" s="597"/>
      <c r="T82" s="595"/>
      <c r="U82" s="597"/>
      <c r="V82" s="778"/>
      <c r="W82" s="778"/>
      <c r="X82" s="778"/>
      <c r="Y82" s="778"/>
      <c r="Z82" s="778"/>
      <c r="AA82" s="778"/>
      <c r="AB82" s="778"/>
      <c r="AC82" s="778"/>
      <c r="AD82" s="778"/>
      <c r="AE82" s="778"/>
      <c r="AF82" s="778"/>
      <c r="AG82" s="778"/>
      <c r="AH82" s="778"/>
      <c r="AI82" s="778"/>
      <c r="AJ82" s="778"/>
      <c r="AK82" s="778"/>
      <c r="AL82" s="778"/>
      <c r="AM82" s="778"/>
      <c r="AN82" s="778"/>
      <c r="AO82" s="778"/>
      <c r="AP82" s="778"/>
      <c r="AQ82" s="778"/>
      <c r="AR82" s="778"/>
      <c r="AS82" s="778"/>
      <c r="AT82" s="778"/>
      <c r="AU82" s="598"/>
      <c r="AV82" s="598"/>
      <c r="AW82" s="598"/>
      <c r="AX82" s="595"/>
      <c r="AY82" s="595"/>
      <c r="AZ82" s="197"/>
      <c r="BA82" s="478" t="str">
        <f t="shared" si="0"/>
        <v>SUM_CO2</v>
      </c>
      <c r="BB82" s="573" t="str">
        <f t="shared" si="1"/>
        <v>SUM_EnergyIN</v>
      </c>
      <c r="BC82" s="600"/>
      <c r="BD82" s="5"/>
    </row>
    <row r="83" spans="1:56" x14ac:dyDescent="0.2">
      <c r="A83" s="600"/>
      <c r="B83" s="197"/>
      <c r="C83" s="534">
        <v>60</v>
      </c>
      <c r="D83" s="594"/>
      <c r="E83" s="594"/>
      <c r="F83" s="595"/>
      <c r="G83" s="596"/>
      <c r="H83" s="595"/>
      <c r="I83" s="596"/>
      <c r="J83" s="595"/>
      <c r="K83" s="596"/>
      <c r="L83" s="596"/>
      <c r="M83" s="596"/>
      <c r="N83" s="595"/>
      <c r="O83" s="597"/>
      <c r="P83" s="595"/>
      <c r="Q83" s="597"/>
      <c r="R83" s="595"/>
      <c r="S83" s="597"/>
      <c r="T83" s="595"/>
      <c r="U83" s="597"/>
      <c r="V83" s="778"/>
      <c r="W83" s="778"/>
      <c r="X83" s="778"/>
      <c r="Y83" s="778"/>
      <c r="Z83" s="778"/>
      <c r="AA83" s="778"/>
      <c r="AB83" s="778"/>
      <c r="AC83" s="778"/>
      <c r="AD83" s="778"/>
      <c r="AE83" s="778"/>
      <c r="AF83" s="778"/>
      <c r="AG83" s="778"/>
      <c r="AH83" s="778"/>
      <c r="AI83" s="778"/>
      <c r="AJ83" s="778"/>
      <c r="AK83" s="778"/>
      <c r="AL83" s="778"/>
      <c r="AM83" s="778"/>
      <c r="AN83" s="778"/>
      <c r="AO83" s="778"/>
      <c r="AP83" s="778"/>
      <c r="AQ83" s="778"/>
      <c r="AR83" s="778"/>
      <c r="AS83" s="778"/>
      <c r="AT83" s="778"/>
      <c r="AU83" s="598"/>
      <c r="AV83" s="598"/>
      <c r="AW83" s="598"/>
      <c r="AX83" s="595"/>
      <c r="AY83" s="595"/>
      <c r="AZ83" s="197"/>
      <c r="BA83" s="478" t="str">
        <f t="shared" si="0"/>
        <v>SUM_CO2</v>
      </c>
      <c r="BB83" s="573" t="str">
        <f t="shared" si="1"/>
        <v>SUM_EnergyIN</v>
      </c>
      <c r="BC83" s="600"/>
      <c r="BD83" s="5"/>
    </row>
    <row r="84" spans="1:56" x14ac:dyDescent="0.2">
      <c r="A84" s="600"/>
      <c r="B84" s="197"/>
      <c r="C84" s="534">
        <v>61</v>
      </c>
      <c r="D84" s="594"/>
      <c r="E84" s="594"/>
      <c r="F84" s="595"/>
      <c r="G84" s="596"/>
      <c r="H84" s="595"/>
      <c r="I84" s="596"/>
      <c r="J84" s="595"/>
      <c r="K84" s="596"/>
      <c r="L84" s="596"/>
      <c r="M84" s="596"/>
      <c r="N84" s="595"/>
      <c r="O84" s="597"/>
      <c r="P84" s="595"/>
      <c r="Q84" s="597"/>
      <c r="R84" s="595"/>
      <c r="S84" s="597"/>
      <c r="T84" s="595"/>
      <c r="U84" s="597"/>
      <c r="V84" s="778"/>
      <c r="W84" s="778"/>
      <c r="X84" s="778"/>
      <c r="Y84" s="778"/>
      <c r="Z84" s="778"/>
      <c r="AA84" s="778"/>
      <c r="AB84" s="778"/>
      <c r="AC84" s="778"/>
      <c r="AD84" s="778"/>
      <c r="AE84" s="778"/>
      <c r="AF84" s="778"/>
      <c r="AG84" s="778"/>
      <c r="AH84" s="778"/>
      <c r="AI84" s="778"/>
      <c r="AJ84" s="778"/>
      <c r="AK84" s="778"/>
      <c r="AL84" s="778"/>
      <c r="AM84" s="778"/>
      <c r="AN84" s="778"/>
      <c r="AO84" s="778"/>
      <c r="AP84" s="778"/>
      <c r="AQ84" s="778"/>
      <c r="AR84" s="778"/>
      <c r="AS84" s="778"/>
      <c r="AT84" s="778"/>
      <c r="AU84" s="598"/>
      <c r="AV84" s="598"/>
      <c r="AW84" s="598"/>
      <c r="AX84" s="595"/>
      <c r="AY84" s="595"/>
      <c r="AZ84" s="197"/>
      <c r="BA84" s="478" t="str">
        <f t="shared" si="0"/>
        <v>SUM_CO2</v>
      </c>
      <c r="BB84" s="573" t="str">
        <f t="shared" si="1"/>
        <v>SUM_EnergyIN</v>
      </c>
      <c r="BC84" s="600"/>
      <c r="BD84" s="5"/>
    </row>
    <row r="85" spans="1:56" x14ac:dyDescent="0.2">
      <c r="A85" s="600"/>
      <c r="B85" s="197"/>
      <c r="C85" s="534">
        <v>62</v>
      </c>
      <c r="D85" s="594"/>
      <c r="E85" s="594"/>
      <c r="F85" s="595"/>
      <c r="G85" s="596"/>
      <c r="H85" s="595"/>
      <c r="I85" s="596"/>
      <c r="J85" s="595"/>
      <c r="K85" s="596"/>
      <c r="L85" s="596"/>
      <c r="M85" s="596"/>
      <c r="N85" s="595"/>
      <c r="O85" s="597"/>
      <c r="P85" s="595"/>
      <c r="Q85" s="597"/>
      <c r="R85" s="595"/>
      <c r="S85" s="597"/>
      <c r="T85" s="595"/>
      <c r="U85" s="597"/>
      <c r="V85" s="778"/>
      <c r="W85" s="778"/>
      <c r="X85" s="778"/>
      <c r="Y85" s="778"/>
      <c r="Z85" s="778"/>
      <c r="AA85" s="778"/>
      <c r="AB85" s="778"/>
      <c r="AC85" s="778"/>
      <c r="AD85" s="778"/>
      <c r="AE85" s="778"/>
      <c r="AF85" s="778"/>
      <c r="AG85" s="778"/>
      <c r="AH85" s="778"/>
      <c r="AI85" s="778"/>
      <c r="AJ85" s="778"/>
      <c r="AK85" s="778"/>
      <c r="AL85" s="778"/>
      <c r="AM85" s="778"/>
      <c r="AN85" s="778"/>
      <c r="AO85" s="778"/>
      <c r="AP85" s="778"/>
      <c r="AQ85" s="778"/>
      <c r="AR85" s="778"/>
      <c r="AS85" s="778"/>
      <c r="AT85" s="778"/>
      <c r="AU85" s="598"/>
      <c r="AV85" s="598"/>
      <c r="AW85" s="598"/>
      <c r="AX85" s="595"/>
      <c r="AY85" s="595"/>
      <c r="AZ85" s="197"/>
      <c r="BA85" s="478" t="str">
        <f t="shared" si="0"/>
        <v>SUM_CO2</v>
      </c>
      <c r="BB85" s="573" t="str">
        <f t="shared" si="1"/>
        <v>SUM_EnergyIN</v>
      </c>
      <c r="BC85" s="600"/>
      <c r="BD85" s="5"/>
    </row>
    <row r="86" spans="1:56" x14ac:dyDescent="0.2">
      <c r="A86" s="600"/>
      <c r="B86" s="197"/>
      <c r="C86" s="534">
        <v>63</v>
      </c>
      <c r="D86" s="594"/>
      <c r="E86" s="594"/>
      <c r="F86" s="595"/>
      <c r="G86" s="596"/>
      <c r="H86" s="595"/>
      <c r="I86" s="596"/>
      <c r="J86" s="595"/>
      <c r="K86" s="596"/>
      <c r="L86" s="596"/>
      <c r="M86" s="596"/>
      <c r="N86" s="595"/>
      <c r="O86" s="597"/>
      <c r="P86" s="595"/>
      <c r="Q86" s="597"/>
      <c r="R86" s="595"/>
      <c r="S86" s="597"/>
      <c r="T86" s="595"/>
      <c r="U86" s="597"/>
      <c r="V86" s="778"/>
      <c r="W86" s="778"/>
      <c r="X86" s="778"/>
      <c r="Y86" s="778"/>
      <c r="Z86" s="778"/>
      <c r="AA86" s="778"/>
      <c r="AB86" s="778"/>
      <c r="AC86" s="778"/>
      <c r="AD86" s="778"/>
      <c r="AE86" s="778"/>
      <c r="AF86" s="778"/>
      <c r="AG86" s="778"/>
      <c r="AH86" s="778"/>
      <c r="AI86" s="778"/>
      <c r="AJ86" s="778"/>
      <c r="AK86" s="778"/>
      <c r="AL86" s="778"/>
      <c r="AM86" s="778"/>
      <c r="AN86" s="778"/>
      <c r="AO86" s="778"/>
      <c r="AP86" s="778"/>
      <c r="AQ86" s="778"/>
      <c r="AR86" s="778"/>
      <c r="AS86" s="778"/>
      <c r="AT86" s="778"/>
      <c r="AU86" s="598"/>
      <c r="AV86" s="598"/>
      <c r="AW86" s="598"/>
      <c r="AX86" s="595"/>
      <c r="AY86" s="595"/>
      <c r="AZ86" s="197"/>
      <c r="BA86" s="478" t="str">
        <f t="shared" si="0"/>
        <v>SUM_CO2</v>
      </c>
      <c r="BB86" s="573" t="str">
        <f t="shared" si="1"/>
        <v>SUM_EnergyIN</v>
      </c>
      <c r="BC86" s="600"/>
      <c r="BD86" s="5"/>
    </row>
    <row r="87" spans="1:56" x14ac:dyDescent="0.2">
      <c r="A87" s="600"/>
      <c r="B87" s="197"/>
      <c r="C87" s="534">
        <v>64</v>
      </c>
      <c r="D87" s="594"/>
      <c r="E87" s="594"/>
      <c r="F87" s="595"/>
      <c r="G87" s="596"/>
      <c r="H87" s="595"/>
      <c r="I87" s="596"/>
      <c r="J87" s="595"/>
      <c r="K87" s="596"/>
      <c r="L87" s="596"/>
      <c r="M87" s="596"/>
      <c r="N87" s="595"/>
      <c r="O87" s="597"/>
      <c r="P87" s="595"/>
      <c r="Q87" s="597"/>
      <c r="R87" s="595"/>
      <c r="S87" s="597"/>
      <c r="T87" s="595"/>
      <c r="U87" s="597"/>
      <c r="V87" s="778"/>
      <c r="W87" s="778"/>
      <c r="X87" s="778"/>
      <c r="Y87" s="778"/>
      <c r="Z87" s="778"/>
      <c r="AA87" s="778"/>
      <c r="AB87" s="778"/>
      <c r="AC87" s="778"/>
      <c r="AD87" s="778"/>
      <c r="AE87" s="778"/>
      <c r="AF87" s="778"/>
      <c r="AG87" s="778"/>
      <c r="AH87" s="778"/>
      <c r="AI87" s="778"/>
      <c r="AJ87" s="778"/>
      <c r="AK87" s="778"/>
      <c r="AL87" s="778"/>
      <c r="AM87" s="778"/>
      <c r="AN87" s="778"/>
      <c r="AO87" s="778"/>
      <c r="AP87" s="778"/>
      <c r="AQ87" s="778"/>
      <c r="AR87" s="778"/>
      <c r="AS87" s="778"/>
      <c r="AT87" s="778"/>
      <c r="AU87" s="598"/>
      <c r="AV87" s="598"/>
      <c r="AW87" s="598"/>
      <c r="AX87" s="595"/>
      <c r="AY87" s="595"/>
      <c r="AZ87" s="197"/>
      <c r="BA87" s="478" t="str">
        <f t="shared" si="0"/>
        <v>SUM_CO2</v>
      </c>
      <c r="BB87" s="573" t="str">
        <f t="shared" si="1"/>
        <v>SUM_EnergyIN</v>
      </c>
      <c r="BC87" s="600"/>
      <c r="BD87" s="5"/>
    </row>
    <row r="88" spans="1:56" x14ac:dyDescent="0.2">
      <c r="A88" s="600"/>
      <c r="B88" s="197"/>
      <c r="C88" s="534">
        <v>65</v>
      </c>
      <c r="D88" s="594"/>
      <c r="E88" s="594"/>
      <c r="F88" s="595"/>
      <c r="G88" s="596"/>
      <c r="H88" s="595"/>
      <c r="I88" s="596"/>
      <c r="J88" s="595"/>
      <c r="K88" s="596"/>
      <c r="L88" s="596"/>
      <c r="M88" s="596"/>
      <c r="N88" s="595"/>
      <c r="O88" s="597"/>
      <c r="P88" s="595"/>
      <c r="Q88" s="597"/>
      <c r="R88" s="595"/>
      <c r="S88" s="597"/>
      <c r="T88" s="595"/>
      <c r="U88" s="597"/>
      <c r="V88" s="778"/>
      <c r="W88" s="778"/>
      <c r="X88" s="778"/>
      <c r="Y88" s="778"/>
      <c r="Z88" s="778"/>
      <c r="AA88" s="778"/>
      <c r="AB88" s="778"/>
      <c r="AC88" s="778"/>
      <c r="AD88" s="778"/>
      <c r="AE88" s="778"/>
      <c r="AF88" s="778"/>
      <c r="AG88" s="778"/>
      <c r="AH88" s="778"/>
      <c r="AI88" s="778"/>
      <c r="AJ88" s="778"/>
      <c r="AK88" s="778"/>
      <c r="AL88" s="778"/>
      <c r="AM88" s="778"/>
      <c r="AN88" s="778"/>
      <c r="AO88" s="778"/>
      <c r="AP88" s="778"/>
      <c r="AQ88" s="778"/>
      <c r="AR88" s="778"/>
      <c r="AS88" s="778"/>
      <c r="AT88" s="778"/>
      <c r="AU88" s="598"/>
      <c r="AV88" s="598"/>
      <c r="AW88" s="598"/>
      <c r="AX88" s="595"/>
      <c r="AY88" s="595"/>
      <c r="AZ88" s="197"/>
      <c r="BA88" s="478" t="str">
        <f t="shared" ref="BA88:BA98" si="2">EUconst_SumCO2</f>
        <v>SUM_CO2</v>
      </c>
      <c r="BB88" s="573" t="str">
        <f t="shared" ref="BB88:BB98" si="3">EUconst_SumEnergyIN</f>
        <v>SUM_EnergyIN</v>
      </c>
      <c r="BC88" s="600"/>
      <c r="BD88" s="5"/>
    </row>
    <row r="89" spans="1:56" x14ac:dyDescent="0.2">
      <c r="A89" s="600"/>
      <c r="B89" s="197"/>
      <c r="C89" s="534">
        <v>66</v>
      </c>
      <c r="D89" s="594"/>
      <c r="E89" s="594"/>
      <c r="F89" s="595"/>
      <c r="G89" s="596"/>
      <c r="H89" s="595"/>
      <c r="I89" s="596"/>
      <c r="J89" s="595"/>
      <c r="K89" s="596"/>
      <c r="L89" s="596"/>
      <c r="M89" s="596"/>
      <c r="N89" s="595"/>
      <c r="O89" s="597"/>
      <c r="P89" s="595"/>
      <c r="Q89" s="597"/>
      <c r="R89" s="595"/>
      <c r="S89" s="597"/>
      <c r="T89" s="595"/>
      <c r="U89" s="597"/>
      <c r="V89" s="778"/>
      <c r="W89" s="778"/>
      <c r="X89" s="778"/>
      <c r="Y89" s="778"/>
      <c r="Z89" s="778"/>
      <c r="AA89" s="778"/>
      <c r="AB89" s="778"/>
      <c r="AC89" s="778"/>
      <c r="AD89" s="778"/>
      <c r="AE89" s="778"/>
      <c r="AF89" s="778"/>
      <c r="AG89" s="778"/>
      <c r="AH89" s="778"/>
      <c r="AI89" s="778"/>
      <c r="AJ89" s="778"/>
      <c r="AK89" s="778"/>
      <c r="AL89" s="778"/>
      <c r="AM89" s="778"/>
      <c r="AN89" s="778"/>
      <c r="AO89" s="778"/>
      <c r="AP89" s="778"/>
      <c r="AQ89" s="778"/>
      <c r="AR89" s="778"/>
      <c r="AS89" s="778"/>
      <c r="AT89" s="778"/>
      <c r="AU89" s="598"/>
      <c r="AV89" s="598"/>
      <c r="AW89" s="598"/>
      <c r="AX89" s="595"/>
      <c r="AY89" s="595"/>
      <c r="AZ89" s="197"/>
      <c r="BA89" s="478" t="str">
        <f t="shared" si="2"/>
        <v>SUM_CO2</v>
      </c>
      <c r="BB89" s="573" t="str">
        <f t="shared" si="3"/>
        <v>SUM_EnergyIN</v>
      </c>
      <c r="BC89" s="600"/>
      <c r="BD89" s="5"/>
    </row>
    <row r="90" spans="1:56" x14ac:dyDescent="0.2">
      <c r="A90" s="600"/>
      <c r="B90" s="197"/>
      <c r="C90" s="534">
        <v>67</v>
      </c>
      <c r="D90" s="594"/>
      <c r="E90" s="594"/>
      <c r="F90" s="595"/>
      <c r="G90" s="596"/>
      <c r="H90" s="595"/>
      <c r="I90" s="596"/>
      <c r="J90" s="595"/>
      <c r="K90" s="596"/>
      <c r="L90" s="596"/>
      <c r="M90" s="596"/>
      <c r="N90" s="595"/>
      <c r="O90" s="597"/>
      <c r="P90" s="595"/>
      <c r="Q90" s="597"/>
      <c r="R90" s="595"/>
      <c r="S90" s="597"/>
      <c r="T90" s="595"/>
      <c r="U90" s="597"/>
      <c r="V90" s="778"/>
      <c r="W90" s="778"/>
      <c r="X90" s="778"/>
      <c r="Y90" s="778"/>
      <c r="Z90" s="778"/>
      <c r="AA90" s="778"/>
      <c r="AB90" s="778"/>
      <c r="AC90" s="778"/>
      <c r="AD90" s="778"/>
      <c r="AE90" s="778"/>
      <c r="AF90" s="778"/>
      <c r="AG90" s="778"/>
      <c r="AH90" s="778"/>
      <c r="AI90" s="778"/>
      <c r="AJ90" s="778"/>
      <c r="AK90" s="778"/>
      <c r="AL90" s="778"/>
      <c r="AM90" s="778"/>
      <c r="AN90" s="778"/>
      <c r="AO90" s="778"/>
      <c r="AP90" s="778"/>
      <c r="AQ90" s="778"/>
      <c r="AR90" s="778"/>
      <c r="AS90" s="778"/>
      <c r="AT90" s="778"/>
      <c r="AU90" s="598"/>
      <c r="AV90" s="598"/>
      <c r="AW90" s="598"/>
      <c r="AX90" s="595"/>
      <c r="AY90" s="595"/>
      <c r="AZ90" s="197"/>
      <c r="BA90" s="478" t="str">
        <f t="shared" si="2"/>
        <v>SUM_CO2</v>
      </c>
      <c r="BB90" s="573" t="str">
        <f t="shared" si="3"/>
        <v>SUM_EnergyIN</v>
      </c>
      <c r="BC90" s="600"/>
      <c r="BD90" s="5"/>
    </row>
    <row r="91" spans="1:56" x14ac:dyDescent="0.2">
      <c r="A91" s="600"/>
      <c r="B91" s="197"/>
      <c r="C91" s="534">
        <v>68</v>
      </c>
      <c r="D91" s="594"/>
      <c r="E91" s="594"/>
      <c r="F91" s="595"/>
      <c r="G91" s="596"/>
      <c r="H91" s="595"/>
      <c r="I91" s="596"/>
      <c r="J91" s="595"/>
      <c r="K91" s="596"/>
      <c r="L91" s="596"/>
      <c r="M91" s="596"/>
      <c r="N91" s="595"/>
      <c r="O91" s="597"/>
      <c r="P91" s="595"/>
      <c r="Q91" s="597"/>
      <c r="R91" s="595"/>
      <c r="S91" s="597"/>
      <c r="T91" s="595"/>
      <c r="U91" s="597"/>
      <c r="V91" s="778"/>
      <c r="W91" s="778"/>
      <c r="X91" s="778"/>
      <c r="Y91" s="778"/>
      <c r="Z91" s="778"/>
      <c r="AA91" s="778"/>
      <c r="AB91" s="778"/>
      <c r="AC91" s="778"/>
      <c r="AD91" s="778"/>
      <c r="AE91" s="778"/>
      <c r="AF91" s="778"/>
      <c r="AG91" s="778"/>
      <c r="AH91" s="778"/>
      <c r="AI91" s="778"/>
      <c r="AJ91" s="778"/>
      <c r="AK91" s="778"/>
      <c r="AL91" s="778"/>
      <c r="AM91" s="778"/>
      <c r="AN91" s="778"/>
      <c r="AO91" s="778"/>
      <c r="AP91" s="778"/>
      <c r="AQ91" s="778"/>
      <c r="AR91" s="778"/>
      <c r="AS91" s="778"/>
      <c r="AT91" s="778"/>
      <c r="AU91" s="598"/>
      <c r="AV91" s="598"/>
      <c r="AW91" s="598"/>
      <c r="AX91" s="595"/>
      <c r="AY91" s="595"/>
      <c r="AZ91" s="197"/>
      <c r="BA91" s="478" t="str">
        <f t="shared" si="2"/>
        <v>SUM_CO2</v>
      </c>
      <c r="BB91" s="573" t="str">
        <f t="shared" si="3"/>
        <v>SUM_EnergyIN</v>
      </c>
      <c r="BC91" s="600"/>
      <c r="BD91" s="5"/>
    </row>
    <row r="92" spans="1:56" x14ac:dyDescent="0.2">
      <c r="A92" s="600"/>
      <c r="B92" s="197"/>
      <c r="C92" s="534">
        <v>69</v>
      </c>
      <c r="D92" s="594"/>
      <c r="E92" s="594"/>
      <c r="F92" s="595"/>
      <c r="G92" s="596"/>
      <c r="H92" s="595"/>
      <c r="I92" s="596"/>
      <c r="J92" s="595"/>
      <c r="K92" s="596"/>
      <c r="L92" s="596"/>
      <c r="M92" s="596"/>
      <c r="N92" s="595"/>
      <c r="O92" s="597"/>
      <c r="P92" s="595"/>
      <c r="Q92" s="597"/>
      <c r="R92" s="595"/>
      <c r="S92" s="597"/>
      <c r="T92" s="595"/>
      <c r="U92" s="597"/>
      <c r="V92" s="778"/>
      <c r="W92" s="778"/>
      <c r="X92" s="778"/>
      <c r="Y92" s="778"/>
      <c r="Z92" s="778"/>
      <c r="AA92" s="778"/>
      <c r="AB92" s="778"/>
      <c r="AC92" s="778"/>
      <c r="AD92" s="778"/>
      <c r="AE92" s="778"/>
      <c r="AF92" s="778"/>
      <c r="AG92" s="778"/>
      <c r="AH92" s="778"/>
      <c r="AI92" s="778"/>
      <c r="AJ92" s="778"/>
      <c r="AK92" s="778"/>
      <c r="AL92" s="778"/>
      <c r="AM92" s="778"/>
      <c r="AN92" s="778"/>
      <c r="AO92" s="778"/>
      <c r="AP92" s="778"/>
      <c r="AQ92" s="778"/>
      <c r="AR92" s="778"/>
      <c r="AS92" s="778"/>
      <c r="AT92" s="778"/>
      <c r="AU92" s="598"/>
      <c r="AV92" s="598"/>
      <c r="AW92" s="598"/>
      <c r="AX92" s="595"/>
      <c r="AY92" s="595"/>
      <c r="AZ92" s="197"/>
      <c r="BA92" s="478" t="str">
        <f t="shared" si="2"/>
        <v>SUM_CO2</v>
      </c>
      <c r="BB92" s="573" t="str">
        <f t="shared" si="3"/>
        <v>SUM_EnergyIN</v>
      </c>
      <c r="BC92" s="600"/>
      <c r="BD92" s="5"/>
    </row>
    <row r="93" spans="1:56" x14ac:dyDescent="0.2">
      <c r="A93" s="600"/>
      <c r="B93" s="197"/>
      <c r="C93" s="534">
        <v>70</v>
      </c>
      <c r="D93" s="594"/>
      <c r="E93" s="594"/>
      <c r="F93" s="595"/>
      <c r="G93" s="596"/>
      <c r="H93" s="595"/>
      <c r="I93" s="596"/>
      <c r="J93" s="595"/>
      <c r="K93" s="596"/>
      <c r="L93" s="596"/>
      <c r="M93" s="596"/>
      <c r="N93" s="595"/>
      <c r="O93" s="597"/>
      <c r="P93" s="595"/>
      <c r="Q93" s="597"/>
      <c r="R93" s="595"/>
      <c r="S93" s="597"/>
      <c r="T93" s="595"/>
      <c r="U93" s="597"/>
      <c r="V93" s="778"/>
      <c r="W93" s="778"/>
      <c r="X93" s="778"/>
      <c r="Y93" s="778"/>
      <c r="Z93" s="778"/>
      <c r="AA93" s="778"/>
      <c r="AB93" s="778"/>
      <c r="AC93" s="778"/>
      <c r="AD93" s="778"/>
      <c r="AE93" s="778"/>
      <c r="AF93" s="778"/>
      <c r="AG93" s="778"/>
      <c r="AH93" s="778"/>
      <c r="AI93" s="778"/>
      <c r="AJ93" s="778"/>
      <c r="AK93" s="778"/>
      <c r="AL93" s="778"/>
      <c r="AM93" s="778"/>
      <c r="AN93" s="778"/>
      <c r="AO93" s="778"/>
      <c r="AP93" s="778"/>
      <c r="AQ93" s="778"/>
      <c r="AR93" s="778"/>
      <c r="AS93" s="778"/>
      <c r="AT93" s="778"/>
      <c r="AU93" s="598"/>
      <c r="AV93" s="598"/>
      <c r="AW93" s="598"/>
      <c r="AX93" s="595"/>
      <c r="AY93" s="595"/>
      <c r="AZ93" s="197"/>
      <c r="BA93" s="478" t="str">
        <f t="shared" si="2"/>
        <v>SUM_CO2</v>
      </c>
      <c r="BB93" s="573" t="str">
        <f t="shared" si="3"/>
        <v>SUM_EnergyIN</v>
      </c>
      <c r="BC93" s="600"/>
      <c r="BD93" s="5"/>
    </row>
    <row r="94" spans="1:56" x14ac:dyDescent="0.2">
      <c r="A94" s="600"/>
      <c r="B94" s="197"/>
      <c r="C94" s="534">
        <v>71</v>
      </c>
      <c r="D94" s="594"/>
      <c r="E94" s="594"/>
      <c r="F94" s="595"/>
      <c r="G94" s="596"/>
      <c r="H94" s="595"/>
      <c r="I94" s="596"/>
      <c r="J94" s="595"/>
      <c r="K94" s="596"/>
      <c r="L94" s="596"/>
      <c r="M94" s="596"/>
      <c r="N94" s="595"/>
      <c r="O94" s="597"/>
      <c r="P94" s="595"/>
      <c r="Q94" s="597"/>
      <c r="R94" s="595"/>
      <c r="S94" s="597"/>
      <c r="T94" s="595"/>
      <c r="U94" s="597"/>
      <c r="V94" s="778"/>
      <c r="W94" s="778"/>
      <c r="X94" s="778"/>
      <c r="Y94" s="778"/>
      <c r="Z94" s="778"/>
      <c r="AA94" s="778"/>
      <c r="AB94" s="778"/>
      <c r="AC94" s="778"/>
      <c r="AD94" s="778"/>
      <c r="AE94" s="778"/>
      <c r="AF94" s="778"/>
      <c r="AG94" s="778"/>
      <c r="AH94" s="778"/>
      <c r="AI94" s="778"/>
      <c r="AJ94" s="778"/>
      <c r="AK94" s="778"/>
      <c r="AL94" s="778"/>
      <c r="AM94" s="778"/>
      <c r="AN94" s="778"/>
      <c r="AO94" s="778"/>
      <c r="AP94" s="778"/>
      <c r="AQ94" s="778"/>
      <c r="AR94" s="778"/>
      <c r="AS94" s="778"/>
      <c r="AT94" s="778"/>
      <c r="AU94" s="598"/>
      <c r="AV94" s="598"/>
      <c r="AW94" s="598"/>
      <c r="AX94" s="595"/>
      <c r="AY94" s="595"/>
      <c r="AZ94" s="197"/>
      <c r="BA94" s="478" t="str">
        <f t="shared" si="2"/>
        <v>SUM_CO2</v>
      </c>
      <c r="BB94" s="573" t="str">
        <f t="shared" si="3"/>
        <v>SUM_EnergyIN</v>
      </c>
      <c r="BC94" s="600"/>
      <c r="BD94" s="5"/>
    </row>
    <row r="95" spans="1:56" x14ac:dyDescent="0.2">
      <c r="A95" s="600"/>
      <c r="B95" s="197"/>
      <c r="C95" s="534">
        <v>72</v>
      </c>
      <c r="D95" s="594"/>
      <c r="E95" s="594"/>
      <c r="F95" s="595"/>
      <c r="G95" s="596"/>
      <c r="H95" s="595"/>
      <c r="I95" s="596"/>
      <c r="J95" s="595"/>
      <c r="K95" s="596"/>
      <c r="L95" s="596"/>
      <c r="M95" s="596"/>
      <c r="N95" s="595"/>
      <c r="O95" s="597"/>
      <c r="P95" s="595"/>
      <c r="Q95" s="597"/>
      <c r="R95" s="595"/>
      <c r="S95" s="597"/>
      <c r="T95" s="595"/>
      <c r="U95" s="597"/>
      <c r="V95" s="778"/>
      <c r="W95" s="778"/>
      <c r="X95" s="778"/>
      <c r="Y95" s="778"/>
      <c r="Z95" s="778"/>
      <c r="AA95" s="778"/>
      <c r="AB95" s="778"/>
      <c r="AC95" s="778"/>
      <c r="AD95" s="778"/>
      <c r="AE95" s="778"/>
      <c r="AF95" s="778"/>
      <c r="AG95" s="778"/>
      <c r="AH95" s="778"/>
      <c r="AI95" s="778"/>
      <c r="AJ95" s="778"/>
      <c r="AK95" s="778"/>
      <c r="AL95" s="778"/>
      <c r="AM95" s="778"/>
      <c r="AN95" s="778"/>
      <c r="AO95" s="778"/>
      <c r="AP95" s="778"/>
      <c r="AQ95" s="778"/>
      <c r="AR95" s="778"/>
      <c r="AS95" s="778"/>
      <c r="AT95" s="778"/>
      <c r="AU95" s="598"/>
      <c r="AV95" s="598"/>
      <c r="AW95" s="598"/>
      <c r="AX95" s="595"/>
      <c r="AY95" s="595"/>
      <c r="AZ95" s="197"/>
      <c r="BA95" s="478" t="str">
        <f t="shared" si="2"/>
        <v>SUM_CO2</v>
      </c>
      <c r="BB95" s="573" t="str">
        <f t="shared" si="3"/>
        <v>SUM_EnergyIN</v>
      </c>
      <c r="BC95" s="600"/>
      <c r="BD95" s="5"/>
    </row>
    <row r="96" spans="1:56" x14ac:dyDescent="0.2">
      <c r="A96" s="600"/>
      <c r="B96" s="197"/>
      <c r="C96" s="534">
        <v>73</v>
      </c>
      <c r="D96" s="594"/>
      <c r="E96" s="594"/>
      <c r="F96" s="595"/>
      <c r="G96" s="596"/>
      <c r="H96" s="595"/>
      <c r="I96" s="596"/>
      <c r="J96" s="595"/>
      <c r="K96" s="596"/>
      <c r="L96" s="596"/>
      <c r="M96" s="596"/>
      <c r="N96" s="595"/>
      <c r="O96" s="597"/>
      <c r="P96" s="595"/>
      <c r="Q96" s="597"/>
      <c r="R96" s="595"/>
      <c r="S96" s="597"/>
      <c r="T96" s="595"/>
      <c r="U96" s="597"/>
      <c r="V96" s="778"/>
      <c r="W96" s="778"/>
      <c r="X96" s="778"/>
      <c r="Y96" s="778"/>
      <c r="Z96" s="778"/>
      <c r="AA96" s="778"/>
      <c r="AB96" s="778"/>
      <c r="AC96" s="778"/>
      <c r="AD96" s="778"/>
      <c r="AE96" s="778"/>
      <c r="AF96" s="778"/>
      <c r="AG96" s="778"/>
      <c r="AH96" s="778"/>
      <c r="AI96" s="778"/>
      <c r="AJ96" s="778"/>
      <c r="AK96" s="778"/>
      <c r="AL96" s="778"/>
      <c r="AM96" s="778"/>
      <c r="AN96" s="778"/>
      <c r="AO96" s="778"/>
      <c r="AP96" s="778"/>
      <c r="AQ96" s="778"/>
      <c r="AR96" s="778"/>
      <c r="AS96" s="778"/>
      <c r="AT96" s="778"/>
      <c r="AU96" s="598"/>
      <c r="AV96" s="598"/>
      <c r="AW96" s="598"/>
      <c r="AX96" s="595"/>
      <c r="AY96" s="595"/>
      <c r="AZ96" s="197"/>
      <c r="BA96" s="478" t="str">
        <f t="shared" si="2"/>
        <v>SUM_CO2</v>
      </c>
      <c r="BB96" s="573" t="str">
        <f t="shared" si="3"/>
        <v>SUM_EnergyIN</v>
      </c>
      <c r="BC96" s="600"/>
      <c r="BD96" s="5"/>
    </row>
    <row r="97" spans="1:56" x14ac:dyDescent="0.2">
      <c r="A97" s="600"/>
      <c r="B97" s="197"/>
      <c r="C97" s="534">
        <v>74</v>
      </c>
      <c r="D97" s="594"/>
      <c r="E97" s="594"/>
      <c r="F97" s="595"/>
      <c r="G97" s="596"/>
      <c r="H97" s="595"/>
      <c r="I97" s="596"/>
      <c r="J97" s="595"/>
      <c r="K97" s="596"/>
      <c r="L97" s="596"/>
      <c r="M97" s="596"/>
      <c r="N97" s="595"/>
      <c r="O97" s="597"/>
      <c r="P97" s="595"/>
      <c r="Q97" s="597"/>
      <c r="R97" s="595"/>
      <c r="S97" s="597"/>
      <c r="T97" s="595"/>
      <c r="U97" s="597"/>
      <c r="V97" s="778"/>
      <c r="W97" s="778"/>
      <c r="X97" s="778"/>
      <c r="Y97" s="778"/>
      <c r="Z97" s="778"/>
      <c r="AA97" s="778"/>
      <c r="AB97" s="778"/>
      <c r="AC97" s="778"/>
      <c r="AD97" s="778"/>
      <c r="AE97" s="778"/>
      <c r="AF97" s="778"/>
      <c r="AG97" s="778"/>
      <c r="AH97" s="778"/>
      <c r="AI97" s="778"/>
      <c r="AJ97" s="778"/>
      <c r="AK97" s="778"/>
      <c r="AL97" s="778"/>
      <c r="AM97" s="778"/>
      <c r="AN97" s="778"/>
      <c r="AO97" s="778"/>
      <c r="AP97" s="778"/>
      <c r="AQ97" s="778"/>
      <c r="AR97" s="778"/>
      <c r="AS97" s="778"/>
      <c r="AT97" s="778"/>
      <c r="AU97" s="598"/>
      <c r="AV97" s="598"/>
      <c r="AW97" s="598"/>
      <c r="AX97" s="595"/>
      <c r="AY97" s="595"/>
      <c r="AZ97" s="197"/>
      <c r="BA97" s="478" t="str">
        <f t="shared" si="2"/>
        <v>SUM_CO2</v>
      </c>
      <c r="BB97" s="573" t="str">
        <f t="shared" si="3"/>
        <v>SUM_EnergyIN</v>
      </c>
      <c r="BC97" s="600"/>
      <c r="BD97" s="5"/>
    </row>
    <row r="98" spans="1:56" x14ac:dyDescent="0.2">
      <c r="A98" s="600"/>
      <c r="B98" s="197"/>
      <c r="C98" s="534">
        <v>75</v>
      </c>
      <c r="D98" s="594"/>
      <c r="E98" s="594"/>
      <c r="F98" s="595"/>
      <c r="G98" s="596"/>
      <c r="H98" s="595"/>
      <c r="I98" s="596"/>
      <c r="J98" s="595"/>
      <c r="K98" s="596"/>
      <c r="L98" s="596"/>
      <c r="M98" s="596"/>
      <c r="N98" s="595"/>
      <c r="O98" s="597"/>
      <c r="P98" s="595"/>
      <c r="Q98" s="597"/>
      <c r="R98" s="595"/>
      <c r="S98" s="597"/>
      <c r="T98" s="595"/>
      <c r="U98" s="597"/>
      <c r="V98" s="778"/>
      <c r="W98" s="778"/>
      <c r="X98" s="778"/>
      <c r="Y98" s="778"/>
      <c r="Z98" s="778"/>
      <c r="AA98" s="778"/>
      <c r="AB98" s="778"/>
      <c r="AC98" s="778"/>
      <c r="AD98" s="778"/>
      <c r="AE98" s="778"/>
      <c r="AF98" s="778"/>
      <c r="AG98" s="778"/>
      <c r="AH98" s="778"/>
      <c r="AI98" s="778"/>
      <c r="AJ98" s="778"/>
      <c r="AK98" s="778"/>
      <c r="AL98" s="778"/>
      <c r="AM98" s="778"/>
      <c r="AN98" s="778"/>
      <c r="AO98" s="778"/>
      <c r="AP98" s="778"/>
      <c r="AQ98" s="778"/>
      <c r="AR98" s="778"/>
      <c r="AS98" s="778"/>
      <c r="AT98" s="778"/>
      <c r="AU98" s="598"/>
      <c r="AV98" s="598"/>
      <c r="AW98" s="598"/>
      <c r="AX98" s="595"/>
      <c r="AY98" s="595"/>
      <c r="AZ98" s="197"/>
      <c r="BA98" s="478" t="str">
        <f t="shared" si="2"/>
        <v>SUM_CO2</v>
      </c>
      <c r="BB98" s="573" t="str">
        <f t="shared" si="3"/>
        <v>SUM_EnergyIN</v>
      </c>
      <c r="BC98" s="600"/>
      <c r="BD98" s="5"/>
    </row>
    <row r="99" spans="1:56" x14ac:dyDescent="0.2">
      <c r="A99" s="600"/>
      <c r="B99" s="197"/>
      <c r="C99" s="77"/>
      <c r="D99" s="197"/>
      <c r="E99" s="197"/>
      <c r="F99" s="197"/>
      <c r="G99" s="197"/>
      <c r="H99" s="197"/>
      <c r="I99" s="197"/>
      <c r="J99" s="197"/>
      <c r="K99" s="197"/>
      <c r="L99" s="197"/>
      <c r="N99" s="197"/>
      <c r="O99" s="197"/>
      <c r="P99" s="197"/>
      <c r="Q99" s="197"/>
      <c r="R99" s="197"/>
      <c r="S99" s="197"/>
      <c r="T99" s="197"/>
      <c r="U99" s="197"/>
      <c r="V99" s="197"/>
      <c r="W99" s="197"/>
      <c r="X99" s="197"/>
      <c r="Y99" s="197"/>
      <c r="Z99" s="197"/>
      <c r="AA99" s="197"/>
      <c r="AB99" s="197"/>
      <c r="AC99" s="197"/>
      <c r="AD99" s="197"/>
      <c r="AE99" s="197"/>
      <c r="AF99" s="197"/>
      <c r="AG99" s="197"/>
      <c r="AH99" s="197"/>
      <c r="AI99" s="197"/>
      <c r="AJ99" s="197"/>
      <c r="AK99" s="197"/>
      <c r="AL99" s="197"/>
      <c r="AM99" s="197"/>
      <c r="AN99" s="197"/>
      <c r="AO99" s="197"/>
      <c r="AP99" s="197"/>
      <c r="AQ99" s="197"/>
      <c r="AR99" s="197"/>
      <c r="AS99" s="197"/>
      <c r="AT99" s="197"/>
      <c r="AU99" s="197"/>
      <c r="AV99" s="197"/>
      <c r="AW99" s="197"/>
      <c r="AX99" s="197"/>
      <c r="AY99" s="197"/>
      <c r="AZ99" s="197"/>
      <c r="BA99" s="600"/>
      <c r="BB99" s="600"/>
      <c r="BC99" s="600"/>
      <c r="BD99" s="5"/>
    </row>
    <row r="100" spans="1:56" ht="50.1" customHeight="1" thickBot="1" x14ac:dyDescent="0.45">
      <c r="A100" s="600"/>
      <c r="B100" s="197"/>
      <c r="C100" s="77"/>
      <c r="D100" s="522" t="str">
        <f>Translations!$B$339</f>
        <v>Strumienie materiałów wsadowych w przypadku PFC</v>
      </c>
      <c r="E100" s="197"/>
      <c r="F100" s="197"/>
      <c r="G100" s="197"/>
      <c r="H100" s="197"/>
      <c r="I100" s="197"/>
      <c r="J100" s="197"/>
      <c r="K100" s="197"/>
      <c r="L100" s="197"/>
      <c r="N100" s="197"/>
      <c r="O100" s="197"/>
      <c r="P100" s="197"/>
      <c r="Q100" s="197"/>
      <c r="R100" s="197"/>
      <c r="S100" s="197"/>
      <c r="T100" s="197"/>
      <c r="U100" s="197"/>
      <c r="V100" s="197"/>
      <c r="W100" s="197"/>
      <c r="X100" s="197"/>
      <c r="Y100" s="197"/>
      <c r="Z100" s="197"/>
      <c r="AA100" s="197"/>
      <c r="AB100" s="197"/>
      <c r="AC100" s="197"/>
      <c r="AD100" s="197"/>
      <c r="AE100" s="197"/>
      <c r="AF100" s="197"/>
      <c r="AG100" s="197"/>
      <c r="AH100" s="197"/>
      <c r="AI100" s="197"/>
      <c r="AJ100" s="197"/>
      <c r="AK100" s="197"/>
      <c r="AL100" s="197"/>
      <c r="AM100" s="197"/>
      <c r="AN100" s="197"/>
      <c r="AO100" s="197"/>
      <c r="AP100" s="197"/>
      <c r="AQ100" s="197"/>
      <c r="AR100" s="197"/>
      <c r="AS100" s="197"/>
      <c r="AT100" s="197"/>
      <c r="AU100" s="197"/>
      <c r="AV100" s="197"/>
      <c r="AW100" s="197"/>
      <c r="AX100" s="197"/>
      <c r="AY100" s="197"/>
      <c r="AZ100" s="197"/>
      <c r="BA100" s="600"/>
      <c r="BB100" s="600"/>
      <c r="BC100" s="600"/>
      <c r="BD100" s="5"/>
    </row>
    <row r="101" spans="1:56" ht="50.1" customHeight="1" thickBot="1" x14ac:dyDescent="0.25">
      <c r="A101" s="600"/>
      <c r="B101" s="197"/>
      <c r="C101" s="523" t="s">
        <v>482</v>
      </c>
      <c r="D101" s="524" t="str">
        <f>Translations!$B$282</f>
        <v>Metoda</v>
      </c>
      <c r="E101" s="524" t="str">
        <f>Translations!$B$340</f>
        <v>Nazwa</v>
      </c>
      <c r="F101" s="525" t="str">
        <f>Translations!$B$284</f>
        <v>Dane dotyczące działalności (AD)</v>
      </c>
      <c r="G101" s="525" t="str">
        <f>Translations!$B$285</f>
        <v>Jednostka AD</v>
      </c>
      <c r="H101" s="525" t="str">
        <f>Translations!$B$286</f>
        <v>Wartość opałowa (NCV)</v>
      </c>
      <c r="I101" s="525" t="str">
        <f>Translations!$B$287</f>
        <v>Jednostka NCV</v>
      </c>
      <c r="J101" s="525" t="str">
        <f>Translations!$B$288</f>
        <v>Współczynnik emisji (EF)</v>
      </c>
      <c r="K101" s="525" t="str">
        <f>Translations!$B$289</f>
        <v>Jednostka EF</v>
      </c>
      <c r="L101" s="525" t="str">
        <f>Translations!$B$290</f>
        <v>Zawartość węgla</v>
      </c>
      <c r="M101" s="525" t="str">
        <f>Translations!$B$291</f>
        <v>Jednostka zawartości węgla</v>
      </c>
      <c r="N101" s="525" t="str">
        <f>Translations!$B$292</f>
        <v>Współczynnik utleniania (OxF)</v>
      </c>
      <c r="O101" s="525" t="str">
        <f>Translations!$B$293</f>
        <v>Jednostka OxF</v>
      </c>
      <c r="P101" s="525" t="str">
        <f>Translations!$B$294</f>
        <v>Współczynnik konwersji</v>
      </c>
      <c r="Q101" s="525" t="str">
        <f>Translations!$B$295</f>
        <v>Jednostka współczynnika konwersji</v>
      </c>
      <c r="R101" s="525" t="str">
        <f>Translations!$B$296</f>
        <v>Zawartość biomasy (BioC)</v>
      </c>
      <c r="S101" s="525" t="str">
        <f>Translations!$B$297</f>
        <v>Jednostka BioC</v>
      </c>
      <c r="T101" s="525" t="str">
        <f>Translations!$B$298</f>
        <v>BioC niezrówn.</v>
      </c>
      <c r="U101" s="525" t="str">
        <f>Translations!$B$299</f>
        <v>Jednostka BioC niezrówn.</v>
      </c>
      <c r="V101" s="525" t="str">
        <f>Translations!$B$300</f>
        <v>Średnie godzinowe stężenie gazów cieplarnianych (GHG)</v>
      </c>
      <c r="W101" s="525" t="str">
        <f>Translations!$B$301</f>
        <v>Jednostka godzinowego stężenia GHG</v>
      </c>
      <c r="X101" s="525" t="str">
        <f>Translations!$B$302</f>
        <v>Godziny działania</v>
      </c>
      <c r="Y101" s="525" t="str">
        <f>Translations!$B$303</f>
        <v>Jednostka godzin działania</v>
      </c>
      <c r="Z101" s="525" t="str">
        <f>Translations!$B$304</f>
        <v>Przepływ spalin (średnia)</v>
      </c>
      <c r="AA101" s="525" t="str">
        <f>Translations!$B$305</f>
        <v>Jednostka przepływu spalin (średnia)</v>
      </c>
      <c r="AB101" s="525" t="str">
        <f>Translations!$B$306</f>
        <v>Przepływ spalin (łącznie)</v>
      </c>
      <c r="AC101" s="525" t="str">
        <f>Translations!$B$307</f>
        <v>Jednostka przepływu spalin (łącznie)</v>
      </c>
      <c r="AD101" s="525" t="str">
        <f>Translations!$B$308</f>
        <v>Roczna ilość GHG</v>
      </c>
      <c r="AE101" s="525" t="str">
        <f>Translations!$B$309</f>
        <v>Jednostka rocznej ilości GHG</v>
      </c>
      <c r="AF101" s="525" t="str">
        <f>Translations!$B$310</f>
        <v>Współczynnik ocieplenia globalnego GWP (tCO2e/t)</v>
      </c>
      <c r="AG101" s="525" t="str">
        <f>Translations!$B$311</f>
        <v>A: Częstotliwość</v>
      </c>
      <c r="AH101" s="525" t="str">
        <f>Translations!$B$312</f>
        <v>A: Czas trwania</v>
      </c>
      <c r="AI101" s="525" t="str">
        <f>Translations!$B$313</f>
        <v>A: SEF (CF4)</v>
      </c>
      <c r="AJ101" s="525" t="str">
        <f>Translations!$B$314</f>
        <v>B: AEO</v>
      </c>
      <c r="AK101" s="525" t="str">
        <f>Translations!$B$315</f>
        <v>B: CE</v>
      </c>
      <c r="AL101" s="525" t="str">
        <f>Translations!$B$316</f>
        <v>B: OVC</v>
      </c>
      <c r="AM101" s="525" t="str">
        <f>Translations!$B$317</f>
        <v>F(C2F6)</v>
      </c>
      <c r="AN101" s="525" t="str">
        <f>Translations!$B$318</f>
        <v>Emisje CF4 (t CF4)</v>
      </c>
      <c r="AO101" s="525" t="str">
        <f>Translations!$B$319</f>
        <v>Emisje C2F6 (t C2F6)</v>
      </c>
      <c r="AP101" s="525" t="str">
        <f>Translations!$B$320</f>
        <v>GWP (CF4) (tCO2e/t)</v>
      </c>
      <c r="AQ101" s="525" t="str">
        <f>Translations!$B$321</f>
        <v>GWP (C2F6) (tCO2e/t)</v>
      </c>
      <c r="AR101" s="525" t="str">
        <f>Translations!$B$322</f>
        <v>Emisje CF4 (t CO2e)</v>
      </c>
      <c r="AS101" s="525" t="str">
        <f>Translations!$B$323</f>
        <v>Emisje C2F6 (t CO2e)</v>
      </c>
      <c r="AT101" s="525" t="str">
        <f>Translations!$B$324</f>
        <v>Całkowita wydajność, %</v>
      </c>
      <c r="AU101" s="525" t="str">
        <f>Translations!$B$325</f>
        <v>Kopalne CO2e (t)</v>
      </c>
      <c r="AV101" s="525" t="str">
        <f>Translations!$B$326</f>
        <v>CO2e z biomasy (t)</v>
      </c>
      <c r="AW101" s="525" t="str">
        <f>Translations!$B$327</f>
        <v>CO2e z biomasy niezrówn. (t)</v>
      </c>
      <c r="AX101" s="526" t="str">
        <f>Translations!$B$328</f>
        <v>Zawartość energii (kopalne), TJ</v>
      </c>
      <c r="AY101" s="527" t="str">
        <f>Translations!$B$329</f>
        <v>Zawartość energii (biomasa), TJ</v>
      </c>
      <c r="AZ101" s="197"/>
      <c r="BA101" s="600"/>
      <c r="BB101" s="600"/>
      <c r="BC101" s="600"/>
      <c r="BD101" s="5"/>
    </row>
    <row r="102" spans="1:56" ht="12.75" customHeight="1" x14ac:dyDescent="0.2">
      <c r="A102" s="600"/>
      <c r="B102" s="197"/>
      <c r="C102" s="533" t="str">
        <f>Translations!$B$341</f>
        <v>Przykł.</v>
      </c>
      <c r="D102" s="690" t="str">
        <f>Translations!$B$342</f>
        <v>Emisje PFC</v>
      </c>
      <c r="E102" s="690" t="str">
        <f>Translations!$B$343</f>
        <v>Elektrolizer Prebake (CWPB); Anoda typu A</v>
      </c>
      <c r="F102" s="691">
        <v>5000</v>
      </c>
      <c r="G102" s="528" t="s">
        <v>212</v>
      </c>
      <c r="H102" s="779"/>
      <c r="I102" s="780"/>
      <c r="J102" s="779"/>
      <c r="K102" s="780"/>
      <c r="L102" s="780"/>
      <c r="M102" s="780"/>
      <c r="N102" s="779"/>
      <c r="O102" s="778"/>
      <c r="P102" s="779"/>
      <c r="Q102" s="778"/>
      <c r="R102" s="779"/>
      <c r="S102" s="778"/>
      <c r="T102" s="779"/>
      <c r="U102" s="778"/>
      <c r="V102" s="778"/>
      <c r="W102" s="778"/>
      <c r="X102" s="778"/>
      <c r="Y102" s="778"/>
      <c r="Z102" s="778"/>
      <c r="AA102" s="778"/>
      <c r="AB102" s="778"/>
      <c r="AC102" s="778"/>
      <c r="AD102" s="778"/>
      <c r="AE102" s="778"/>
      <c r="AF102" s="778"/>
      <c r="AG102" s="691">
        <v>300</v>
      </c>
      <c r="AH102" s="691">
        <v>2</v>
      </c>
      <c r="AI102" s="691">
        <v>0.14599999999999999</v>
      </c>
      <c r="AJ102" s="691">
        <v>0</v>
      </c>
      <c r="AK102" s="691">
        <v>0</v>
      </c>
      <c r="AL102" s="691">
        <v>0</v>
      </c>
      <c r="AM102" s="691">
        <v>0.122</v>
      </c>
      <c r="AN102" s="691">
        <v>4.38</v>
      </c>
      <c r="AO102" s="691">
        <v>0.53435999999999995</v>
      </c>
      <c r="AP102" s="695">
        <v>7390</v>
      </c>
      <c r="AQ102" s="695">
        <v>12200</v>
      </c>
      <c r="AR102" s="695">
        <v>32368.2</v>
      </c>
      <c r="AS102" s="695">
        <v>6519.1919999999991</v>
      </c>
      <c r="AT102" s="691">
        <v>98</v>
      </c>
      <c r="AU102" s="693">
        <v>39681.01224489796</v>
      </c>
      <c r="AV102" s="693"/>
      <c r="AW102" s="693"/>
      <c r="AX102" s="691"/>
      <c r="AY102" s="691"/>
      <c r="AZ102" s="197"/>
      <c r="BA102" s="600"/>
      <c r="BB102" s="600"/>
      <c r="BC102" s="600"/>
      <c r="BD102" s="5"/>
    </row>
    <row r="103" spans="1:56" x14ac:dyDescent="0.2">
      <c r="A103" s="600"/>
      <c r="B103" s="197"/>
      <c r="C103" s="528">
        <v>1</v>
      </c>
      <c r="D103" s="675"/>
      <c r="E103" s="594"/>
      <c r="F103" s="595"/>
      <c r="G103" s="596"/>
      <c r="H103" s="779"/>
      <c r="I103" s="780"/>
      <c r="J103" s="779"/>
      <c r="K103" s="780"/>
      <c r="L103" s="780"/>
      <c r="M103" s="780"/>
      <c r="N103" s="779"/>
      <c r="O103" s="778"/>
      <c r="P103" s="779"/>
      <c r="Q103" s="778"/>
      <c r="R103" s="779"/>
      <c r="S103" s="778"/>
      <c r="T103" s="779"/>
      <c r="U103" s="778"/>
      <c r="V103" s="778"/>
      <c r="W103" s="778"/>
      <c r="X103" s="778"/>
      <c r="Y103" s="778"/>
      <c r="Z103" s="778"/>
      <c r="AA103" s="778"/>
      <c r="AB103" s="778"/>
      <c r="AC103" s="778"/>
      <c r="AD103" s="778"/>
      <c r="AE103" s="778"/>
      <c r="AF103" s="778"/>
      <c r="AG103" s="595"/>
      <c r="AH103" s="595"/>
      <c r="AI103" s="595"/>
      <c r="AJ103" s="595"/>
      <c r="AK103" s="595"/>
      <c r="AL103" s="595"/>
      <c r="AM103" s="595"/>
      <c r="AN103" s="595"/>
      <c r="AO103" s="595"/>
      <c r="AP103" s="599"/>
      <c r="AQ103" s="599"/>
      <c r="AR103" s="599"/>
      <c r="AS103" s="599"/>
      <c r="AT103" s="595"/>
      <c r="AU103" s="598"/>
      <c r="AV103" s="598"/>
      <c r="AW103" s="598"/>
      <c r="AX103" s="595"/>
      <c r="AY103" s="595"/>
      <c r="AZ103" s="197"/>
      <c r="BA103" s="478" t="str">
        <f t="shared" ref="BA103:BA112" si="4">EUconst_SumPFC</f>
        <v>SUM_PFC</v>
      </c>
      <c r="BB103" s="573" t="str">
        <f t="shared" ref="BB103:BB112" si="5">EUconst_SumEnergyIN</f>
        <v>SUM_EnergyIN</v>
      </c>
      <c r="BC103" s="600"/>
      <c r="BD103" s="5"/>
    </row>
    <row r="104" spans="1:56" x14ac:dyDescent="0.2">
      <c r="A104" s="600"/>
      <c r="B104" s="197"/>
      <c r="C104" s="529">
        <v>2</v>
      </c>
      <c r="D104" s="675"/>
      <c r="E104" s="594"/>
      <c r="F104" s="595"/>
      <c r="G104" s="596"/>
      <c r="H104" s="779"/>
      <c r="I104" s="780"/>
      <c r="J104" s="779"/>
      <c r="K104" s="780"/>
      <c r="L104" s="780"/>
      <c r="M104" s="780"/>
      <c r="N104" s="779"/>
      <c r="O104" s="778"/>
      <c r="P104" s="779"/>
      <c r="Q104" s="778"/>
      <c r="R104" s="779"/>
      <c r="S104" s="778"/>
      <c r="T104" s="779"/>
      <c r="U104" s="778"/>
      <c r="V104" s="778"/>
      <c r="W104" s="778"/>
      <c r="X104" s="778"/>
      <c r="Y104" s="778"/>
      <c r="Z104" s="778"/>
      <c r="AA104" s="778"/>
      <c r="AB104" s="778"/>
      <c r="AC104" s="778"/>
      <c r="AD104" s="778"/>
      <c r="AE104" s="778"/>
      <c r="AF104" s="778"/>
      <c r="AG104" s="595"/>
      <c r="AH104" s="595"/>
      <c r="AI104" s="595"/>
      <c r="AJ104" s="595"/>
      <c r="AK104" s="595"/>
      <c r="AL104" s="595"/>
      <c r="AM104" s="595"/>
      <c r="AN104" s="595"/>
      <c r="AO104" s="595"/>
      <c r="AP104" s="599"/>
      <c r="AQ104" s="599"/>
      <c r="AR104" s="599"/>
      <c r="AS104" s="599"/>
      <c r="AT104" s="595"/>
      <c r="AU104" s="598"/>
      <c r="AV104" s="598"/>
      <c r="AW104" s="598"/>
      <c r="AX104" s="595"/>
      <c r="AY104" s="595"/>
      <c r="AZ104" s="197"/>
      <c r="BA104" s="478" t="str">
        <f t="shared" si="4"/>
        <v>SUM_PFC</v>
      </c>
      <c r="BB104" s="573" t="str">
        <f t="shared" si="5"/>
        <v>SUM_EnergyIN</v>
      </c>
      <c r="BC104" s="600"/>
      <c r="BD104" s="5"/>
    </row>
    <row r="105" spans="1:56" x14ac:dyDescent="0.2">
      <c r="A105" s="600"/>
      <c r="B105" s="197"/>
      <c r="C105" s="529">
        <v>3</v>
      </c>
      <c r="D105" s="675"/>
      <c r="E105" s="594"/>
      <c r="F105" s="595"/>
      <c r="G105" s="596"/>
      <c r="H105" s="779"/>
      <c r="I105" s="780"/>
      <c r="J105" s="779"/>
      <c r="K105" s="780"/>
      <c r="L105" s="780"/>
      <c r="M105" s="780"/>
      <c r="N105" s="779"/>
      <c r="O105" s="778"/>
      <c r="P105" s="779"/>
      <c r="Q105" s="778"/>
      <c r="R105" s="779"/>
      <c r="S105" s="778"/>
      <c r="T105" s="779"/>
      <c r="U105" s="778"/>
      <c r="V105" s="778"/>
      <c r="W105" s="778"/>
      <c r="X105" s="778"/>
      <c r="Y105" s="778"/>
      <c r="Z105" s="778"/>
      <c r="AA105" s="778"/>
      <c r="AB105" s="778"/>
      <c r="AC105" s="778"/>
      <c r="AD105" s="778"/>
      <c r="AE105" s="778"/>
      <c r="AF105" s="778"/>
      <c r="AG105" s="595"/>
      <c r="AH105" s="595"/>
      <c r="AI105" s="595"/>
      <c r="AJ105" s="595"/>
      <c r="AK105" s="595"/>
      <c r="AL105" s="595"/>
      <c r="AM105" s="595"/>
      <c r="AN105" s="595"/>
      <c r="AO105" s="595"/>
      <c r="AP105" s="599"/>
      <c r="AQ105" s="599"/>
      <c r="AR105" s="599"/>
      <c r="AS105" s="599"/>
      <c r="AT105" s="595"/>
      <c r="AU105" s="598"/>
      <c r="AV105" s="598"/>
      <c r="AW105" s="598"/>
      <c r="AX105" s="595"/>
      <c r="AY105" s="595"/>
      <c r="AZ105" s="197"/>
      <c r="BA105" s="478" t="str">
        <f t="shared" si="4"/>
        <v>SUM_PFC</v>
      </c>
      <c r="BB105" s="573" t="str">
        <f t="shared" si="5"/>
        <v>SUM_EnergyIN</v>
      </c>
      <c r="BC105" s="600"/>
      <c r="BD105" s="5"/>
    </row>
    <row r="106" spans="1:56" x14ac:dyDescent="0.2">
      <c r="A106" s="600"/>
      <c r="B106" s="197"/>
      <c r="C106" s="529">
        <v>4</v>
      </c>
      <c r="D106" s="675"/>
      <c r="E106" s="594"/>
      <c r="F106" s="595"/>
      <c r="G106" s="596"/>
      <c r="H106" s="779"/>
      <c r="I106" s="780"/>
      <c r="J106" s="779"/>
      <c r="K106" s="780"/>
      <c r="L106" s="780"/>
      <c r="M106" s="780"/>
      <c r="N106" s="779"/>
      <c r="O106" s="778"/>
      <c r="P106" s="779"/>
      <c r="Q106" s="778"/>
      <c r="R106" s="779"/>
      <c r="S106" s="778"/>
      <c r="T106" s="779"/>
      <c r="U106" s="778"/>
      <c r="V106" s="778"/>
      <c r="W106" s="778"/>
      <c r="X106" s="778"/>
      <c r="Y106" s="778"/>
      <c r="Z106" s="778"/>
      <c r="AA106" s="778"/>
      <c r="AB106" s="778"/>
      <c r="AC106" s="778"/>
      <c r="AD106" s="778"/>
      <c r="AE106" s="778"/>
      <c r="AF106" s="778"/>
      <c r="AG106" s="595"/>
      <c r="AH106" s="595"/>
      <c r="AI106" s="595"/>
      <c r="AJ106" s="595"/>
      <c r="AK106" s="595"/>
      <c r="AL106" s="595"/>
      <c r="AM106" s="595"/>
      <c r="AN106" s="595"/>
      <c r="AO106" s="595"/>
      <c r="AP106" s="599"/>
      <c r="AQ106" s="599"/>
      <c r="AR106" s="599"/>
      <c r="AS106" s="599"/>
      <c r="AT106" s="595"/>
      <c r="AU106" s="598"/>
      <c r="AV106" s="598"/>
      <c r="AW106" s="598"/>
      <c r="AX106" s="595"/>
      <c r="AY106" s="595"/>
      <c r="AZ106" s="197"/>
      <c r="BA106" s="478" t="str">
        <f t="shared" si="4"/>
        <v>SUM_PFC</v>
      </c>
      <c r="BB106" s="573" t="str">
        <f t="shared" si="5"/>
        <v>SUM_EnergyIN</v>
      </c>
      <c r="BC106" s="600"/>
      <c r="BD106" s="5"/>
    </row>
    <row r="107" spans="1:56" x14ac:dyDescent="0.2">
      <c r="A107" s="600"/>
      <c r="B107" s="197"/>
      <c r="C107" s="529">
        <v>5</v>
      </c>
      <c r="D107" s="675"/>
      <c r="E107" s="594"/>
      <c r="F107" s="595"/>
      <c r="G107" s="596"/>
      <c r="H107" s="779"/>
      <c r="I107" s="780"/>
      <c r="J107" s="779"/>
      <c r="K107" s="780"/>
      <c r="L107" s="780"/>
      <c r="M107" s="780"/>
      <c r="N107" s="779"/>
      <c r="O107" s="778"/>
      <c r="P107" s="779"/>
      <c r="Q107" s="778"/>
      <c r="R107" s="779"/>
      <c r="S107" s="778"/>
      <c r="T107" s="779"/>
      <c r="U107" s="778"/>
      <c r="V107" s="778"/>
      <c r="W107" s="778"/>
      <c r="X107" s="778"/>
      <c r="Y107" s="778"/>
      <c r="Z107" s="778"/>
      <c r="AA107" s="778"/>
      <c r="AB107" s="778"/>
      <c r="AC107" s="778"/>
      <c r="AD107" s="778"/>
      <c r="AE107" s="778"/>
      <c r="AF107" s="778"/>
      <c r="AG107" s="595"/>
      <c r="AH107" s="595"/>
      <c r="AI107" s="595"/>
      <c r="AJ107" s="595"/>
      <c r="AK107" s="595"/>
      <c r="AL107" s="595"/>
      <c r="AM107" s="595"/>
      <c r="AN107" s="595"/>
      <c r="AO107" s="595"/>
      <c r="AP107" s="599"/>
      <c r="AQ107" s="599"/>
      <c r="AR107" s="599"/>
      <c r="AS107" s="599"/>
      <c r="AT107" s="595"/>
      <c r="AU107" s="598"/>
      <c r="AV107" s="598"/>
      <c r="AW107" s="598"/>
      <c r="AX107" s="595"/>
      <c r="AY107" s="595"/>
      <c r="AZ107" s="197"/>
      <c r="BA107" s="478" t="str">
        <f t="shared" si="4"/>
        <v>SUM_PFC</v>
      </c>
      <c r="BB107" s="573" t="str">
        <f t="shared" si="5"/>
        <v>SUM_EnergyIN</v>
      </c>
      <c r="BC107" s="600"/>
      <c r="BD107" s="5"/>
    </row>
    <row r="108" spans="1:56" x14ac:dyDescent="0.2">
      <c r="A108" s="600"/>
      <c r="B108" s="197"/>
      <c r="C108" s="529">
        <v>6</v>
      </c>
      <c r="D108" s="675"/>
      <c r="E108" s="594"/>
      <c r="F108" s="595"/>
      <c r="G108" s="596"/>
      <c r="H108" s="779"/>
      <c r="I108" s="780"/>
      <c r="J108" s="779"/>
      <c r="K108" s="780"/>
      <c r="L108" s="780"/>
      <c r="M108" s="780"/>
      <c r="N108" s="779"/>
      <c r="O108" s="778"/>
      <c r="P108" s="779"/>
      <c r="Q108" s="778"/>
      <c r="R108" s="779"/>
      <c r="S108" s="778"/>
      <c r="T108" s="779"/>
      <c r="U108" s="778"/>
      <c r="V108" s="778"/>
      <c r="W108" s="778"/>
      <c r="X108" s="778"/>
      <c r="Y108" s="778"/>
      <c r="Z108" s="778"/>
      <c r="AA108" s="778"/>
      <c r="AB108" s="778"/>
      <c r="AC108" s="778"/>
      <c r="AD108" s="778"/>
      <c r="AE108" s="778"/>
      <c r="AF108" s="778"/>
      <c r="AG108" s="595"/>
      <c r="AH108" s="595"/>
      <c r="AI108" s="595"/>
      <c r="AJ108" s="595"/>
      <c r="AK108" s="595"/>
      <c r="AL108" s="595"/>
      <c r="AM108" s="595"/>
      <c r="AN108" s="595"/>
      <c r="AO108" s="595"/>
      <c r="AP108" s="599"/>
      <c r="AQ108" s="599"/>
      <c r="AR108" s="599"/>
      <c r="AS108" s="599"/>
      <c r="AT108" s="595"/>
      <c r="AU108" s="598"/>
      <c r="AV108" s="598"/>
      <c r="AW108" s="598"/>
      <c r="AX108" s="595"/>
      <c r="AY108" s="595"/>
      <c r="AZ108" s="197"/>
      <c r="BA108" s="478" t="str">
        <f t="shared" si="4"/>
        <v>SUM_PFC</v>
      </c>
      <c r="BB108" s="573" t="str">
        <f t="shared" si="5"/>
        <v>SUM_EnergyIN</v>
      </c>
      <c r="BC108" s="600"/>
      <c r="BD108" s="5"/>
    </row>
    <row r="109" spans="1:56" x14ac:dyDescent="0.2">
      <c r="A109" s="600"/>
      <c r="B109" s="197"/>
      <c r="C109" s="529">
        <v>7</v>
      </c>
      <c r="D109" s="675"/>
      <c r="E109" s="594"/>
      <c r="F109" s="595"/>
      <c r="G109" s="596"/>
      <c r="H109" s="779"/>
      <c r="I109" s="780"/>
      <c r="J109" s="779"/>
      <c r="K109" s="780"/>
      <c r="L109" s="780"/>
      <c r="M109" s="780"/>
      <c r="N109" s="779"/>
      <c r="O109" s="778"/>
      <c r="P109" s="779"/>
      <c r="Q109" s="778"/>
      <c r="R109" s="779"/>
      <c r="S109" s="778"/>
      <c r="T109" s="779"/>
      <c r="U109" s="778"/>
      <c r="V109" s="778"/>
      <c r="W109" s="778"/>
      <c r="X109" s="778"/>
      <c r="Y109" s="778"/>
      <c r="Z109" s="778"/>
      <c r="AA109" s="778"/>
      <c r="AB109" s="778"/>
      <c r="AC109" s="778"/>
      <c r="AD109" s="778"/>
      <c r="AE109" s="778"/>
      <c r="AF109" s="778"/>
      <c r="AG109" s="595"/>
      <c r="AH109" s="595"/>
      <c r="AI109" s="595"/>
      <c r="AJ109" s="595"/>
      <c r="AK109" s="595"/>
      <c r="AL109" s="595"/>
      <c r="AM109" s="595"/>
      <c r="AN109" s="595"/>
      <c r="AO109" s="595"/>
      <c r="AP109" s="599"/>
      <c r="AQ109" s="599"/>
      <c r="AR109" s="599"/>
      <c r="AS109" s="599"/>
      <c r="AT109" s="595"/>
      <c r="AU109" s="598"/>
      <c r="AV109" s="598"/>
      <c r="AW109" s="598"/>
      <c r="AX109" s="595"/>
      <c r="AY109" s="595"/>
      <c r="AZ109" s="197"/>
      <c r="BA109" s="478" t="str">
        <f t="shared" si="4"/>
        <v>SUM_PFC</v>
      </c>
      <c r="BB109" s="573" t="str">
        <f t="shared" si="5"/>
        <v>SUM_EnergyIN</v>
      </c>
      <c r="BC109" s="600"/>
      <c r="BD109" s="5"/>
    </row>
    <row r="110" spans="1:56" x14ac:dyDescent="0.2">
      <c r="A110" s="600"/>
      <c r="B110" s="197"/>
      <c r="C110" s="529">
        <v>8</v>
      </c>
      <c r="D110" s="675"/>
      <c r="E110" s="594"/>
      <c r="F110" s="595"/>
      <c r="G110" s="596"/>
      <c r="H110" s="779"/>
      <c r="I110" s="780"/>
      <c r="J110" s="779"/>
      <c r="K110" s="780"/>
      <c r="L110" s="780"/>
      <c r="M110" s="780"/>
      <c r="N110" s="779"/>
      <c r="O110" s="778"/>
      <c r="P110" s="779"/>
      <c r="Q110" s="778"/>
      <c r="R110" s="779"/>
      <c r="S110" s="778"/>
      <c r="T110" s="779"/>
      <c r="U110" s="778"/>
      <c r="V110" s="778"/>
      <c r="W110" s="778"/>
      <c r="X110" s="778"/>
      <c r="Y110" s="778"/>
      <c r="Z110" s="778"/>
      <c r="AA110" s="778"/>
      <c r="AB110" s="778"/>
      <c r="AC110" s="778"/>
      <c r="AD110" s="778"/>
      <c r="AE110" s="778"/>
      <c r="AF110" s="778"/>
      <c r="AG110" s="595"/>
      <c r="AH110" s="595"/>
      <c r="AI110" s="595"/>
      <c r="AJ110" s="595"/>
      <c r="AK110" s="595"/>
      <c r="AL110" s="595"/>
      <c r="AM110" s="595"/>
      <c r="AN110" s="595"/>
      <c r="AO110" s="595"/>
      <c r="AP110" s="599"/>
      <c r="AQ110" s="599"/>
      <c r="AR110" s="599"/>
      <c r="AS110" s="599"/>
      <c r="AT110" s="595"/>
      <c r="AU110" s="598"/>
      <c r="AV110" s="598"/>
      <c r="AW110" s="598"/>
      <c r="AX110" s="595"/>
      <c r="AY110" s="595"/>
      <c r="AZ110" s="197"/>
      <c r="BA110" s="478" t="str">
        <f t="shared" si="4"/>
        <v>SUM_PFC</v>
      </c>
      <c r="BB110" s="573" t="str">
        <f t="shared" si="5"/>
        <v>SUM_EnergyIN</v>
      </c>
      <c r="BC110" s="600"/>
      <c r="BD110" s="5"/>
    </row>
    <row r="111" spans="1:56" x14ac:dyDescent="0.2">
      <c r="A111" s="600"/>
      <c r="B111" s="197"/>
      <c r="C111" s="529">
        <v>9</v>
      </c>
      <c r="D111" s="675"/>
      <c r="E111" s="594"/>
      <c r="F111" s="595"/>
      <c r="G111" s="596"/>
      <c r="H111" s="779"/>
      <c r="I111" s="780"/>
      <c r="J111" s="779"/>
      <c r="K111" s="780"/>
      <c r="L111" s="780"/>
      <c r="M111" s="780"/>
      <c r="N111" s="779"/>
      <c r="O111" s="778"/>
      <c r="P111" s="779"/>
      <c r="Q111" s="778"/>
      <c r="R111" s="779"/>
      <c r="S111" s="778"/>
      <c r="T111" s="779"/>
      <c r="U111" s="778"/>
      <c r="V111" s="778"/>
      <c r="W111" s="778"/>
      <c r="X111" s="778"/>
      <c r="Y111" s="778"/>
      <c r="Z111" s="778"/>
      <c r="AA111" s="778"/>
      <c r="AB111" s="778"/>
      <c r="AC111" s="778"/>
      <c r="AD111" s="778"/>
      <c r="AE111" s="778"/>
      <c r="AF111" s="778"/>
      <c r="AG111" s="595"/>
      <c r="AH111" s="595"/>
      <c r="AI111" s="595"/>
      <c r="AJ111" s="595"/>
      <c r="AK111" s="595"/>
      <c r="AL111" s="595"/>
      <c r="AM111" s="595"/>
      <c r="AN111" s="595"/>
      <c r="AO111" s="595"/>
      <c r="AP111" s="599"/>
      <c r="AQ111" s="599"/>
      <c r="AR111" s="599"/>
      <c r="AS111" s="599"/>
      <c r="AT111" s="595"/>
      <c r="AU111" s="598"/>
      <c r="AV111" s="598"/>
      <c r="AW111" s="598"/>
      <c r="AX111" s="595"/>
      <c r="AY111" s="595"/>
      <c r="AZ111" s="197"/>
      <c r="BA111" s="478" t="str">
        <f t="shared" si="4"/>
        <v>SUM_PFC</v>
      </c>
      <c r="BB111" s="573" t="str">
        <f t="shared" si="5"/>
        <v>SUM_EnergyIN</v>
      </c>
      <c r="BC111" s="600"/>
      <c r="BD111" s="5"/>
    </row>
    <row r="112" spans="1:56" x14ac:dyDescent="0.2">
      <c r="A112" s="600"/>
      <c r="B112" s="197"/>
      <c r="C112" s="529">
        <v>10</v>
      </c>
      <c r="D112" s="675"/>
      <c r="E112" s="594"/>
      <c r="F112" s="595"/>
      <c r="G112" s="596"/>
      <c r="H112" s="779"/>
      <c r="I112" s="780"/>
      <c r="J112" s="779"/>
      <c r="K112" s="780"/>
      <c r="L112" s="780"/>
      <c r="M112" s="780"/>
      <c r="N112" s="779"/>
      <c r="O112" s="778"/>
      <c r="P112" s="779"/>
      <c r="Q112" s="778"/>
      <c r="R112" s="779"/>
      <c r="S112" s="778"/>
      <c r="T112" s="779"/>
      <c r="U112" s="778"/>
      <c r="V112" s="778"/>
      <c r="W112" s="778"/>
      <c r="X112" s="778"/>
      <c r="Y112" s="778"/>
      <c r="Z112" s="778"/>
      <c r="AA112" s="778"/>
      <c r="AB112" s="778"/>
      <c r="AC112" s="778"/>
      <c r="AD112" s="778"/>
      <c r="AE112" s="778"/>
      <c r="AF112" s="778"/>
      <c r="AG112" s="595"/>
      <c r="AH112" s="595"/>
      <c r="AI112" s="595"/>
      <c r="AJ112" s="595"/>
      <c r="AK112" s="595"/>
      <c r="AL112" s="595"/>
      <c r="AM112" s="595"/>
      <c r="AN112" s="595"/>
      <c r="AO112" s="595"/>
      <c r="AP112" s="599"/>
      <c r="AQ112" s="599"/>
      <c r="AR112" s="599"/>
      <c r="AS112" s="599"/>
      <c r="AT112" s="595"/>
      <c r="AU112" s="598"/>
      <c r="AV112" s="598"/>
      <c r="AW112" s="598"/>
      <c r="AX112" s="595"/>
      <c r="AY112" s="595"/>
      <c r="AZ112" s="197"/>
      <c r="BA112" s="478" t="str">
        <f t="shared" si="4"/>
        <v>SUM_PFC</v>
      </c>
      <c r="BB112" s="573" t="str">
        <f t="shared" si="5"/>
        <v>SUM_EnergyIN</v>
      </c>
      <c r="BC112" s="600"/>
      <c r="BD112" s="5"/>
    </row>
    <row r="113" spans="1:56" x14ac:dyDescent="0.2">
      <c r="A113" s="600"/>
      <c r="B113" s="197"/>
      <c r="F113" s="530"/>
      <c r="G113" s="6"/>
      <c r="H113" s="530"/>
      <c r="I113" s="6"/>
      <c r="J113" s="530"/>
      <c r="K113" s="6"/>
      <c r="L113" s="6"/>
      <c r="M113" s="6"/>
      <c r="N113" s="530"/>
      <c r="O113" s="531"/>
      <c r="P113" s="530"/>
      <c r="Q113" s="531"/>
      <c r="R113" s="530"/>
      <c r="S113" s="531"/>
      <c r="T113" s="530"/>
      <c r="U113" s="531"/>
      <c r="V113" s="531"/>
      <c r="W113" s="531"/>
      <c r="X113" s="531"/>
      <c r="Y113" s="531"/>
      <c r="Z113" s="531"/>
      <c r="AA113" s="531"/>
      <c r="AB113" s="531"/>
      <c r="AC113" s="531"/>
      <c r="AD113" s="531"/>
      <c r="AE113" s="531"/>
      <c r="AF113" s="531"/>
      <c r="AG113" s="531"/>
      <c r="AH113" s="531"/>
      <c r="AI113" s="531"/>
      <c r="AJ113" s="531"/>
      <c r="AK113" s="531"/>
      <c r="AL113" s="531"/>
      <c r="AM113" s="531"/>
      <c r="AN113" s="531"/>
      <c r="AO113" s="531"/>
      <c r="AP113" s="531"/>
      <c r="AQ113" s="531"/>
      <c r="AR113" s="531"/>
      <c r="AS113" s="531"/>
      <c r="AT113" s="531"/>
      <c r="AU113" s="532"/>
      <c r="AV113" s="532"/>
      <c r="AW113" s="532"/>
      <c r="AX113" s="530"/>
      <c r="AY113" s="530"/>
      <c r="AZ113" s="197"/>
      <c r="BA113" s="600"/>
      <c r="BB113" s="600"/>
      <c r="BC113" s="600"/>
      <c r="BD113" s="5"/>
    </row>
    <row r="114" spans="1:56" ht="50.1" customHeight="1" thickBot="1" x14ac:dyDescent="0.45">
      <c r="A114" s="600"/>
      <c r="B114" s="197"/>
      <c r="C114" s="77"/>
      <c r="D114" s="522" t="str">
        <f>Translations!$B$344</f>
        <v>Źródła emisji (metody oparte na pomiarach)</v>
      </c>
      <c r="E114" s="197"/>
      <c r="F114" s="197"/>
      <c r="G114" s="197"/>
      <c r="H114" s="197"/>
      <c r="I114" s="197"/>
      <c r="J114" s="197"/>
      <c r="K114" s="197"/>
      <c r="L114" s="197"/>
      <c r="N114" s="197"/>
      <c r="O114" s="197"/>
      <c r="P114" s="197"/>
      <c r="Q114" s="197"/>
      <c r="R114" s="197"/>
      <c r="S114" s="197"/>
      <c r="T114" s="197"/>
      <c r="U114" s="197"/>
      <c r="V114" s="197"/>
      <c r="W114" s="197"/>
      <c r="X114" s="197"/>
      <c r="Y114" s="197"/>
      <c r="Z114" s="197"/>
      <c r="AA114" s="197"/>
      <c r="AB114" s="197"/>
      <c r="AC114" s="197"/>
      <c r="AD114" s="197"/>
      <c r="AE114" s="197"/>
      <c r="AF114" s="677"/>
      <c r="AG114" s="197"/>
      <c r="AH114" s="197"/>
      <c r="AI114" s="197"/>
      <c r="AJ114" s="197"/>
      <c r="AK114" s="197"/>
      <c r="AL114" s="197"/>
      <c r="AM114" s="197"/>
      <c r="AN114" s="197"/>
      <c r="AO114" s="197"/>
      <c r="AP114" s="197"/>
      <c r="AQ114" s="197"/>
      <c r="AR114" s="197"/>
      <c r="AS114" s="197"/>
      <c r="AT114" s="197"/>
      <c r="AU114" s="197"/>
      <c r="AV114" s="197"/>
      <c r="AW114" s="197"/>
      <c r="AX114" s="197"/>
      <c r="AY114" s="197"/>
      <c r="AZ114" s="197"/>
      <c r="BA114" s="600"/>
      <c r="BB114" s="600"/>
      <c r="BC114" s="600"/>
      <c r="BD114" s="5"/>
    </row>
    <row r="115" spans="1:56" ht="50.1" customHeight="1" thickBot="1" x14ac:dyDescent="0.25">
      <c r="A115" s="600"/>
      <c r="B115" s="197"/>
      <c r="C115" s="523" t="s">
        <v>482</v>
      </c>
      <c r="D115" s="524" t="str">
        <f>Translations!$B$282</f>
        <v>Metoda</v>
      </c>
      <c r="E115" s="524" t="str">
        <f>Translations!$B$340</f>
        <v>Nazwa</v>
      </c>
      <c r="F115" s="525" t="str">
        <f>Translations!$B$284</f>
        <v>Dane dotyczące działalności (AD)</v>
      </c>
      <c r="G115" s="525" t="str">
        <f>Translations!$B$285</f>
        <v>Jednostka AD</v>
      </c>
      <c r="H115" s="525" t="str">
        <f>Translations!$B$286</f>
        <v>Wartość opałowa (NCV)</v>
      </c>
      <c r="I115" s="525" t="str">
        <f>Translations!$B$287</f>
        <v>Jednostka NCV</v>
      </c>
      <c r="J115" s="525" t="str">
        <f>Translations!$B$288</f>
        <v>Współczynnik emisji (EF)</v>
      </c>
      <c r="K115" s="525" t="str">
        <f>Translations!$B$289</f>
        <v>Jednostka EF</v>
      </c>
      <c r="L115" s="525" t="str">
        <f>Translations!$B$290</f>
        <v>Zawartość węgla</v>
      </c>
      <c r="M115" s="525" t="str">
        <f>Translations!$B$291</f>
        <v>Jednostka zawartości węgla</v>
      </c>
      <c r="N115" s="525" t="str">
        <f>Translations!$B$292</f>
        <v>Współczynnik utleniania (OxF)</v>
      </c>
      <c r="O115" s="525" t="str">
        <f>Translations!$B$293</f>
        <v>Jednostka OxF</v>
      </c>
      <c r="P115" s="525" t="str">
        <f>Translations!$B$294</f>
        <v>Współczynnik konwersji</v>
      </c>
      <c r="Q115" s="525" t="str">
        <f>Translations!$B$295</f>
        <v>Jednostka współczynnika konwersji</v>
      </c>
      <c r="R115" s="525" t="str">
        <f>Translations!$B$296</f>
        <v>Zawartość biomasy (BioC)</v>
      </c>
      <c r="S115" s="525" t="str">
        <f>Translations!$B$297</f>
        <v>Jednostka BioC</v>
      </c>
      <c r="T115" s="525" t="str">
        <f>Translations!$B$298</f>
        <v>BioC niezrówn.</v>
      </c>
      <c r="U115" s="525" t="str">
        <f>Translations!$B$299</f>
        <v>Jednostka BioC niezrówn.</v>
      </c>
      <c r="V115" s="525" t="str">
        <f>Translations!$B$300</f>
        <v>Średnie godzinowe stężenie gazów cieplarnianych (GHG)</v>
      </c>
      <c r="W115" s="525" t="str">
        <f>Translations!$B$301</f>
        <v>Jednostka godzinowego stężenia GHG</v>
      </c>
      <c r="X115" s="525" t="str">
        <f>Translations!$B$302</f>
        <v>Godziny działania</v>
      </c>
      <c r="Y115" s="525" t="str">
        <f>Translations!$B$303</f>
        <v>Jednostka godzin działania</v>
      </c>
      <c r="Z115" s="525" t="str">
        <f>Translations!$B$304</f>
        <v>Przepływ spalin (średnia)</v>
      </c>
      <c r="AA115" s="525" t="str">
        <f>Translations!$B$305</f>
        <v>Jednostka przepływu spalin (średnia)</v>
      </c>
      <c r="AB115" s="525" t="str">
        <f>Translations!$B$306</f>
        <v>Przepływ spalin (łącznie)</v>
      </c>
      <c r="AC115" s="525" t="str">
        <f>Translations!$B$307</f>
        <v>Jednostka przepływu spalin (łącznie)</v>
      </c>
      <c r="AD115" s="525" t="str">
        <f>Translations!$B$308</f>
        <v>Roczna ilość GHG</v>
      </c>
      <c r="AE115" s="525" t="str">
        <f>Translations!$B$309</f>
        <v>Jednostka rocznej ilości GHG</v>
      </c>
      <c r="AF115" s="525" t="str">
        <f>Translations!$B$310</f>
        <v>Współczynnik ocieplenia globalnego GWP (tCO2e/t)</v>
      </c>
      <c r="AG115" s="525" t="str">
        <f>Translations!$B$311</f>
        <v>A: Częstotliwość</v>
      </c>
      <c r="AH115" s="525" t="str">
        <f>Translations!$B$312</f>
        <v>A: Czas trwania</v>
      </c>
      <c r="AI115" s="525" t="str">
        <f>Translations!$B$313</f>
        <v>A: SEF (CF4)</v>
      </c>
      <c r="AJ115" s="525" t="str">
        <f>Translations!$B$314</f>
        <v>B: AEO</v>
      </c>
      <c r="AK115" s="525" t="str">
        <f>Translations!$B$315</f>
        <v>B: CE</v>
      </c>
      <c r="AL115" s="525" t="str">
        <f>Translations!$B$316</f>
        <v>B: OVC</v>
      </c>
      <c r="AM115" s="525" t="str">
        <f>Translations!$B$317</f>
        <v>F(C2F6)</v>
      </c>
      <c r="AN115" s="525" t="str">
        <f>Translations!$B$318</f>
        <v>Emisje CF4 (t CF4)</v>
      </c>
      <c r="AO115" s="525" t="str">
        <f>Translations!$B$319</f>
        <v>Emisje C2F6 (t C2F6)</v>
      </c>
      <c r="AP115" s="525" t="str">
        <f>Translations!$B$320</f>
        <v>GWP (CF4) (tCO2e/t)</v>
      </c>
      <c r="AQ115" s="525" t="str">
        <f>Translations!$B$321</f>
        <v>GWP (C2F6) (tCO2e/t)</v>
      </c>
      <c r="AR115" s="525" t="str">
        <f>Translations!$B$322</f>
        <v>Emisje CF4 (t CO2e)</v>
      </c>
      <c r="AS115" s="525" t="str">
        <f>Translations!$B$323</f>
        <v>Emisje C2F6 (t CO2e)</v>
      </c>
      <c r="AT115" s="525" t="str">
        <f>Translations!$B$324</f>
        <v>Całkowita wydajność, %</v>
      </c>
      <c r="AU115" s="525" t="str">
        <f>Translations!$B$325</f>
        <v>Kopalne CO2e (t)</v>
      </c>
      <c r="AV115" s="525" t="str">
        <f>Translations!$B$326</f>
        <v>CO2e z biomasy (t)</v>
      </c>
      <c r="AW115" s="525" t="str">
        <f>Translations!$B$327</f>
        <v>CO2e z biomasy niezrówn. (t)</v>
      </c>
      <c r="AX115" s="526" t="str">
        <f>Translations!$B$328</f>
        <v>Zawartość energii (kopalne), TJ</v>
      </c>
      <c r="AY115" s="527" t="str">
        <f>Translations!$B$329</f>
        <v>Zawartość energii (biomasa), TJ</v>
      </c>
      <c r="AZ115" s="197"/>
      <c r="BA115" s="600"/>
      <c r="BB115" s="600"/>
      <c r="BC115" s="600"/>
      <c r="BD115" s="5"/>
    </row>
    <row r="116" spans="1:56" ht="12.75" customHeight="1" x14ac:dyDescent="0.2">
      <c r="A116" s="600"/>
      <c r="B116" s="197"/>
      <c r="C116" s="533" t="str">
        <f>Translations!$B$330</f>
        <v>Przykł. 1</v>
      </c>
      <c r="D116" s="690" t="s">
        <v>388</v>
      </c>
      <c r="E116" s="690" t="str">
        <f>Translations!$B$345</f>
        <v>Kwas azotowy, linia 1</v>
      </c>
      <c r="F116" s="779"/>
      <c r="G116" s="780"/>
      <c r="H116" s="779"/>
      <c r="I116" s="780"/>
      <c r="J116" s="779"/>
      <c r="K116" s="780"/>
      <c r="L116" s="780"/>
      <c r="M116" s="780"/>
      <c r="N116" s="779"/>
      <c r="O116" s="778"/>
      <c r="P116" s="779"/>
      <c r="Q116" s="778"/>
      <c r="R116" s="695">
        <v>0</v>
      </c>
      <c r="S116" s="692" t="s">
        <v>409</v>
      </c>
      <c r="T116" s="695">
        <v>0</v>
      </c>
      <c r="U116" s="692" t="s">
        <v>409</v>
      </c>
      <c r="V116" s="695">
        <v>64.292500000000004</v>
      </c>
      <c r="W116" s="692" t="s">
        <v>533</v>
      </c>
      <c r="X116" s="695">
        <v>4</v>
      </c>
      <c r="Y116" s="692" t="str">
        <f>Translations!$B$346</f>
        <v>h/rok</v>
      </c>
      <c r="Z116" s="695">
        <v>265</v>
      </c>
      <c r="AA116" s="692" t="str">
        <f>Translations!$B$347</f>
        <v>1000Nm3/h</v>
      </c>
      <c r="AB116" s="695">
        <v>1060</v>
      </c>
      <c r="AC116" s="692" t="str">
        <f>Translations!$B$348</f>
        <v>1000Nm3/rok</v>
      </c>
      <c r="AD116" s="695">
        <v>68</v>
      </c>
      <c r="AE116" s="692" t="s">
        <v>212</v>
      </c>
      <c r="AF116" s="695">
        <v>298</v>
      </c>
      <c r="AG116" s="781"/>
      <c r="AH116" s="781"/>
      <c r="AI116" s="781"/>
      <c r="AJ116" s="781"/>
      <c r="AK116" s="781"/>
      <c r="AL116" s="781"/>
      <c r="AM116" s="781"/>
      <c r="AN116" s="781"/>
      <c r="AO116" s="781"/>
      <c r="AP116" s="781"/>
      <c r="AQ116" s="781"/>
      <c r="AR116" s="781"/>
      <c r="AS116" s="781"/>
      <c r="AT116" s="781"/>
      <c r="AU116" s="693">
        <v>20308.714900000003</v>
      </c>
      <c r="AV116" s="693">
        <v>0</v>
      </c>
      <c r="AW116" s="693">
        <v>0</v>
      </c>
      <c r="AX116" s="695">
        <v>0</v>
      </c>
      <c r="AY116" s="695">
        <v>0</v>
      </c>
      <c r="AZ116" s="197"/>
      <c r="BA116" s="600"/>
      <c r="BB116" s="600"/>
      <c r="BC116" s="600"/>
      <c r="BD116" s="5"/>
    </row>
    <row r="117" spans="1:56" ht="12.75" customHeight="1" x14ac:dyDescent="0.2">
      <c r="A117" s="600"/>
      <c r="B117" s="197"/>
      <c r="C117" s="533" t="str">
        <f>Translations!$B$333</f>
        <v>Przykł. 2</v>
      </c>
      <c r="D117" s="690" t="str">
        <f>Translations!$B$349</f>
        <v>Przenoszenie CO2</v>
      </c>
      <c r="E117" s="690" t="str">
        <f>Translations!$B$350</f>
        <v>Przenoszenie do instalacji objętej EU ETS X</v>
      </c>
      <c r="F117" s="779"/>
      <c r="G117" s="780"/>
      <c r="H117" s="779"/>
      <c r="I117" s="780"/>
      <c r="J117" s="779"/>
      <c r="K117" s="780"/>
      <c r="L117" s="780"/>
      <c r="M117" s="780"/>
      <c r="N117" s="779"/>
      <c r="O117" s="778"/>
      <c r="P117" s="779"/>
      <c r="Q117" s="778"/>
      <c r="R117" s="695">
        <v>0</v>
      </c>
      <c r="S117" s="692" t="s">
        <v>409</v>
      </c>
      <c r="T117" s="695">
        <v>0</v>
      </c>
      <c r="U117" s="692" t="s">
        <v>409</v>
      </c>
      <c r="V117" s="695">
        <v>1820</v>
      </c>
      <c r="W117" s="692" t="s">
        <v>533</v>
      </c>
      <c r="X117" s="695">
        <v>5000</v>
      </c>
      <c r="Y117" s="692" t="str">
        <f>Translations!$B$346</f>
        <v>h/rok</v>
      </c>
      <c r="Z117" s="695">
        <v>50</v>
      </c>
      <c r="AA117" s="692" t="str">
        <f>Translations!$B$347</f>
        <v>1000Nm3/h</v>
      </c>
      <c r="AB117" s="695">
        <v>250000</v>
      </c>
      <c r="AC117" s="692" t="str">
        <f>Translations!$B$348</f>
        <v>1000Nm3/rok</v>
      </c>
      <c r="AD117" s="695">
        <v>455000</v>
      </c>
      <c r="AE117" s="692" t="s">
        <v>212</v>
      </c>
      <c r="AF117" s="695">
        <v>1</v>
      </c>
      <c r="AG117" s="781"/>
      <c r="AH117" s="781"/>
      <c r="AI117" s="781"/>
      <c r="AJ117" s="781"/>
      <c r="AK117" s="781"/>
      <c r="AL117" s="781"/>
      <c r="AM117" s="781"/>
      <c r="AN117" s="781"/>
      <c r="AO117" s="781"/>
      <c r="AP117" s="781"/>
      <c r="AQ117" s="781"/>
      <c r="AR117" s="781"/>
      <c r="AS117" s="781"/>
      <c r="AT117" s="781"/>
      <c r="AU117" s="693">
        <v>-455000</v>
      </c>
      <c r="AV117" s="693">
        <v>0</v>
      </c>
      <c r="AW117" s="693">
        <v>0</v>
      </c>
      <c r="AX117" s="695">
        <v>0</v>
      </c>
      <c r="AY117" s="695">
        <v>0</v>
      </c>
      <c r="AZ117" s="197"/>
      <c r="BA117" s="600"/>
      <c r="BB117" s="600"/>
      <c r="BC117" s="600"/>
      <c r="BD117" s="5"/>
    </row>
    <row r="118" spans="1:56" x14ac:dyDescent="0.2">
      <c r="A118" s="600"/>
      <c r="B118" s="197"/>
      <c r="C118" s="529">
        <v>1</v>
      </c>
      <c r="D118" s="675"/>
      <c r="E118" s="594"/>
      <c r="F118" s="779"/>
      <c r="G118" s="780"/>
      <c r="H118" s="779"/>
      <c r="I118" s="780"/>
      <c r="J118" s="779"/>
      <c r="K118" s="780"/>
      <c r="L118" s="780"/>
      <c r="M118" s="780"/>
      <c r="N118" s="779"/>
      <c r="O118" s="778"/>
      <c r="P118" s="779"/>
      <c r="Q118" s="778"/>
      <c r="R118" s="599"/>
      <c r="S118" s="597"/>
      <c r="T118" s="599"/>
      <c r="U118" s="597"/>
      <c r="V118" s="599"/>
      <c r="W118" s="597"/>
      <c r="X118" s="599"/>
      <c r="Y118" s="597"/>
      <c r="Z118" s="599"/>
      <c r="AA118" s="597"/>
      <c r="AB118" s="599"/>
      <c r="AC118" s="597"/>
      <c r="AD118" s="599"/>
      <c r="AE118" s="597"/>
      <c r="AF118" s="599"/>
      <c r="AG118" s="781"/>
      <c r="AH118" s="781"/>
      <c r="AI118" s="781"/>
      <c r="AJ118" s="781"/>
      <c r="AK118" s="781"/>
      <c r="AL118" s="781"/>
      <c r="AM118" s="781"/>
      <c r="AN118" s="781"/>
      <c r="AO118" s="781"/>
      <c r="AP118" s="781"/>
      <c r="AQ118" s="781"/>
      <c r="AR118" s="781"/>
      <c r="AS118" s="781"/>
      <c r="AT118" s="781"/>
      <c r="AU118" s="598"/>
      <c r="AV118" s="598"/>
      <c r="AW118" s="598"/>
      <c r="AX118" s="599"/>
      <c r="AY118" s="599"/>
      <c r="AZ118" s="197"/>
      <c r="BA118" s="478" t="str">
        <f t="shared" ref="BA118:BA127" si="6">IF(SUM(AF118)&gt;1,EUconst_SumN2O,IF(SUM(AU118:AV118)&lt;0,EUconst_SumTransferCO2,EUconst_SumCO2))</f>
        <v>SUM_CO2</v>
      </c>
      <c r="BB118" s="573" t="str">
        <f t="shared" ref="BB118:BB127" si="7">EUconst_SumEnergyIN</f>
        <v>SUM_EnergyIN</v>
      </c>
      <c r="BC118" s="600"/>
      <c r="BD118" s="5"/>
    </row>
    <row r="119" spans="1:56" x14ac:dyDescent="0.2">
      <c r="A119" s="600"/>
      <c r="B119" s="197"/>
      <c r="C119" s="529">
        <v>2</v>
      </c>
      <c r="D119" s="675"/>
      <c r="E119" s="594"/>
      <c r="F119" s="779"/>
      <c r="G119" s="780"/>
      <c r="H119" s="779"/>
      <c r="I119" s="780"/>
      <c r="J119" s="779"/>
      <c r="K119" s="780"/>
      <c r="L119" s="780"/>
      <c r="M119" s="780"/>
      <c r="N119" s="779"/>
      <c r="O119" s="778"/>
      <c r="P119" s="779"/>
      <c r="Q119" s="778"/>
      <c r="R119" s="599"/>
      <c r="S119" s="597"/>
      <c r="T119" s="599"/>
      <c r="U119" s="597"/>
      <c r="V119" s="599"/>
      <c r="W119" s="597"/>
      <c r="X119" s="599"/>
      <c r="Y119" s="597"/>
      <c r="Z119" s="599"/>
      <c r="AA119" s="597"/>
      <c r="AB119" s="599"/>
      <c r="AC119" s="597"/>
      <c r="AD119" s="599"/>
      <c r="AE119" s="597"/>
      <c r="AF119" s="599"/>
      <c r="AG119" s="781"/>
      <c r="AH119" s="781"/>
      <c r="AI119" s="781"/>
      <c r="AJ119" s="781"/>
      <c r="AK119" s="781"/>
      <c r="AL119" s="781"/>
      <c r="AM119" s="781"/>
      <c r="AN119" s="781"/>
      <c r="AO119" s="781"/>
      <c r="AP119" s="781"/>
      <c r="AQ119" s="781"/>
      <c r="AR119" s="781"/>
      <c r="AS119" s="781"/>
      <c r="AT119" s="781"/>
      <c r="AU119" s="598"/>
      <c r="AV119" s="598"/>
      <c r="AW119" s="598"/>
      <c r="AX119" s="599"/>
      <c r="AY119" s="599"/>
      <c r="AZ119" s="197"/>
      <c r="BA119" s="478" t="str">
        <f t="shared" si="6"/>
        <v>SUM_CO2</v>
      </c>
      <c r="BB119" s="573" t="str">
        <f t="shared" si="7"/>
        <v>SUM_EnergyIN</v>
      </c>
      <c r="BC119" s="600"/>
      <c r="BD119" s="5"/>
    </row>
    <row r="120" spans="1:56" x14ac:dyDescent="0.2">
      <c r="A120" s="600"/>
      <c r="B120" s="197"/>
      <c r="C120" s="529">
        <v>3</v>
      </c>
      <c r="D120" s="675"/>
      <c r="E120" s="594"/>
      <c r="F120" s="779"/>
      <c r="G120" s="780"/>
      <c r="H120" s="779"/>
      <c r="I120" s="780"/>
      <c r="J120" s="779"/>
      <c r="K120" s="780"/>
      <c r="L120" s="780"/>
      <c r="M120" s="780"/>
      <c r="N120" s="779"/>
      <c r="O120" s="778"/>
      <c r="P120" s="779"/>
      <c r="Q120" s="778"/>
      <c r="R120" s="599"/>
      <c r="S120" s="597"/>
      <c r="T120" s="599"/>
      <c r="U120" s="597"/>
      <c r="V120" s="599"/>
      <c r="W120" s="597"/>
      <c r="X120" s="599"/>
      <c r="Y120" s="597"/>
      <c r="Z120" s="599"/>
      <c r="AA120" s="597"/>
      <c r="AB120" s="599"/>
      <c r="AC120" s="597"/>
      <c r="AD120" s="599"/>
      <c r="AE120" s="597"/>
      <c r="AF120" s="599"/>
      <c r="AG120" s="781"/>
      <c r="AH120" s="781"/>
      <c r="AI120" s="781"/>
      <c r="AJ120" s="781"/>
      <c r="AK120" s="781"/>
      <c r="AL120" s="781"/>
      <c r="AM120" s="781"/>
      <c r="AN120" s="781"/>
      <c r="AO120" s="781"/>
      <c r="AP120" s="781"/>
      <c r="AQ120" s="781"/>
      <c r="AR120" s="781"/>
      <c r="AS120" s="781"/>
      <c r="AT120" s="781"/>
      <c r="AU120" s="598"/>
      <c r="AV120" s="598"/>
      <c r="AW120" s="598"/>
      <c r="AX120" s="599"/>
      <c r="AY120" s="599"/>
      <c r="AZ120" s="197"/>
      <c r="BA120" s="478" t="str">
        <f t="shared" si="6"/>
        <v>SUM_CO2</v>
      </c>
      <c r="BB120" s="573" t="str">
        <f t="shared" si="7"/>
        <v>SUM_EnergyIN</v>
      </c>
      <c r="BC120" s="600"/>
      <c r="BD120" s="5"/>
    </row>
    <row r="121" spans="1:56" x14ac:dyDescent="0.2">
      <c r="A121" s="600"/>
      <c r="B121" s="197"/>
      <c r="C121" s="529">
        <v>4</v>
      </c>
      <c r="D121" s="675"/>
      <c r="E121" s="594"/>
      <c r="F121" s="779"/>
      <c r="G121" s="780"/>
      <c r="H121" s="779"/>
      <c r="I121" s="780"/>
      <c r="J121" s="779"/>
      <c r="K121" s="780"/>
      <c r="L121" s="780"/>
      <c r="M121" s="780"/>
      <c r="N121" s="779"/>
      <c r="O121" s="778"/>
      <c r="P121" s="779"/>
      <c r="Q121" s="778"/>
      <c r="R121" s="599"/>
      <c r="S121" s="597"/>
      <c r="T121" s="599"/>
      <c r="U121" s="597"/>
      <c r="V121" s="599"/>
      <c r="W121" s="597"/>
      <c r="X121" s="599"/>
      <c r="Y121" s="597"/>
      <c r="Z121" s="599"/>
      <c r="AA121" s="597"/>
      <c r="AB121" s="599"/>
      <c r="AC121" s="597"/>
      <c r="AD121" s="599"/>
      <c r="AE121" s="597"/>
      <c r="AF121" s="599"/>
      <c r="AG121" s="781"/>
      <c r="AH121" s="781"/>
      <c r="AI121" s="781"/>
      <c r="AJ121" s="781"/>
      <c r="AK121" s="781"/>
      <c r="AL121" s="781"/>
      <c r="AM121" s="781"/>
      <c r="AN121" s="781"/>
      <c r="AO121" s="781"/>
      <c r="AP121" s="781"/>
      <c r="AQ121" s="781"/>
      <c r="AR121" s="781"/>
      <c r="AS121" s="781"/>
      <c r="AT121" s="781"/>
      <c r="AU121" s="598"/>
      <c r="AV121" s="598"/>
      <c r="AW121" s="598"/>
      <c r="AX121" s="599"/>
      <c r="AY121" s="599"/>
      <c r="AZ121" s="197"/>
      <c r="BA121" s="478" t="str">
        <f t="shared" si="6"/>
        <v>SUM_CO2</v>
      </c>
      <c r="BB121" s="573" t="str">
        <f t="shared" si="7"/>
        <v>SUM_EnergyIN</v>
      </c>
      <c r="BC121" s="600"/>
      <c r="BD121" s="5"/>
    </row>
    <row r="122" spans="1:56" x14ac:dyDescent="0.2">
      <c r="A122" s="600"/>
      <c r="B122" s="197"/>
      <c r="C122" s="529">
        <v>5</v>
      </c>
      <c r="D122" s="675"/>
      <c r="E122" s="594"/>
      <c r="F122" s="779"/>
      <c r="G122" s="780"/>
      <c r="H122" s="779"/>
      <c r="I122" s="780"/>
      <c r="J122" s="779"/>
      <c r="K122" s="780"/>
      <c r="L122" s="780"/>
      <c r="M122" s="780"/>
      <c r="N122" s="779"/>
      <c r="O122" s="778"/>
      <c r="P122" s="779"/>
      <c r="Q122" s="778"/>
      <c r="R122" s="599"/>
      <c r="S122" s="597"/>
      <c r="T122" s="599"/>
      <c r="U122" s="597"/>
      <c r="V122" s="599"/>
      <c r="W122" s="597"/>
      <c r="X122" s="599"/>
      <c r="Y122" s="597"/>
      <c r="Z122" s="599"/>
      <c r="AA122" s="597"/>
      <c r="AB122" s="599"/>
      <c r="AC122" s="597"/>
      <c r="AD122" s="599"/>
      <c r="AE122" s="597"/>
      <c r="AF122" s="599"/>
      <c r="AG122" s="781"/>
      <c r="AH122" s="781"/>
      <c r="AI122" s="781"/>
      <c r="AJ122" s="781"/>
      <c r="AK122" s="781"/>
      <c r="AL122" s="781"/>
      <c r="AM122" s="781"/>
      <c r="AN122" s="781"/>
      <c r="AO122" s="781"/>
      <c r="AP122" s="781"/>
      <c r="AQ122" s="781"/>
      <c r="AR122" s="781"/>
      <c r="AS122" s="781"/>
      <c r="AT122" s="781"/>
      <c r="AU122" s="598"/>
      <c r="AV122" s="598"/>
      <c r="AW122" s="598"/>
      <c r="AX122" s="599"/>
      <c r="AY122" s="599"/>
      <c r="AZ122" s="197"/>
      <c r="BA122" s="478" t="str">
        <f t="shared" si="6"/>
        <v>SUM_CO2</v>
      </c>
      <c r="BB122" s="573" t="str">
        <f t="shared" si="7"/>
        <v>SUM_EnergyIN</v>
      </c>
      <c r="BC122" s="600"/>
      <c r="BD122" s="5"/>
    </row>
    <row r="123" spans="1:56" x14ac:dyDescent="0.2">
      <c r="A123" s="600"/>
      <c r="B123" s="197"/>
      <c r="C123" s="529">
        <v>6</v>
      </c>
      <c r="D123" s="675"/>
      <c r="E123" s="594"/>
      <c r="F123" s="779"/>
      <c r="G123" s="780"/>
      <c r="H123" s="779"/>
      <c r="I123" s="780"/>
      <c r="J123" s="779"/>
      <c r="K123" s="780"/>
      <c r="L123" s="780"/>
      <c r="M123" s="780"/>
      <c r="N123" s="779"/>
      <c r="O123" s="778"/>
      <c r="P123" s="779"/>
      <c r="Q123" s="778"/>
      <c r="R123" s="599"/>
      <c r="S123" s="597"/>
      <c r="T123" s="599"/>
      <c r="U123" s="597"/>
      <c r="V123" s="599"/>
      <c r="W123" s="597"/>
      <c r="X123" s="599"/>
      <c r="Y123" s="597"/>
      <c r="Z123" s="599"/>
      <c r="AA123" s="597"/>
      <c r="AB123" s="599"/>
      <c r="AC123" s="597"/>
      <c r="AD123" s="599"/>
      <c r="AE123" s="597"/>
      <c r="AF123" s="599"/>
      <c r="AG123" s="781"/>
      <c r="AH123" s="781"/>
      <c r="AI123" s="781"/>
      <c r="AJ123" s="781"/>
      <c r="AK123" s="781"/>
      <c r="AL123" s="781"/>
      <c r="AM123" s="781"/>
      <c r="AN123" s="781"/>
      <c r="AO123" s="781"/>
      <c r="AP123" s="781"/>
      <c r="AQ123" s="781"/>
      <c r="AR123" s="781"/>
      <c r="AS123" s="781"/>
      <c r="AT123" s="781"/>
      <c r="AU123" s="598"/>
      <c r="AV123" s="598"/>
      <c r="AW123" s="598"/>
      <c r="AX123" s="599"/>
      <c r="AY123" s="599"/>
      <c r="AZ123" s="197"/>
      <c r="BA123" s="478" t="str">
        <f t="shared" si="6"/>
        <v>SUM_CO2</v>
      </c>
      <c r="BB123" s="573" t="str">
        <f t="shared" si="7"/>
        <v>SUM_EnergyIN</v>
      </c>
      <c r="BC123" s="600"/>
      <c r="BD123" s="5"/>
    </row>
    <row r="124" spans="1:56" x14ac:dyDescent="0.2">
      <c r="A124" s="600"/>
      <c r="B124" s="197"/>
      <c r="C124" s="529">
        <v>7</v>
      </c>
      <c r="D124" s="675"/>
      <c r="E124" s="594"/>
      <c r="F124" s="779"/>
      <c r="G124" s="780"/>
      <c r="H124" s="779"/>
      <c r="I124" s="780"/>
      <c r="J124" s="779"/>
      <c r="K124" s="780"/>
      <c r="L124" s="780"/>
      <c r="M124" s="780"/>
      <c r="N124" s="779"/>
      <c r="O124" s="778"/>
      <c r="P124" s="779"/>
      <c r="Q124" s="778"/>
      <c r="R124" s="599"/>
      <c r="S124" s="597"/>
      <c r="T124" s="599"/>
      <c r="U124" s="597"/>
      <c r="V124" s="599"/>
      <c r="W124" s="597"/>
      <c r="X124" s="599"/>
      <c r="Y124" s="597"/>
      <c r="Z124" s="599"/>
      <c r="AA124" s="597"/>
      <c r="AB124" s="599"/>
      <c r="AC124" s="597"/>
      <c r="AD124" s="599"/>
      <c r="AE124" s="597"/>
      <c r="AF124" s="599"/>
      <c r="AG124" s="781"/>
      <c r="AH124" s="781"/>
      <c r="AI124" s="781"/>
      <c r="AJ124" s="781"/>
      <c r="AK124" s="781"/>
      <c r="AL124" s="781"/>
      <c r="AM124" s="781"/>
      <c r="AN124" s="781"/>
      <c r="AO124" s="781"/>
      <c r="AP124" s="781"/>
      <c r="AQ124" s="781"/>
      <c r="AR124" s="781"/>
      <c r="AS124" s="781"/>
      <c r="AT124" s="781"/>
      <c r="AU124" s="598"/>
      <c r="AV124" s="598"/>
      <c r="AW124" s="598"/>
      <c r="AX124" s="599"/>
      <c r="AY124" s="599"/>
      <c r="AZ124" s="197"/>
      <c r="BA124" s="478" t="str">
        <f t="shared" si="6"/>
        <v>SUM_CO2</v>
      </c>
      <c r="BB124" s="573" t="str">
        <f t="shared" si="7"/>
        <v>SUM_EnergyIN</v>
      </c>
      <c r="BC124" s="600"/>
      <c r="BD124" s="5"/>
    </row>
    <row r="125" spans="1:56" x14ac:dyDescent="0.2">
      <c r="A125" s="600"/>
      <c r="B125" s="197"/>
      <c r="C125" s="529">
        <v>8</v>
      </c>
      <c r="D125" s="675"/>
      <c r="E125" s="594"/>
      <c r="F125" s="779"/>
      <c r="G125" s="780"/>
      <c r="H125" s="779"/>
      <c r="I125" s="780"/>
      <c r="J125" s="779"/>
      <c r="K125" s="780"/>
      <c r="L125" s="780"/>
      <c r="M125" s="780"/>
      <c r="N125" s="779"/>
      <c r="O125" s="778"/>
      <c r="P125" s="779"/>
      <c r="Q125" s="778"/>
      <c r="R125" s="599"/>
      <c r="S125" s="597"/>
      <c r="T125" s="599"/>
      <c r="U125" s="597"/>
      <c r="V125" s="599"/>
      <c r="W125" s="597"/>
      <c r="X125" s="599"/>
      <c r="Y125" s="597"/>
      <c r="Z125" s="599"/>
      <c r="AA125" s="597"/>
      <c r="AB125" s="599"/>
      <c r="AC125" s="597"/>
      <c r="AD125" s="599"/>
      <c r="AE125" s="597"/>
      <c r="AF125" s="599"/>
      <c r="AG125" s="781"/>
      <c r="AH125" s="781"/>
      <c r="AI125" s="781"/>
      <c r="AJ125" s="781"/>
      <c r="AK125" s="781"/>
      <c r="AL125" s="781"/>
      <c r="AM125" s="781"/>
      <c r="AN125" s="781"/>
      <c r="AO125" s="781"/>
      <c r="AP125" s="781"/>
      <c r="AQ125" s="781"/>
      <c r="AR125" s="781"/>
      <c r="AS125" s="781"/>
      <c r="AT125" s="781"/>
      <c r="AU125" s="598"/>
      <c r="AV125" s="598"/>
      <c r="AW125" s="598"/>
      <c r="AX125" s="599"/>
      <c r="AY125" s="599"/>
      <c r="AZ125" s="197"/>
      <c r="BA125" s="478" t="str">
        <f t="shared" si="6"/>
        <v>SUM_CO2</v>
      </c>
      <c r="BB125" s="573" t="str">
        <f t="shared" si="7"/>
        <v>SUM_EnergyIN</v>
      </c>
      <c r="BC125" s="600"/>
      <c r="BD125" s="5"/>
    </row>
    <row r="126" spans="1:56" x14ac:dyDescent="0.2">
      <c r="A126" s="600"/>
      <c r="B126" s="197"/>
      <c r="C126" s="529">
        <v>9</v>
      </c>
      <c r="D126" s="675"/>
      <c r="E126" s="594"/>
      <c r="F126" s="779"/>
      <c r="G126" s="780"/>
      <c r="H126" s="779"/>
      <c r="I126" s="780"/>
      <c r="J126" s="779"/>
      <c r="K126" s="780"/>
      <c r="L126" s="780"/>
      <c r="M126" s="780"/>
      <c r="N126" s="779"/>
      <c r="O126" s="778"/>
      <c r="P126" s="779"/>
      <c r="Q126" s="778"/>
      <c r="R126" s="599"/>
      <c r="S126" s="597"/>
      <c r="T126" s="599"/>
      <c r="U126" s="597"/>
      <c r="V126" s="599"/>
      <c r="W126" s="597"/>
      <c r="X126" s="599"/>
      <c r="Y126" s="597"/>
      <c r="Z126" s="599"/>
      <c r="AA126" s="597"/>
      <c r="AB126" s="599"/>
      <c r="AC126" s="597"/>
      <c r="AD126" s="599"/>
      <c r="AE126" s="597"/>
      <c r="AF126" s="599"/>
      <c r="AG126" s="781"/>
      <c r="AH126" s="781"/>
      <c r="AI126" s="781"/>
      <c r="AJ126" s="781"/>
      <c r="AK126" s="781"/>
      <c r="AL126" s="781"/>
      <c r="AM126" s="781"/>
      <c r="AN126" s="781"/>
      <c r="AO126" s="781"/>
      <c r="AP126" s="781"/>
      <c r="AQ126" s="781"/>
      <c r="AR126" s="781"/>
      <c r="AS126" s="781"/>
      <c r="AT126" s="781"/>
      <c r="AU126" s="598"/>
      <c r="AV126" s="598"/>
      <c r="AW126" s="598"/>
      <c r="AX126" s="599"/>
      <c r="AY126" s="599"/>
      <c r="AZ126" s="197"/>
      <c r="BA126" s="478" t="str">
        <f t="shared" si="6"/>
        <v>SUM_CO2</v>
      </c>
      <c r="BB126" s="573" t="str">
        <f t="shared" si="7"/>
        <v>SUM_EnergyIN</v>
      </c>
      <c r="BC126" s="600"/>
      <c r="BD126" s="5"/>
    </row>
    <row r="127" spans="1:56" x14ac:dyDescent="0.2">
      <c r="A127" s="600"/>
      <c r="B127" s="197"/>
      <c r="C127" s="529">
        <v>10</v>
      </c>
      <c r="D127" s="675"/>
      <c r="E127" s="594"/>
      <c r="F127" s="779"/>
      <c r="G127" s="780"/>
      <c r="H127" s="779"/>
      <c r="I127" s="780"/>
      <c r="J127" s="779"/>
      <c r="K127" s="780"/>
      <c r="L127" s="780"/>
      <c r="M127" s="780"/>
      <c r="N127" s="779"/>
      <c r="O127" s="778"/>
      <c r="P127" s="779"/>
      <c r="Q127" s="778"/>
      <c r="R127" s="599"/>
      <c r="S127" s="597"/>
      <c r="T127" s="599"/>
      <c r="U127" s="597"/>
      <c r="V127" s="599"/>
      <c r="W127" s="597"/>
      <c r="X127" s="599"/>
      <c r="Y127" s="597"/>
      <c r="Z127" s="599"/>
      <c r="AA127" s="597"/>
      <c r="AB127" s="599"/>
      <c r="AC127" s="597"/>
      <c r="AD127" s="599"/>
      <c r="AE127" s="597"/>
      <c r="AF127" s="599"/>
      <c r="AG127" s="781"/>
      <c r="AH127" s="781"/>
      <c r="AI127" s="781"/>
      <c r="AJ127" s="781"/>
      <c r="AK127" s="781"/>
      <c r="AL127" s="781"/>
      <c r="AM127" s="781"/>
      <c r="AN127" s="781"/>
      <c r="AO127" s="781"/>
      <c r="AP127" s="781"/>
      <c r="AQ127" s="781"/>
      <c r="AR127" s="781"/>
      <c r="AS127" s="781"/>
      <c r="AT127" s="781"/>
      <c r="AU127" s="598"/>
      <c r="AV127" s="598"/>
      <c r="AW127" s="598"/>
      <c r="AX127" s="599"/>
      <c r="AY127" s="599"/>
      <c r="AZ127" s="197"/>
      <c r="BA127" s="478" t="str">
        <f t="shared" si="6"/>
        <v>SUM_CO2</v>
      </c>
      <c r="BB127" s="573" t="str">
        <f t="shared" si="7"/>
        <v>SUM_EnergyIN</v>
      </c>
      <c r="BC127" s="600"/>
      <c r="BD127" s="5"/>
    </row>
    <row r="128" spans="1:56" x14ac:dyDescent="0.2">
      <c r="A128" s="600"/>
      <c r="B128" s="197"/>
      <c r="C128" s="77"/>
      <c r="D128" s="197"/>
      <c r="E128" s="197"/>
      <c r="F128" s="197"/>
      <c r="G128" s="197"/>
      <c r="H128" s="197"/>
      <c r="I128" s="197"/>
      <c r="J128" s="197"/>
      <c r="K128" s="197"/>
      <c r="L128" s="197"/>
      <c r="N128" s="197"/>
      <c r="O128" s="197"/>
      <c r="P128" s="197"/>
      <c r="Q128" s="197"/>
      <c r="R128" s="197"/>
      <c r="S128" s="197"/>
      <c r="T128" s="197"/>
      <c r="U128" s="197"/>
      <c r="V128" s="197"/>
      <c r="W128" s="197"/>
      <c r="X128" s="197"/>
      <c r="Y128" s="197"/>
      <c r="Z128" s="197"/>
      <c r="AA128" s="197"/>
      <c r="AB128" s="197"/>
      <c r="AC128" s="197"/>
      <c r="AD128" s="197"/>
      <c r="AE128" s="197"/>
      <c r="AF128" s="197"/>
      <c r="AG128" s="197"/>
      <c r="AH128" s="197"/>
      <c r="AI128" s="197"/>
      <c r="AJ128" s="197"/>
      <c r="AK128" s="197"/>
      <c r="AL128" s="197"/>
      <c r="AM128" s="197"/>
      <c r="AN128" s="197"/>
      <c r="AO128" s="197"/>
      <c r="AP128" s="197"/>
      <c r="AQ128" s="197"/>
      <c r="AR128" s="197"/>
      <c r="AS128" s="197"/>
      <c r="AT128" s="197"/>
      <c r="AU128" s="197"/>
      <c r="AV128" s="197"/>
      <c r="AW128" s="197"/>
      <c r="AX128" s="197"/>
      <c r="AY128" s="197"/>
      <c r="AZ128" s="197"/>
      <c r="BA128" s="600"/>
      <c r="BB128" s="600"/>
      <c r="BC128" s="600"/>
      <c r="BD128" s="5"/>
    </row>
    <row r="129" spans="1:56" ht="50.1" customHeight="1" thickBot="1" x14ac:dyDescent="0.45">
      <c r="A129" s="600"/>
      <c r="B129" s="197"/>
      <c r="C129" s="77"/>
      <c r="D129" s="522" t="str">
        <f>Translations!$B$271</f>
        <v>Rozwiązania rezerwowe (fall-back)</v>
      </c>
      <c r="E129" s="197"/>
      <c r="F129" s="197"/>
      <c r="G129" s="197"/>
      <c r="H129" s="197"/>
      <c r="I129" s="197"/>
      <c r="J129" s="197"/>
      <c r="K129" s="197"/>
      <c r="L129" s="197"/>
      <c r="N129" s="197"/>
      <c r="O129" s="197"/>
      <c r="P129" s="197"/>
      <c r="Q129" s="197"/>
      <c r="R129" s="197"/>
      <c r="S129" s="197"/>
      <c r="T129" s="197"/>
      <c r="U129" s="197"/>
      <c r="V129" s="197"/>
      <c r="W129" s="197"/>
      <c r="X129" s="197"/>
      <c r="Y129" s="197"/>
      <c r="Z129" s="197"/>
      <c r="AA129" s="197"/>
      <c r="AB129" s="197"/>
      <c r="AC129" s="197"/>
      <c r="AD129" s="197"/>
      <c r="AE129" s="197"/>
      <c r="AF129" s="197"/>
      <c r="AG129" s="197"/>
      <c r="AH129" s="197"/>
      <c r="AI129" s="197"/>
      <c r="AJ129" s="197"/>
      <c r="AK129" s="197"/>
      <c r="AL129" s="197"/>
      <c r="AM129" s="197"/>
      <c r="AN129" s="197"/>
      <c r="AO129" s="197"/>
      <c r="AP129" s="197"/>
      <c r="AQ129" s="197"/>
      <c r="AR129" s="197"/>
      <c r="AS129" s="197"/>
      <c r="AT129" s="197"/>
      <c r="AU129" s="197"/>
      <c r="AV129" s="197"/>
      <c r="AW129" s="197"/>
      <c r="AX129" s="197"/>
      <c r="AY129" s="197"/>
      <c r="AZ129" s="197"/>
      <c r="BA129" s="600"/>
      <c r="BB129" s="600"/>
      <c r="BC129" s="600"/>
      <c r="BD129" s="5"/>
    </row>
    <row r="130" spans="1:56" ht="50.1" customHeight="1" thickBot="1" x14ac:dyDescent="0.25">
      <c r="A130" s="600"/>
      <c r="B130" s="197"/>
      <c r="C130" s="523" t="s">
        <v>482</v>
      </c>
      <c r="D130" s="524" t="str">
        <f>Translations!$B$282</f>
        <v>Metoda</v>
      </c>
      <c r="E130" s="524" t="str">
        <f>Translations!$B$340</f>
        <v>Nazwa</v>
      </c>
      <c r="F130" s="525" t="str">
        <f>Translations!$B$284</f>
        <v>Dane dotyczące działalności (AD)</v>
      </c>
      <c r="G130" s="525" t="str">
        <f>Translations!$B$285</f>
        <v>Jednostka AD</v>
      </c>
      <c r="H130" s="525" t="str">
        <f>Translations!$B$286</f>
        <v>Wartość opałowa (NCV)</v>
      </c>
      <c r="I130" s="525" t="str">
        <f>Translations!$B$287</f>
        <v>Jednostka NCV</v>
      </c>
      <c r="J130" s="525" t="str">
        <f>Translations!$B$288</f>
        <v>Współczynnik emisji (EF)</v>
      </c>
      <c r="K130" s="525" t="str">
        <f>Translations!$B$289</f>
        <v>Jednostka EF</v>
      </c>
      <c r="L130" s="525" t="str">
        <f>Translations!$B$290</f>
        <v>Zawartość węgla</v>
      </c>
      <c r="M130" s="525" t="str">
        <f>Translations!$B$291</f>
        <v>Jednostka zawartości węgla</v>
      </c>
      <c r="N130" s="525" t="str">
        <f>Translations!$B$292</f>
        <v>Współczynnik utleniania (OxF)</v>
      </c>
      <c r="O130" s="525" t="str">
        <f>Translations!$B$293</f>
        <v>Jednostka OxF</v>
      </c>
      <c r="P130" s="525" t="str">
        <f>Translations!$B$294</f>
        <v>Współczynnik konwersji</v>
      </c>
      <c r="Q130" s="525" t="str">
        <f>Translations!$B$295</f>
        <v>Jednostka współczynnika konwersji</v>
      </c>
      <c r="R130" s="525" t="str">
        <f>Translations!$B$296</f>
        <v>Zawartość biomasy (BioC)</v>
      </c>
      <c r="S130" s="525" t="str">
        <f>Translations!$B$297</f>
        <v>Jednostka BioC</v>
      </c>
      <c r="T130" s="525" t="str">
        <f>Translations!$B$298</f>
        <v>BioC niezrówn.</v>
      </c>
      <c r="U130" s="525" t="str">
        <f>Translations!$B$299</f>
        <v>Jednostka BioC niezrówn.</v>
      </c>
      <c r="V130" s="525" t="str">
        <f>Translations!$B$300</f>
        <v>Średnie godzinowe stężenie gazów cieplarnianych (GHG)</v>
      </c>
      <c r="W130" s="525" t="str">
        <f>Translations!$B$301</f>
        <v>Jednostka godzinowego stężenia GHG</v>
      </c>
      <c r="X130" s="525" t="str">
        <f>Translations!$B$302</f>
        <v>Godziny działania</v>
      </c>
      <c r="Y130" s="525" t="str">
        <f>Translations!$B$303</f>
        <v>Jednostka godzin działania</v>
      </c>
      <c r="Z130" s="525" t="str">
        <f>Translations!$B$304</f>
        <v>Przepływ spalin (średnia)</v>
      </c>
      <c r="AA130" s="525" t="str">
        <f>Translations!$B$305</f>
        <v>Jednostka przepływu spalin (średnia)</v>
      </c>
      <c r="AB130" s="525" t="str">
        <f>Translations!$B$306</f>
        <v>Przepływ spalin (łącznie)</v>
      </c>
      <c r="AC130" s="525" t="str">
        <f>Translations!$B$307</f>
        <v>Jednostka przepływu spalin (łącznie)</v>
      </c>
      <c r="AD130" s="525" t="str">
        <f>Translations!$B$308</f>
        <v>Roczna ilość GHG</v>
      </c>
      <c r="AE130" s="525" t="str">
        <f>Translations!$B$309</f>
        <v>Jednostka rocznej ilości GHG</v>
      </c>
      <c r="AF130" s="525" t="str">
        <f>Translations!$B$310</f>
        <v>Współczynnik ocieplenia globalnego GWP (tCO2e/t)</v>
      </c>
      <c r="AG130" s="525" t="str">
        <f>Translations!$B$311</f>
        <v>A: Częstotliwość</v>
      </c>
      <c r="AH130" s="525" t="str">
        <f>Translations!$B$312</f>
        <v>A: Czas trwania</v>
      </c>
      <c r="AI130" s="525" t="str">
        <f>Translations!$B$313</f>
        <v>A: SEF (CF4)</v>
      </c>
      <c r="AJ130" s="525" t="str">
        <f>Translations!$B$314</f>
        <v>B: AEO</v>
      </c>
      <c r="AK130" s="525" t="str">
        <f>Translations!$B$315</f>
        <v>B: CE</v>
      </c>
      <c r="AL130" s="525" t="str">
        <f>Translations!$B$316</f>
        <v>B: OVC</v>
      </c>
      <c r="AM130" s="525" t="str">
        <f>Translations!$B$317</f>
        <v>F(C2F6)</v>
      </c>
      <c r="AN130" s="525" t="str">
        <f>Translations!$B$318</f>
        <v>Emisje CF4 (t CF4)</v>
      </c>
      <c r="AO130" s="525" t="str">
        <f>Translations!$B$319</f>
        <v>Emisje C2F6 (t C2F6)</v>
      </c>
      <c r="AP130" s="525" t="str">
        <f>Translations!$B$320</f>
        <v>GWP (CF4) (tCO2e/t)</v>
      </c>
      <c r="AQ130" s="525" t="str">
        <f>Translations!$B$321</f>
        <v>GWP (C2F6) (tCO2e/t)</v>
      </c>
      <c r="AR130" s="525" t="str">
        <f>Translations!$B$322</f>
        <v>Emisje CF4 (t CO2e)</v>
      </c>
      <c r="AS130" s="525" t="str">
        <f>Translations!$B$323</f>
        <v>Emisje C2F6 (t CO2e)</v>
      </c>
      <c r="AT130" s="525" t="str">
        <f>Translations!$B$324</f>
        <v>Całkowita wydajność, %</v>
      </c>
      <c r="AU130" s="525" t="str">
        <f>Translations!$B$325</f>
        <v>Kopalne CO2e (t)</v>
      </c>
      <c r="AV130" s="525" t="str">
        <f>Translations!$B$326</f>
        <v>CO2e z biomasy (t)</v>
      </c>
      <c r="AW130" s="525" t="str">
        <f>Translations!$B$327</f>
        <v>CO2e z biomasy niezrówn. (t)</v>
      </c>
      <c r="AX130" s="526" t="str">
        <f>Translations!$B$328</f>
        <v>Zawartość energii (kopalne), TJ</v>
      </c>
      <c r="AY130" s="527" t="str">
        <f>Translations!$B$329</f>
        <v>Zawartość energii (biomasa), TJ</v>
      </c>
      <c r="AZ130" s="197"/>
      <c r="BA130" s="600"/>
      <c r="BB130" s="600"/>
      <c r="BC130" s="600"/>
      <c r="BD130" s="5"/>
    </row>
    <row r="131" spans="1:56" ht="12.75" customHeight="1" x14ac:dyDescent="0.2">
      <c r="A131" s="600"/>
      <c r="B131" s="197"/>
      <c r="C131" s="696" t="str">
        <f>Translations!$B$341</f>
        <v>Przykł.</v>
      </c>
      <c r="D131" s="673" t="str">
        <f>Translations!$B$271</f>
        <v>Rozwiązania rezerwowe (fall-back)</v>
      </c>
      <c r="E131" s="782"/>
      <c r="F131" s="783"/>
      <c r="G131" s="784"/>
      <c r="H131" s="783"/>
      <c r="I131" s="784"/>
      <c r="J131" s="783"/>
      <c r="K131" s="784"/>
      <c r="L131" s="784"/>
      <c r="M131" s="784"/>
      <c r="N131" s="783"/>
      <c r="O131" s="785"/>
      <c r="P131" s="783"/>
      <c r="Q131" s="785"/>
      <c r="R131" s="783"/>
      <c r="S131" s="785"/>
      <c r="T131" s="783"/>
      <c r="U131" s="785"/>
      <c r="V131" s="785"/>
      <c r="W131" s="785"/>
      <c r="X131" s="785"/>
      <c r="Y131" s="785"/>
      <c r="Z131" s="785"/>
      <c r="AA131" s="785"/>
      <c r="AB131" s="785"/>
      <c r="AC131" s="785"/>
      <c r="AD131" s="785"/>
      <c r="AE131" s="785"/>
      <c r="AF131" s="785"/>
      <c r="AG131" s="785"/>
      <c r="AH131" s="785"/>
      <c r="AI131" s="785"/>
      <c r="AJ131" s="785"/>
      <c r="AK131" s="785"/>
      <c r="AL131" s="785"/>
      <c r="AM131" s="785"/>
      <c r="AN131" s="785"/>
      <c r="AO131" s="785"/>
      <c r="AP131" s="785"/>
      <c r="AQ131" s="785"/>
      <c r="AR131" s="785"/>
      <c r="AS131" s="785"/>
      <c r="AT131" s="785"/>
      <c r="AU131" s="697">
        <v>2850</v>
      </c>
      <c r="AV131" s="697">
        <v>340</v>
      </c>
      <c r="AW131" s="697">
        <v>0</v>
      </c>
      <c r="AX131" s="698">
        <v>45</v>
      </c>
      <c r="AY131" s="698">
        <v>5</v>
      </c>
      <c r="AZ131" s="197"/>
      <c r="BA131" s="600"/>
      <c r="BB131" s="600"/>
      <c r="BC131" s="600"/>
      <c r="BD131" s="5"/>
    </row>
    <row r="132" spans="1:56" x14ac:dyDescent="0.2">
      <c r="A132" s="600"/>
      <c r="B132" s="197"/>
      <c r="C132" s="528">
        <v>1</v>
      </c>
      <c r="D132" s="690" t="str">
        <f>Translations!$B$271</f>
        <v>Rozwiązania rezerwowe (fall-back)</v>
      </c>
      <c r="E132" s="786"/>
      <c r="F132" s="779"/>
      <c r="G132" s="780"/>
      <c r="H132" s="779"/>
      <c r="I132" s="780"/>
      <c r="J132" s="779"/>
      <c r="K132" s="780"/>
      <c r="L132" s="780"/>
      <c r="M132" s="780"/>
      <c r="N132" s="779"/>
      <c r="O132" s="778"/>
      <c r="P132" s="779"/>
      <c r="Q132" s="778"/>
      <c r="R132" s="779"/>
      <c r="S132" s="778"/>
      <c r="T132" s="779"/>
      <c r="U132" s="778"/>
      <c r="V132" s="778"/>
      <c r="W132" s="778"/>
      <c r="X132" s="778"/>
      <c r="Y132" s="778"/>
      <c r="Z132" s="778"/>
      <c r="AA132" s="778"/>
      <c r="AB132" s="778"/>
      <c r="AC132" s="778"/>
      <c r="AD132" s="778"/>
      <c r="AE132" s="778"/>
      <c r="AF132" s="778"/>
      <c r="AG132" s="778"/>
      <c r="AH132" s="778"/>
      <c r="AI132" s="778"/>
      <c r="AJ132" s="778"/>
      <c r="AK132" s="778"/>
      <c r="AL132" s="778"/>
      <c r="AM132" s="778"/>
      <c r="AN132" s="778"/>
      <c r="AO132" s="778"/>
      <c r="AP132" s="778"/>
      <c r="AQ132" s="778"/>
      <c r="AR132" s="778"/>
      <c r="AS132" s="778"/>
      <c r="AT132" s="778"/>
      <c r="AU132" s="598"/>
      <c r="AV132" s="598"/>
      <c r="AW132" s="598"/>
      <c r="AX132" s="599"/>
      <c r="AY132" s="599"/>
      <c r="AZ132" s="197"/>
      <c r="BA132" s="478" t="str">
        <f>EUconst_SumCO2</f>
        <v>SUM_CO2</v>
      </c>
      <c r="BB132" s="573" t="str">
        <f>EUconst_SumEnergyIN</f>
        <v>SUM_EnergyIN</v>
      </c>
      <c r="BC132" s="600"/>
      <c r="BD132" s="5"/>
    </row>
    <row r="133" spans="1:56" x14ac:dyDescent="0.2">
      <c r="AZ133" s="672"/>
      <c r="BC133" s="674"/>
      <c r="BD133" s="5"/>
    </row>
    <row r="134" spans="1:56" s="2" customFormat="1" hidden="1" x14ac:dyDescent="0.2">
      <c r="A134" s="2" t="s">
        <v>101</v>
      </c>
      <c r="B134" s="2" t="s">
        <v>350</v>
      </c>
      <c r="C134" s="2" t="s">
        <v>350</v>
      </c>
      <c r="D134" s="2" t="s">
        <v>350</v>
      </c>
      <c r="E134" s="2" t="s">
        <v>350</v>
      </c>
      <c r="F134" s="2" t="s">
        <v>350</v>
      </c>
      <c r="G134" s="2" t="s">
        <v>350</v>
      </c>
      <c r="H134" s="2" t="s">
        <v>350</v>
      </c>
      <c r="I134" s="2" t="s">
        <v>350</v>
      </c>
      <c r="J134" s="2" t="s">
        <v>350</v>
      </c>
      <c r="K134" s="2" t="s">
        <v>350</v>
      </c>
      <c r="L134" s="2" t="s">
        <v>350</v>
      </c>
      <c r="M134" s="2" t="s">
        <v>350</v>
      </c>
      <c r="N134" s="2" t="s">
        <v>350</v>
      </c>
      <c r="O134" s="2" t="s">
        <v>350</v>
      </c>
      <c r="P134" s="2" t="s">
        <v>350</v>
      </c>
      <c r="Q134" s="2" t="s">
        <v>350</v>
      </c>
      <c r="R134" s="2" t="s">
        <v>350</v>
      </c>
      <c r="S134" s="2" t="s">
        <v>350</v>
      </c>
      <c r="T134" s="2" t="s">
        <v>350</v>
      </c>
      <c r="U134" s="2" t="s">
        <v>350</v>
      </c>
      <c r="V134" s="2" t="s">
        <v>350</v>
      </c>
      <c r="W134" s="2" t="s">
        <v>350</v>
      </c>
      <c r="X134" s="2" t="s">
        <v>350</v>
      </c>
      <c r="Y134" s="2" t="s">
        <v>350</v>
      </c>
      <c r="Z134" s="2" t="s">
        <v>350</v>
      </c>
      <c r="AA134" s="2" t="s">
        <v>350</v>
      </c>
      <c r="AB134" s="2" t="s">
        <v>350</v>
      </c>
      <c r="AC134" s="2" t="s">
        <v>350</v>
      </c>
      <c r="AD134" s="2" t="s">
        <v>350</v>
      </c>
      <c r="AE134" s="2" t="s">
        <v>350</v>
      </c>
      <c r="AF134" s="2" t="s">
        <v>350</v>
      </c>
      <c r="AG134" s="2" t="s">
        <v>350</v>
      </c>
      <c r="AH134" s="2" t="s">
        <v>350</v>
      </c>
      <c r="AI134" s="2" t="s">
        <v>350</v>
      </c>
      <c r="AJ134" s="2" t="s">
        <v>350</v>
      </c>
      <c r="AK134" s="2" t="s">
        <v>350</v>
      </c>
      <c r="AL134" s="2" t="s">
        <v>350</v>
      </c>
      <c r="AM134" s="2" t="s">
        <v>350</v>
      </c>
      <c r="AN134" s="2" t="s">
        <v>350</v>
      </c>
      <c r="AO134" s="2" t="s">
        <v>350</v>
      </c>
      <c r="AP134" s="2" t="s">
        <v>350</v>
      </c>
      <c r="AQ134" s="2" t="s">
        <v>350</v>
      </c>
      <c r="AR134" s="2" t="s">
        <v>350</v>
      </c>
      <c r="AS134" s="2" t="s">
        <v>350</v>
      </c>
      <c r="AT134" s="2" t="s">
        <v>350</v>
      </c>
      <c r="AU134" s="2" t="s">
        <v>350</v>
      </c>
      <c r="AV134" s="2" t="s">
        <v>350</v>
      </c>
      <c r="AW134" s="2" t="s">
        <v>350</v>
      </c>
      <c r="AX134" s="2" t="s">
        <v>350</v>
      </c>
      <c r="AY134" s="2" t="s">
        <v>350</v>
      </c>
      <c r="AZ134" s="2" t="s">
        <v>350</v>
      </c>
      <c r="BA134" s="2" t="s">
        <v>350</v>
      </c>
      <c r="BB134" s="2" t="s">
        <v>350</v>
      </c>
      <c r="BC134" s="430"/>
    </row>
    <row r="135" spans="1:56" x14ac:dyDescent="0.2">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674"/>
      <c r="BB135" s="674"/>
      <c r="BC135" s="674"/>
      <c r="BD135" s="5"/>
    </row>
    <row r="136" spans="1:56" x14ac:dyDescent="0.2">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674"/>
      <c r="BB136" s="674"/>
      <c r="BC136" s="674"/>
      <c r="BD136" s="5"/>
    </row>
  </sheetData>
  <sheetProtection formatCells="0" formatColumns="0" formatRows="0"/>
  <mergeCells count="26">
    <mergeCell ref="L2:M2"/>
    <mergeCell ref="F3:G3"/>
    <mergeCell ref="H3:I3"/>
    <mergeCell ref="J3:K3"/>
    <mergeCell ref="L3:M3"/>
    <mergeCell ref="B2:D3"/>
    <mergeCell ref="F2:G2"/>
    <mergeCell ref="H2:I2"/>
    <mergeCell ref="J2:K2"/>
    <mergeCell ref="B4:D4"/>
    <mergeCell ref="F4:G4"/>
    <mergeCell ref="H4:I4"/>
    <mergeCell ref="J4:K4"/>
    <mergeCell ref="L4:M4"/>
    <mergeCell ref="D15:K15"/>
    <mergeCell ref="D16:K16"/>
    <mergeCell ref="D17:K17"/>
    <mergeCell ref="D18:K18"/>
    <mergeCell ref="D8:N8"/>
    <mergeCell ref="D10:I10"/>
    <mergeCell ref="J10:K10"/>
    <mergeCell ref="D11:K11"/>
    <mergeCell ref="D12:K12"/>
    <mergeCell ref="D14:N14"/>
    <mergeCell ref="D6:I6"/>
    <mergeCell ref="J6:K6"/>
  </mergeCells>
  <conditionalFormatting sqref="D24:G24 AV24:AW24 AG103:AY112 D103:G112 D118:E127 R118:AF127 AU118:AY127 AU132:AY132 AU27:AY98 D27:U98 AY24 K24:U24">
    <cfRule type="expression" dxfId="369" priority="13" stopIfTrue="1">
      <formula>MSconst_AllowInstEmmisionTotals</formula>
    </cfRule>
  </conditionalFormatting>
  <conditionalFormatting sqref="D26:G26 AU26 AW26:AX26 K26:U26">
    <cfRule type="expression" dxfId="368" priority="12" stopIfTrue="1">
      <formula>MSconst_AllowInstEmmisionTotals</formula>
    </cfRule>
  </conditionalFormatting>
  <conditionalFormatting sqref="AU24">
    <cfRule type="expression" dxfId="367" priority="11" stopIfTrue="1">
      <formula>MSconst_AllowInstEmmisionTotals</formula>
    </cfRule>
  </conditionalFormatting>
  <conditionalFormatting sqref="AX24">
    <cfRule type="expression" dxfId="366" priority="10" stopIfTrue="1">
      <formula>MSconst_AllowInstEmmisionTotals</formula>
    </cfRule>
  </conditionalFormatting>
  <conditionalFormatting sqref="AV26">
    <cfRule type="expression" dxfId="365" priority="9" stopIfTrue="1">
      <formula>MSconst_AllowInstEmmisionTotals</formula>
    </cfRule>
  </conditionalFormatting>
  <conditionalFormatting sqref="AY26">
    <cfRule type="expression" dxfId="364" priority="8" stopIfTrue="1">
      <formula>MSconst_AllowInstEmmisionTotals</formula>
    </cfRule>
  </conditionalFormatting>
  <conditionalFormatting sqref="H24:J24">
    <cfRule type="expression" dxfId="363" priority="7" stopIfTrue="1">
      <formula>MSconst_AllowInstEmmisionTotals</formula>
    </cfRule>
  </conditionalFormatting>
  <conditionalFormatting sqref="H26:J26">
    <cfRule type="expression" dxfId="362" priority="6" stopIfTrue="1">
      <formula>MSconst_AllowInstEmmisionTotals</formula>
    </cfRule>
  </conditionalFormatting>
  <conditionalFormatting sqref="D25:G25 AU25 AW25:AX25 K25:U25">
    <cfRule type="expression" dxfId="361" priority="4" stopIfTrue="1">
      <formula>MSconst_AllowInstEmmisionTotals</formula>
    </cfRule>
  </conditionalFormatting>
  <conditionalFormatting sqref="AV25">
    <cfRule type="expression" dxfId="360" priority="3" stopIfTrue="1">
      <formula>MSconst_AllowInstEmmisionTotals</formula>
    </cfRule>
  </conditionalFormatting>
  <conditionalFormatting sqref="AY25">
    <cfRule type="expression" dxfId="359" priority="2" stopIfTrue="1">
      <formula>MSconst_AllowInstEmmisionTotals</formula>
    </cfRule>
  </conditionalFormatting>
  <conditionalFormatting sqref="H25:J25">
    <cfRule type="expression" dxfId="358" priority="1" stopIfTrue="1">
      <formula>MSconst_AllowInstEmmisionTotals</formula>
    </cfRule>
  </conditionalFormatting>
  <hyperlinks>
    <hyperlink ref="F2:G2" location="JUMP_TOC_Home" display="Table of contents"/>
    <hyperlink ref="L2:M2" location="JUMP_K_I" display="Summary"/>
    <hyperlink ref="J2:K2" location="JUMP_BY3_Top" display="JUMP_BY3_Top"/>
    <hyperlink ref="H2:I2" location="JUMP_BY1_Top" display="JUMP_BY1_Top"/>
    <hyperlink ref="E3" location="JUMP_BY2_Top" display="JUMP_BY2_Top"/>
    <hyperlink ref="F3:G3" location="JUMP_BY2_Source" display="Source streams (excl. PFC)"/>
    <hyperlink ref="H3:I3" location="JUMP_BY2_PFC" display="PFC source streams"/>
    <hyperlink ref="J3:K3" location="JUMP_BY2_Emissions" display="Emission Sources (CEMS)"/>
    <hyperlink ref="L3:M3" location="JUMP_BY2_Fallback" display="Fall-back"/>
  </hyperlinks>
  <pageMargins left="0.70866141732283472" right="0.70866141732283472" top="0.78740157480314965" bottom="0.78740157480314965" header="0.31496062992125984" footer="0.31496062992125984"/>
  <pageSetup paperSize="9" scale="37" fitToWidth="10" orientation="portrait" r:id="rId1"/>
  <headerFooter>
    <oddFooter>&amp;L&amp;F; &amp;A&amp;C&amp;P / &amp;N&amp;R&amp;F; &amp;A</oddFooter>
  </headerFooter>
  <colBreaks count="1" manualBreakCount="1">
    <brk id="51"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rgb="FFCCFFCC"/>
    <pageSetUpPr fitToPage="1"/>
  </sheetPr>
  <dimension ref="A1:BD135"/>
  <sheetViews>
    <sheetView topLeftCell="B1" zoomScaleNormal="100" workbookViewId="0">
      <pane ySplit="4" topLeftCell="A5" activePane="bottomLeft" state="frozen"/>
      <selection activeCell="B2" sqref="B2"/>
      <selection pane="bottomLeft" activeCell="B24" sqref="A24:XFD25"/>
    </sheetView>
  </sheetViews>
  <sheetFormatPr defaultColWidth="11.42578125" defaultRowHeight="12.75" x14ac:dyDescent="0.2"/>
  <cols>
    <col min="1" max="1" width="3.42578125" style="671" hidden="1" customWidth="1"/>
    <col min="2" max="2" width="3.42578125" style="199" customWidth="1"/>
    <col min="3" max="3" width="8.42578125" style="6" bestFit="1" customWidth="1"/>
    <col min="4" max="4" width="21.5703125" style="199" bestFit="1" customWidth="1"/>
    <col min="5" max="5" width="35.7109375" style="199" customWidth="1"/>
    <col min="6" max="6" width="15.7109375" style="199" customWidth="1"/>
    <col min="7" max="51" width="12.7109375" style="199" customWidth="1"/>
    <col min="52" max="52" width="9.140625" style="199" customWidth="1"/>
    <col min="53" max="55" width="11.42578125" style="671" hidden="1" customWidth="1"/>
    <col min="56" max="16384" width="11.42578125" style="672"/>
  </cols>
  <sheetData>
    <row r="1" spans="1:56" ht="13.5" hidden="1" thickBot="1" x14ac:dyDescent="0.25">
      <c r="A1" s="509" t="s">
        <v>101</v>
      </c>
      <c r="B1" s="519"/>
      <c r="C1" s="520"/>
      <c r="D1" s="519"/>
      <c r="E1" s="519"/>
      <c r="F1" s="519"/>
      <c r="G1" s="519"/>
      <c r="H1" s="519"/>
      <c r="I1" s="519"/>
      <c r="J1" s="519"/>
      <c r="K1" s="519"/>
      <c r="L1" s="521"/>
      <c r="M1" s="519"/>
      <c r="N1" s="519"/>
      <c r="O1" s="519"/>
      <c r="P1" s="519"/>
      <c r="Q1" s="519"/>
      <c r="R1" s="519"/>
      <c r="S1" s="519"/>
      <c r="T1" s="519"/>
      <c r="U1" s="519"/>
      <c r="V1" s="519"/>
      <c r="W1" s="519"/>
      <c r="X1" s="519"/>
      <c r="Y1" s="519"/>
      <c r="Z1" s="519"/>
      <c r="AA1" s="519"/>
      <c r="AB1" s="519"/>
      <c r="AC1" s="519"/>
      <c r="AD1" s="519"/>
      <c r="AE1" s="519"/>
      <c r="AF1" s="519"/>
      <c r="AG1" s="519"/>
      <c r="AH1" s="519"/>
      <c r="AI1" s="519"/>
      <c r="AJ1" s="519"/>
      <c r="AK1" s="519"/>
      <c r="AL1" s="519"/>
      <c r="AM1" s="519"/>
      <c r="AN1" s="519"/>
      <c r="AO1" s="519"/>
      <c r="AP1" s="519"/>
      <c r="AQ1" s="519"/>
      <c r="AR1" s="519"/>
      <c r="AS1" s="519"/>
      <c r="AT1" s="519"/>
      <c r="AU1" s="519"/>
      <c r="AV1" s="519"/>
      <c r="AW1" s="519"/>
      <c r="AX1" s="519"/>
      <c r="AY1" s="519"/>
      <c r="AZ1" s="519"/>
      <c r="BA1" s="600" t="s">
        <v>101</v>
      </c>
      <c r="BB1" s="600" t="s">
        <v>101</v>
      </c>
      <c r="BC1" s="600" t="s">
        <v>101</v>
      </c>
      <c r="BD1" s="5"/>
    </row>
    <row r="2" spans="1:56" ht="13.5" customHeight="1" thickBot="1" x14ac:dyDescent="0.25">
      <c r="A2" s="600"/>
      <c r="B2" s="1548" t="str">
        <f>Translations!$B$267</f>
        <v>Dane roczne dotyczące emisji B+C</v>
      </c>
      <c r="C2" s="1584"/>
      <c r="D2" s="1585"/>
      <c r="E2" s="793" t="str">
        <f>Translations!$B$2</f>
        <v>Obszar nawigacji:</v>
      </c>
      <c r="F2" s="1558" t="str">
        <f>Translations!$B$18</f>
        <v>Spis treści</v>
      </c>
      <c r="G2" s="1339"/>
      <c r="H2" s="1339" t="str">
        <f>Translations!$B$19</f>
        <v>Poprzedni arkusz</v>
      </c>
      <c r="I2" s="1607"/>
      <c r="J2" s="1339" t="str">
        <f>Translations!$B$3</f>
        <v>Następny arkusz</v>
      </c>
      <c r="K2" s="1607"/>
      <c r="L2" s="1339" t="str">
        <f>Translations!$B$4</f>
        <v>Podsumowanie</v>
      </c>
      <c r="M2" s="160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602" t="s">
        <v>512</v>
      </c>
      <c r="BB2" s="601">
        <v>3</v>
      </c>
      <c r="BC2" s="689"/>
      <c r="BD2" s="5"/>
    </row>
    <row r="3" spans="1:56" ht="13.5" thickBot="1" x14ac:dyDescent="0.25">
      <c r="A3" s="600"/>
      <c r="B3" s="1586"/>
      <c r="C3" s="1587"/>
      <c r="D3" s="1588"/>
      <c r="E3" s="1090" t="str">
        <f>Translations!$B$5</f>
        <v>Początek arkusza</v>
      </c>
      <c r="F3" s="1597" t="str">
        <f>Translations!$B$268</f>
        <v>Strumienie materiałów wsadowych (z wyłączeniem PFC)</v>
      </c>
      <c r="G3" s="1544"/>
      <c r="H3" s="1544" t="str">
        <f>Translations!$B$269</f>
        <v>Strumienie materiałów wsadowych w przypadku PFC</v>
      </c>
      <c r="I3" s="1544"/>
      <c r="J3" s="1544" t="str">
        <f>Translations!$B$270</f>
        <v>Źródła emisji (CEMS)</v>
      </c>
      <c r="K3" s="1544"/>
      <c r="L3" s="1544" t="str">
        <f>Translations!$B$271</f>
        <v>Rozwiązania rezerwowe (fall-back)</v>
      </c>
      <c r="M3" s="1598"/>
      <c r="N3" s="197"/>
      <c r="O3" s="197"/>
      <c r="P3" s="197"/>
      <c r="Q3" s="197"/>
      <c r="R3" s="197"/>
      <c r="S3" s="197"/>
      <c r="T3" s="197"/>
      <c r="U3" s="197"/>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602" t="s">
        <v>511</v>
      </c>
      <c r="BB3" s="604">
        <f>INDEX(EUconst_ReportingYears,BB2)+(IF(CNTR_BaselinePeriod=EUconst_NA,0,CNTR_BaselinePeriod-1)*5)</f>
        <v>2016</v>
      </c>
      <c r="BC3" s="689"/>
      <c r="BD3" s="5"/>
    </row>
    <row r="4" spans="1:56" ht="13.5" thickBot="1" x14ac:dyDescent="0.25">
      <c r="A4" s="600"/>
      <c r="B4" s="1589">
        <f>BB3</f>
        <v>2016</v>
      </c>
      <c r="C4" s="1590"/>
      <c r="D4" s="1591"/>
      <c r="E4" s="794"/>
      <c r="F4" s="1593"/>
      <c r="G4" s="1608"/>
      <c r="H4" s="1595"/>
      <c r="I4" s="1595"/>
      <c r="J4" s="1595"/>
      <c r="K4" s="1595"/>
      <c r="L4" s="1595"/>
      <c r="M4" s="1601"/>
      <c r="N4" s="77">
        <f>$B$4</f>
        <v>2016</v>
      </c>
      <c r="O4" s="197"/>
      <c r="P4" s="77">
        <f>$B$4</f>
        <v>2016</v>
      </c>
      <c r="Q4" s="197"/>
      <c r="R4" s="77">
        <f>$B$4</f>
        <v>2016</v>
      </c>
      <c r="S4" s="197"/>
      <c r="T4" s="77">
        <f>$B$4</f>
        <v>2016</v>
      </c>
      <c r="U4" s="197"/>
      <c r="V4" s="77">
        <f>$B$4</f>
        <v>2016</v>
      </c>
      <c r="W4" s="197"/>
      <c r="X4" s="77">
        <f>$B$4</f>
        <v>2016</v>
      </c>
      <c r="Y4" s="197"/>
      <c r="Z4" s="77">
        <f>$B$4</f>
        <v>2016</v>
      </c>
      <c r="AA4" s="197"/>
      <c r="AB4" s="77">
        <f>$B$4</f>
        <v>2016</v>
      </c>
      <c r="AC4" s="197"/>
      <c r="AD4" s="77">
        <f>$B$4</f>
        <v>2016</v>
      </c>
      <c r="AE4" s="197"/>
      <c r="AF4" s="77">
        <f>$B$4</f>
        <v>2016</v>
      </c>
      <c r="AG4" s="197"/>
      <c r="AH4" s="77">
        <f>$B$4</f>
        <v>2016</v>
      </c>
      <c r="AI4" s="197"/>
      <c r="AJ4" s="77">
        <f>$B$4</f>
        <v>2016</v>
      </c>
      <c r="AK4" s="197"/>
      <c r="AL4" s="77">
        <f>$B$4</f>
        <v>2016</v>
      </c>
      <c r="AM4" s="197"/>
      <c r="AN4" s="77">
        <f>$B$4</f>
        <v>2016</v>
      </c>
      <c r="AO4" s="197"/>
      <c r="AP4" s="77">
        <f>$B$4</f>
        <v>2016</v>
      </c>
      <c r="AQ4" s="197"/>
      <c r="AR4" s="77">
        <f>$B$4</f>
        <v>2016</v>
      </c>
      <c r="AS4" s="197"/>
      <c r="AT4" s="77">
        <f>$B$4</f>
        <v>2016</v>
      </c>
      <c r="AU4" s="197"/>
      <c r="AV4" s="77">
        <f>$B$4</f>
        <v>2016</v>
      </c>
      <c r="AW4" s="197"/>
      <c r="AX4" s="77">
        <f>$B$4</f>
        <v>2016</v>
      </c>
      <c r="AY4" s="197"/>
      <c r="AZ4" s="197"/>
      <c r="BA4" s="600"/>
      <c r="BB4" s="603"/>
      <c r="BC4" s="689"/>
      <c r="BD4" s="5"/>
    </row>
    <row r="5" spans="1:56" x14ac:dyDescent="0.2">
      <c r="A5" s="600"/>
      <c r="B5" s="3"/>
      <c r="C5" s="4"/>
      <c r="D5" s="5"/>
      <c r="E5" s="5"/>
      <c r="F5" s="6"/>
      <c r="G5" s="6"/>
      <c r="H5" s="6"/>
      <c r="I5" s="3"/>
      <c r="J5" s="3"/>
      <c r="K5" s="3"/>
      <c r="L5" s="3"/>
      <c r="M5" s="7"/>
      <c r="N5" s="7"/>
      <c r="O5" s="197"/>
      <c r="P5" s="197"/>
      <c r="Q5" s="197"/>
      <c r="R5" s="197"/>
      <c r="S5" s="197"/>
      <c r="T5" s="197"/>
      <c r="U5" s="197"/>
      <c r="V5" s="197"/>
      <c r="W5" s="197"/>
      <c r="X5" s="197"/>
      <c r="Y5" s="197"/>
      <c r="Z5" s="197"/>
      <c r="AA5" s="197"/>
      <c r="AB5" s="197"/>
      <c r="AC5" s="197"/>
      <c r="AD5" s="197"/>
      <c r="AE5" s="197"/>
      <c r="AF5" s="197"/>
      <c r="AG5" s="197"/>
      <c r="AH5" s="197"/>
      <c r="AI5" s="197"/>
      <c r="AJ5" s="197"/>
      <c r="AK5" s="197"/>
      <c r="AL5" s="197"/>
      <c r="AM5" s="197"/>
      <c r="AN5" s="197"/>
      <c r="AO5" s="197"/>
      <c r="AP5" s="197"/>
      <c r="AQ5" s="197"/>
      <c r="AR5" s="197"/>
      <c r="AS5" s="197"/>
      <c r="AT5" s="197"/>
      <c r="AU5" s="197"/>
      <c r="AV5" s="197"/>
      <c r="AW5" s="197"/>
      <c r="AX5" s="197"/>
      <c r="AY5" s="197"/>
      <c r="AZ5" s="197"/>
      <c r="BA5" s="600"/>
      <c r="BB5" s="603"/>
      <c r="BC5" s="689"/>
      <c r="BD5" s="5"/>
    </row>
    <row r="6" spans="1:56" ht="38.25" customHeight="1" x14ac:dyDescent="0.2">
      <c r="A6" s="600"/>
      <c r="B6" s="3"/>
      <c r="C6" s="9" t="s">
        <v>642</v>
      </c>
      <c r="D6" s="1599" t="str">
        <f>Translations!$B$272</f>
        <v>Arkusz „Annual Emissions Data” (Dane roczne dotyczące emisji) w odniesieniu do roku:</v>
      </c>
      <c r="E6" s="1599"/>
      <c r="F6" s="1599"/>
      <c r="G6" s="1599"/>
      <c r="H6" s="1599"/>
      <c r="I6" s="1600"/>
      <c r="J6" s="1592">
        <f>B4</f>
        <v>2016</v>
      </c>
      <c r="K6" s="1592"/>
      <c r="L6" s="197"/>
      <c r="N6" s="445"/>
      <c r="O6" s="197"/>
      <c r="P6" s="197"/>
      <c r="Q6" s="197"/>
      <c r="R6" s="197"/>
      <c r="S6" s="197"/>
      <c r="T6" s="197"/>
      <c r="U6" s="197"/>
      <c r="V6" s="197"/>
      <c r="W6" s="197"/>
      <c r="X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0" t="s">
        <v>75</v>
      </c>
      <c r="BB6" s="10" t="s">
        <v>75</v>
      </c>
      <c r="BC6" s="689"/>
      <c r="BD6" s="5"/>
    </row>
    <row r="7" spans="1:56" x14ac:dyDescent="0.2">
      <c r="A7" s="600"/>
      <c r="B7" s="197"/>
      <c r="C7" s="197"/>
      <c r="D7" s="197"/>
      <c r="E7" s="197"/>
      <c r="F7" s="197"/>
      <c r="G7" s="197"/>
      <c r="H7" s="197"/>
      <c r="I7" s="197"/>
      <c r="J7" s="197"/>
      <c r="K7" s="197"/>
      <c r="L7" s="197"/>
      <c r="M7" s="197"/>
      <c r="N7" s="197"/>
      <c r="O7" s="197"/>
      <c r="P7" s="197"/>
      <c r="Q7" s="197"/>
      <c r="R7" s="197"/>
      <c r="S7" s="197"/>
      <c r="T7" s="197"/>
      <c r="U7" s="197"/>
      <c r="V7" s="197"/>
      <c r="W7" s="197"/>
      <c r="X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1" t="s">
        <v>274</v>
      </c>
      <c r="BB7" s="11" t="s">
        <v>274</v>
      </c>
      <c r="BC7" s="689"/>
      <c r="BD7" s="5"/>
    </row>
    <row r="8" spans="1:56" s="670" customFormat="1" ht="15.75" x14ac:dyDescent="0.25">
      <c r="A8" s="667"/>
      <c r="B8" s="3"/>
      <c r="C8" s="12" t="s">
        <v>407</v>
      </c>
      <c r="D8" s="1596" t="str">
        <f>Translations!$B$273</f>
        <v>Ogólne wytyczne na temat danych dotyczących strumienia materiałów wsadowych</v>
      </c>
      <c r="E8" s="1596"/>
      <c r="F8" s="1596"/>
      <c r="G8" s="1596"/>
      <c r="H8" s="1596"/>
      <c r="I8" s="1596"/>
      <c r="J8" s="1596"/>
      <c r="K8" s="1596"/>
      <c r="L8" s="1596"/>
      <c r="M8" s="1596"/>
      <c r="N8" s="1596"/>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600"/>
      <c r="BB8" s="600"/>
      <c r="BC8" s="689"/>
      <c r="BD8" s="5"/>
    </row>
    <row r="9" spans="1:56" s="670" customFormat="1" x14ac:dyDescent="0.2">
      <c r="A9" s="667"/>
      <c r="B9" s="668"/>
      <c r="C9" s="124"/>
      <c r="D9" s="124"/>
      <c r="E9" s="124"/>
      <c r="F9" s="124"/>
      <c r="G9" s="124"/>
      <c r="H9" s="124"/>
      <c r="I9" s="124"/>
      <c r="J9" s="124"/>
      <c r="K9" s="124"/>
      <c r="L9" s="124"/>
      <c r="M9" s="124"/>
      <c r="N9" s="124"/>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600"/>
      <c r="BB9" s="600"/>
      <c r="BC9" s="689"/>
      <c r="BD9" s="5"/>
    </row>
    <row r="10" spans="1:56" s="670" customFormat="1" ht="25.5" customHeight="1" x14ac:dyDescent="0.2">
      <c r="A10" s="667"/>
      <c r="B10" s="3"/>
      <c r="C10" s="14"/>
      <c r="D10" s="1466" t="str">
        <f>Translations!$B$274</f>
        <v>Państwo członkowskie zwykle wymaga obowiązkowego podania szczegółowych danych dotyczących strumienia materiałów wsadowych:</v>
      </c>
      <c r="E10" s="1466"/>
      <c r="F10" s="1466"/>
      <c r="G10" s="1466"/>
      <c r="H10" s="1466"/>
      <c r="I10" s="1603"/>
      <c r="J10" s="1605" t="b">
        <f>NOT(MSconst_AllowInstEmmisionTotals)</f>
        <v>1</v>
      </c>
      <c r="K10" s="1605"/>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600"/>
      <c r="BB10" s="600"/>
      <c r="BC10" s="689"/>
      <c r="BD10" s="5"/>
    </row>
    <row r="11" spans="1:56" s="670" customFormat="1" ht="12.75" customHeight="1" x14ac:dyDescent="0.2">
      <c r="A11" s="667"/>
      <c r="B11" s="668"/>
      <c r="C11" s="668"/>
      <c r="D11" s="1416" t="str">
        <f>Translations!$B$275</f>
        <v>Jeżeli wartość tej komórki to „Fałsz”, wpisy w tym miejscu nie są obowiązkowe i przedstawiają jedynie całkowite roczne emisje w części D.I.</v>
      </c>
      <c r="E11" s="1416"/>
      <c r="F11" s="1416"/>
      <c r="G11" s="1416"/>
      <c r="H11" s="1416"/>
      <c r="I11" s="1416"/>
      <c r="J11" s="1416"/>
      <c r="K11" s="1416"/>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600"/>
      <c r="BB11" s="600"/>
      <c r="BC11" s="689"/>
      <c r="BD11" s="5"/>
    </row>
    <row r="12" spans="1:56" s="670" customFormat="1" ht="12.75" customHeight="1" x14ac:dyDescent="0.2">
      <c r="A12" s="667"/>
      <c r="B12" s="668"/>
      <c r="C12" s="668"/>
      <c r="D12" s="1606" t="str">
        <f>IF(MSconst_AllowInstEmmisionTotals,HYPERLINK(BB12,EUconst_ERR_Goto_DI2),"")</f>
        <v/>
      </c>
      <c r="E12" s="1606"/>
      <c r="F12" s="1606"/>
      <c r="G12" s="1606"/>
      <c r="H12" s="1606"/>
      <c r="I12" s="1606"/>
      <c r="J12" s="1606"/>
      <c r="K12" s="1606"/>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2" t="s">
        <v>199</v>
      </c>
      <c r="BB12" s="346" t="str">
        <f>"#JUMP_D_I"</f>
        <v>#JUMP_D_I</v>
      </c>
      <c r="BC12" s="689"/>
      <c r="BD12" s="5"/>
    </row>
    <row r="13" spans="1:56" s="670" customFormat="1" x14ac:dyDescent="0.2">
      <c r="A13" s="667"/>
      <c r="B13" s="3"/>
      <c r="C13" s="3"/>
      <c r="D13" s="3"/>
      <c r="E13" s="669"/>
      <c r="F13" s="3"/>
      <c r="G13" s="3"/>
      <c r="H13" s="3"/>
      <c r="I13" s="3"/>
      <c r="J13" s="3"/>
      <c r="K13" s="3"/>
      <c r="L13" s="3"/>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600"/>
      <c r="BB13" s="600"/>
      <c r="BC13" s="600"/>
      <c r="BD13" s="5"/>
    </row>
    <row r="14" spans="1:56" s="670" customFormat="1" ht="15.75" x14ac:dyDescent="0.25">
      <c r="A14" s="667"/>
      <c r="B14" s="3"/>
      <c r="C14" s="12" t="s">
        <v>352</v>
      </c>
      <c r="D14" s="1384" t="str">
        <f>Translations!$B$276</f>
        <v>Strumienie materiałów wsadowych i źródła emisji</v>
      </c>
      <c r="E14" s="1384"/>
      <c r="F14" s="1384"/>
      <c r="G14" s="1384"/>
      <c r="H14" s="1384"/>
      <c r="I14" s="1384"/>
      <c r="J14" s="1384"/>
      <c r="K14" s="1384"/>
      <c r="L14" s="1384"/>
      <c r="M14" s="1384"/>
      <c r="N14" s="1384"/>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600"/>
      <c r="BB14" s="600"/>
      <c r="BC14" s="600"/>
      <c r="BD14" s="5"/>
    </row>
    <row r="15" spans="1:56" s="670" customFormat="1" ht="12.75" customHeight="1" x14ac:dyDescent="0.2">
      <c r="A15" s="667"/>
      <c r="B15" s="668"/>
      <c r="C15" s="694"/>
      <c r="D15" s="1416" t="str">
        <f>Translations!$B$277</f>
        <v>Poniższe tabele są identyczne jak w arkuszu „Accounting” (Rachunkowość) w przedstawionym przez Komisję formularzu rocznego raportu na temat wielkości emisji.</v>
      </c>
      <c r="E15" s="1416"/>
      <c r="F15" s="1416"/>
      <c r="G15" s="1416"/>
      <c r="H15" s="1416"/>
      <c r="I15" s="1416"/>
      <c r="J15" s="1416"/>
      <c r="K15" s="1416"/>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600"/>
      <c r="BB15" s="600"/>
      <c r="BC15" s="689"/>
      <c r="BD15" s="5"/>
    </row>
    <row r="16" spans="1:56" s="670" customFormat="1" ht="12.75" customHeight="1" x14ac:dyDescent="0.2">
      <c r="A16" s="667"/>
      <c r="B16" s="668"/>
      <c r="C16" s="694"/>
      <c r="D16" s="1416" t="str">
        <f>Translations!$B$278</f>
        <v>W związku z tym dane do każdej tabeli można skopiować z formularza rocznego raportu na temat wielkości emisji bez późniejszych wpisów, a także znaleźć tam dodatkowe wskazówki.</v>
      </c>
      <c r="E16" s="1416"/>
      <c r="F16" s="1416"/>
      <c r="G16" s="1416"/>
      <c r="H16" s="1416"/>
      <c r="I16" s="1416"/>
      <c r="J16" s="1416"/>
      <c r="K16" s="1416"/>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600"/>
      <c r="BB16" s="600"/>
      <c r="BC16" s="689"/>
      <c r="BD16" s="5"/>
    </row>
    <row r="17" spans="1:56" s="670" customFormat="1" ht="12.75" customHeight="1" x14ac:dyDescent="0.2">
      <c r="A17" s="667"/>
      <c r="B17" s="668"/>
      <c r="C17" s="694"/>
      <c r="D17" s="1416" t="str">
        <f>Translations!$B$279</f>
        <v>Jeżeli formularz Komisji nie jest stosowany w danym państwie członkowskim lub woleliby Państwo wprowadzić dane ręcznie, każda tabela zawiera przykładowe dane na górze (białe pola).</v>
      </c>
      <c r="E17" s="1416"/>
      <c r="F17" s="1416"/>
      <c r="G17" s="1416"/>
      <c r="H17" s="1416"/>
      <c r="I17" s="1416"/>
      <c r="J17" s="1416"/>
      <c r="K17" s="1416"/>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600"/>
      <c r="BB17" s="600"/>
      <c r="BC17" s="689"/>
      <c r="BD17" s="5"/>
    </row>
    <row r="18" spans="1:56" s="670" customFormat="1" ht="25.5" customHeight="1" x14ac:dyDescent="0.2">
      <c r="A18" s="667"/>
      <c r="B18" s="668"/>
      <c r="C18" s="694"/>
      <c r="D18" s="1414" t="str">
        <f>Translations!$B$280</f>
        <v>Proszę zwrócić uwagę, że w tym arkuszu nie są dokonywane żadne obliczenia. W związku z tym należy poprawnie wpisywać sumy w kolumnach AU do AY, ponieważ dane te będą wykorzystywane w kolejnych polach niniejszego formularza!</v>
      </c>
      <c r="E18" s="1414"/>
      <c r="F18" s="1414"/>
      <c r="G18" s="1414"/>
      <c r="H18" s="1414"/>
      <c r="I18" s="1414"/>
      <c r="J18" s="1414"/>
      <c r="K18" s="1414"/>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600"/>
      <c r="BB18" s="600"/>
      <c r="BC18" s="689"/>
      <c r="BD18" s="5"/>
    </row>
    <row r="19" spans="1:56" ht="50.1" customHeight="1" thickBot="1" x14ac:dyDescent="0.45">
      <c r="A19" s="600"/>
      <c r="B19" s="197"/>
      <c r="C19" s="77"/>
      <c r="D19" s="522" t="str">
        <f>Translations!$B$281</f>
        <v>Strumienie materiałów wsadowych (z wyłączeniem emisji PFC)</v>
      </c>
      <c r="E19" s="197"/>
      <c r="F19" s="197"/>
      <c r="G19" s="197"/>
      <c r="H19" s="197"/>
      <c r="I19" s="197"/>
      <c r="J19" s="197"/>
      <c r="K19" s="197"/>
      <c r="L19" s="197"/>
      <c r="N19" s="197"/>
      <c r="O19" s="197"/>
      <c r="P19" s="197"/>
      <c r="Q19" s="197"/>
      <c r="R19" s="197"/>
      <c r="S19" s="197"/>
      <c r="T19" s="197"/>
      <c r="U19" s="197"/>
      <c r="V19" s="197"/>
      <c r="W19" s="197"/>
      <c r="X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600"/>
      <c r="BB19" s="600"/>
      <c r="BC19" s="689"/>
      <c r="BD19" s="5"/>
    </row>
    <row r="20" spans="1:56" ht="50.1" customHeight="1" thickBot="1" x14ac:dyDescent="0.25">
      <c r="A20" s="600"/>
      <c r="B20" s="197"/>
      <c r="C20" s="523" t="s">
        <v>482</v>
      </c>
      <c r="D20" s="524" t="str">
        <f>Translations!$B$282</f>
        <v>Metoda</v>
      </c>
      <c r="E20" s="524" t="str">
        <f>Translations!$B$283</f>
        <v>Nazwa strumienia materiałów wsadowych</v>
      </c>
      <c r="F20" s="525" t="str">
        <f>Translations!$B$284</f>
        <v>Dane dotyczące działalności (AD)</v>
      </c>
      <c r="G20" s="525" t="str">
        <f>Translations!$B$285</f>
        <v>Jednostka AD</v>
      </c>
      <c r="H20" s="525" t="str">
        <f>Translations!$B$286</f>
        <v>Wartość opałowa (NCV)</v>
      </c>
      <c r="I20" s="525" t="str">
        <f>Translations!$B$287</f>
        <v>Jednostka NCV</v>
      </c>
      <c r="J20" s="525" t="str">
        <f>Translations!$B$288</f>
        <v>Współczynnik emisji (EF)</v>
      </c>
      <c r="K20" s="525" t="str">
        <f>Translations!$B$289</f>
        <v>Jednostka EF</v>
      </c>
      <c r="L20" s="525" t="str">
        <f>Translations!$B$290</f>
        <v>Zawartość węgla</v>
      </c>
      <c r="M20" s="525" t="str">
        <f>Translations!$B$291</f>
        <v>Jednostka zawartości węgla</v>
      </c>
      <c r="N20" s="525" t="str">
        <f>Translations!$B$292</f>
        <v>Współczynnik utleniania (OxF)</v>
      </c>
      <c r="O20" s="525" t="str">
        <f>Translations!$B$293</f>
        <v>Jednostka OxF</v>
      </c>
      <c r="P20" s="525" t="str">
        <f>Translations!$B$294</f>
        <v>Współczynnik konwersji</v>
      </c>
      <c r="Q20" s="525" t="str">
        <f>Translations!$B$295</f>
        <v>Jednostka współczynnika konwersji</v>
      </c>
      <c r="R20" s="525" t="str">
        <f>Translations!$B$296</f>
        <v>Zawartość biomasy (BioC)</v>
      </c>
      <c r="S20" s="525" t="str">
        <f>Translations!$B$297</f>
        <v>Jednostka BioC</v>
      </c>
      <c r="T20" s="525" t="str">
        <f>Translations!$B$298</f>
        <v>BioC niezrówn.</v>
      </c>
      <c r="U20" s="525" t="str">
        <f>Translations!$B$299</f>
        <v>Jednostka BioC niezrówn.</v>
      </c>
      <c r="V20" s="525" t="str">
        <f>Translations!$B$300</f>
        <v>Średnie godzinowe stężenie gazów cieplarnianych (GHG)</v>
      </c>
      <c r="W20" s="525" t="str">
        <f>Translations!$B$301</f>
        <v>Jednostka godzinowego stężenia GHG</v>
      </c>
      <c r="X20" s="525" t="str">
        <f>Translations!$B$302</f>
        <v>Godziny działania</v>
      </c>
      <c r="Y20" s="525" t="str">
        <f>Translations!$B$303</f>
        <v>Jednostka godzin działania</v>
      </c>
      <c r="Z20" s="525" t="str">
        <f>Translations!$B$304</f>
        <v>Przepływ spalin (średnia)</v>
      </c>
      <c r="AA20" s="525" t="str">
        <f>Translations!$B$305</f>
        <v>Jednostka przepływu spalin (średnia)</v>
      </c>
      <c r="AB20" s="525" t="str">
        <f>Translations!$B$306</f>
        <v>Przepływ spalin (łącznie)</v>
      </c>
      <c r="AC20" s="525" t="str">
        <f>Translations!$B$307</f>
        <v>Jednostka przepływu spalin (łącznie)</v>
      </c>
      <c r="AD20" s="525" t="str">
        <f>Translations!$B$308</f>
        <v>Roczna ilość GHG</v>
      </c>
      <c r="AE20" s="525" t="str">
        <f>Translations!$B$309</f>
        <v>Jednostka rocznej ilości GHG</v>
      </c>
      <c r="AF20" s="525" t="str">
        <f>Translations!$B$310</f>
        <v>Współczynnik ocieplenia globalnego GWP (tCO2e/t)</v>
      </c>
      <c r="AG20" s="525" t="str">
        <f>Translations!$B$311</f>
        <v>A: Częstotliwość</v>
      </c>
      <c r="AH20" s="525" t="str">
        <f>Translations!$B$312</f>
        <v>A: Czas trwania</v>
      </c>
      <c r="AI20" s="525" t="str">
        <f>Translations!$B$313</f>
        <v>A: SEF (CF4)</v>
      </c>
      <c r="AJ20" s="525" t="str">
        <f>Translations!$B$314</f>
        <v>B: AEO</v>
      </c>
      <c r="AK20" s="525" t="str">
        <f>Translations!$B$315</f>
        <v>B: CE</v>
      </c>
      <c r="AL20" s="525" t="str">
        <f>Translations!$B$316</f>
        <v>B: OVC</v>
      </c>
      <c r="AM20" s="525" t="str">
        <f>Translations!$B$317</f>
        <v>F(C2F6)</v>
      </c>
      <c r="AN20" s="525" t="str">
        <f>Translations!$B$318</f>
        <v>Emisje CF4 (t CF4)</v>
      </c>
      <c r="AO20" s="525" t="str">
        <f>Translations!$B$319</f>
        <v>Emisje C2F6 (t C2F6)</v>
      </c>
      <c r="AP20" s="525" t="str">
        <f>Translations!$B$320</f>
        <v>GWP (CF4) (tCO2e/t)</v>
      </c>
      <c r="AQ20" s="525" t="str">
        <f>Translations!$B$321</f>
        <v>GWP (C2F6) (tCO2e/t)</v>
      </c>
      <c r="AR20" s="525" t="str">
        <f>Translations!$B$322</f>
        <v>Emisje CF4 (t CO2e)</v>
      </c>
      <c r="AS20" s="525" t="str">
        <f>Translations!$B$323</f>
        <v>Emisje C2F6 (t CO2e)</v>
      </c>
      <c r="AT20" s="525" t="str">
        <f>Translations!$B$324</f>
        <v>Całkowita wydajność, %</v>
      </c>
      <c r="AU20" s="525" t="str">
        <f>Translations!$B$325</f>
        <v>Kopalne CO2e (t)</v>
      </c>
      <c r="AV20" s="525" t="str">
        <f>Translations!$B$326</f>
        <v>CO2e z biomasy (t)</v>
      </c>
      <c r="AW20" s="525" t="str">
        <f>Translations!$B$327</f>
        <v>CO2e z biomasy niezrówn. (t)</v>
      </c>
      <c r="AX20" s="526" t="str">
        <f>Translations!$B$328</f>
        <v>Zawartość energii (kopalne), TJ</v>
      </c>
      <c r="AY20" s="527" t="str">
        <f>Translations!$B$329</f>
        <v>Zawartość energii (biomasa), TJ</v>
      </c>
      <c r="AZ20" s="197"/>
      <c r="BA20" s="600"/>
      <c r="BB20" s="600"/>
      <c r="BC20" s="689"/>
      <c r="BD20" s="5"/>
    </row>
    <row r="21" spans="1:56" ht="12.75" customHeight="1" x14ac:dyDescent="0.2">
      <c r="A21" s="600"/>
      <c r="B21" s="197"/>
      <c r="C21" s="533" t="str">
        <f>Translations!$B$330</f>
        <v>Przykł. 1</v>
      </c>
      <c r="D21" s="690" t="str">
        <f>Translations!$B$331</f>
        <v>Spalanie</v>
      </c>
      <c r="E21" s="690" t="str">
        <f>Translations!$B$332</f>
        <v>Ciężki olej opałowy</v>
      </c>
      <c r="F21" s="691">
        <v>252000</v>
      </c>
      <c r="G21" s="528" t="s">
        <v>212</v>
      </c>
      <c r="H21" s="691">
        <v>45</v>
      </c>
      <c r="I21" s="528" t="s">
        <v>529</v>
      </c>
      <c r="J21" s="691">
        <v>73</v>
      </c>
      <c r="K21" s="528" t="s">
        <v>530</v>
      </c>
      <c r="L21" s="528"/>
      <c r="M21" s="528" t="s">
        <v>489</v>
      </c>
      <c r="N21" s="691">
        <v>100</v>
      </c>
      <c r="O21" s="692" t="s">
        <v>409</v>
      </c>
      <c r="P21" s="691"/>
      <c r="Q21" s="692" t="s">
        <v>409</v>
      </c>
      <c r="R21" s="691">
        <v>0</v>
      </c>
      <c r="S21" s="692" t="s">
        <v>409</v>
      </c>
      <c r="T21" s="691">
        <v>0</v>
      </c>
      <c r="U21" s="692" t="s">
        <v>409</v>
      </c>
      <c r="V21" s="778"/>
      <c r="W21" s="778"/>
      <c r="X21" s="778"/>
      <c r="Y21" s="778"/>
      <c r="Z21" s="778"/>
      <c r="AA21" s="778"/>
      <c r="AB21" s="778"/>
      <c r="AC21" s="778"/>
      <c r="AD21" s="778"/>
      <c r="AE21" s="778"/>
      <c r="AF21" s="778"/>
      <c r="AG21" s="778"/>
      <c r="AH21" s="778"/>
      <c r="AI21" s="778"/>
      <c r="AJ21" s="778"/>
      <c r="AK21" s="778"/>
      <c r="AL21" s="778"/>
      <c r="AM21" s="778"/>
      <c r="AN21" s="778"/>
      <c r="AO21" s="778"/>
      <c r="AP21" s="778"/>
      <c r="AQ21" s="778"/>
      <c r="AR21" s="778"/>
      <c r="AS21" s="778"/>
      <c r="AT21" s="778"/>
      <c r="AU21" s="693">
        <v>827820</v>
      </c>
      <c r="AV21" s="693">
        <v>0</v>
      </c>
      <c r="AW21" s="693">
        <v>0</v>
      </c>
      <c r="AX21" s="691">
        <v>11340</v>
      </c>
      <c r="AY21" s="691">
        <v>0</v>
      </c>
      <c r="AZ21" s="197"/>
      <c r="BA21" s="600"/>
      <c r="BB21" s="600"/>
      <c r="BC21" s="689"/>
      <c r="BD21" s="5"/>
    </row>
    <row r="22" spans="1:56" ht="12.75" customHeight="1" x14ac:dyDescent="0.2">
      <c r="A22" s="600"/>
      <c r="B22" s="197"/>
      <c r="C22" s="533" t="str">
        <f>Translations!$B$333</f>
        <v>Przykł. 2</v>
      </c>
      <c r="D22" s="690" t="str">
        <f>Translations!$B$334</f>
        <v>Emisje procesowe</v>
      </c>
      <c r="E22" s="690" t="str">
        <f>Translations!$B$335</f>
        <v>Glina</v>
      </c>
      <c r="F22" s="691">
        <v>121000</v>
      </c>
      <c r="G22" s="528" t="s">
        <v>212</v>
      </c>
      <c r="H22" s="691"/>
      <c r="I22" s="528" t="s">
        <v>489</v>
      </c>
      <c r="J22" s="691">
        <v>8.7940000000000004E-2</v>
      </c>
      <c r="K22" s="528" t="s">
        <v>531</v>
      </c>
      <c r="L22" s="528"/>
      <c r="M22" s="528" t="s">
        <v>489</v>
      </c>
      <c r="N22" s="691"/>
      <c r="O22" s="692" t="s">
        <v>409</v>
      </c>
      <c r="P22" s="691"/>
      <c r="Q22" s="692" t="s">
        <v>409</v>
      </c>
      <c r="R22" s="691">
        <v>0</v>
      </c>
      <c r="S22" s="692" t="s">
        <v>409</v>
      </c>
      <c r="T22" s="691">
        <v>0</v>
      </c>
      <c r="U22" s="692" t="s">
        <v>409</v>
      </c>
      <c r="V22" s="778"/>
      <c r="W22" s="778"/>
      <c r="X22" s="778"/>
      <c r="Y22" s="778"/>
      <c r="Z22" s="778"/>
      <c r="AA22" s="778"/>
      <c r="AB22" s="778"/>
      <c r="AC22" s="778"/>
      <c r="AD22" s="778"/>
      <c r="AE22" s="778"/>
      <c r="AF22" s="778"/>
      <c r="AG22" s="778"/>
      <c r="AH22" s="778"/>
      <c r="AI22" s="778"/>
      <c r="AJ22" s="778"/>
      <c r="AK22" s="778"/>
      <c r="AL22" s="778"/>
      <c r="AM22" s="778"/>
      <c r="AN22" s="778"/>
      <c r="AO22" s="778"/>
      <c r="AP22" s="778"/>
      <c r="AQ22" s="778"/>
      <c r="AR22" s="778"/>
      <c r="AS22" s="778"/>
      <c r="AT22" s="778"/>
      <c r="AU22" s="693">
        <v>10640.74</v>
      </c>
      <c r="AV22" s="693">
        <v>0</v>
      </c>
      <c r="AW22" s="693">
        <v>0</v>
      </c>
      <c r="AX22" s="691">
        <v>0</v>
      </c>
      <c r="AY22" s="691">
        <v>0</v>
      </c>
      <c r="AZ22" s="197"/>
      <c r="BA22" s="600"/>
      <c r="BB22" s="600"/>
      <c r="BC22" s="689"/>
      <c r="BD22" s="5"/>
    </row>
    <row r="23" spans="1:56" ht="12.75" customHeight="1" x14ac:dyDescent="0.2">
      <c r="A23" s="600"/>
      <c r="B23" s="197"/>
      <c r="C23" s="533" t="str">
        <f>Translations!$B$336</f>
        <v>Przykł. 3</v>
      </c>
      <c r="D23" s="690" t="str">
        <f>Translations!$B$337</f>
        <v>Bilans masowy</v>
      </c>
      <c r="E23" s="690" t="str">
        <f>Translations!$B$338</f>
        <v>Stal</v>
      </c>
      <c r="F23" s="691">
        <v>-1808226</v>
      </c>
      <c r="G23" s="528" t="s">
        <v>212</v>
      </c>
      <c r="H23" s="691"/>
      <c r="I23" s="528" t="s">
        <v>489</v>
      </c>
      <c r="J23" s="691">
        <v>0</v>
      </c>
      <c r="K23" s="528" t="s">
        <v>489</v>
      </c>
      <c r="L23" s="528">
        <v>0.38779999999999998</v>
      </c>
      <c r="M23" s="528" t="s">
        <v>532</v>
      </c>
      <c r="N23" s="691"/>
      <c r="O23" s="692" t="s">
        <v>409</v>
      </c>
      <c r="P23" s="691">
        <v>100</v>
      </c>
      <c r="Q23" s="692" t="s">
        <v>409</v>
      </c>
      <c r="R23" s="691">
        <v>0</v>
      </c>
      <c r="S23" s="692" t="s">
        <v>409</v>
      </c>
      <c r="T23" s="691">
        <v>0</v>
      </c>
      <c r="U23" s="692" t="s">
        <v>409</v>
      </c>
      <c r="V23" s="778"/>
      <c r="W23" s="778"/>
      <c r="X23" s="778"/>
      <c r="Y23" s="778"/>
      <c r="Z23" s="778"/>
      <c r="AA23" s="778"/>
      <c r="AB23" s="778"/>
      <c r="AC23" s="778"/>
      <c r="AD23" s="778"/>
      <c r="AE23" s="778"/>
      <c r="AF23" s="778"/>
      <c r="AG23" s="778"/>
      <c r="AH23" s="778"/>
      <c r="AI23" s="778"/>
      <c r="AJ23" s="778"/>
      <c r="AK23" s="778"/>
      <c r="AL23" s="778"/>
      <c r="AM23" s="778"/>
      <c r="AN23" s="778"/>
      <c r="AO23" s="778"/>
      <c r="AP23" s="778"/>
      <c r="AQ23" s="778"/>
      <c r="AR23" s="778"/>
      <c r="AS23" s="778"/>
      <c r="AT23" s="778"/>
      <c r="AU23" s="693">
        <v>-2569306.8768191999</v>
      </c>
      <c r="AV23" s="693">
        <v>0</v>
      </c>
      <c r="AW23" s="693">
        <v>0</v>
      </c>
      <c r="AX23" s="691">
        <v>0</v>
      </c>
      <c r="AY23" s="691">
        <v>0</v>
      </c>
      <c r="AZ23" s="197"/>
      <c r="BA23" s="600"/>
      <c r="BB23" s="600"/>
      <c r="BC23" s="689"/>
      <c r="BD23" s="5"/>
    </row>
    <row r="24" spans="1:56" x14ac:dyDescent="0.2">
      <c r="A24" s="600"/>
      <c r="B24" s="197"/>
      <c r="C24" s="533">
        <v>1</v>
      </c>
      <c r="D24" s="594" t="s">
        <v>2507</v>
      </c>
      <c r="E24" s="594" t="s">
        <v>3674</v>
      </c>
      <c r="F24" s="595">
        <v>83000</v>
      </c>
      <c r="G24" s="596" t="s">
        <v>212</v>
      </c>
      <c r="H24" s="595">
        <v>19</v>
      </c>
      <c r="I24" s="596" t="s">
        <v>529</v>
      </c>
      <c r="J24" s="595">
        <v>98.013999999999996</v>
      </c>
      <c r="K24" s="596" t="s">
        <v>530</v>
      </c>
      <c r="L24" s="596">
        <v>0</v>
      </c>
      <c r="M24" s="596" t="s">
        <v>489</v>
      </c>
      <c r="N24" s="595">
        <v>98.97</v>
      </c>
      <c r="O24" s="597" t="s">
        <v>409</v>
      </c>
      <c r="P24" s="595">
        <v>100</v>
      </c>
      <c r="Q24" s="597" t="s">
        <v>409</v>
      </c>
      <c r="R24" s="595">
        <v>0</v>
      </c>
      <c r="S24" s="597" t="s">
        <v>409</v>
      </c>
      <c r="T24" s="595">
        <v>0</v>
      </c>
      <c r="U24" s="597" t="s">
        <v>409</v>
      </c>
      <c r="V24" s="778"/>
      <c r="W24" s="778"/>
      <c r="X24" s="778"/>
      <c r="Y24" s="778"/>
      <c r="Z24" s="778"/>
      <c r="AA24" s="778"/>
      <c r="AB24" s="778"/>
      <c r="AC24" s="778"/>
      <c r="AD24" s="778"/>
      <c r="AE24" s="778"/>
      <c r="AF24" s="778"/>
      <c r="AG24" s="778"/>
      <c r="AH24" s="778"/>
      <c r="AI24" s="778"/>
      <c r="AJ24" s="778"/>
      <c r="AK24" s="778"/>
      <c r="AL24" s="778"/>
      <c r="AM24" s="778"/>
      <c r="AN24" s="778"/>
      <c r="AO24" s="778"/>
      <c r="AP24" s="778"/>
      <c r="AQ24" s="778"/>
      <c r="AR24" s="778"/>
      <c r="AS24" s="778"/>
      <c r="AT24" s="778"/>
      <c r="AU24" s="598">
        <v>152976.0267966</v>
      </c>
      <c r="AV24" s="598">
        <v>0</v>
      </c>
      <c r="AW24" s="598">
        <v>0</v>
      </c>
      <c r="AX24" s="595">
        <v>1577</v>
      </c>
      <c r="AY24" s="595">
        <v>0</v>
      </c>
      <c r="AZ24" s="197"/>
      <c r="BA24" s="478" t="s">
        <v>157</v>
      </c>
      <c r="BB24" s="573" t="s">
        <v>159</v>
      </c>
      <c r="BC24" s="600"/>
      <c r="BD24" s="5"/>
    </row>
    <row r="25" spans="1:56" x14ac:dyDescent="0.2">
      <c r="A25" s="600"/>
      <c r="B25" s="197"/>
      <c r="C25" s="534">
        <v>2</v>
      </c>
      <c r="D25" s="594" t="s">
        <v>2507</v>
      </c>
      <c r="E25" s="594" t="s">
        <v>3675</v>
      </c>
      <c r="F25" s="595">
        <v>83000</v>
      </c>
      <c r="G25" s="596" t="s">
        <v>212</v>
      </c>
      <c r="H25" s="595">
        <v>16</v>
      </c>
      <c r="I25" s="596" t="s">
        <v>529</v>
      </c>
      <c r="J25" s="595">
        <v>112</v>
      </c>
      <c r="K25" s="596" t="s">
        <v>530</v>
      </c>
      <c r="L25" s="596">
        <v>0</v>
      </c>
      <c r="M25" s="596" t="s">
        <v>489</v>
      </c>
      <c r="N25" s="595">
        <v>100</v>
      </c>
      <c r="O25" s="597" t="s">
        <v>409</v>
      </c>
      <c r="P25" s="595">
        <v>100</v>
      </c>
      <c r="Q25" s="597" t="s">
        <v>409</v>
      </c>
      <c r="R25" s="595">
        <v>100</v>
      </c>
      <c r="S25" s="597" t="s">
        <v>409</v>
      </c>
      <c r="T25" s="595">
        <v>0</v>
      </c>
      <c r="U25" s="597" t="s">
        <v>409</v>
      </c>
      <c r="V25" s="778"/>
      <c r="W25" s="778"/>
      <c r="X25" s="778"/>
      <c r="Y25" s="778"/>
      <c r="Z25" s="778"/>
      <c r="AA25" s="778"/>
      <c r="AB25" s="778"/>
      <c r="AC25" s="778"/>
      <c r="AD25" s="778"/>
      <c r="AE25" s="778"/>
      <c r="AF25" s="778"/>
      <c r="AG25" s="778"/>
      <c r="AH25" s="778"/>
      <c r="AI25" s="778"/>
      <c r="AJ25" s="778"/>
      <c r="AK25" s="778"/>
      <c r="AL25" s="778"/>
      <c r="AM25" s="778"/>
      <c r="AN25" s="778"/>
      <c r="AO25" s="778"/>
      <c r="AP25" s="778"/>
      <c r="AQ25" s="778"/>
      <c r="AR25" s="778"/>
      <c r="AS25" s="778"/>
      <c r="AT25" s="778"/>
      <c r="AU25" s="598">
        <v>0</v>
      </c>
      <c r="AV25" s="598">
        <v>148736</v>
      </c>
      <c r="AW25" s="598">
        <v>0</v>
      </c>
      <c r="AX25" s="595">
        <v>0</v>
      </c>
      <c r="AY25" s="595">
        <v>1328</v>
      </c>
      <c r="AZ25" s="197"/>
      <c r="BA25" s="478" t="s">
        <v>157</v>
      </c>
      <c r="BB25" s="573" t="s">
        <v>159</v>
      </c>
      <c r="BC25" s="600"/>
      <c r="BD25" s="5"/>
    </row>
    <row r="26" spans="1:56" x14ac:dyDescent="0.2">
      <c r="A26" s="600"/>
      <c r="B26" s="197"/>
      <c r="C26" s="534">
        <v>3</v>
      </c>
      <c r="D26" s="594"/>
      <c r="E26" s="594"/>
      <c r="F26" s="595"/>
      <c r="G26" s="596"/>
      <c r="H26" s="595"/>
      <c r="I26" s="596"/>
      <c r="J26" s="595"/>
      <c r="K26" s="596"/>
      <c r="L26" s="596"/>
      <c r="M26" s="596"/>
      <c r="N26" s="595"/>
      <c r="O26" s="597"/>
      <c r="P26" s="595"/>
      <c r="Q26" s="597"/>
      <c r="R26" s="595"/>
      <c r="S26" s="597"/>
      <c r="T26" s="595"/>
      <c r="U26" s="597"/>
      <c r="V26" s="778"/>
      <c r="W26" s="778"/>
      <c r="X26" s="778"/>
      <c r="Y26" s="778"/>
      <c r="Z26" s="778"/>
      <c r="AA26" s="778"/>
      <c r="AB26" s="778"/>
      <c r="AC26" s="778"/>
      <c r="AD26" s="778"/>
      <c r="AE26" s="778"/>
      <c r="AF26" s="778"/>
      <c r="AG26" s="778"/>
      <c r="AH26" s="778"/>
      <c r="AI26" s="778"/>
      <c r="AJ26" s="778"/>
      <c r="AK26" s="778"/>
      <c r="AL26" s="778"/>
      <c r="AM26" s="778"/>
      <c r="AN26" s="778"/>
      <c r="AO26" s="778"/>
      <c r="AP26" s="778"/>
      <c r="AQ26" s="778"/>
      <c r="AR26" s="778"/>
      <c r="AS26" s="778"/>
      <c r="AT26" s="778"/>
      <c r="AU26" s="598"/>
      <c r="AV26" s="598"/>
      <c r="AW26" s="598"/>
      <c r="AX26" s="595"/>
      <c r="AY26" s="595"/>
      <c r="AZ26" s="197"/>
      <c r="BA26" s="478"/>
      <c r="BB26" s="573"/>
      <c r="BC26" s="600"/>
      <c r="BD26" s="5"/>
    </row>
    <row r="27" spans="1:56" x14ac:dyDescent="0.2">
      <c r="A27" s="600"/>
      <c r="B27" s="197"/>
      <c r="C27" s="534">
        <v>4</v>
      </c>
      <c r="D27" s="594"/>
      <c r="E27" s="594"/>
      <c r="F27" s="595"/>
      <c r="G27" s="596"/>
      <c r="H27" s="595"/>
      <c r="I27" s="596"/>
      <c r="J27" s="595"/>
      <c r="K27" s="596"/>
      <c r="L27" s="596"/>
      <c r="M27" s="596"/>
      <c r="N27" s="595"/>
      <c r="O27" s="597"/>
      <c r="P27" s="595"/>
      <c r="Q27" s="597"/>
      <c r="R27" s="595"/>
      <c r="S27" s="597"/>
      <c r="T27" s="595"/>
      <c r="U27" s="597"/>
      <c r="V27" s="778"/>
      <c r="W27" s="778"/>
      <c r="X27" s="778"/>
      <c r="Y27" s="778"/>
      <c r="Z27" s="778"/>
      <c r="AA27" s="778"/>
      <c r="AB27" s="778"/>
      <c r="AC27" s="778"/>
      <c r="AD27" s="778"/>
      <c r="AE27" s="778"/>
      <c r="AF27" s="778"/>
      <c r="AG27" s="778"/>
      <c r="AH27" s="778"/>
      <c r="AI27" s="778"/>
      <c r="AJ27" s="778"/>
      <c r="AK27" s="778"/>
      <c r="AL27" s="778"/>
      <c r="AM27" s="778"/>
      <c r="AN27" s="778"/>
      <c r="AO27" s="778"/>
      <c r="AP27" s="778"/>
      <c r="AQ27" s="778"/>
      <c r="AR27" s="778"/>
      <c r="AS27" s="778"/>
      <c r="AT27" s="778"/>
      <c r="AU27" s="598"/>
      <c r="AV27" s="598"/>
      <c r="AW27" s="598"/>
      <c r="AX27" s="595"/>
      <c r="AY27" s="595"/>
      <c r="AZ27" s="197"/>
      <c r="BA27" s="478" t="str">
        <f t="shared" ref="BA24:BA87" si="0">EUconst_SumCO2</f>
        <v>SUM_CO2</v>
      </c>
      <c r="BB27" s="573" t="str">
        <f t="shared" ref="BB24:BB87" si="1">EUconst_SumEnergyIN</f>
        <v>SUM_EnergyIN</v>
      </c>
      <c r="BC27" s="600"/>
      <c r="BD27" s="5"/>
    </row>
    <row r="28" spans="1:56" x14ac:dyDescent="0.2">
      <c r="A28" s="600"/>
      <c r="B28" s="197"/>
      <c r="C28" s="534">
        <v>5</v>
      </c>
      <c r="D28" s="594"/>
      <c r="E28" s="594"/>
      <c r="F28" s="595"/>
      <c r="G28" s="596"/>
      <c r="H28" s="595"/>
      <c r="I28" s="596"/>
      <c r="J28" s="595"/>
      <c r="K28" s="596"/>
      <c r="L28" s="596"/>
      <c r="M28" s="596"/>
      <c r="N28" s="595"/>
      <c r="O28" s="597"/>
      <c r="P28" s="595"/>
      <c r="Q28" s="597"/>
      <c r="R28" s="595"/>
      <c r="S28" s="597"/>
      <c r="T28" s="595"/>
      <c r="U28" s="597"/>
      <c r="V28" s="778"/>
      <c r="W28" s="778"/>
      <c r="X28" s="778"/>
      <c r="Y28" s="778"/>
      <c r="Z28" s="778"/>
      <c r="AA28" s="778"/>
      <c r="AB28" s="778"/>
      <c r="AC28" s="778"/>
      <c r="AD28" s="778"/>
      <c r="AE28" s="778"/>
      <c r="AF28" s="778"/>
      <c r="AG28" s="778"/>
      <c r="AH28" s="778"/>
      <c r="AI28" s="778"/>
      <c r="AJ28" s="778"/>
      <c r="AK28" s="778"/>
      <c r="AL28" s="778"/>
      <c r="AM28" s="778"/>
      <c r="AN28" s="778"/>
      <c r="AO28" s="778"/>
      <c r="AP28" s="778"/>
      <c r="AQ28" s="778"/>
      <c r="AR28" s="778"/>
      <c r="AS28" s="778"/>
      <c r="AT28" s="778"/>
      <c r="AU28" s="598"/>
      <c r="AV28" s="598"/>
      <c r="AW28" s="598"/>
      <c r="AX28" s="595"/>
      <c r="AY28" s="595"/>
      <c r="AZ28" s="197"/>
      <c r="BA28" s="478" t="str">
        <f t="shared" si="0"/>
        <v>SUM_CO2</v>
      </c>
      <c r="BB28" s="573" t="str">
        <f t="shared" si="1"/>
        <v>SUM_EnergyIN</v>
      </c>
      <c r="BC28" s="600"/>
      <c r="BD28" s="5"/>
    </row>
    <row r="29" spans="1:56" x14ac:dyDescent="0.2">
      <c r="A29" s="600"/>
      <c r="B29" s="197"/>
      <c r="C29" s="534">
        <v>6</v>
      </c>
      <c r="D29" s="594"/>
      <c r="E29" s="594"/>
      <c r="F29" s="595"/>
      <c r="G29" s="596"/>
      <c r="H29" s="595"/>
      <c r="I29" s="596"/>
      <c r="J29" s="595"/>
      <c r="K29" s="596"/>
      <c r="L29" s="596"/>
      <c r="M29" s="596"/>
      <c r="N29" s="595"/>
      <c r="O29" s="597"/>
      <c r="P29" s="595"/>
      <c r="Q29" s="597"/>
      <c r="R29" s="595"/>
      <c r="S29" s="597"/>
      <c r="T29" s="595"/>
      <c r="U29" s="597"/>
      <c r="V29" s="778"/>
      <c r="W29" s="778"/>
      <c r="X29" s="778"/>
      <c r="Y29" s="778"/>
      <c r="Z29" s="778"/>
      <c r="AA29" s="778"/>
      <c r="AB29" s="778"/>
      <c r="AC29" s="778"/>
      <c r="AD29" s="778"/>
      <c r="AE29" s="778"/>
      <c r="AF29" s="778"/>
      <c r="AG29" s="778"/>
      <c r="AH29" s="778"/>
      <c r="AI29" s="778"/>
      <c r="AJ29" s="778"/>
      <c r="AK29" s="778"/>
      <c r="AL29" s="778"/>
      <c r="AM29" s="778"/>
      <c r="AN29" s="778"/>
      <c r="AO29" s="778"/>
      <c r="AP29" s="778"/>
      <c r="AQ29" s="778"/>
      <c r="AR29" s="778"/>
      <c r="AS29" s="778"/>
      <c r="AT29" s="778"/>
      <c r="AU29" s="598"/>
      <c r="AV29" s="598"/>
      <c r="AW29" s="598"/>
      <c r="AX29" s="595"/>
      <c r="AY29" s="595"/>
      <c r="AZ29" s="197"/>
      <c r="BA29" s="478" t="str">
        <f t="shared" si="0"/>
        <v>SUM_CO2</v>
      </c>
      <c r="BB29" s="573" t="str">
        <f t="shared" si="1"/>
        <v>SUM_EnergyIN</v>
      </c>
      <c r="BC29" s="600"/>
      <c r="BD29" s="5"/>
    </row>
    <row r="30" spans="1:56" x14ac:dyDescent="0.2">
      <c r="A30" s="600"/>
      <c r="B30" s="197"/>
      <c r="C30" s="534">
        <v>7</v>
      </c>
      <c r="D30" s="594"/>
      <c r="E30" s="594"/>
      <c r="F30" s="595"/>
      <c r="G30" s="596"/>
      <c r="H30" s="595"/>
      <c r="I30" s="596"/>
      <c r="J30" s="595"/>
      <c r="K30" s="596"/>
      <c r="L30" s="596"/>
      <c r="M30" s="596"/>
      <c r="N30" s="595"/>
      <c r="O30" s="597"/>
      <c r="P30" s="595"/>
      <c r="Q30" s="597"/>
      <c r="R30" s="595"/>
      <c r="S30" s="597"/>
      <c r="T30" s="595"/>
      <c r="U30" s="597"/>
      <c r="V30" s="778"/>
      <c r="W30" s="778"/>
      <c r="X30" s="778"/>
      <c r="Y30" s="778"/>
      <c r="Z30" s="778"/>
      <c r="AA30" s="778"/>
      <c r="AB30" s="778"/>
      <c r="AC30" s="778"/>
      <c r="AD30" s="778"/>
      <c r="AE30" s="778"/>
      <c r="AF30" s="778"/>
      <c r="AG30" s="778"/>
      <c r="AH30" s="778"/>
      <c r="AI30" s="778"/>
      <c r="AJ30" s="778"/>
      <c r="AK30" s="778"/>
      <c r="AL30" s="778"/>
      <c r="AM30" s="778"/>
      <c r="AN30" s="778"/>
      <c r="AO30" s="778"/>
      <c r="AP30" s="778"/>
      <c r="AQ30" s="778"/>
      <c r="AR30" s="778"/>
      <c r="AS30" s="778"/>
      <c r="AT30" s="778"/>
      <c r="AU30" s="598"/>
      <c r="AV30" s="598"/>
      <c r="AW30" s="598"/>
      <c r="AX30" s="595"/>
      <c r="AY30" s="595"/>
      <c r="AZ30" s="197"/>
      <c r="BA30" s="478" t="str">
        <f t="shared" si="0"/>
        <v>SUM_CO2</v>
      </c>
      <c r="BB30" s="573" t="str">
        <f t="shared" si="1"/>
        <v>SUM_EnergyIN</v>
      </c>
      <c r="BC30" s="600"/>
      <c r="BD30" s="5"/>
    </row>
    <row r="31" spans="1:56" x14ac:dyDescent="0.2">
      <c r="A31" s="600"/>
      <c r="B31" s="197"/>
      <c r="C31" s="534">
        <v>8</v>
      </c>
      <c r="D31" s="594"/>
      <c r="E31" s="594"/>
      <c r="F31" s="595"/>
      <c r="G31" s="596"/>
      <c r="H31" s="595"/>
      <c r="I31" s="596"/>
      <c r="J31" s="595"/>
      <c r="K31" s="596"/>
      <c r="L31" s="596"/>
      <c r="M31" s="596"/>
      <c r="N31" s="595"/>
      <c r="O31" s="597"/>
      <c r="P31" s="595"/>
      <c r="Q31" s="597"/>
      <c r="R31" s="595"/>
      <c r="S31" s="597"/>
      <c r="T31" s="595"/>
      <c r="U31" s="597"/>
      <c r="V31" s="778"/>
      <c r="W31" s="778"/>
      <c r="X31" s="778"/>
      <c r="Y31" s="778"/>
      <c r="Z31" s="778"/>
      <c r="AA31" s="778"/>
      <c r="AB31" s="778"/>
      <c r="AC31" s="778"/>
      <c r="AD31" s="778"/>
      <c r="AE31" s="778"/>
      <c r="AF31" s="778"/>
      <c r="AG31" s="778"/>
      <c r="AH31" s="778"/>
      <c r="AI31" s="778"/>
      <c r="AJ31" s="778"/>
      <c r="AK31" s="778"/>
      <c r="AL31" s="778"/>
      <c r="AM31" s="778"/>
      <c r="AN31" s="778"/>
      <c r="AO31" s="778"/>
      <c r="AP31" s="778"/>
      <c r="AQ31" s="778"/>
      <c r="AR31" s="778"/>
      <c r="AS31" s="778"/>
      <c r="AT31" s="778"/>
      <c r="AU31" s="598"/>
      <c r="AV31" s="598"/>
      <c r="AW31" s="598"/>
      <c r="AX31" s="595"/>
      <c r="AY31" s="595"/>
      <c r="AZ31" s="197"/>
      <c r="BA31" s="478" t="str">
        <f t="shared" si="0"/>
        <v>SUM_CO2</v>
      </c>
      <c r="BB31" s="573" t="str">
        <f t="shared" si="1"/>
        <v>SUM_EnergyIN</v>
      </c>
      <c r="BC31" s="600"/>
      <c r="BD31" s="5"/>
    </row>
    <row r="32" spans="1:56" x14ac:dyDescent="0.2">
      <c r="A32" s="600"/>
      <c r="B32" s="197"/>
      <c r="C32" s="534">
        <v>9</v>
      </c>
      <c r="D32" s="594"/>
      <c r="E32" s="594"/>
      <c r="F32" s="595"/>
      <c r="G32" s="596"/>
      <c r="H32" s="595"/>
      <c r="I32" s="596"/>
      <c r="J32" s="595"/>
      <c r="K32" s="596"/>
      <c r="L32" s="596"/>
      <c r="M32" s="596"/>
      <c r="N32" s="595"/>
      <c r="O32" s="597"/>
      <c r="P32" s="595"/>
      <c r="Q32" s="597"/>
      <c r="R32" s="595"/>
      <c r="S32" s="597"/>
      <c r="T32" s="595"/>
      <c r="U32" s="597"/>
      <c r="V32" s="778"/>
      <c r="W32" s="778"/>
      <c r="X32" s="778"/>
      <c r="Y32" s="778"/>
      <c r="Z32" s="778"/>
      <c r="AA32" s="778"/>
      <c r="AB32" s="778"/>
      <c r="AC32" s="778"/>
      <c r="AD32" s="778"/>
      <c r="AE32" s="778"/>
      <c r="AF32" s="778"/>
      <c r="AG32" s="778"/>
      <c r="AH32" s="778"/>
      <c r="AI32" s="778"/>
      <c r="AJ32" s="778"/>
      <c r="AK32" s="778"/>
      <c r="AL32" s="778"/>
      <c r="AM32" s="778"/>
      <c r="AN32" s="778"/>
      <c r="AO32" s="778"/>
      <c r="AP32" s="778"/>
      <c r="AQ32" s="778"/>
      <c r="AR32" s="778"/>
      <c r="AS32" s="778"/>
      <c r="AT32" s="778"/>
      <c r="AU32" s="598"/>
      <c r="AV32" s="598"/>
      <c r="AW32" s="598"/>
      <c r="AX32" s="595"/>
      <c r="AY32" s="595"/>
      <c r="AZ32" s="197"/>
      <c r="BA32" s="478" t="str">
        <f t="shared" si="0"/>
        <v>SUM_CO2</v>
      </c>
      <c r="BB32" s="573" t="str">
        <f t="shared" si="1"/>
        <v>SUM_EnergyIN</v>
      </c>
      <c r="BC32" s="600"/>
      <c r="BD32" s="5"/>
    </row>
    <row r="33" spans="1:56" x14ac:dyDescent="0.2">
      <c r="A33" s="600"/>
      <c r="B33" s="197"/>
      <c r="C33" s="534">
        <v>10</v>
      </c>
      <c r="D33" s="594"/>
      <c r="E33" s="594"/>
      <c r="F33" s="595"/>
      <c r="G33" s="596"/>
      <c r="H33" s="595"/>
      <c r="I33" s="596"/>
      <c r="J33" s="595"/>
      <c r="K33" s="596"/>
      <c r="L33" s="596"/>
      <c r="M33" s="596"/>
      <c r="N33" s="595"/>
      <c r="O33" s="597"/>
      <c r="P33" s="595"/>
      <c r="Q33" s="597"/>
      <c r="R33" s="595"/>
      <c r="S33" s="597"/>
      <c r="T33" s="595"/>
      <c r="U33" s="597"/>
      <c r="V33" s="778"/>
      <c r="W33" s="778"/>
      <c r="X33" s="778"/>
      <c r="Y33" s="778"/>
      <c r="Z33" s="778"/>
      <c r="AA33" s="778"/>
      <c r="AB33" s="778"/>
      <c r="AC33" s="778"/>
      <c r="AD33" s="778"/>
      <c r="AE33" s="778"/>
      <c r="AF33" s="778"/>
      <c r="AG33" s="778"/>
      <c r="AH33" s="778"/>
      <c r="AI33" s="778"/>
      <c r="AJ33" s="778"/>
      <c r="AK33" s="778"/>
      <c r="AL33" s="778"/>
      <c r="AM33" s="778"/>
      <c r="AN33" s="778"/>
      <c r="AO33" s="778"/>
      <c r="AP33" s="778"/>
      <c r="AQ33" s="778"/>
      <c r="AR33" s="778"/>
      <c r="AS33" s="778"/>
      <c r="AT33" s="778"/>
      <c r="AU33" s="598"/>
      <c r="AV33" s="598"/>
      <c r="AW33" s="598"/>
      <c r="AX33" s="595"/>
      <c r="AY33" s="595"/>
      <c r="AZ33" s="197"/>
      <c r="BA33" s="478" t="str">
        <f t="shared" si="0"/>
        <v>SUM_CO2</v>
      </c>
      <c r="BB33" s="573" t="str">
        <f t="shared" si="1"/>
        <v>SUM_EnergyIN</v>
      </c>
      <c r="BC33" s="600"/>
      <c r="BD33" s="5"/>
    </row>
    <row r="34" spans="1:56" x14ac:dyDescent="0.2">
      <c r="A34" s="600"/>
      <c r="B34" s="197"/>
      <c r="C34" s="534">
        <v>11</v>
      </c>
      <c r="D34" s="594"/>
      <c r="E34" s="594"/>
      <c r="F34" s="595"/>
      <c r="G34" s="596"/>
      <c r="H34" s="595"/>
      <c r="I34" s="596"/>
      <c r="J34" s="595"/>
      <c r="K34" s="596"/>
      <c r="L34" s="596"/>
      <c r="M34" s="596"/>
      <c r="N34" s="595"/>
      <c r="O34" s="597"/>
      <c r="P34" s="595"/>
      <c r="Q34" s="597"/>
      <c r="R34" s="595"/>
      <c r="S34" s="597"/>
      <c r="T34" s="595"/>
      <c r="U34" s="597"/>
      <c r="V34" s="778"/>
      <c r="W34" s="778"/>
      <c r="X34" s="778"/>
      <c r="Y34" s="778"/>
      <c r="Z34" s="778"/>
      <c r="AA34" s="778"/>
      <c r="AB34" s="778"/>
      <c r="AC34" s="778"/>
      <c r="AD34" s="778"/>
      <c r="AE34" s="778"/>
      <c r="AF34" s="778"/>
      <c r="AG34" s="778"/>
      <c r="AH34" s="778"/>
      <c r="AI34" s="778"/>
      <c r="AJ34" s="778"/>
      <c r="AK34" s="778"/>
      <c r="AL34" s="778"/>
      <c r="AM34" s="778"/>
      <c r="AN34" s="778"/>
      <c r="AO34" s="778"/>
      <c r="AP34" s="778"/>
      <c r="AQ34" s="778"/>
      <c r="AR34" s="778"/>
      <c r="AS34" s="778"/>
      <c r="AT34" s="778"/>
      <c r="AU34" s="598"/>
      <c r="AV34" s="598"/>
      <c r="AW34" s="598"/>
      <c r="AX34" s="595"/>
      <c r="AY34" s="595"/>
      <c r="AZ34" s="197"/>
      <c r="BA34" s="478" t="str">
        <f t="shared" si="0"/>
        <v>SUM_CO2</v>
      </c>
      <c r="BB34" s="573" t="str">
        <f t="shared" si="1"/>
        <v>SUM_EnergyIN</v>
      </c>
      <c r="BC34" s="600"/>
      <c r="BD34" s="5"/>
    </row>
    <row r="35" spans="1:56" x14ac:dyDescent="0.2">
      <c r="A35" s="600"/>
      <c r="B35" s="197"/>
      <c r="C35" s="534">
        <v>12</v>
      </c>
      <c r="D35" s="594"/>
      <c r="E35" s="594"/>
      <c r="F35" s="595"/>
      <c r="G35" s="596"/>
      <c r="H35" s="595"/>
      <c r="I35" s="596"/>
      <c r="J35" s="595"/>
      <c r="K35" s="596"/>
      <c r="L35" s="596"/>
      <c r="M35" s="596"/>
      <c r="N35" s="595"/>
      <c r="O35" s="597"/>
      <c r="P35" s="595"/>
      <c r="Q35" s="597"/>
      <c r="R35" s="595"/>
      <c r="S35" s="597"/>
      <c r="T35" s="595"/>
      <c r="U35" s="597"/>
      <c r="V35" s="778"/>
      <c r="W35" s="778"/>
      <c r="X35" s="778"/>
      <c r="Y35" s="778"/>
      <c r="Z35" s="778"/>
      <c r="AA35" s="778"/>
      <c r="AB35" s="778"/>
      <c r="AC35" s="778"/>
      <c r="AD35" s="778"/>
      <c r="AE35" s="778"/>
      <c r="AF35" s="778"/>
      <c r="AG35" s="778"/>
      <c r="AH35" s="778"/>
      <c r="AI35" s="778"/>
      <c r="AJ35" s="778"/>
      <c r="AK35" s="778"/>
      <c r="AL35" s="778"/>
      <c r="AM35" s="778"/>
      <c r="AN35" s="778"/>
      <c r="AO35" s="778"/>
      <c r="AP35" s="778"/>
      <c r="AQ35" s="778"/>
      <c r="AR35" s="778"/>
      <c r="AS35" s="778"/>
      <c r="AT35" s="778"/>
      <c r="AU35" s="598"/>
      <c r="AV35" s="598"/>
      <c r="AW35" s="598"/>
      <c r="AX35" s="595"/>
      <c r="AY35" s="595"/>
      <c r="AZ35" s="197"/>
      <c r="BA35" s="478" t="str">
        <f t="shared" si="0"/>
        <v>SUM_CO2</v>
      </c>
      <c r="BB35" s="573" t="str">
        <f t="shared" si="1"/>
        <v>SUM_EnergyIN</v>
      </c>
      <c r="BC35" s="600"/>
      <c r="BD35" s="5"/>
    </row>
    <row r="36" spans="1:56" x14ac:dyDescent="0.2">
      <c r="A36" s="600"/>
      <c r="B36" s="197"/>
      <c r="C36" s="534">
        <v>13</v>
      </c>
      <c r="D36" s="594"/>
      <c r="E36" s="594"/>
      <c r="F36" s="595"/>
      <c r="G36" s="596"/>
      <c r="H36" s="595"/>
      <c r="I36" s="596"/>
      <c r="J36" s="595"/>
      <c r="K36" s="596"/>
      <c r="L36" s="596"/>
      <c r="M36" s="596"/>
      <c r="N36" s="595"/>
      <c r="O36" s="597"/>
      <c r="P36" s="595"/>
      <c r="Q36" s="597"/>
      <c r="R36" s="595"/>
      <c r="S36" s="597"/>
      <c r="T36" s="595"/>
      <c r="U36" s="597"/>
      <c r="V36" s="778"/>
      <c r="W36" s="778"/>
      <c r="X36" s="778"/>
      <c r="Y36" s="778"/>
      <c r="Z36" s="778"/>
      <c r="AA36" s="778"/>
      <c r="AB36" s="778"/>
      <c r="AC36" s="778"/>
      <c r="AD36" s="778"/>
      <c r="AE36" s="778"/>
      <c r="AF36" s="778"/>
      <c r="AG36" s="778"/>
      <c r="AH36" s="778"/>
      <c r="AI36" s="778"/>
      <c r="AJ36" s="778"/>
      <c r="AK36" s="778"/>
      <c r="AL36" s="778"/>
      <c r="AM36" s="778"/>
      <c r="AN36" s="778"/>
      <c r="AO36" s="778"/>
      <c r="AP36" s="778"/>
      <c r="AQ36" s="778"/>
      <c r="AR36" s="778"/>
      <c r="AS36" s="778"/>
      <c r="AT36" s="778"/>
      <c r="AU36" s="598"/>
      <c r="AV36" s="598"/>
      <c r="AW36" s="598"/>
      <c r="AX36" s="595"/>
      <c r="AY36" s="595"/>
      <c r="AZ36" s="197"/>
      <c r="BA36" s="478" t="str">
        <f t="shared" si="0"/>
        <v>SUM_CO2</v>
      </c>
      <c r="BB36" s="573" t="str">
        <f t="shared" si="1"/>
        <v>SUM_EnergyIN</v>
      </c>
      <c r="BC36" s="600"/>
      <c r="BD36" s="5"/>
    </row>
    <row r="37" spans="1:56" x14ac:dyDescent="0.2">
      <c r="A37" s="600"/>
      <c r="B37" s="197"/>
      <c r="C37" s="534">
        <v>14</v>
      </c>
      <c r="D37" s="594"/>
      <c r="E37" s="594"/>
      <c r="F37" s="595"/>
      <c r="G37" s="596"/>
      <c r="H37" s="595"/>
      <c r="I37" s="596"/>
      <c r="J37" s="595"/>
      <c r="K37" s="596"/>
      <c r="L37" s="596"/>
      <c r="M37" s="596"/>
      <c r="N37" s="595"/>
      <c r="O37" s="597"/>
      <c r="P37" s="595"/>
      <c r="Q37" s="597"/>
      <c r="R37" s="595"/>
      <c r="S37" s="597"/>
      <c r="T37" s="595"/>
      <c r="U37" s="597"/>
      <c r="V37" s="778"/>
      <c r="W37" s="778"/>
      <c r="X37" s="778"/>
      <c r="Y37" s="778"/>
      <c r="Z37" s="778"/>
      <c r="AA37" s="778"/>
      <c r="AB37" s="778"/>
      <c r="AC37" s="778"/>
      <c r="AD37" s="778"/>
      <c r="AE37" s="778"/>
      <c r="AF37" s="778"/>
      <c r="AG37" s="778"/>
      <c r="AH37" s="778"/>
      <c r="AI37" s="778"/>
      <c r="AJ37" s="778"/>
      <c r="AK37" s="778"/>
      <c r="AL37" s="778"/>
      <c r="AM37" s="778"/>
      <c r="AN37" s="778"/>
      <c r="AO37" s="778"/>
      <c r="AP37" s="778"/>
      <c r="AQ37" s="778"/>
      <c r="AR37" s="778"/>
      <c r="AS37" s="778"/>
      <c r="AT37" s="778"/>
      <c r="AU37" s="598"/>
      <c r="AV37" s="598"/>
      <c r="AW37" s="598"/>
      <c r="AX37" s="595"/>
      <c r="AY37" s="595"/>
      <c r="AZ37" s="197"/>
      <c r="BA37" s="478" t="str">
        <f t="shared" si="0"/>
        <v>SUM_CO2</v>
      </c>
      <c r="BB37" s="573" t="str">
        <f t="shared" si="1"/>
        <v>SUM_EnergyIN</v>
      </c>
      <c r="BC37" s="600"/>
      <c r="BD37" s="5"/>
    </row>
    <row r="38" spans="1:56" x14ac:dyDescent="0.2">
      <c r="A38" s="600"/>
      <c r="B38" s="197"/>
      <c r="C38" s="534">
        <v>15</v>
      </c>
      <c r="D38" s="594"/>
      <c r="E38" s="594"/>
      <c r="F38" s="595"/>
      <c r="G38" s="596"/>
      <c r="H38" s="595"/>
      <c r="I38" s="596"/>
      <c r="J38" s="595"/>
      <c r="K38" s="596"/>
      <c r="L38" s="596"/>
      <c r="M38" s="596"/>
      <c r="N38" s="595"/>
      <c r="O38" s="597"/>
      <c r="P38" s="595"/>
      <c r="Q38" s="597"/>
      <c r="R38" s="595"/>
      <c r="S38" s="597"/>
      <c r="T38" s="595"/>
      <c r="U38" s="597"/>
      <c r="V38" s="778"/>
      <c r="W38" s="778"/>
      <c r="X38" s="778"/>
      <c r="Y38" s="778"/>
      <c r="Z38" s="778"/>
      <c r="AA38" s="778"/>
      <c r="AB38" s="778"/>
      <c r="AC38" s="778"/>
      <c r="AD38" s="778"/>
      <c r="AE38" s="778"/>
      <c r="AF38" s="778"/>
      <c r="AG38" s="778"/>
      <c r="AH38" s="778"/>
      <c r="AI38" s="778"/>
      <c r="AJ38" s="778"/>
      <c r="AK38" s="778"/>
      <c r="AL38" s="778"/>
      <c r="AM38" s="778"/>
      <c r="AN38" s="778"/>
      <c r="AO38" s="778"/>
      <c r="AP38" s="778"/>
      <c r="AQ38" s="778"/>
      <c r="AR38" s="778"/>
      <c r="AS38" s="778"/>
      <c r="AT38" s="778"/>
      <c r="AU38" s="598"/>
      <c r="AV38" s="598"/>
      <c r="AW38" s="598"/>
      <c r="AX38" s="595"/>
      <c r="AY38" s="595"/>
      <c r="AZ38" s="197"/>
      <c r="BA38" s="478" t="str">
        <f t="shared" si="0"/>
        <v>SUM_CO2</v>
      </c>
      <c r="BB38" s="573" t="str">
        <f t="shared" si="1"/>
        <v>SUM_EnergyIN</v>
      </c>
      <c r="BC38" s="600"/>
      <c r="BD38" s="5"/>
    </row>
    <row r="39" spans="1:56" x14ac:dyDescent="0.2">
      <c r="A39" s="600"/>
      <c r="B39" s="197"/>
      <c r="C39" s="534">
        <v>16</v>
      </c>
      <c r="D39" s="594"/>
      <c r="E39" s="594"/>
      <c r="F39" s="595"/>
      <c r="G39" s="596"/>
      <c r="H39" s="595"/>
      <c r="I39" s="596"/>
      <c r="J39" s="595"/>
      <c r="K39" s="596"/>
      <c r="L39" s="596"/>
      <c r="M39" s="596"/>
      <c r="N39" s="595"/>
      <c r="O39" s="597"/>
      <c r="P39" s="595"/>
      <c r="Q39" s="597"/>
      <c r="R39" s="595"/>
      <c r="S39" s="597"/>
      <c r="T39" s="595"/>
      <c r="U39" s="597"/>
      <c r="V39" s="778"/>
      <c r="W39" s="778"/>
      <c r="X39" s="778"/>
      <c r="Y39" s="778"/>
      <c r="Z39" s="778"/>
      <c r="AA39" s="778"/>
      <c r="AB39" s="778"/>
      <c r="AC39" s="778"/>
      <c r="AD39" s="778"/>
      <c r="AE39" s="778"/>
      <c r="AF39" s="778"/>
      <c r="AG39" s="778"/>
      <c r="AH39" s="778"/>
      <c r="AI39" s="778"/>
      <c r="AJ39" s="778"/>
      <c r="AK39" s="778"/>
      <c r="AL39" s="778"/>
      <c r="AM39" s="778"/>
      <c r="AN39" s="778"/>
      <c r="AO39" s="778"/>
      <c r="AP39" s="778"/>
      <c r="AQ39" s="778"/>
      <c r="AR39" s="778"/>
      <c r="AS39" s="778"/>
      <c r="AT39" s="778"/>
      <c r="AU39" s="598"/>
      <c r="AV39" s="598"/>
      <c r="AW39" s="598"/>
      <c r="AX39" s="595"/>
      <c r="AY39" s="595"/>
      <c r="AZ39" s="197"/>
      <c r="BA39" s="478" t="str">
        <f t="shared" si="0"/>
        <v>SUM_CO2</v>
      </c>
      <c r="BB39" s="573" t="str">
        <f t="shared" si="1"/>
        <v>SUM_EnergyIN</v>
      </c>
      <c r="BC39" s="600"/>
      <c r="BD39" s="5"/>
    </row>
    <row r="40" spans="1:56" x14ac:dyDescent="0.2">
      <c r="A40" s="600"/>
      <c r="B40" s="197"/>
      <c r="C40" s="534">
        <v>17</v>
      </c>
      <c r="D40" s="594"/>
      <c r="E40" s="594"/>
      <c r="F40" s="595"/>
      <c r="G40" s="596"/>
      <c r="H40" s="595"/>
      <c r="I40" s="596"/>
      <c r="J40" s="595"/>
      <c r="K40" s="596"/>
      <c r="L40" s="596"/>
      <c r="M40" s="596"/>
      <c r="N40" s="595"/>
      <c r="O40" s="597"/>
      <c r="P40" s="595"/>
      <c r="Q40" s="597"/>
      <c r="R40" s="595"/>
      <c r="S40" s="597"/>
      <c r="T40" s="595"/>
      <c r="U40" s="597"/>
      <c r="V40" s="778"/>
      <c r="W40" s="778"/>
      <c r="X40" s="778"/>
      <c r="Y40" s="778"/>
      <c r="Z40" s="778"/>
      <c r="AA40" s="778"/>
      <c r="AB40" s="778"/>
      <c r="AC40" s="778"/>
      <c r="AD40" s="778"/>
      <c r="AE40" s="778"/>
      <c r="AF40" s="778"/>
      <c r="AG40" s="778"/>
      <c r="AH40" s="778"/>
      <c r="AI40" s="778"/>
      <c r="AJ40" s="778"/>
      <c r="AK40" s="778"/>
      <c r="AL40" s="778"/>
      <c r="AM40" s="778"/>
      <c r="AN40" s="778"/>
      <c r="AO40" s="778"/>
      <c r="AP40" s="778"/>
      <c r="AQ40" s="778"/>
      <c r="AR40" s="778"/>
      <c r="AS40" s="778"/>
      <c r="AT40" s="778"/>
      <c r="AU40" s="598"/>
      <c r="AV40" s="598"/>
      <c r="AW40" s="598"/>
      <c r="AX40" s="595"/>
      <c r="AY40" s="595"/>
      <c r="AZ40" s="197"/>
      <c r="BA40" s="478" t="str">
        <f t="shared" si="0"/>
        <v>SUM_CO2</v>
      </c>
      <c r="BB40" s="573" t="str">
        <f t="shared" si="1"/>
        <v>SUM_EnergyIN</v>
      </c>
      <c r="BC40" s="600"/>
      <c r="BD40" s="5"/>
    </row>
    <row r="41" spans="1:56" x14ac:dyDescent="0.2">
      <c r="A41" s="600"/>
      <c r="B41" s="197"/>
      <c r="C41" s="534">
        <v>18</v>
      </c>
      <c r="D41" s="594"/>
      <c r="E41" s="594"/>
      <c r="F41" s="595"/>
      <c r="G41" s="596"/>
      <c r="H41" s="595"/>
      <c r="I41" s="596"/>
      <c r="J41" s="595"/>
      <c r="K41" s="596"/>
      <c r="L41" s="596"/>
      <c r="M41" s="596"/>
      <c r="N41" s="595"/>
      <c r="O41" s="597"/>
      <c r="P41" s="595"/>
      <c r="Q41" s="597"/>
      <c r="R41" s="595"/>
      <c r="S41" s="597"/>
      <c r="T41" s="595"/>
      <c r="U41" s="597"/>
      <c r="V41" s="778"/>
      <c r="W41" s="778"/>
      <c r="X41" s="778"/>
      <c r="Y41" s="778"/>
      <c r="Z41" s="778"/>
      <c r="AA41" s="778"/>
      <c r="AB41" s="778"/>
      <c r="AC41" s="778"/>
      <c r="AD41" s="778"/>
      <c r="AE41" s="778"/>
      <c r="AF41" s="778"/>
      <c r="AG41" s="778"/>
      <c r="AH41" s="778"/>
      <c r="AI41" s="778"/>
      <c r="AJ41" s="778"/>
      <c r="AK41" s="778"/>
      <c r="AL41" s="778"/>
      <c r="AM41" s="778"/>
      <c r="AN41" s="778"/>
      <c r="AO41" s="778"/>
      <c r="AP41" s="778"/>
      <c r="AQ41" s="778"/>
      <c r="AR41" s="778"/>
      <c r="AS41" s="778"/>
      <c r="AT41" s="778"/>
      <c r="AU41" s="598"/>
      <c r="AV41" s="598"/>
      <c r="AW41" s="598"/>
      <c r="AX41" s="595"/>
      <c r="AY41" s="595"/>
      <c r="AZ41" s="197"/>
      <c r="BA41" s="478" t="str">
        <f t="shared" si="0"/>
        <v>SUM_CO2</v>
      </c>
      <c r="BB41" s="573" t="str">
        <f t="shared" si="1"/>
        <v>SUM_EnergyIN</v>
      </c>
      <c r="BC41" s="600"/>
      <c r="BD41" s="5"/>
    </row>
    <row r="42" spans="1:56" x14ac:dyDescent="0.2">
      <c r="A42" s="600"/>
      <c r="B42" s="197"/>
      <c r="C42" s="534">
        <v>19</v>
      </c>
      <c r="D42" s="594"/>
      <c r="E42" s="594"/>
      <c r="F42" s="595"/>
      <c r="G42" s="596"/>
      <c r="H42" s="595"/>
      <c r="I42" s="596"/>
      <c r="J42" s="595"/>
      <c r="K42" s="596"/>
      <c r="L42" s="596"/>
      <c r="M42" s="596"/>
      <c r="N42" s="595"/>
      <c r="O42" s="597"/>
      <c r="P42" s="595"/>
      <c r="Q42" s="597"/>
      <c r="R42" s="595"/>
      <c r="S42" s="597"/>
      <c r="T42" s="595"/>
      <c r="U42" s="597"/>
      <c r="V42" s="778"/>
      <c r="W42" s="778"/>
      <c r="X42" s="778"/>
      <c r="Y42" s="778"/>
      <c r="Z42" s="778"/>
      <c r="AA42" s="778"/>
      <c r="AB42" s="778"/>
      <c r="AC42" s="778"/>
      <c r="AD42" s="778"/>
      <c r="AE42" s="778"/>
      <c r="AF42" s="778"/>
      <c r="AG42" s="778"/>
      <c r="AH42" s="778"/>
      <c r="AI42" s="778"/>
      <c r="AJ42" s="778"/>
      <c r="AK42" s="778"/>
      <c r="AL42" s="778"/>
      <c r="AM42" s="778"/>
      <c r="AN42" s="778"/>
      <c r="AO42" s="778"/>
      <c r="AP42" s="778"/>
      <c r="AQ42" s="778"/>
      <c r="AR42" s="778"/>
      <c r="AS42" s="778"/>
      <c r="AT42" s="778"/>
      <c r="AU42" s="598"/>
      <c r="AV42" s="598"/>
      <c r="AW42" s="598"/>
      <c r="AX42" s="595"/>
      <c r="AY42" s="595"/>
      <c r="AZ42" s="197"/>
      <c r="BA42" s="478" t="str">
        <f t="shared" si="0"/>
        <v>SUM_CO2</v>
      </c>
      <c r="BB42" s="573" t="str">
        <f t="shared" si="1"/>
        <v>SUM_EnergyIN</v>
      </c>
      <c r="BC42" s="600"/>
      <c r="BD42" s="5"/>
    </row>
    <row r="43" spans="1:56" x14ac:dyDescent="0.2">
      <c r="A43" s="600"/>
      <c r="B43" s="197"/>
      <c r="C43" s="534">
        <v>20</v>
      </c>
      <c r="D43" s="594"/>
      <c r="E43" s="594"/>
      <c r="F43" s="595"/>
      <c r="G43" s="596"/>
      <c r="H43" s="595"/>
      <c r="I43" s="596"/>
      <c r="J43" s="595"/>
      <c r="K43" s="596"/>
      <c r="L43" s="596"/>
      <c r="M43" s="596"/>
      <c r="N43" s="595"/>
      <c r="O43" s="597"/>
      <c r="P43" s="595"/>
      <c r="Q43" s="597"/>
      <c r="R43" s="595"/>
      <c r="S43" s="597"/>
      <c r="T43" s="595"/>
      <c r="U43" s="597"/>
      <c r="V43" s="778"/>
      <c r="W43" s="778"/>
      <c r="X43" s="778"/>
      <c r="Y43" s="778"/>
      <c r="Z43" s="778"/>
      <c r="AA43" s="778"/>
      <c r="AB43" s="778"/>
      <c r="AC43" s="778"/>
      <c r="AD43" s="778"/>
      <c r="AE43" s="778"/>
      <c r="AF43" s="778"/>
      <c r="AG43" s="778"/>
      <c r="AH43" s="778"/>
      <c r="AI43" s="778"/>
      <c r="AJ43" s="778"/>
      <c r="AK43" s="778"/>
      <c r="AL43" s="778"/>
      <c r="AM43" s="778"/>
      <c r="AN43" s="778"/>
      <c r="AO43" s="778"/>
      <c r="AP43" s="778"/>
      <c r="AQ43" s="778"/>
      <c r="AR43" s="778"/>
      <c r="AS43" s="778"/>
      <c r="AT43" s="778"/>
      <c r="AU43" s="598"/>
      <c r="AV43" s="598"/>
      <c r="AW43" s="598"/>
      <c r="AX43" s="595"/>
      <c r="AY43" s="595"/>
      <c r="AZ43" s="197"/>
      <c r="BA43" s="478" t="str">
        <f t="shared" si="0"/>
        <v>SUM_CO2</v>
      </c>
      <c r="BB43" s="573" t="str">
        <f t="shared" si="1"/>
        <v>SUM_EnergyIN</v>
      </c>
      <c r="BC43" s="600"/>
      <c r="BD43" s="5"/>
    </row>
    <row r="44" spans="1:56" x14ac:dyDescent="0.2">
      <c r="A44" s="600"/>
      <c r="B44" s="197"/>
      <c r="C44" s="534">
        <v>21</v>
      </c>
      <c r="D44" s="594"/>
      <c r="E44" s="594"/>
      <c r="F44" s="595"/>
      <c r="G44" s="596"/>
      <c r="H44" s="595"/>
      <c r="I44" s="596"/>
      <c r="J44" s="595"/>
      <c r="K44" s="596"/>
      <c r="L44" s="596"/>
      <c r="M44" s="596"/>
      <c r="N44" s="595"/>
      <c r="O44" s="597"/>
      <c r="P44" s="595"/>
      <c r="Q44" s="597"/>
      <c r="R44" s="595"/>
      <c r="S44" s="597"/>
      <c r="T44" s="595"/>
      <c r="U44" s="597"/>
      <c r="V44" s="778"/>
      <c r="W44" s="778"/>
      <c r="X44" s="778"/>
      <c r="Y44" s="778"/>
      <c r="Z44" s="778"/>
      <c r="AA44" s="778"/>
      <c r="AB44" s="778"/>
      <c r="AC44" s="778"/>
      <c r="AD44" s="778"/>
      <c r="AE44" s="778"/>
      <c r="AF44" s="778"/>
      <c r="AG44" s="778"/>
      <c r="AH44" s="778"/>
      <c r="AI44" s="778"/>
      <c r="AJ44" s="778"/>
      <c r="AK44" s="778"/>
      <c r="AL44" s="778"/>
      <c r="AM44" s="778"/>
      <c r="AN44" s="778"/>
      <c r="AO44" s="778"/>
      <c r="AP44" s="778"/>
      <c r="AQ44" s="778"/>
      <c r="AR44" s="778"/>
      <c r="AS44" s="778"/>
      <c r="AT44" s="778"/>
      <c r="AU44" s="598"/>
      <c r="AV44" s="598"/>
      <c r="AW44" s="598"/>
      <c r="AX44" s="595"/>
      <c r="AY44" s="595"/>
      <c r="AZ44" s="197"/>
      <c r="BA44" s="478" t="str">
        <f t="shared" si="0"/>
        <v>SUM_CO2</v>
      </c>
      <c r="BB44" s="573" t="str">
        <f t="shared" si="1"/>
        <v>SUM_EnergyIN</v>
      </c>
      <c r="BC44" s="600"/>
      <c r="BD44" s="5"/>
    </row>
    <row r="45" spans="1:56" x14ac:dyDescent="0.2">
      <c r="A45" s="600"/>
      <c r="B45" s="197"/>
      <c r="C45" s="534">
        <v>22</v>
      </c>
      <c r="D45" s="594"/>
      <c r="E45" s="594"/>
      <c r="F45" s="595"/>
      <c r="G45" s="596"/>
      <c r="H45" s="595"/>
      <c r="I45" s="596"/>
      <c r="J45" s="595"/>
      <c r="K45" s="596"/>
      <c r="L45" s="596"/>
      <c r="M45" s="596"/>
      <c r="N45" s="595"/>
      <c r="O45" s="597"/>
      <c r="P45" s="595"/>
      <c r="Q45" s="597"/>
      <c r="R45" s="595"/>
      <c r="S45" s="597"/>
      <c r="T45" s="595"/>
      <c r="U45" s="597"/>
      <c r="V45" s="778"/>
      <c r="W45" s="778"/>
      <c r="X45" s="778"/>
      <c r="Y45" s="778"/>
      <c r="Z45" s="778"/>
      <c r="AA45" s="778"/>
      <c r="AB45" s="778"/>
      <c r="AC45" s="778"/>
      <c r="AD45" s="778"/>
      <c r="AE45" s="778"/>
      <c r="AF45" s="778"/>
      <c r="AG45" s="778"/>
      <c r="AH45" s="778"/>
      <c r="AI45" s="778"/>
      <c r="AJ45" s="778"/>
      <c r="AK45" s="778"/>
      <c r="AL45" s="778"/>
      <c r="AM45" s="778"/>
      <c r="AN45" s="778"/>
      <c r="AO45" s="778"/>
      <c r="AP45" s="778"/>
      <c r="AQ45" s="778"/>
      <c r="AR45" s="778"/>
      <c r="AS45" s="778"/>
      <c r="AT45" s="778"/>
      <c r="AU45" s="598"/>
      <c r="AV45" s="598"/>
      <c r="AW45" s="598"/>
      <c r="AX45" s="595"/>
      <c r="AY45" s="595"/>
      <c r="AZ45" s="197"/>
      <c r="BA45" s="478" t="str">
        <f t="shared" si="0"/>
        <v>SUM_CO2</v>
      </c>
      <c r="BB45" s="573" t="str">
        <f t="shared" si="1"/>
        <v>SUM_EnergyIN</v>
      </c>
      <c r="BC45" s="600"/>
      <c r="BD45" s="5"/>
    </row>
    <row r="46" spans="1:56" x14ac:dyDescent="0.2">
      <c r="A46" s="600"/>
      <c r="B46" s="197"/>
      <c r="C46" s="534">
        <v>23</v>
      </c>
      <c r="D46" s="594"/>
      <c r="E46" s="594"/>
      <c r="F46" s="595"/>
      <c r="G46" s="596"/>
      <c r="H46" s="595"/>
      <c r="I46" s="596"/>
      <c r="J46" s="595"/>
      <c r="K46" s="596"/>
      <c r="L46" s="596"/>
      <c r="M46" s="596"/>
      <c r="N46" s="595"/>
      <c r="O46" s="597"/>
      <c r="P46" s="595"/>
      <c r="Q46" s="597"/>
      <c r="R46" s="595"/>
      <c r="S46" s="597"/>
      <c r="T46" s="595"/>
      <c r="U46" s="597"/>
      <c r="V46" s="778"/>
      <c r="W46" s="778"/>
      <c r="X46" s="778"/>
      <c r="Y46" s="778"/>
      <c r="Z46" s="778"/>
      <c r="AA46" s="778"/>
      <c r="AB46" s="778"/>
      <c r="AC46" s="778"/>
      <c r="AD46" s="778"/>
      <c r="AE46" s="778"/>
      <c r="AF46" s="778"/>
      <c r="AG46" s="778"/>
      <c r="AH46" s="778"/>
      <c r="AI46" s="778"/>
      <c r="AJ46" s="778"/>
      <c r="AK46" s="778"/>
      <c r="AL46" s="778"/>
      <c r="AM46" s="778"/>
      <c r="AN46" s="778"/>
      <c r="AO46" s="778"/>
      <c r="AP46" s="778"/>
      <c r="AQ46" s="778"/>
      <c r="AR46" s="778"/>
      <c r="AS46" s="778"/>
      <c r="AT46" s="778"/>
      <c r="AU46" s="598"/>
      <c r="AV46" s="598"/>
      <c r="AW46" s="598"/>
      <c r="AX46" s="595"/>
      <c r="AY46" s="595"/>
      <c r="AZ46" s="197"/>
      <c r="BA46" s="478" t="str">
        <f t="shared" si="0"/>
        <v>SUM_CO2</v>
      </c>
      <c r="BB46" s="573" t="str">
        <f t="shared" si="1"/>
        <v>SUM_EnergyIN</v>
      </c>
      <c r="BC46" s="600"/>
      <c r="BD46" s="5"/>
    </row>
    <row r="47" spans="1:56" x14ac:dyDescent="0.2">
      <c r="A47" s="600"/>
      <c r="B47" s="197"/>
      <c r="C47" s="534">
        <v>24</v>
      </c>
      <c r="D47" s="594"/>
      <c r="E47" s="594"/>
      <c r="F47" s="595"/>
      <c r="G47" s="596"/>
      <c r="H47" s="595"/>
      <c r="I47" s="596"/>
      <c r="J47" s="595"/>
      <c r="K47" s="596"/>
      <c r="L47" s="596"/>
      <c r="M47" s="596"/>
      <c r="N47" s="595"/>
      <c r="O47" s="597"/>
      <c r="P47" s="595"/>
      <c r="Q47" s="597"/>
      <c r="R47" s="595"/>
      <c r="S47" s="597"/>
      <c r="T47" s="595"/>
      <c r="U47" s="597"/>
      <c r="V47" s="778"/>
      <c r="W47" s="778"/>
      <c r="X47" s="778"/>
      <c r="Y47" s="778"/>
      <c r="Z47" s="778"/>
      <c r="AA47" s="778"/>
      <c r="AB47" s="778"/>
      <c r="AC47" s="778"/>
      <c r="AD47" s="778"/>
      <c r="AE47" s="778"/>
      <c r="AF47" s="778"/>
      <c r="AG47" s="778"/>
      <c r="AH47" s="778"/>
      <c r="AI47" s="778"/>
      <c r="AJ47" s="778"/>
      <c r="AK47" s="778"/>
      <c r="AL47" s="778"/>
      <c r="AM47" s="778"/>
      <c r="AN47" s="778"/>
      <c r="AO47" s="778"/>
      <c r="AP47" s="778"/>
      <c r="AQ47" s="778"/>
      <c r="AR47" s="778"/>
      <c r="AS47" s="778"/>
      <c r="AT47" s="778"/>
      <c r="AU47" s="598"/>
      <c r="AV47" s="598"/>
      <c r="AW47" s="598"/>
      <c r="AX47" s="595"/>
      <c r="AY47" s="595"/>
      <c r="AZ47" s="197"/>
      <c r="BA47" s="478" t="str">
        <f t="shared" si="0"/>
        <v>SUM_CO2</v>
      </c>
      <c r="BB47" s="573" t="str">
        <f t="shared" si="1"/>
        <v>SUM_EnergyIN</v>
      </c>
      <c r="BC47" s="600"/>
      <c r="BD47" s="5"/>
    </row>
    <row r="48" spans="1:56" x14ac:dyDescent="0.2">
      <c r="A48" s="600"/>
      <c r="B48" s="197"/>
      <c r="C48" s="534">
        <v>25</v>
      </c>
      <c r="D48" s="594"/>
      <c r="E48" s="594"/>
      <c r="F48" s="595"/>
      <c r="G48" s="596"/>
      <c r="H48" s="595"/>
      <c r="I48" s="596"/>
      <c r="J48" s="595"/>
      <c r="K48" s="596"/>
      <c r="L48" s="596"/>
      <c r="M48" s="596"/>
      <c r="N48" s="595"/>
      <c r="O48" s="597"/>
      <c r="P48" s="595"/>
      <c r="Q48" s="597"/>
      <c r="R48" s="595"/>
      <c r="S48" s="597"/>
      <c r="T48" s="595"/>
      <c r="U48" s="597"/>
      <c r="V48" s="778"/>
      <c r="W48" s="778"/>
      <c r="X48" s="778"/>
      <c r="Y48" s="778"/>
      <c r="Z48" s="778"/>
      <c r="AA48" s="778"/>
      <c r="AB48" s="778"/>
      <c r="AC48" s="778"/>
      <c r="AD48" s="778"/>
      <c r="AE48" s="778"/>
      <c r="AF48" s="778"/>
      <c r="AG48" s="778"/>
      <c r="AH48" s="778"/>
      <c r="AI48" s="778"/>
      <c r="AJ48" s="778"/>
      <c r="AK48" s="778"/>
      <c r="AL48" s="778"/>
      <c r="AM48" s="778"/>
      <c r="AN48" s="778"/>
      <c r="AO48" s="778"/>
      <c r="AP48" s="778"/>
      <c r="AQ48" s="778"/>
      <c r="AR48" s="778"/>
      <c r="AS48" s="778"/>
      <c r="AT48" s="778"/>
      <c r="AU48" s="598"/>
      <c r="AV48" s="598"/>
      <c r="AW48" s="598"/>
      <c r="AX48" s="595"/>
      <c r="AY48" s="595"/>
      <c r="AZ48" s="197"/>
      <c r="BA48" s="478" t="str">
        <f t="shared" si="0"/>
        <v>SUM_CO2</v>
      </c>
      <c r="BB48" s="573" t="str">
        <f t="shared" si="1"/>
        <v>SUM_EnergyIN</v>
      </c>
      <c r="BC48" s="600"/>
      <c r="BD48" s="5"/>
    </row>
    <row r="49" spans="1:56" x14ac:dyDescent="0.2">
      <c r="A49" s="600"/>
      <c r="B49" s="197"/>
      <c r="C49" s="534">
        <v>26</v>
      </c>
      <c r="D49" s="594"/>
      <c r="E49" s="594"/>
      <c r="F49" s="595"/>
      <c r="G49" s="596"/>
      <c r="H49" s="595"/>
      <c r="I49" s="596"/>
      <c r="J49" s="595"/>
      <c r="K49" s="596"/>
      <c r="L49" s="596"/>
      <c r="M49" s="596"/>
      <c r="N49" s="595"/>
      <c r="O49" s="597"/>
      <c r="P49" s="595"/>
      <c r="Q49" s="597"/>
      <c r="R49" s="595"/>
      <c r="S49" s="597"/>
      <c r="T49" s="595"/>
      <c r="U49" s="597"/>
      <c r="V49" s="778"/>
      <c r="W49" s="778"/>
      <c r="X49" s="778"/>
      <c r="Y49" s="778"/>
      <c r="Z49" s="778"/>
      <c r="AA49" s="778"/>
      <c r="AB49" s="778"/>
      <c r="AC49" s="778"/>
      <c r="AD49" s="778"/>
      <c r="AE49" s="778"/>
      <c r="AF49" s="778"/>
      <c r="AG49" s="778"/>
      <c r="AH49" s="778"/>
      <c r="AI49" s="778"/>
      <c r="AJ49" s="778"/>
      <c r="AK49" s="778"/>
      <c r="AL49" s="778"/>
      <c r="AM49" s="778"/>
      <c r="AN49" s="778"/>
      <c r="AO49" s="778"/>
      <c r="AP49" s="778"/>
      <c r="AQ49" s="778"/>
      <c r="AR49" s="778"/>
      <c r="AS49" s="778"/>
      <c r="AT49" s="778"/>
      <c r="AU49" s="598"/>
      <c r="AV49" s="598"/>
      <c r="AW49" s="598"/>
      <c r="AX49" s="595"/>
      <c r="AY49" s="595"/>
      <c r="AZ49" s="197"/>
      <c r="BA49" s="478" t="str">
        <f t="shared" si="0"/>
        <v>SUM_CO2</v>
      </c>
      <c r="BB49" s="573" t="str">
        <f t="shared" si="1"/>
        <v>SUM_EnergyIN</v>
      </c>
      <c r="BC49" s="600"/>
      <c r="BD49" s="5"/>
    </row>
    <row r="50" spans="1:56" x14ac:dyDescent="0.2">
      <c r="A50" s="600"/>
      <c r="B50" s="197"/>
      <c r="C50" s="534">
        <v>27</v>
      </c>
      <c r="D50" s="594"/>
      <c r="E50" s="594"/>
      <c r="F50" s="595"/>
      <c r="G50" s="596"/>
      <c r="H50" s="595"/>
      <c r="I50" s="596"/>
      <c r="J50" s="595"/>
      <c r="K50" s="596"/>
      <c r="L50" s="596"/>
      <c r="M50" s="596"/>
      <c r="N50" s="595"/>
      <c r="O50" s="597"/>
      <c r="P50" s="595"/>
      <c r="Q50" s="597"/>
      <c r="R50" s="595"/>
      <c r="S50" s="597"/>
      <c r="T50" s="595"/>
      <c r="U50" s="597"/>
      <c r="V50" s="778"/>
      <c r="W50" s="778"/>
      <c r="X50" s="778"/>
      <c r="Y50" s="778"/>
      <c r="Z50" s="778"/>
      <c r="AA50" s="778"/>
      <c r="AB50" s="778"/>
      <c r="AC50" s="778"/>
      <c r="AD50" s="778"/>
      <c r="AE50" s="778"/>
      <c r="AF50" s="778"/>
      <c r="AG50" s="778"/>
      <c r="AH50" s="778"/>
      <c r="AI50" s="778"/>
      <c r="AJ50" s="778"/>
      <c r="AK50" s="778"/>
      <c r="AL50" s="778"/>
      <c r="AM50" s="778"/>
      <c r="AN50" s="778"/>
      <c r="AO50" s="778"/>
      <c r="AP50" s="778"/>
      <c r="AQ50" s="778"/>
      <c r="AR50" s="778"/>
      <c r="AS50" s="778"/>
      <c r="AT50" s="778"/>
      <c r="AU50" s="598"/>
      <c r="AV50" s="598"/>
      <c r="AW50" s="598"/>
      <c r="AX50" s="595"/>
      <c r="AY50" s="595"/>
      <c r="AZ50" s="197"/>
      <c r="BA50" s="478" t="str">
        <f t="shared" si="0"/>
        <v>SUM_CO2</v>
      </c>
      <c r="BB50" s="573" t="str">
        <f t="shared" si="1"/>
        <v>SUM_EnergyIN</v>
      </c>
      <c r="BC50" s="600"/>
      <c r="BD50" s="5"/>
    </row>
    <row r="51" spans="1:56" x14ac:dyDescent="0.2">
      <c r="A51" s="600"/>
      <c r="B51" s="197"/>
      <c r="C51" s="534">
        <v>28</v>
      </c>
      <c r="D51" s="594"/>
      <c r="E51" s="594"/>
      <c r="F51" s="595"/>
      <c r="G51" s="596"/>
      <c r="H51" s="595"/>
      <c r="I51" s="596"/>
      <c r="J51" s="595"/>
      <c r="K51" s="596"/>
      <c r="L51" s="596"/>
      <c r="M51" s="596"/>
      <c r="N51" s="595"/>
      <c r="O51" s="597"/>
      <c r="P51" s="595"/>
      <c r="Q51" s="597"/>
      <c r="R51" s="595"/>
      <c r="S51" s="597"/>
      <c r="T51" s="595"/>
      <c r="U51" s="597"/>
      <c r="V51" s="778"/>
      <c r="W51" s="778"/>
      <c r="X51" s="778"/>
      <c r="Y51" s="778"/>
      <c r="Z51" s="778"/>
      <c r="AA51" s="778"/>
      <c r="AB51" s="778"/>
      <c r="AC51" s="778"/>
      <c r="AD51" s="778"/>
      <c r="AE51" s="778"/>
      <c r="AF51" s="778"/>
      <c r="AG51" s="778"/>
      <c r="AH51" s="778"/>
      <c r="AI51" s="778"/>
      <c r="AJ51" s="778"/>
      <c r="AK51" s="778"/>
      <c r="AL51" s="778"/>
      <c r="AM51" s="778"/>
      <c r="AN51" s="778"/>
      <c r="AO51" s="778"/>
      <c r="AP51" s="778"/>
      <c r="AQ51" s="778"/>
      <c r="AR51" s="778"/>
      <c r="AS51" s="778"/>
      <c r="AT51" s="778"/>
      <c r="AU51" s="598"/>
      <c r="AV51" s="598"/>
      <c r="AW51" s="598"/>
      <c r="AX51" s="595"/>
      <c r="AY51" s="595"/>
      <c r="AZ51" s="197"/>
      <c r="BA51" s="478" t="str">
        <f t="shared" si="0"/>
        <v>SUM_CO2</v>
      </c>
      <c r="BB51" s="573" t="str">
        <f t="shared" si="1"/>
        <v>SUM_EnergyIN</v>
      </c>
      <c r="BC51" s="600"/>
      <c r="BD51" s="5"/>
    </row>
    <row r="52" spans="1:56" x14ac:dyDescent="0.2">
      <c r="A52" s="600"/>
      <c r="B52" s="197"/>
      <c r="C52" s="534">
        <v>29</v>
      </c>
      <c r="D52" s="594"/>
      <c r="E52" s="594"/>
      <c r="F52" s="595"/>
      <c r="G52" s="596"/>
      <c r="H52" s="595"/>
      <c r="I52" s="596"/>
      <c r="J52" s="595"/>
      <c r="K52" s="596"/>
      <c r="L52" s="596"/>
      <c r="M52" s="596"/>
      <c r="N52" s="595"/>
      <c r="O52" s="597"/>
      <c r="P52" s="595"/>
      <c r="Q52" s="597"/>
      <c r="R52" s="595"/>
      <c r="S52" s="597"/>
      <c r="T52" s="595"/>
      <c r="U52" s="597"/>
      <c r="V52" s="778"/>
      <c r="W52" s="778"/>
      <c r="X52" s="778"/>
      <c r="Y52" s="778"/>
      <c r="Z52" s="778"/>
      <c r="AA52" s="778"/>
      <c r="AB52" s="778"/>
      <c r="AC52" s="778"/>
      <c r="AD52" s="778"/>
      <c r="AE52" s="778"/>
      <c r="AF52" s="778"/>
      <c r="AG52" s="778"/>
      <c r="AH52" s="778"/>
      <c r="AI52" s="778"/>
      <c r="AJ52" s="778"/>
      <c r="AK52" s="778"/>
      <c r="AL52" s="778"/>
      <c r="AM52" s="778"/>
      <c r="AN52" s="778"/>
      <c r="AO52" s="778"/>
      <c r="AP52" s="778"/>
      <c r="AQ52" s="778"/>
      <c r="AR52" s="778"/>
      <c r="AS52" s="778"/>
      <c r="AT52" s="778"/>
      <c r="AU52" s="598"/>
      <c r="AV52" s="598"/>
      <c r="AW52" s="598"/>
      <c r="AX52" s="595"/>
      <c r="AY52" s="595"/>
      <c r="AZ52" s="197"/>
      <c r="BA52" s="478" t="str">
        <f t="shared" si="0"/>
        <v>SUM_CO2</v>
      </c>
      <c r="BB52" s="573" t="str">
        <f t="shared" si="1"/>
        <v>SUM_EnergyIN</v>
      </c>
      <c r="BC52" s="600"/>
      <c r="BD52" s="5"/>
    </row>
    <row r="53" spans="1:56" x14ac:dyDescent="0.2">
      <c r="A53" s="600"/>
      <c r="B53" s="197"/>
      <c r="C53" s="534">
        <v>30</v>
      </c>
      <c r="D53" s="594"/>
      <c r="E53" s="594"/>
      <c r="F53" s="595"/>
      <c r="G53" s="596"/>
      <c r="H53" s="595"/>
      <c r="I53" s="596"/>
      <c r="J53" s="595"/>
      <c r="K53" s="596"/>
      <c r="L53" s="596"/>
      <c r="M53" s="596"/>
      <c r="N53" s="595"/>
      <c r="O53" s="597"/>
      <c r="P53" s="595"/>
      <c r="Q53" s="597"/>
      <c r="R53" s="595"/>
      <c r="S53" s="597"/>
      <c r="T53" s="595"/>
      <c r="U53" s="597"/>
      <c r="V53" s="778"/>
      <c r="W53" s="778"/>
      <c r="X53" s="778"/>
      <c r="Y53" s="778"/>
      <c r="Z53" s="778"/>
      <c r="AA53" s="778"/>
      <c r="AB53" s="778"/>
      <c r="AC53" s="778"/>
      <c r="AD53" s="778"/>
      <c r="AE53" s="778"/>
      <c r="AF53" s="778"/>
      <c r="AG53" s="778"/>
      <c r="AH53" s="778"/>
      <c r="AI53" s="778"/>
      <c r="AJ53" s="778"/>
      <c r="AK53" s="778"/>
      <c r="AL53" s="778"/>
      <c r="AM53" s="778"/>
      <c r="AN53" s="778"/>
      <c r="AO53" s="778"/>
      <c r="AP53" s="778"/>
      <c r="AQ53" s="778"/>
      <c r="AR53" s="778"/>
      <c r="AS53" s="778"/>
      <c r="AT53" s="778"/>
      <c r="AU53" s="598"/>
      <c r="AV53" s="598"/>
      <c r="AW53" s="598"/>
      <c r="AX53" s="595"/>
      <c r="AY53" s="595"/>
      <c r="AZ53" s="197"/>
      <c r="BA53" s="478" t="str">
        <f t="shared" si="0"/>
        <v>SUM_CO2</v>
      </c>
      <c r="BB53" s="573" t="str">
        <f t="shared" si="1"/>
        <v>SUM_EnergyIN</v>
      </c>
      <c r="BC53" s="600"/>
      <c r="BD53" s="5"/>
    </row>
    <row r="54" spans="1:56" x14ac:dyDescent="0.2">
      <c r="A54" s="600"/>
      <c r="B54" s="197"/>
      <c r="C54" s="534">
        <v>31</v>
      </c>
      <c r="D54" s="594"/>
      <c r="E54" s="594"/>
      <c r="F54" s="595"/>
      <c r="G54" s="596"/>
      <c r="H54" s="595"/>
      <c r="I54" s="596"/>
      <c r="J54" s="595"/>
      <c r="K54" s="596"/>
      <c r="L54" s="596"/>
      <c r="M54" s="596"/>
      <c r="N54" s="595"/>
      <c r="O54" s="597"/>
      <c r="P54" s="595"/>
      <c r="Q54" s="597"/>
      <c r="R54" s="595"/>
      <c r="S54" s="597"/>
      <c r="T54" s="595"/>
      <c r="U54" s="597"/>
      <c r="V54" s="778"/>
      <c r="W54" s="778"/>
      <c r="X54" s="778"/>
      <c r="Y54" s="778"/>
      <c r="Z54" s="778"/>
      <c r="AA54" s="778"/>
      <c r="AB54" s="778"/>
      <c r="AC54" s="778"/>
      <c r="AD54" s="778"/>
      <c r="AE54" s="778"/>
      <c r="AF54" s="778"/>
      <c r="AG54" s="778"/>
      <c r="AH54" s="778"/>
      <c r="AI54" s="778"/>
      <c r="AJ54" s="778"/>
      <c r="AK54" s="778"/>
      <c r="AL54" s="778"/>
      <c r="AM54" s="778"/>
      <c r="AN54" s="778"/>
      <c r="AO54" s="778"/>
      <c r="AP54" s="778"/>
      <c r="AQ54" s="778"/>
      <c r="AR54" s="778"/>
      <c r="AS54" s="778"/>
      <c r="AT54" s="778"/>
      <c r="AU54" s="598"/>
      <c r="AV54" s="598"/>
      <c r="AW54" s="598"/>
      <c r="AX54" s="595"/>
      <c r="AY54" s="595"/>
      <c r="AZ54" s="197"/>
      <c r="BA54" s="478" t="str">
        <f t="shared" si="0"/>
        <v>SUM_CO2</v>
      </c>
      <c r="BB54" s="573" t="str">
        <f t="shared" si="1"/>
        <v>SUM_EnergyIN</v>
      </c>
      <c r="BC54" s="600"/>
      <c r="BD54" s="5"/>
    </row>
    <row r="55" spans="1:56" x14ac:dyDescent="0.2">
      <c r="A55" s="600"/>
      <c r="B55" s="197"/>
      <c r="C55" s="534">
        <v>32</v>
      </c>
      <c r="D55" s="594"/>
      <c r="E55" s="594"/>
      <c r="F55" s="595"/>
      <c r="G55" s="596"/>
      <c r="H55" s="595"/>
      <c r="I55" s="596"/>
      <c r="J55" s="595"/>
      <c r="K55" s="596"/>
      <c r="L55" s="596"/>
      <c r="M55" s="596"/>
      <c r="N55" s="595"/>
      <c r="O55" s="597"/>
      <c r="P55" s="595"/>
      <c r="Q55" s="597"/>
      <c r="R55" s="595"/>
      <c r="S55" s="597"/>
      <c r="T55" s="595"/>
      <c r="U55" s="597"/>
      <c r="V55" s="778"/>
      <c r="W55" s="778"/>
      <c r="X55" s="778"/>
      <c r="Y55" s="778"/>
      <c r="Z55" s="778"/>
      <c r="AA55" s="778"/>
      <c r="AB55" s="778"/>
      <c r="AC55" s="778"/>
      <c r="AD55" s="778"/>
      <c r="AE55" s="778"/>
      <c r="AF55" s="778"/>
      <c r="AG55" s="778"/>
      <c r="AH55" s="778"/>
      <c r="AI55" s="778"/>
      <c r="AJ55" s="778"/>
      <c r="AK55" s="778"/>
      <c r="AL55" s="778"/>
      <c r="AM55" s="778"/>
      <c r="AN55" s="778"/>
      <c r="AO55" s="778"/>
      <c r="AP55" s="778"/>
      <c r="AQ55" s="778"/>
      <c r="AR55" s="778"/>
      <c r="AS55" s="778"/>
      <c r="AT55" s="778"/>
      <c r="AU55" s="598"/>
      <c r="AV55" s="598"/>
      <c r="AW55" s="598"/>
      <c r="AX55" s="595"/>
      <c r="AY55" s="595"/>
      <c r="AZ55" s="197"/>
      <c r="BA55" s="478" t="str">
        <f t="shared" si="0"/>
        <v>SUM_CO2</v>
      </c>
      <c r="BB55" s="573" t="str">
        <f t="shared" si="1"/>
        <v>SUM_EnergyIN</v>
      </c>
      <c r="BC55" s="600"/>
      <c r="BD55" s="5"/>
    </row>
    <row r="56" spans="1:56" x14ac:dyDescent="0.2">
      <c r="A56" s="600"/>
      <c r="B56" s="197"/>
      <c r="C56" s="534">
        <v>33</v>
      </c>
      <c r="D56" s="594"/>
      <c r="E56" s="594"/>
      <c r="F56" s="595"/>
      <c r="G56" s="596"/>
      <c r="H56" s="595"/>
      <c r="I56" s="596"/>
      <c r="J56" s="595"/>
      <c r="K56" s="596"/>
      <c r="L56" s="596"/>
      <c r="M56" s="596"/>
      <c r="N56" s="595"/>
      <c r="O56" s="597"/>
      <c r="P56" s="595"/>
      <c r="Q56" s="597"/>
      <c r="R56" s="595"/>
      <c r="S56" s="597"/>
      <c r="T56" s="595"/>
      <c r="U56" s="597"/>
      <c r="V56" s="778"/>
      <c r="W56" s="778"/>
      <c r="X56" s="778"/>
      <c r="Y56" s="778"/>
      <c r="Z56" s="778"/>
      <c r="AA56" s="778"/>
      <c r="AB56" s="778"/>
      <c r="AC56" s="778"/>
      <c r="AD56" s="778"/>
      <c r="AE56" s="778"/>
      <c r="AF56" s="778"/>
      <c r="AG56" s="778"/>
      <c r="AH56" s="778"/>
      <c r="AI56" s="778"/>
      <c r="AJ56" s="778"/>
      <c r="AK56" s="778"/>
      <c r="AL56" s="778"/>
      <c r="AM56" s="778"/>
      <c r="AN56" s="778"/>
      <c r="AO56" s="778"/>
      <c r="AP56" s="778"/>
      <c r="AQ56" s="778"/>
      <c r="AR56" s="778"/>
      <c r="AS56" s="778"/>
      <c r="AT56" s="778"/>
      <c r="AU56" s="598"/>
      <c r="AV56" s="598"/>
      <c r="AW56" s="598"/>
      <c r="AX56" s="595"/>
      <c r="AY56" s="595"/>
      <c r="AZ56" s="197"/>
      <c r="BA56" s="478" t="str">
        <f t="shared" si="0"/>
        <v>SUM_CO2</v>
      </c>
      <c r="BB56" s="573" t="str">
        <f t="shared" si="1"/>
        <v>SUM_EnergyIN</v>
      </c>
      <c r="BC56" s="600"/>
      <c r="BD56" s="5"/>
    </row>
    <row r="57" spans="1:56" x14ac:dyDescent="0.2">
      <c r="A57" s="600"/>
      <c r="B57" s="197"/>
      <c r="C57" s="534">
        <v>34</v>
      </c>
      <c r="D57" s="594"/>
      <c r="E57" s="594"/>
      <c r="F57" s="595"/>
      <c r="G57" s="596"/>
      <c r="H57" s="595"/>
      <c r="I57" s="596"/>
      <c r="J57" s="595"/>
      <c r="K57" s="596"/>
      <c r="L57" s="596"/>
      <c r="M57" s="596"/>
      <c r="N57" s="595"/>
      <c r="O57" s="597"/>
      <c r="P57" s="595"/>
      <c r="Q57" s="597"/>
      <c r="R57" s="595"/>
      <c r="S57" s="597"/>
      <c r="T57" s="595"/>
      <c r="U57" s="597"/>
      <c r="V57" s="778"/>
      <c r="W57" s="778"/>
      <c r="X57" s="778"/>
      <c r="Y57" s="778"/>
      <c r="Z57" s="778"/>
      <c r="AA57" s="778"/>
      <c r="AB57" s="778"/>
      <c r="AC57" s="778"/>
      <c r="AD57" s="778"/>
      <c r="AE57" s="778"/>
      <c r="AF57" s="778"/>
      <c r="AG57" s="778"/>
      <c r="AH57" s="778"/>
      <c r="AI57" s="778"/>
      <c r="AJ57" s="778"/>
      <c r="AK57" s="778"/>
      <c r="AL57" s="778"/>
      <c r="AM57" s="778"/>
      <c r="AN57" s="778"/>
      <c r="AO57" s="778"/>
      <c r="AP57" s="778"/>
      <c r="AQ57" s="778"/>
      <c r="AR57" s="778"/>
      <c r="AS57" s="778"/>
      <c r="AT57" s="778"/>
      <c r="AU57" s="598"/>
      <c r="AV57" s="598"/>
      <c r="AW57" s="598"/>
      <c r="AX57" s="595"/>
      <c r="AY57" s="595"/>
      <c r="AZ57" s="197"/>
      <c r="BA57" s="478" t="str">
        <f t="shared" si="0"/>
        <v>SUM_CO2</v>
      </c>
      <c r="BB57" s="573" t="str">
        <f t="shared" si="1"/>
        <v>SUM_EnergyIN</v>
      </c>
      <c r="BC57" s="600"/>
      <c r="BD57" s="5"/>
    </row>
    <row r="58" spans="1:56" x14ac:dyDescent="0.2">
      <c r="A58" s="600"/>
      <c r="B58" s="197"/>
      <c r="C58" s="534">
        <v>35</v>
      </c>
      <c r="D58" s="594"/>
      <c r="E58" s="594"/>
      <c r="F58" s="595"/>
      <c r="G58" s="596"/>
      <c r="H58" s="595"/>
      <c r="I58" s="596"/>
      <c r="J58" s="595"/>
      <c r="K58" s="596"/>
      <c r="L58" s="596"/>
      <c r="M58" s="596"/>
      <c r="N58" s="595"/>
      <c r="O58" s="597"/>
      <c r="P58" s="595"/>
      <c r="Q58" s="597"/>
      <c r="R58" s="595"/>
      <c r="S58" s="597"/>
      <c r="T58" s="595"/>
      <c r="U58" s="597"/>
      <c r="V58" s="778"/>
      <c r="W58" s="778"/>
      <c r="X58" s="778"/>
      <c r="Y58" s="778"/>
      <c r="Z58" s="778"/>
      <c r="AA58" s="778"/>
      <c r="AB58" s="778"/>
      <c r="AC58" s="778"/>
      <c r="AD58" s="778"/>
      <c r="AE58" s="778"/>
      <c r="AF58" s="778"/>
      <c r="AG58" s="778"/>
      <c r="AH58" s="778"/>
      <c r="AI58" s="778"/>
      <c r="AJ58" s="778"/>
      <c r="AK58" s="778"/>
      <c r="AL58" s="778"/>
      <c r="AM58" s="778"/>
      <c r="AN58" s="778"/>
      <c r="AO58" s="778"/>
      <c r="AP58" s="778"/>
      <c r="AQ58" s="778"/>
      <c r="AR58" s="778"/>
      <c r="AS58" s="778"/>
      <c r="AT58" s="778"/>
      <c r="AU58" s="598"/>
      <c r="AV58" s="598"/>
      <c r="AW58" s="598"/>
      <c r="AX58" s="595"/>
      <c r="AY58" s="595"/>
      <c r="AZ58" s="197"/>
      <c r="BA58" s="478" t="str">
        <f t="shared" si="0"/>
        <v>SUM_CO2</v>
      </c>
      <c r="BB58" s="573" t="str">
        <f t="shared" si="1"/>
        <v>SUM_EnergyIN</v>
      </c>
      <c r="BC58" s="600"/>
      <c r="BD58" s="5"/>
    </row>
    <row r="59" spans="1:56" x14ac:dyDescent="0.2">
      <c r="A59" s="600"/>
      <c r="B59" s="197"/>
      <c r="C59" s="534">
        <v>36</v>
      </c>
      <c r="D59" s="594"/>
      <c r="E59" s="594"/>
      <c r="F59" s="595"/>
      <c r="G59" s="596"/>
      <c r="H59" s="595"/>
      <c r="I59" s="596"/>
      <c r="J59" s="595"/>
      <c r="K59" s="596"/>
      <c r="L59" s="596"/>
      <c r="M59" s="596"/>
      <c r="N59" s="595"/>
      <c r="O59" s="597"/>
      <c r="P59" s="595"/>
      <c r="Q59" s="597"/>
      <c r="R59" s="595"/>
      <c r="S59" s="597"/>
      <c r="T59" s="595"/>
      <c r="U59" s="597"/>
      <c r="V59" s="778"/>
      <c r="W59" s="778"/>
      <c r="X59" s="778"/>
      <c r="Y59" s="778"/>
      <c r="Z59" s="778"/>
      <c r="AA59" s="778"/>
      <c r="AB59" s="778"/>
      <c r="AC59" s="778"/>
      <c r="AD59" s="778"/>
      <c r="AE59" s="778"/>
      <c r="AF59" s="778"/>
      <c r="AG59" s="778"/>
      <c r="AH59" s="778"/>
      <c r="AI59" s="778"/>
      <c r="AJ59" s="778"/>
      <c r="AK59" s="778"/>
      <c r="AL59" s="778"/>
      <c r="AM59" s="778"/>
      <c r="AN59" s="778"/>
      <c r="AO59" s="778"/>
      <c r="AP59" s="778"/>
      <c r="AQ59" s="778"/>
      <c r="AR59" s="778"/>
      <c r="AS59" s="778"/>
      <c r="AT59" s="778"/>
      <c r="AU59" s="598"/>
      <c r="AV59" s="598"/>
      <c r="AW59" s="598"/>
      <c r="AX59" s="595"/>
      <c r="AY59" s="595"/>
      <c r="AZ59" s="197"/>
      <c r="BA59" s="478" t="str">
        <f t="shared" si="0"/>
        <v>SUM_CO2</v>
      </c>
      <c r="BB59" s="573" t="str">
        <f t="shared" si="1"/>
        <v>SUM_EnergyIN</v>
      </c>
      <c r="BC59" s="600"/>
      <c r="BD59" s="5"/>
    </row>
    <row r="60" spans="1:56" x14ac:dyDescent="0.2">
      <c r="A60" s="600"/>
      <c r="B60" s="197"/>
      <c r="C60" s="534">
        <v>37</v>
      </c>
      <c r="D60" s="594"/>
      <c r="E60" s="594"/>
      <c r="F60" s="595"/>
      <c r="G60" s="596"/>
      <c r="H60" s="595"/>
      <c r="I60" s="596"/>
      <c r="J60" s="595"/>
      <c r="K60" s="596"/>
      <c r="L60" s="596"/>
      <c r="M60" s="596"/>
      <c r="N60" s="595"/>
      <c r="O60" s="597"/>
      <c r="P60" s="595"/>
      <c r="Q60" s="597"/>
      <c r="R60" s="595"/>
      <c r="S60" s="597"/>
      <c r="T60" s="595"/>
      <c r="U60" s="597"/>
      <c r="V60" s="778"/>
      <c r="W60" s="778"/>
      <c r="X60" s="778"/>
      <c r="Y60" s="778"/>
      <c r="Z60" s="778"/>
      <c r="AA60" s="778"/>
      <c r="AB60" s="778"/>
      <c r="AC60" s="778"/>
      <c r="AD60" s="778"/>
      <c r="AE60" s="778"/>
      <c r="AF60" s="778"/>
      <c r="AG60" s="778"/>
      <c r="AH60" s="778"/>
      <c r="AI60" s="778"/>
      <c r="AJ60" s="778"/>
      <c r="AK60" s="778"/>
      <c r="AL60" s="778"/>
      <c r="AM60" s="778"/>
      <c r="AN60" s="778"/>
      <c r="AO60" s="778"/>
      <c r="AP60" s="778"/>
      <c r="AQ60" s="778"/>
      <c r="AR60" s="778"/>
      <c r="AS60" s="778"/>
      <c r="AT60" s="778"/>
      <c r="AU60" s="598"/>
      <c r="AV60" s="598"/>
      <c r="AW60" s="598"/>
      <c r="AX60" s="595"/>
      <c r="AY60" s="595"/>
      <c r="AZ60" s="197"/>
      <c r="BA60" s="478" t="str">
        <f t="shared" si="0"/>
        <v>SUM_CO2</v>
      </c>
      <c r="BB60" s="573" t="str">
        <f t="shared" si="1"/>
        <v>SUM_EnergyIN</v>
      </c>
      <c r="BC60" s="600"/>
      <c r="BD60" s="5"/>
    </row>
    <row r="61" spans="1:56" x14ac:dyDescent="0.2">
      <c r="A61" s="600"/>
      <c r="B61" s="197"/>
      <c r="C61" s="534">
        <v>38</v>
      </c>
      <c r="D61" s="594"/>
      <c r="E61" s="594"/>
      <c r="F61" s="595"/>
      <c r="G61" s="596"/>
      <c r="H61" s="595"/>
      <c r="I61" s="596"/>
      <c r="J61" s="595"/>
      <c r="K61" s="596"/>
      <c r="L61" s="596"/>
      <c r="M61" s="596"/>
      <c r="N61" s="595"/>
      <c r="O61" s="597"/>
      <c r="P61" s="595"/>
      <c r="Q61" s="597"/>
      <c r="R61" s="595"/>
      <c r="S61" s="597"/>
      <c r="T61" s="595"/>
      <c r="U61" s="597"/>
      <c r="V61" s="778"/>
      <c r="W61" s="778"/>
      <c r="X61" s="778"/>
      <c r="Y61" s="778"/>
      <c r="Z61" s="778"/>
      <c r="AA61" s="778"/>
      <c r="AB61" s="778"/>
      <c r="AC61" s="778"/>
      <c r="AD61" s="778"/>
      <c r="AE61" s="778"/>
      <c r="AF61" s="778"/>
      <c r="AG61" s="778"/>
      <c r="AH61" s="778"/>
      <c r="AI61" s="778"/>
      <c r="AJ61" s="778"/>
      <c r="AK61" s="778"/>
      <c r="AL61" s="778"/>
      <c r="AM61" s="778"/>
      <c r="AN61" s="778"/>
      <c r="AO61" s="778"/>
      <c r="AP61" s="778"/>
      <c r="AQ61" s="778"/>
      <c r="AR61" s="778"/>
      <c r="AS61" s="778"/>
      <c r="AT61" s="778"/>
      <c r="AU61" s="598"/>
      <c r="AV61" s="598"/>
      <c r="AW61" s="598"/>
      <c r="AX61" s="595"/>
      <c r="AY61" s="595"/>
      <c r="AZ61" s="197"/>
      <c r="BA61" s="478" t="str">
        <f t="shared" si="0"/>
        <v>SUM_CO2</v>
      </c>
      <c r="BB61" s="573" t="str">
        <f t="shared" si="1"/>
        <v>SUM_EnergyIN</v>
      </c>
      <c r="BC61" s="600"/>
      <c r="BD61" s="5"/>
    </row>
    <row r="62" spans="1:56" x14ac:dyDescent="0.2">
      <c r="A62" s="600"/>
      <c r="B62" s="197"/>
      <c r="C62" s="534">
        <v>39</v>
      </c>
      <c r="D62" s="594"/>
      <c r="E62" s="594"/>
      <c r="F62" s="595"/>
      <c r="G62" s="596"/>
      <c r="H62" s="595"/>
      <c r="I62" s="596"/>
      <c r="J62" s="595"/>
      <c r="K62" s="596"/>
      <c r="L62" s="596"/>
      <c r="M62" s="596"/>
      <c r="N62" s="595"/>
      <c r="O62" s="597"/>
      <c r="P62" s="595"/>
      <c r="Q62" s="597"/>
      <c r="R62" s="595"/>
      <c r="S62" s="597"/>
      <c r="T62" s="595"/>
      <c r="U62" s="597"/>
      <c r="V62" s="778"/>
      <c r="W62" s="778"/>
      <c r="X62" s="778"/>
      <c r="Y62" s="778"/>
      <c r="Z62" s="778"/>
      <c r="AA62" s="778"/>
      <c r="AB62" s="778"/>
      <c r="AC62" s="778"/>
      <c r="AD62" s="778"/>
      <c r="AE62" s="778"/>
      <c r="AF62" s="778"/>
      <c r="AG62" s="778"/>
      <c r="AH62" s="778"/>
      <c r="AI62" s="778"/>
      <c r="AJ62" s="778"/>
      <c r="AK62" s="778"/>
      <c r="AL62" s="778"/>
      <c r="AM62" s="778"/>
      <c r="AN62" s="778"/>
      <c r="AO62" s="778"/>
      <c r="AP62" s="778"/>
      <c r="AQ62" s="778"/>
      <c r="AR62" s="778"/>
      <c r="AS62" s="778"/>
      <c r="AT62" s="778"/>
      <c r="AU62" s="598"/>
      <c r="AV62" s="598"/>
      <c r="AW62" s="598"/>
      <c r="AX62" s="595"/>
      <c r="AY62" s="595"/>
      <c r="AZ62" s="197"/>
      <c r="BA62" s="478" t="str">
        <f t="shared" si="0"/>
        <v>SUM_CO2</v>
      </c>
      <c r="BB62" s="573" t="str">
        <f t="shared" si="1"/>
        <v>SUM_EnergyIN</v>
      </c>
      <c r="BC62" s="600"/>
      <c r="BD62" s="5"/>
    </row>
    <row r="63" spans="1:56" x14ac:dyDescent="0.2">
      <c r="A63" s="600"/>
      <c r="B63" s="197"/>
      <c r="C63" s="534">
        <v>40</v>
      </c>
      <c r="D63" s="594"/>
      <c r="E63" s="594"/>
      <c r="F63" s="595"/>
      <c r="G63" s="596"/>
      <c r="H63" s="595"/>
      <c r="I63" s="596"/>
      <c r="J63" s="595"/>
      <c r="K63" s="596"/>
      <c r="L63" s="596"/>
      <c r="M63" s="596"/>
      <c r="N63" s="595"/>
      <c r="O63" s="597"/>
      <c r="P63" s="595"/>
      <c r="Q63" s="597"/>
      <c r="R63" s="595"/>
      <c r="S63" s="597"/>
      <c r="T63" s="595"/>
      <c r="U63" s="597"/>
      <c r="V63" s="778"/>
      <c r="W63" s="778"/>
      <c r="X63" s="778"/>
      <c r="Y63" s="778"/>
      <c r="Z63" s="778"/>
      <c r="AA63" s="778"/>
      <c r="AB63" s="778"/>
      <c r="AC63" s="778"/>
      <c r="AD63" s="778"/>
      <c r="AE63" s="778"/>
      <c r="AF63" s="778"/>
      <c r="AG63" s="778"/>
      <c r="AH63" s="778"/>
      <c r="AI63" s="778"/>
      <c r="AJ63" s="778"/>
      <c r="AK63" s="778"/>
      <c r="AL63" s="778"/>
      <c r="AM63" s="778"/>
      <c r="AN63" s="778"/>
      <c r="AO63" s="778"/>
      <c r="AP63" s="778"/>
      <c r="AQ63" s="778"/>
      <c r="AR63" s="778"/>
      <c r="AS63" s="778"/>
      <c r="AT63" s="778"/>
      <c r="AU63" s="598"/>
      <c r="AV63" s="598"/>
      <c r="AW63" s="598"/>
      <c r="AX63" s="595"/>
      <c r="AY63" s="595"/>
      <c r="AZ63" s="197"/>
      <c r="BA63" s="478" t="str">
        <f t="shared" si="0"/>
        <v>SUM_CO2</v>
      </c>
      <c r="BB63" s="573" t="str">
        <f t="shared" si="1"/>
        <v>SUM_EnergyIN</v>
      </c>
      <c r="BC63" s="600"/>
      <c r="BD63" s="5"/>
    </row>
    <row r="64" spans="1:56" x14ac:dyDescent="0.2">
      <c r="A64" s="600"/>
      <c r="B64" s="197"/>
      <c r="C64" s="534">
        <v>41</v>
      </c>
      <c r="D64" s="594"/>
      <c r="E64" s="594"/>
      <c r="F64" s="595"/>
      <c r="G64" s="596"/>
      <c r="H64" s="595"/>
      <c r="I64" s="596"/>
      <c r="J64" s="595"/>
      <c r="K64" s="596"/>
      <c r="L64" s="596"/>
      <c r="M64" s="596"/>
      <c r="N64" s="595"/>
      <c r="O64" s="597"/>
      <c r="P64" s="595"/>
      <c r="Q64" s="597"/>
      <c r="R64" s="595"/>
      <c r="S64" s="597"/>
      <c r="T64" s="595"/>
      <c r="U64" s="597"/>
      <c r="V64" s="778"/>
      <c r="W64" s="778"/>
      <c r="X64" s="778"/>
      <c r="Y64" s="778"/>
      <c r="Z64" s="778"/>
      <c r="AA64" s="778"/>
      <c r="AB64" s="778"/>
      <c r="AC64" s="778"/>
      <c r="AD64" s="778"/>
      <c r="AE64" s="778"/>
      <c r="AF64" s="778"/>
      <c r="AG64" s="778"/>
      <c r="AH64" s="778"/>
      <c r="AI64" s="778"/>
      <c r="AJ64" s="778"/>
      <c r="AK64" s="778"/>
      <c r="AL64" s="778"/>
      <c r="AM64" s="778"/>
      <c r="AN64" s="778"/>
      <c r="AO64" s="778"/>
      <c r="AP64" s="778"/>
      <c r="AQ64" s="778"/>
      <c r="AR64" s="778"/>
      <c r="AS64" s="778"/>
      <c r="AT64" s="778"/>
      <c r="AU64" s="598"/>
      <c r="AV64" s="598"/>
      <c r="AW64" s="598"/>
      <c r="AX64" s="595"/>
      <c r="AY64" s="595"/>
      <c r="AZ64" s="197"/>
      <c r="BA64" s="478" t="str">
        <f t="shared" si="0"/>
        <v>SUM_CO2</v>
      </c>
      <c r="BB64" s="573" t="str">
        <f t="shared" si="1"/>
        <v>SUM_EnergyIN</v>
      </c>
      <c r="BC64" s="600"/>
      <c r="BD64" s="5"/>
    </row>
    <row r="65" spans="1:56" x14ac:dyDescent="0.2">
      <c r="A65" s="600"/>
      <c r="B65" s="197"/>
      <c r="C65" s="534">
        <v>42</v>
      </c>
      <c r="D65" s="594"/>
      <c r="E65" s="594"/>
      <c r="F65" s="595"/>
      <c r="G65" s="596"/>
      <c r="H65" s="595"/>
      <c r="I65" s="596"/>
      <c r="J65" s="595"/>
      <c r="K65" s="596"/>
      <c r="L65" s="596"/>
      <c r="M65" s="596"/>
      <c r="N65" s="595"/>
      <c r="O65" s="597"/>
      <c r="P65" s="595"/>
      <c r="Q65" s="597"/>
      <c r="R65" s="595"/>
      <c r="S65" s="597"/>
      <c r="T65" s="595"/>
      <c r="U65" s="597"/>
      <c r="V65" s="778"/>
      <c r="W65" s="778"/>
      <c r="X65" s="778"/>
      <c r="Y65" s="778"/>
      <c r="Z65" s="778"/>
      <c r="AA65" s="778"/>
      <c r="AB65" s="778"/>
      <c r="AC65" s="778"/>
      <c r="AD65" s="778"/>
      <c r="AE65" s="778"/>
      <c r="AF65" s="778"/>
      <c r="AG65" s="778"/>
      <c r="AH65" s="778"/>
      <c r="AI65" s="778"/>
      <c r="AJ65" s="778"/>
      <c r="AK65" s="778"/>
      <c r="AL65" s="778"/>
      <c r="AM65" s="778"/>
      <c r="AN65" s="778"/>
      <c r="AO65" s="778"/>
      <c r="AP65" s="778"/>
      <c r="AQ65" s="778"/>
      <c r="AR65" s="778"/>
      <c r="AS65" s="778"/>
      <c r="AT65" s="778"/>
      <c r="AU65" s="598"/>
      <c r="AV65" s="598"/>
      <c r="AW65" s="598"/>
      <c r="AX65" s="595"/>
      <c r="AY65" s="595"/>
      <c r="AZ65" s="197"/>
      <c r="BA65" s="478" t="str">
        <f t="shared" si="0"/>
        <v>SUM_CO2</v>
      </c>
      <c r="BB65" s="573" t="str">
        <f t="shared" si="1"/>
        <v>SUM_EnergyIN</v>
      </c>
      <c r="BC65" s="600"/>
      <c r="BD65" s="5"/>
    </row>
    <row r="66" spans="1:56" x14ac:dyDescent="0.2">
      <c r="A66" s="600"/>
      <c r="B66" s="197"/>
      <c r="C66" s="534">
        <v>43</v>
      </c>
      <c r="D66" s="594"/>
      <c r="E66" s="594"/>
      <c r="F66" s="595"/>
      <c r="G66" s="596"/>
      <c r="H66" s="595"/>
      <c r="I66" s="596"/>
      <c r="J66" s="595"/>
      <c r="K66" s="596"/>
      <c r="L66" s="596"/>
      <c r="M66" s="596"/>
      <c r="N66" s="595"/>
      <c r="O66" s="597"/>
      <c r="P66" s="595"/>
      <c r="Q66" s="597"/>
      <c r="R66" s="595"/>
      <c r="S66" s="597"/>
      <c r="T66" s="595"/>
      <c r="U66" s="597"/>
      <c r="V66" s="778"/>
      <c r="W66" s="778"/>
      <c r="X66" s="778"/>
      <c r="Y66" s="778"/>
      <c r="Z66" s="778"/>
      <c r="AA66" s="778"/>
      <c r="AB66" s="778"/>
      <c r="AC66" s="778"/>
      <c r="AD66" s="778"/>
      <c r="AE66" s="778"/>
      <c r="AF66" s="778"/>
      <c r="AG66" s="778"/>
      <c r="AH66" s="778"/>
      <c r="AI66" s="778"/>
      <c r="AJ66" s="778"/>
      <c r="AK66" s="778"/>
      <c r="AL66" s="778"/>
      <c r="AM66" s="778"/>
      <c r="AN66" s="778"/>
      <c r="AO66" s="778"/>
      <c r="AP66" s="778"/>
      <c r="AQ66" s="778"/>
      <c r="AR66" s="778"/>
      <c r="AS66" s="778"/>
      <c r="AT66" s="778"/>
      <c r="AU66" s="598"/>
      <c r="AV66" s="598"/>
      <c r="AW66" s="598"/>
      <c r="AX66" s="595"/>
      <c r="AY66" s="595"/>
      <c r="AZ66" s="197"/>
      <c r="BA66" s="478" t="str">
        <f t="shared" si="0"/>
        <v>SUM_CO2</v>
      </c>
      <c r="BB66" s="573" t="str">
        <f t="shared" si="1"/>
        <v>SUM_EnergyIN</v>
      </c>
      <c r="BC66" s="600"/>
      <c r="BD66" s="5"/>
    </row>
    <row r="67" spans="1:56" x14ac:dyDescent="0.2">
      <c r="A67" s="600"/>
      <c r="B67" s="197"/>
      <c r="C67" s="534">
        <v>44</v>
      </c>
      <c r="D67" s="594"/>
      <c r="E67" s="594"/>
      <c r="F67" s="595"/>
      <c r="G67" s="596"/>
      <c r="H67" s="595"/>
      <c r="I67" s="596"/>
      <c r="J67" s="595"/>
      <c r="K67" s="596"/>
      <c r="L67" s="596"/>
      <c r="M67" s="596"/>
      <c r="N67" s="595"/>
      <c r="O67" s="597"/>
      <c r="P67" s="595"/>
      <c r="Q67" s="597"/>
      <c r="R67" s="595"/>
      <c r="S67" s="597"/>
      <c r="T67" s="595"/>
      <c r="U67" s="597"/>
      <c r="V67" s="778"/>
      <c r="W67" s="778"/>
      <c r="X67" s="778"/>
      <c r="Y67" s="778"/>
      <c r="Z67" s="778"/>
      <c r="AA67" s="778"/>
      <c r="AB67" s="778"/>
      <c r="AC67" s="778"/>
      <c r="AD67" s="778"/>
      <c r="AE67" s="778"/>
      <c r="AF67" s="778"/>
      <c r="AG67" s="778"/>
      <c r="AH67" s="778"/>
      <c r="AI67" s="778"/>
      <c r="AJ67" s="778"/>
      <c r="AK67" s="778"/>
      <c r="AL67" s="778"/>
      <c r="AM67" s="778"/>
      <c r="AN67" s="778"/>
      <c r="AO67" s="778"/>
      <c r="AP67" s="778"/>
      <c r="AQ67" s="778"/>
      <c r="AR67" s="778"/>
      <c r="AS67" s="778"/>
      <c r="AT67" s="778"/>
      <c r="AU67" s="598"/>
      <c r="AV67" s="598"/>
      <c r="AW67" s="598"/>
      <c r="AX67" s="595"/>
      <c r="AY67" s="595"/>
      <c r="AZ67" s="197"/>
      <c r="BA67" s="478" t="str">
        <f t="shared" si="0"/>
        <v>SUM_CO2</v>
      </c>
      <c r="BB67" s="573" t="str">
        <f t="shared" si="1"/>
        <v>SUM_EnergyIN</v>
      </c>
      <c r="BC67" s="600"/>
      <c r="BD67" s="5"/>
    </row>
    <row r="68" spans="1:56" x14ac:dyDescent="0.2">
      <c r="A68" s="600"/>
      <c r="B68" s="197"/>
      <c r="C68" s="534">
        <v>45</v>
      </c>
      <c r="D68" s="594"/>
      <c r="E68" s="594"/>
      <c r="F68" s="595"/>
      <c r="G68" s="596"/>
      <c r="H68" s="595"/>
      <c r="I68" s="596"/>
      <c r="J68" s="595"/>
      <c r="K68" s="596"/>
      <c r="L68" s="596"/>
      <c r="M68" s="596"/>
      <c r="N68" s="595"/>
      <c r="O68" s="597"/>
      <c r="P68" s="595"/>
      <c r="Q68" s="597"/>
      <c r="R68" s="595"/>
      <c r="S68" s="597"/>
      <c r="T68" s="595"/>
      <c r="U68" s="597"/>
      <c r="V68" s="778"/>
      <c r="W68" s="778"/>
      <c r="X68" s="778"/>
      <c r="Y68" s="778"/>
      <c r="Z68" s="778"/>
      <c r="AA68" s="778"/>
      <c r="AB68" s="778"/>
      <c r="AC68" s="778"/>
      <c r="AD68" s="778"/>
      <c r="AE68" s="778"/>
      <c r="AF68" s="778"/>
      <c r="AG68" s="778"/>
      <c r="AH68" s="778"/>
      <c r="AI68" s="778"/>
      <c r="AJ68" s="778"/>
      <c r="AK68" s="778"/>
      <c r="AL68" s="778"/>
      <c r="AM68" s="778"/>
      <c r="AN68" s="778"/>
      <c r="AO68" s="778"/>
      <c r="AP68" s="778"/>
      <c r="AQ68" s="778"/>
      <c r="AR68" s="778"/>
      <c r="AS68" s="778"/>
      <c r="AT68" s="778"/>
      <c r="AU68" s="598"/>
      <c r="AV68" s="598"/>
      <c r="AW68" s="598"/>
      <c r="AX68" s="595"/>
      <c r="AY68" s="595"/>
      <c r="AZ68" s="197"/>
      <c r="BA68" s="478" t="str">
        <f t="shared" si="0"/>
        <v>SUM_CO2</v>
      </c>
      <c r="BB68" s="573" t="str">
        <f t="shared" si="1"/>
        <v>SUM_EnergyIN</v>
      </c>
      <c r="BC68" s="600"/>
      <c r="BD68" s="5"/>
    </row>
    <row r="69" spans="1:56" x14ac:dyDescent="0.2">
      <c r="A69" s="600"/>
      <c r="B69" s="197"/>
      <c r="C69" s="534">
        <v>46</v>
      </c>
      <c r="D69" s="594"/>
      <c r="E69" s="594"/>
      <c r="F69" s="595"/>
      <c r="G69" s="596"/>
      <c r="H69" s="595"/>
      <c r="I69" s="596"/>
      <c r="J69" s="595"/>
      <c r="K69" s="596"/>
      <c r="L69" s="596"/>
      <c r="M69" s="596"/>
      <c r="N69" s="595"/>
      <c r="O69" s="597"/>
      <c r="P69" s="595"/>
      <c r="Q69" s="597"/>
      <c r="R69" s="595"/>
      <c r="S69" s="597"/>
      <c r="T69" s="595"/>
      <c r="U69" s="597"/>
      <c r="V69" s="778"/>
      <c r="W69" s="778"/>
      <c r="X69" s="778"/>
      <c r="Y69" s="778"/>
      <c r="Z69" s="778"/>
      <c r="AA69" s="778"/>
      <c r="AB69" s="778"/>
      <c r="AC69" s="778"/>
      <c r="AD69" s="778"/>
      <c r="AE69" s="778"/>
      <c r="AF69" s="778"/>
      <c r="AG69" s="778"/>
      <c r="AH69" s="778"/>
      <c r="AI69" s="778"/>
      <c r="AJ69" s="778"/>
      <c r="AK69" s="778"/>
      <c r="AL69" s="778"/>
      <c r="AM69" s="778"/>
      <c r="AN69" s="778"/>
      <c r="AO69" s="778"/>
      <c r="AP69" s="778"/>
      <c r="AQ69" s="778"/>
      <c r="AR69" s="778"/>
      <c r="AS69" s="778"/>
      <c r="AT69" s="778"/>
      <c r="AU69" s="598"/>
      <c r="AV69" s="598"/>
      <c r="AW69" s="598"/>
      <c r="AX69" s="595"/>
      <c r="AY69" s="595"/>
      <c r="AZ69" s="197"/>
      <c r="BA69" s="478" t="str">
        <f t="shared" si="0"/>
        <v>SUM_CO2</v>
      </c>
      <c r="BB69" s="573" t="str">
        <f t="shared" si="1"/>
        <v>SUM_EnergyIN</v>
      </c>
      <c r="BC69" s="600"/>
      <c r="BD69" s="5"/>
    </row>
    <row r="70" spans="1:56" x14ac:dyDescent="0.2">
      <c r="A70" s="600"/>
      <c r="B70" s="197"/>
      <c r="C70" s="534">
        <v>47</v>
      </c>
      <c r="D70" s="594"/>
      <c r="E70" s="594"/>
      <c r="F70" s="595"/>
      <c r="G70" s="596"/>
      <c r="H70" s="595"/>
      <c r="I70" s="596"/>
      <c r="J70" s="595"/>
      <c r="K70" s="596"/>
      <c r="L70" s="596"/>
      <c r="M70" s="596"/>
      <c r="N70" s="595"/>
      <c r="O70" s="597"/>
      <c r="P70" s="595"/>
      <c r="Q70" s="597"/>
      <c r="R70" s="595"/>
      <c r="S70" s="597"/>
      <c r="T70" s="595"/>
      <c r="U70" s="597"/>
      <c r="V70" s="778"/>
      <c r="W70" s="778"/>
      <c r="X70" s="778"/>
      <c r="Y70" s="778"/>
      <c r="Z70" s="778"/>
      <c r="AA70" s="778"/>
      <c r="AB70" s="778"/>
      <c r="AC70" s="778"/>
      <c r="AD70" s="778"/>
      <c r="AE70" s="778"/>
      <c r="AF70" s="778"/>
      <c r="AG70" s="778"/>
      <c r="AH70" s="778"/>
      <c r="AI70" s="778"/>
      <c r="AJ70" s="778"/>
      <c r="AK70" s="778"/>
      <c r="AL70" s="778"/>
      <c r="AM70" s="778"/>
      <c r="AN70" s="778"/>
      <c r="AO70" s="778"/>
      <c r="AP70" s="778"/>
      <c r="AQ70" s="778"/>
      <c r="AR70" s="778"/>
      <c r="AS70" s="778"/>
      <c r="AT70" s="778"/>
      <c r="AU70" s="598"/>
      <c r="AV70" s="598"/>
      <c r="AW70" s="598"/>
      <c r="AX70" s="595"/>
      <c r="AY70" s="595"/>
      <c r="AZ70" s="197"/>
      <c r="BA70" s="478" t="str">
        <f t="shared" si="0"/>
        <v>SUM_CO2</v>
      </c>
      <c r="BB70" s="573" t="str">
        <f t="shared" si="1"/>
        <v>SUM_EnergyIN</v>
      </c>
      <c r="BC70" s="600"/>
      <c r="BD70" s="5"/>
    </row>
    <row r="71" spans="1:56" x14ac:dyDescent="0.2">
      <c r="A71" s="600"/>
      <c r="B71" s="197"/>
      <c r="C71" s="534">
        <v>48</v>
      </c>
      <c r="D71" s="594"/>
      <c r="E71" s="594"/>
      <c r="F71" s="595"/>
      <c r="G71" s="596"/>
      <c r="H71" s="595"/>
      <c r="I71" s="596"/>
      <c r="J71" s="595"/>
      <c r="K71" s="596"/>
      <c r="L71" s="596"/>
      <c r="M71" s="596"/>
      <c r="N71" s="595"/>
      <c r="O71" s="597"/>
      <c r="P71" s="595"/>
      <c r="Q71" s="597"/>
      <c r="R71" s="595"/>
      <c r="S71" s="597"/>
      <c r="T71" s="595"/>
      <c r="U71" s="597"/>
      <c r="V71" s="778"/>
      <c r="W71" s="778"/>
      <c r="X71" s="778"/>
      <c r="Y71" s="778"/>
      <c r="Z71" s="778"/>
      <c r="AA71" s="778"/>
      <c r="AB71" s="778"/>
      <c r="AC71" s="778"/>
      <c r="AD71" s="778"/>
      <c r="AE71" s="778"/>
      <c r="AF71" s="778"/>
      <c r="AG71" s="778"/>
      <c r="AH71" s="778"/>
      <c r="AI71" s="778"/>
      <c r="AJ71" s="778"/>
      <c r="AK71" s="778"/>
      <c r="AL71" s="778"/>
      <c r="AM71" s="778"/>
      <c r="AN71" s="778"/>
      <c r="AO71" s="778"/>
      <c r="AP71" s="778"/>
      <c r="AQ71" s="778"/>
      <c r="AR71" s="778"/>
      <c r="AS71" s="778"/>
      <c r="AT71" s="778"/>
      <c r="AU71" s="598"/>
      <c r="AV71" s="598"/>
      <c r="AW71" s="598"/>
      <c r="AX71" s="595"/>
      <c r="AY71" s="595"/>
      <c r="AZ71" s="197"/>
      <c r="BA71" s="478" t="str">
        <f t="shared" si="0"/>
        <v>SUM_CO2</v>
      </c>
      <c r="BB71" s="573" t="str">
        <f t="shared" si="1"/>
        <v>SUM_EnergyIN</v>
      </c>
      <c r="BC71" s="600"/>
      <c r="BD71" s="5"/>
    </row>
    <row r="72" spans="1:56" x14ac:dyDescent="0.2">
      <c r="A72" s="600"/>
      <c r="B72" s="197"/>
      <c r="C72" s="534">
        <v>49</v>
      </c>
      <c r="D72" s="594"/>
      <c r="E72" s="594"/>
      <c r="F72" s="595"/>
      <c r="G72" s="596"/>
      <c r="H72" s="595"/>
      <c r="I72" s="596"/>
      <c r="J72" s="595"/>
      <c r="K72" s="596"/>
      <c r="L72" s="596"/>
      <c r="M72" s="596"/>
      <c r="N72" s="595"/>
      <c r="O72" s="597"/>
      <c r="P72" s="595"/>
      <c r="Q72" s="597"/>
      <c r="R72" s="595"/>
      <c r="S72" s="597"/>
      <c r="T72" s="595"/>
      <c r="U72" s="597"/>
      <c r="V72" s="778"/>
      <c r="W72" s="778"/>
      <c r="X72" s="778"/>
      <c r="Y72" s="778"/>
      <c r="Z72" s="778"/>
      <c r="AA72" s="778"/>
      <c r="AB72" s="778"/>
      <c r="AC72" s="778"/>
      <c r="AD72" s="778"/>
      <c r="AE72" s="778"/>
      <c r="AF72" s="778"/>
      <c r="AG72" s="778"/>
      <c r="AH72" s="778"/>
      <c r="AI72" s="778"/>
      <c r="AJ72" s="778"/>
      <c r="AK72" s="778"/>
      <c r="AL72" s="778"/>
      <c r="AM72" s="778"/>
      <c r="AN72" s="778"/>
      <c r="AO72" s="778"/>
      <c r="AP72" s="778"/>
      <c r="AQ72" s="778"/>
      <c r="AR72" s="778"/>
      <c r="AS72" s="778"/>
      <c r="AT72" s="778"/>
      <c r="AU72" s="598"/>
      <c r="AV72" s="598"/>
      <c r="AW72" s="598"/>
      <c r="AX72" s="595"/>
      <c r="AY72" s="595"/>
      <c r="AZ72" s="197"/>
      <c r="BA72" s="478" t="str">
        <f t="shared" si="0"/>
        <v>SUM_CO2</v>
      </c>
      <c r="BB72" s="573" t="str">
        <f t="shared" si="1"/>
        <v>SUM_EnergyIN</v>
      </c>
      <c r="BC72" s="600"/>
      <c r="BD72" s="5"/>
    </row>
    <row r="73" spans="1:56" x14ac:dyDescent="0.2">
      <c r="A73" s="600"/>
      <c r="B73" s="197"/>
      <c r="C73" s="534">
        <v>50</v>
      </c>
      <c r="D73" s="594"/>
      <c r="E73" s="594"/>
      <c r="F73" s="595"/>
      <c r="G73" s="596"/>
      <c r="H73" s="595"/>
      <c r="I73" s="596"/>
      <c r="J73" s="595"/>
      <c r="K73" s="596"/>
      <c r="L73" s="596"/>
      <c r="M73" s="596"/>
      <c r="N73" s="595"/>
      <c r="O73" s="597"/>
      <c r="P73" s="595"/>
      <c r="Q73" s="597"/>
      <c r="R73" s="595"/>
      <c r="S73" s="597"/>
      <c r="T73" s="595"/>
      <c r="U73" s="597"/>
      <c r="V73" s="778"/>
      <c r="W73" s="778"/>
      <c r="X73" s="778"/>
      <c r="Y73" s="778"/>
      <c r="Z73" s="778"/>
      <c r="AA73" s="778"/>
      <c r="AB73" s="778"/>
      <c r="AC73" s="778"/>
      <c r="AD73" s="778"/>
      <c r="AE73" s="778"/>
      <c r="AF73" s="778"/>
      <c r="AG73" s="778"/>
      <c r="AH73" s="778"/>
      <c r="AI73" s="778"/>
      <c r="AJ73" s="778"/>
      <c r="AK73" s="778"/>
      <c r="AL73" s="778"/>
      <c r="AM73" s="778"/>
      <c r="AN73" s="778"/>
      <c r="AO73" s="778"/>
      <c r="AP73" s="778"/>
      <c r="AQ73" s="778"/>
      <c r="AR73" s="778"/>
      <c r="AS73" s="778"/>
      <c r="AT73" s="778"/>
      <c r="AU73" s="598"/>
      <c r="AV73" s="598"/>
      <c r="AW73" s="598"/>
      <c r="AX73" s="595"/>
      <c r="AY73" s="595"/>
      <c r="AZ73" s="197"/>
      <c r="BA73" s="478" t="str">
        <f t="shared" si="0"/>
        <v>SUM_CO2</v>
      </c>
      <c r="BB73" s="573" t="str">
        <f t="shared" si="1"/>
        <v>SUM_EnergyIN</v>
      </c>
      <c r="BC73" s="600"/>
      <c r="BD73" s="5"/>
    </row>
    <row r="74" spans="1:56" x14ac:dyDescent="0.2">
      <c r="A74" s="600"/>
      <c r="B74" s="197"/>
      <c r="C74" s="534">
        <v>51</v>
      </c>
      <c r="D74" s="594"/>
      <c r="E74" s="594"/>
      <c r="F74" s="595"/>
      <c r="G74" s="596"/>
      <c r="H74" s="595"/>
      <c r="I74" s="596"/>
      <c r="J74" s="595"/>
      <c r="K74" s="596"/>
      <c r="L74" s="596"/>
      <c r="M74" s="596"/>
      <c r="N74" s="595"/>
      <c r="O74" s="597"/>
      <c r="P74" s="595"/>
      <c r="Q74" s="597"/>
      <c r="R74" s="595"/>
      <c r="S74" s="597"/>
      <c r="T74" s="595"/>
      <c r="U74" s="597"/>
      <c r="V74" s="778"/>
      <c r="W74" s="778"/>
      <c r="X74" s="778"/>
      <c r="Y74" s="778"/>
      <c r="Z74" s="778"/>
      <c r="AA74" s="778"/>
      <c r="AB74" s="778"/>
      <c r="AC74" s="778"/>
      <c r="AD74" s="778"/>
      <c r="AE74" s="778"/>
      <c r="AF74" s="778"/>
      <c r="AG74" s="778"/>
      <c r="AH74" s="778"/>
      <c r="AI74" s="778"/>
      <c r="AJ74" s="778"/>
      <c r="AK74" s="778"/>
      <c r="AL74" s="778"/>
      <c r="AM74" s="778"/>
      <c r="AN74" s="778"/>
      <c r="AO74" s="778"/>
      <c r="AP74" s="778"/>
      <c r="AQ74" s="778"/>
      <c r="AR74" s="778"/>
      <c r="AS74" s="778"/>
      <c r="AT74" s="778"/>
      <c r="AU74" s="598"/>
      <c r="AV74" s="598"/>
      <c r="AW74" s="598"/>
      <c r="AX74" s="595"/>
      <c r="AY74" s="595"/>
      <c r="AZ74" s="197"/>
      <c r="BA74" s="478" t="str">
        <f t="shared" si="0"/>
        <v>SUM_CO2</v>
      </c>
      <c r="BB74" s="573" t="str">
        <f t="shared" si="1"/>
        <v>SUM_EnergyIN</v>
      </c>
      <c r="BC74" s="600"/>
      <c r="BD74" s="5"/>
    </row>
    <row r="75" spans="1:56" x14ac:dyDescent="0.2">
      <c r="A75" s="600"/>
      <c r="B75" s="197"/>
      <c r="C75" s="534">
        <v>52</v>
      </c>
      <c r="D75" s="594"/>
      <c r="E75" s="594"/>
      <c r="F75" s="595"/>
      <c r="G75" s="596"/>
      <c r="H75" s="595"/>
      <c r="I75" s="596"/>
      <c r="J75" s="595"/>
      <c r="K75" s="596"/>
      <c r="L75" s="596"/>
      <c r="M75" s="596"/>
      <c r="N75" s="595"/>
      <c r="O75" s="597"/>
      <c r="P75" s="595"/>
      <c r="Q75" s="597"/>
      <c r="R75" s="595"/>
      <c r="S75" s="597"/>
      <c r="T75" s="595"/>
      <c r="U75" s="597"/>
      <c r="V75" s="778"/>
      <c r="W75" s="778"/>
      <c r="X75" s="778"/>
      <c r="Y75" s="778"/>
      <c r="Z75" s="778"/>
      <c r="AA75" s="778"/>
      <c r="AB75" s="778"/>
      <c r="AC75" s="778"/>
      <c r="AD75" s="778"/>
      <c r="AE75" s="778"/>
      <c r="AF75" s="778"/>
      <c r="AG75" s="778"/>
      <c r="AH75" s="778"/>
      <c r="AI75" s="778"/>
      <c r="AJ75" s="778"/>
      <c r="AK75" s="778"/>
      <c r="AL75" s="778"/>
      <c r="AM75" s="778"/>
      <c r="AN75" s="778"/>
      <c r="AO75" s="778"/>
      <c r="AP75" s="778"/>
      <c r="AQ75" s="778"/>
      <c r="AR75" s="778"/>
      <c r="AS75" s="778"/>
      <c r="AT75" s="778"/>
      <c r="AU75" s="598"/>
      <c r="AV75" s="598"/>
      <c r="AW75" s="598"/>
      <c r="AX75" s="595"/>
      <c r="AY75" s="595"/>
      <c r="AZ75" s="197"/>
      <c r="BA75" s="478" t="str">
        <f t="shared" si="0"/>
        <v>SUM_CO2</v>
      </c>
      <c r="BB75" s="573" t="str">
        <f t="shared" si="1"/>
        <v>SUM_EnergyIN</v>
      </c>
      <c r="BC75" s="600"/>
      <c r="BD75" s="5"/>
    </row>
    <row r="76" spans="1:56" x14ac:dyDescent="0.2">
      <c r="A76" s="600"/>
      <c r="B76" s="197"/>
      <c r="C76" s="534">
        <v>53</v>
      </c>
      <c r="D76" s="594"/>
      <c r="E76" s="594"/>
      <c r="F76" s="595"/>
      <c r="G76" s="596"/>
      <c r="H76" s="595"/>
      <c r="I76" s="596"/>
      <c r="J76" s="595"/>
      <c r="K76" s="596"/>
      <c r="L76" s="596"/>
      <c r="M76" s="596"/>
      <c r="N76" s="595"/>
      <c r="O76" s="597"/>
      <c r="P76" s="595"/>
      <c r="Q76" s="597"/>
      <c r="R76" s="595"/>
      <c r="S76" s="597"/>
      <c r="T76" s="595"/>
      <c r="U76" s="597"/>
      <c r="V76" s="778"/>
      <c r="W76" s="778"/>
      <c r="X76" s="778"/>
      <c r="Y76" s="778"/>
      <c r="Z76" s="778"/>
      <c r="AA76" s="778"/>
      <c r="AB76" s="778"/>
      <c r="AC76" s="778"/>
      <c r="AD76" s="778"/>
      <c r="AE76" s="778"/>
      <c r="AF76" s="778"/>
      <c r="AG76" s="778"/>
      <c r="AH76" s="778"/>
      <c r="AI76" s="778"/>
      <c r="AJ76" s="778"/>
      <c r="AK76" s="778"/>
      <c r="AL76" s="778"/>
      <c r="AM76" s="778"/>
      <c r="AN76" s="778"/>
      <c r="AO76" s="778"/>
      <c r="AP76" s="778"/>
      <c r="AQ76" s="778"/>
      <c r="AR76" s="778"/>
      <c r="AS76" s="778"/>
      <c r="AT76" s="778"/>
      <c r="AU76" s="598"/>
      <c r="AV76" s="598"/>
      <c r="AW76" s="598"/>
      <c r="AX76" s="595"/>
      <c r="AY76" s="595"/>
      <c r="AZ76" s="197"/>
      <c r="BA76" s="478" t="str">
        <f t="shared" si="0"/>
        <v>SUM_CO2</v>
      </c>
      <c r="BB76" s="573" t="str">
        <f t="shared" si="1"/>
        <v>SUM_EnergyIN</v>
      </c>
      <c r="BC76" s="600"/>
      <c r="BD76" s="5"/>
    </row>
    <row r="77" spans="1:56" x14ac:dyDescent="0.2">
      <c r="A77" s="600"/>
      <c r="B77" s="197"/>
      <c r="C77" s="534">
        <v>54</v>
      </c>
      <c r="D77" s="594"/>
      <c r="E77" s="594"/>
      <c r="F77" s="595"/>
      <c r="G77" s="596"/>
      <c r="H77" s="595"/>
      <c r="I77" s="596"/>
      <c r="J77" s="595"/>
      <c r="K77" s="596"/>
      <c r="L77" s="596"/>
      <c r="M77" s="596"/>
      <c r="N77" s="595"/>
      <c r="O77" s="597"/>
      <c r="P77" s="595"/>
      <c r="Q77" s="597"/>
      <c r="R77" s="595"/>
      <c r="S77" s="597"/>
      <c r="T77" s="595"/>
      <c r="U77" s="597"/>
      <c r="V77" s="778"/>
      <c r="W77" s="778"/>
      <c r="X77" s="778"/>
      <c r="Y77" s="778"/>
      <c r="Z77" s="778"/>
      <c r="AA77" s="778"/>
      <c r="AB77" s="778"/>
      <c r="AC77" s="778"/>
      <c r="AD77" s="778"/>
      <c r="AE77" s="778"/>
      <c r="AF77" s="778"/>
      <c r="AG77" s="778"/>
      <c r="AH77" s="778"/>
      <c r="AI77" s="778"/>
      <c r="AJ77" s="778"/>
      <c r="AK77" s="778"/>
      <c r="AL77" s="778"/>
      <c r="AM77" s="778"/>
      <c r="AN77" s="778"/>
      <c r="AO77" s="778"/>
      <c r="AP77" s="778"/>
      <c r="AQ77" s="778"/>
      <c r="AR77" s="778"/>
      <c r="AS77" s="778"/>
      <c r="AT77" s="778"/>
      <c r="AU77" s="598"/>
      <c r="AV77" s="598"/>
      <c r="AW77" s="598"/>
      <c r="AX77" s="595"/>
      <c r="AY77" s="595"/>
      <c r="AZ77" s="197"/>
      <c r="BA77" s="478" t="str">
        <f t="shared" si="0"/>
        <v>SUM_CO2</v>
      </c>
      <c r="BB77" s="573" t="str">
        <f t="shared" si="1"/>
        <v>SUM_EnergyIN</v>
      </c>
      <c r="BC77" s="600"/>
      <c r="BD77" s="5"/>
    </row>
    <row r="78" spans="1:56" x14ac:dyDescent="0.2">
      <c r="A78" s="600"/>
      <c r="B78" s="197"/>
      <c r="C78" s="534">
        <v>55</v>
      </c>
      <c r="D78" s="594"/>
      <c r="E78" s="594"/>
      <c r="F78" s="595"/>
      <c r="G78" s="596"/>
      <c r="H78" s="595"/>
      <c r="I78" s="596"/>
      <c r="J78" s="595"/>
      <c r="K78" s="596"/>
      <c r="L78" s="596"/>
      <c r="M78" s="596"/>
      <c r="N78" s="595"/>
      <c r="O78" s="597"/>
      <c r="P78" s="595"/>
      <c r="Q78" s="597"/>
      <c r="R78" s="595"/>
      <c r="S78" s="597"/>
      <c r="T78" s="595"/>
      <c r="U78" s="597"/>
      <c r="V78" s="778"/>
      <c r="W78" s="778"/>
      <c r="X78" s="778"/>
      <c r="Y78" s="778"/>
      <c r="Z78" s="778"/>
      <c r="AA78" s="778"/>
      <c r="AB78" s="778"/>
      <c r="AC78" s="778"/>
      <c r="AD78" s="778"/>
      <c r="AE78" s="778"/>
      <c r="AF78" s="778"/>
      <c r="AG78" s="778"/>
      <c r="AH78" s="778"/>
      <c r="AI78" s="778"/>
      <c r="AJ78" s="778"/>
      <c r="AK78" s="778"/>
      <c r="AL78" s="778"/>
      <c r="AM78" s="778"/>
      <c r="AN78" s="778"/>
      <c r="AO78" s="778"/>
      <c r="AP78" s="778"/>
      <c r="AQ78" s="778"/>
      <c r="AR78" s="778"/>
      <c r="AS78" s="778"/>
      <c r="AT78" s="778"/>
      <c r="AU78" s="598"/>
      <c r="AV78" s="598"/>
      <c r="AW78" s="598"/>
      <c r="AX78" s="595"/>
      <c r="AY78" s="595"/>
      <c r="AZ78" s="197"/>
      <c r="BA78" s="478" t="str">
        <f t="shared" si="0"/>
        <v>SUM_CO2</v>
      </c>
      <c r="BB78" s="573" t="str">
        <f t="shared" si="1"/>
        <v>SUM_EnergyIN</v>
      </c>
      <c r="BC78" s="600"/>
      <c r="BD78" s="5"/>
    </row>
    <row r="79" spans="1:56" x14ac:dyDescent="0.2">
      <c r="A79" s="600"/>
      <c r="B79" s="197"/>
      <c r="C79" s="534">
        <v>56</v>
      </c>
      <c r="D79" s="594"/>
      <c r="E79" s="594"/>
      <c r="F79" s="595"/>
      <c r="G79" s="596"/>
      <c r="H79" s="595"/>
      <c r="I79" s="596"/>
      <c r="J79" s="595"/>
      <c r="K79" s="596"/>
      <c r="L79" s="596"/>
      <c r="M79" s="596"/>
      <c r="N79" s="595"/>
      <c r="O79" s="597"/>
      <c r="P79" s="595"/>
      <c r="Q79" s="597"/>
      <c r="R79" s="595"/>
      <c r="S79" s="597"/>
      <c r="T79" s="595"/>
      <c r="U79" s="597"/>
      <c r="V79" s="778"/>
      <c r="W79" s="778"/>
      <c r="X79" s="778"/>
      <c r="Y79" s="778"/>
      <c r="Z79" s="778"/>
      <c r="AA79" s="778"/>
      <c r="AB79" s="778"/>
      <c r="AC79" s="778"/>
      <c r="AD79" s="778"/>
      <c r="AE79" s="778"/>
      <c r="AF79" s="778"/>
      <c r="AG79" s="778"/>
      <c r="AH79" s="778"/>
      <c r="AI79" s="778"/>
      <c r="AJ79" s="778"/>
      <c r="AK79" s="778"/>
      <c r="AL79" s="778"/>
      <c r="AM79" s="778"/>
      <c r="AN79" s="778"/>
      <c r="AO79" s="778"/>
      <c r="AP79" s="778"/>
      <c r="AQ79" s="778"/>
      <c r="AR79" s="778"/>
      <c r="AS79" s="778"/>
      <c r="AT79" s="778"/>
      <c r="AU79" s="598"/>
      <c r="AV79" s="598"/>
      <c r="AW79" s="598"/>
      <c r="AX79" s="595"/>
      <c r="AY79" s="595"/>
      <c r="AZ79" s="197"/>
      <c r="BA79" s="478" t="str">
        <f t="shared" si="0"/>
        <v>SUM_CO2</v>
      </c>
      <c r="BB79" s="573" t="str">
        <f t="shared" si="1"/>
        <v>SUM_EnergyIN</v>
      </c>
      <c r="BC79" s="600"/>
      <c r="BD79" s="5"/>
    </row>
    <row r="80" spans="1:56" x14ac:dyDescent="0.2">
      <c r="A80" s="600"/>
      <c r="B80" s="197"/>
      <c r="C80" s="534">
        <v>57</v>
      </c>
      <c r="D80" s="594"/>
      <c r="E80" s="594"/>
      <c r="F80" s="595"/>
      <c r="G80" s="596"/>
      <c r="H80" s="595"/>
      <c r="I80" s="596"/>
      <c r="J80" s="595"/>
      <c r="K80" s="596"/>
      <c r="L80" s="596"/>
      <c r="M80" s="596"/>
      <c r="N80" s="595"/>
      <c r="O80" s="597"/>
      <c r="P80" s="595"/>
      <c r="Q80" s="597"/>
      <c r="R80" s="595"/>
      <c r="S80" s="597"/>
      <c r="T80" s="595"/>
      <c r="U80" s="597"/>
      <c r="V80" s="778"/>
      <c r="W80" s="778"/>
      <c r="X80" s="778"/>
      <c r="Y80" s="778"/>
      <c r="Z80" s="778"/>
      <c r="AA80" s="778"/>
      <c r="AB80" s="778"/>
      <c r="AC80" s="778"/>
      <c r="AD80" s="778"/>
      <c r="AE80" s="778"/>
      <c r="AF80" s="778"/>
      <c r="AG80" s="778"/>
      <c r="AH80" s="778"/>
      <c r="AI80" s="778"/>
      <c r="AJ80" s="778"/>
      <c r="AK80" s="778"/>
      <c r="AL80" s="778"/>
      <c r="AM80" s="778"/>
      <c r="AN80" s="778"/>
      <c r="AO80" s="778"/>
      <c r="AP80" s="778"/>
      <c r="AQ80" s="778"/>
      <c r="AR80" s="778"/>
      <c r="AS80" s="778"/>
      <c r="AT80" s="778"/>
      <c r="AU80" s="598"/>
      <c r="AV80" s="598"/>
      <c r="AW80" s="598"/>
      <c r="AX80" s="595"/>
      <c r="AY80" s="595"/>
      <c r="AZ80" s="197"/>
      <c r="BA80" s="478" t="str">
        <f t="shared" si="0"/>
        <v>SUM_CO2</v>
      </c>
      <c r="BB80" s="573" t="str">
        <f t="shared" si="1"/>
        <v>SUM_EnergyIN</v>
      </c>
      <c r="BC80" s="600"/>
      <c r="BD80" s="5"/>
    </row>
    <row r="81" spans="1:56" x14ac:dyDescent="0.2">
      <c r="A81" s="600"/>
      <c r="B81" s="197"/>
      <c r="C81" s="534">
        <v>58</v>
      </c>
      <c r="D81" s="594"/>
      <c r="E81" s="594"/>
      <c r="F81" s="595"/>
      <c r="G81" s="596"/>
      <c r="H81" s="595"/>
      <c r="I81" s="596"/>
      <c r="J81" s="595"/>
      <c r="K81" s="596"/>
      <c r="L81" s="596"/>
      <c r="M81" s="596"/>
      <c r="N81" s="595"/>
      <c r="O81" s="597"/>
      <c r="P81" s="595"/>
      <c r="Q81" s="597"/>
      <c r="R81" s="595"/>
      <c r="S81" s="597"/>
      <c r="T81" s="595"/>
      <c r="U81" s="597"/>
      <c r="V81" s="778"/>
      <c r="W81" s="778"/>
      <c r="X81" s="778"/>
      <c r="Y81" s="778"/>
      <c r="Z81" s="778"/>
      <c r="AA81" s="778"/>
      <c r="AB81" s="778"/>
      <c r="AC81" s="778"/>
      <c r="AD81" s="778"/>
      <c r="AE81" s="778"/>
      <c r="AF81" s="778"/>
      <c r="AG81" s="778"/>
      <c r="AH81" s="778"/>
      <c r="AI81" s="778"/>
      <c r="AJ81" s="778"/>
      <c r="AK81" s="778"/>
      <c r="AL81" s="778"/>
      <c r="AM81" s="778"/>
      <c r="AN81" s="778"/>
      <c r="AO81" s="778"/>
      <c r="AP81" s="778"/>
      <c r="AQ81" s="778"/>
      <c r="AR81" s="778"/>
      <c r="AS81" s="778"/>
      <c r="AT81" s="778"/>
      <c r="AU81" s="598"/>
      <c r="AV81" s="598"/>
      <c r="AW81" s="598"/>
      <c r="AX81" s="595"/>
      <c r="AY81" s="595"/>
      <c r="AZ81" s="197"/>
      <c r="BA81" s="478" t="str">
        <f t="shared" si="0"/>
        <v>SUM_CO2</v>
      </c>
      <c r="BB81" s="573" t="str">
        <f t="shared" si="1"/>
        <v>SUM_EnergyIN</v>
      </c>
      <c r="BC81" s="600"/>
      <c r="BD81" s="5"/>
    </row>
    <row r="82" spans="1:56" x14ac:dyDescent="0.2">
      <c r="A82" s="600"/>
      <c r="B82" s="197"/>
      <c r="C82" s="534">
        <v>59</v>
      </c>
      <c r="D82" s="594"/>
      <c r="E82" s="594"/>
      <c r="F82" s="595"/>
      <c r="G82" s="596"/>
      <c r="H82" s="595"/>
      <c r="I82" s="596"/>
      <c r="J82" s="595"/>
      <c r="K82" s="596"/>
      <c r="L82" s="596"/>
      <c r="M82" s="596"/>
      <c r="N82" s="595"/>
      <c r="O82" s="597"/>
      <c r="P82" s="595"/>
      <c r="Q82" s="597"/>
      <c r="R82" s="595"/>
      <c r="S82" s="597"/>
      <c r="T82" s="595"/>
      <c r="U82" s="597"/>
      <c r="V82" s="778"/>
      <c r="W82" s="778"/>
      <c r="X82" s="778"/>
      <c r="Y82" s="778"/>
      <c r="Z82" s="778"/>
      <c r="AA82" s="778"/>
      <c r="AB82" s="778"/>
      <c r="AC82" s="778"/>
      <c r="AD82" s="778"/>
      <c r="AE82" s="778"/>
      <c r="AF82" s="778"/>
      <c r="AG82" s="778"/>
      <c r="AH82" s="778"/>
      <c r="AI82" s="778"/>
      <c r="AJ82" s="778"/>
      <c r="AK82" s="778"/>
      <c r="AL82" s="778"/>
      <c r="AM82" s="778"/>
      <c r="AN82" s="778"/>
      <c r="AO82" s="778"/>
      <c r="AP82" s="778"/>
      <c r="AQ82" s="778"/>
      <c r="AR82" s="778"/>
      <c r="AS82" s="778"/>
      <c r="AT82" s="778"/>
      <c r="AU82" s="598"/>
      <c r="AV82" s="598"/>
      <c r="AW82" s="598"/>
      <c r="AX82" s="595"/>
      <c r="AY82" s="595"/>
      <c r="AZ82" s="197"/>
      <c r="BA82" s="478" t="str">
        <f t="shared" si="0"/>
        <v>SUM_CO2</v>
      </c>
      <c r="BB82" s="573" t="str">
        <f t="shared" si="1"/>
        <v>SUM_EnergyIN</v>
      </c>
      <c r="BC82" s="600"/>
      <c r="BD82" s="5"/>
    </row>
    <row r="83" spans="1:56" x14ac:dyDescent="0.2">
      <c r="A83" s="600"/>
      <c r="B83" s="197"/>
      <c r="C83" s="534">
        <v>60</v>
      </c>
      <c r="D83" s="594"/>
      <c r="E83" s="594"/>
      <c r="F83" s="595"/>
      <c r="G83" s="596"/>
      <c r="H83" s="595"/>
      <c r="I83" s="596"/>
      <c r="J83" s="595"/>
      <c r="K83" s="596"/>
      <c r="L83" s="596"/>
      <c r="M83" s="596"/>
      <c r="N83" s="595"/>
      <c r="O83" s="597"/>
      <c r="P83" s="595"/>
      <c r="Q83" s="597"/>
      <c r="R83" s="595"/>
      <c r="S83" s="597"/>
      <c r="T83" s="595"/>
      <c r="U83" s="597"/>
      <c r="V83" s="778"/>
      <c r="W83" s="778"/>
      <c r="X83" s="778"/>
      <c r="Y83" s="778"/>
      <c r="Z83" s="778"/>
      <c r="AA83" s="778"/>
      <c r="AB83" s="778"/>
      <c r="AC83" s="778"/>
      <c r="AD83" s="778"/>
      <c r="AE83" s="778"/>
      <c r="AF83" s="778"/>
      <c r="AG83" s="778"/>
      <c r="AH83" s="778"/>
      <c r="AI83" s="778"/>
      <c r="AJ83" s="778"/>
      <c r="AK83" s="778"/>
      <c r="AL83" s="778"/>
      <c r="AM83" s="778"/>
      <c r="AN83" s="778"/>
      <c r="AO83" s="778"/>
      <c r="AP83" s="778"/>
      <c r="AQ83" s="778"/>
      <c r="AR83" s="778"/>
      <c r="AS83" s="778"/>
      <c r="AT83" s="778"/>
      <c r="AU83" s="598"/>
      <c r="AV83" s="598"/>
      <c r="AW83" s="598"/>
      <c r="AX83" s="595"/>
      <c r="AY83" s="595"/>
      <c r="AZ83" s="197"/>
      <c r="BA83" s="478" t="str">
        <f t="shared" si="0"/>
        <v>SUM_CO2</v>
      </c>
      <c r="BB83" s="573" t="str">
        <f t="shared" si="1"/>
        <v>SUM_EnergyIN</v>
      </c>
      <c r="BC83" s="600"/>
      <c r="BD83" s="5"/>
    </row>
    <row r="84" spans="1:56" x14ac:dyDescent="0.2">
      <c r="A84" s="600"/>
      <c r="B84" s="197"/>
      <c r="C84" s="534">
        <v>61</v>
      </c>
      <c r="D84" s="594"/>
      <c r="E84" s="594"/>
      <c r="F84" s="595"/>
      <c r="G84" s="596"/>
      <c r="H84" s="595"/>
      <c r="I84" s="596"/>
      <c r="J84" s="595"/>
      <c r="K84" s="596"/>
      <c r="L84" s="596"/>
      <c r="M84" s="596"/>
      <c r="N84" s="595"/>
      <c r="O84" s="597"/>
      <c r="P84" s="595"/>
      <c r="Q84" s="597"/>
      <c r="R84" s="595"/>
      <c r="S84" s="597"/>
      <c r="T84" s="595"/>
      <c r="U84" s="597"/>
      <c r="V84" s="778"/>
      <c r="W84" s="778"/>
      <c r="X84" s="778"/>
      <c r="Y84" s="778"/>
      <c r="Z84" s="778"/>
      <c r="AA84" s="778"/>
      <c r="AB84" s="778"/>
      <c r="AC84" s="778"/>
      <c r="AD84" s="778"/>
      <c r="AE84" s="778"/>
      <c r="AF84" s="778"/>
      <c r="AG84" s="778"/>
      <c r="AH84" s="778"/>
      <c r="AI84" s="778"/>
      <c r="AJ84" s="778"/>
      <c r="AK84" s="778"/>
      <c r="AL84" s="778"/>
      <c r="AM84" s="778"/>
      <c r="AN84" s="778"/>
      <c r="AO84" s="778"/>
      <c r="AP84" s="778"/>
      <c r="AQ84" s="778"/>
      <c r="AR84" s="778"/>
      <c r="AS84" s="778"/>
      <c r="AT84" s="778"/>
      <c r="AU84" s="598"/>
      <c r="AV84" s="598"/>
      <c r="AW84" s="598"/>
      <c r="AX84" s="595"/>
      <c r="AY84" s="595"/>
      <c r="AZ84" s="197"/>
      <c r="BA84" s="478" t="str">
        <f t="shared" si="0"/>
        <v>SUM_CO2</v>
      </c>
      <c r="BB84" s="573" t="str">
        <f t="shared" si="1"/>
        <v>SUM_EnergyIN</v>
      </c>
      <c r="BC84" s="600"/>
      <c r="BD84" s="5"/>
    </row>
    <row r="85" spans="1:56" x14ac:dyDescent="0.2">
      <c r="A85" s="600"/>
      <c r="B85" s="197"/>
      <c r="C85" s="534">
        <v>62</v>
      </c>
      <c r="D85" s="594"/>
      <c r="E85" s="594"/>
      <c r="F85" s="595"/>
      <c r="G85" s="596"/>
      <c r="H85" s="595"/>
      <c r="I85" s="596"/>
      <c r="J85" s="595"/>
      <c r="K85" s="596"/>
      <c r="L85" s="596"/>
      <c r="M85" s="596"/>
      <c r="N85" s="595"/>
      <c r="O85" s="597"/>
      <c r="P85" s="595"/>
      <c r="Q85" s="597"/>
      <c r="R85" s="595"/>
      <c r="S85" s="597"/>
      <c r="T85" s="595"/>
      <c r="U85" s="597"/>
      <c r="V85" s="778"/>
      <c r="W85" s="778"/>
      <c r="X85" s="778"/>
      <c r="Y85" s="778"/>
      <c r="Z85" s="778"/>
      <c r="AA85" s="778"/>
      <c r="AB85" s="778"/>
      <c r="AC85" s="778"/>
      <c r="AD85" s="778"/>
      <c r="AE85" s="778"/>
      <c r="AF85" s="778"/>
      <c r="AG85" s="778"/>
      <c r="AH85" s="778"/>
      <c r="AI85" s="778"/>
      <c r="AJ85" s="778"/>
      <c r="AK85" s="778"/>
      <c r="AL85" s="778"/>
      <c r="AM85" s="778"/>
      <c r="AN85" s="778"/>
      <c r="AO85" s="778"/>
      <c r="AP85" s="778"/>
      <c r="AQ85" s="778"/>
      <c r="AR85" s="778"/>
      <c r="AS85" s="778"/>
      <c r="AT85" s="778"/>
      <c r="AU85" s="598"/>
      <c r="AV85" s="598"/>
      <c r="AW85" s="598"/>
      <c r="AX85" s="595"/>
      <c r="AY85" s="595"/>
      <c r="AZ85" s="197"/>
      <c r="BA85" s="478" t="str">
        <f t="shared" si="0"/>
        <v>SUM_CO2</v>
      </c>
      <c r="BB85" s="573" t="str">
        <f t="shared" si="1"/>
        <v>SUM_EnergyIN</v>
      </c>
      <c r="BC85" s="600"/>
      <c r="BD85" s="5"/>
    </row>
    <row r="86" spans="1:56" x14ac:dyDescent="0.2">
      <c r="A86" s="600"/>
      <c r="B86" s="197"/>
      <c r="C86" s="534">
        <v>63</v>
      </c>
      <c r="D86" s="594"/>
      <c r="E86" s="594"/>
      <c r="F86" s="595"/>
      <c r="G86" s="596"/>
      <c r="H86" s="595"/>
      <c r="I86" s="596"/>
      <c r="J86" s="595"/>
      <c r="K86" s="596"/>
      <c r="L86" s="596"/>
      <c r="M86" s="596"/>
      <c r="N86" s="595"/>
      <c r="O86" s="597"/>
      <c r="P86" s="595"/>
      <c r="Q86" s="597"/>
      <c r="R86" s="595"/>
      <c r="S86" s="597"/>
      <c r="T86" s="595"/>
      <c r="U86" s="597"/>
      <c r="V86" s="778"/>
      <c r="W86" s="778"/>
      <c r="X86" s="778"/>
      <c r="Y86" s="778"/>
      <c r="Z86" s="778"/>
      <c r="AA86" s="778"/>
      <c r="AB86" s="778"/>
      <c r="AC86" s="778"/>
      <c r="AD86" s="778"/>
      <c r="AE86" s="778"/>
      <c r="AF86" s="778"/>
      <c r="AG86" s="778"/>
      <c r="AH86" s="778"/>
      <c r="AI86" s="778"/>
      <c r="AJ86" s="778"/>
      <c r="AK86" s="778"/>
      <c r="AL86" s="778"/>
      <c r="AM86" s="778"/>
      <c r="AN86" s="778"/>
      <c r="AO86" s="778"/>
      <c r="AP86" s="778"/>
      <c r="AQ86" s="778"/>
      <c r="AR86" s="778"/>
      <c r="AS86" s="778"/>
      <c r="AT86" s="778"/>
      <c r="AU86" s="598"/>
      <c r="AV86" s="598"/>
      <c r="AW86" s="598"/>
      <c r="AX86" s="595"/>
      <c r="AY86" s="595"/>
      <c r="AZ86" s="197"/>
      <c r="BA86" s="478" t="str">
        <f t="shared" si="0"/>
        <v>SUM_CO2</v>
      </c>
      <c r="BB86" s="573" t="str">
        <f t="shared" si="1"/>
        <v>SUM_EnergyIN</v>
      </c>
      <c r="BC86" s="600"/>
      <c r="BD86" s="5"/>
    </row>
    <row r="87" spans="1:56" x14ac:dyDescent="0.2">
      <c r="A87" s="600"/>
      <c r="B87" s="197"/>
      <c r="C87" s="534">
        <v>64</v>
      </c>
      <c r="D87" s="594"/>
      <c r="E87" s="594"/>
      <c r="F87" s="595"/>
      <c r="G87" s="596"/>
      <c r="H87" s="595"/>
      <c r="I87" s="596"/>
      <c r="J87" s="595"/>
      <c r="K87" s="596"/>
      <c r="L87" s="596"/>
      <c r="M87" s="596"/>
      <c r="N87" s="595"/>
      <c r="O87" s="597"/>
      <c r="P87" s="595"/>
      <c r="Q87" s="597"/>
      <c r="R87" s="595"/>
      <c r="S87" s="597"/>
      <c r="T87" s="595"/>
      <c r="U87" s="597"/>
      <c r="V87" s="778"/>
      <c r="W87" s="778"/>
      <c r="X87" s="778"/>
      <c r="Y87" s="778"/>
      <c r="Z87" s="778"/>
      <c r="AA87" s="778"/>
      <c r="AB87" s="778"/>
      <c r="AC87" s="778"/>
      <c r="AD87" s="778"/>
      <c r="AE87" s="778"/>
      <c r="AF87" s="778"/>
      <c r="AG87" s="778"/>
      <c r="AH87" s="778"/>
      <c r="AI87" s="778"/>
      <c r="AJ87" s="778"/>
      <c r="AK87" s="778"/>
      <c r="AL87" s="778"/>
      <c r="AM87" s="778"/>
      <c r="AN87" s="778"/>
      <c r="AO87" s="778"/>
      <c r="AP87" s="778"/>
      <c r="AQ87" s="778"/>
      <c r="AR87" s="778"/>
      <c r="AS87" s="778"/>
      <c r="AT87" s="778"/>
      <c r="AU87" s="598"/>
      <c r="AV87" s="598"/>
      <c r="AW87" s="598"/>
      <c r="AX87" s="595"/>
      <c r="AY87" s="595"/>
      <c r="AZ87" s="197"/>
      <c r="BA87" s="478" t="str">
        <f t="shared" si="0"/>
        <v>SUM_CO2</v>
      </c>
      <c r="BB87" s="573" t="str">
        <f t="shared" si="1"/>
        <v>SUM_EnergyIN</v>
      </c>
      <c r="BC87" s="600"/>
      <c r="BD87" s="5"/>
    </row>
    <row r="88" spans="1:56" x14ac:dyDescent="0.2">
      <c r="A88" s="600"/>
      <c r="B88" s="197"/>
      <c r="C88" s="534">
        <v>65</v>
      </c>
      <c r="D88" s="594"/>
      <c r="E88" s="594"/>
      <c r="F88" s="595"/>
      <c r="G88" s="596"/>
      <c r="H88" s="595"/>
      <c r="I88" s="596"/>
      <c r="J88" s="595"/>
      <c r="K88" s="596"/>
      <c r="L88" s="596"/>
      <c r="M88" s="596"/>
      <c r="N88" s="595"/>
      <c r="O88" s="597"/>
      <c r="P88" s="595"/>
      <c r="Q88" s="597"/>
      <c r="R88" s="595"/>
      <c r="S88" s="597"/>
      <c r="T88" s="595"/>
      <c r="U88" s="597"/>
      <c r="V88" s="778"/>
      <c r="W88" s="778"/>
      <c r="X88" s="778"/>
      <c r="Y88" s="778"/>
      <c r="Z88" s="778"/>
      <c r="AA88" s="778"/>
      <c r="AB88" s="778"/>
      <c r="AC88" s="778"/>
      <c r="AD88" s="778"/>
      <c r="AE88" s="778"/>
      <c r="AF88" s="778"/>
      <c r="AG88" s="778"/>
      <c r="AH88" s="778"/>
      <c r="AI88" s="778"/>
      <c r="AJ88" s="778"/>
      <c r="AK88" s="778"/>
      <c r="AL88" s="778"/>
      <c r="AM88" s="778"/>
      <c r="AN88" s="778"/>
      <c r="AO88" s="778"/>
      <c r="AP88" s="778"/>
      <c r="AQ88" s="778"/>
      <c r="AR88" s="778"/>
      <c r="AS88" s="778"/>
      <c r="AT88" s="778"/>
      <c r="AU88" s="598"/>
      <c r="AV88" s="598"/>
      <c r="AW88" s="598"/>
      <c r="AX88" s="595"/>
      <c r="AY88" s="595"/>
      <c r="AZ88" s="197"/>
      <c r="BA88" s="478" t="str">
        <f t="shared" ref="BA88:BA98" si="2">EUconst_SumCO2</f>
        <v>SUM_CO2</v>
      </c>
      <c r="BB88" s="573" t="str">
        <f t="shared" ref="BB88:BB98" si="3">EUconst_SumEnergyIN</f>
        <v>SUM_EnergyIN</v>
      </c>
      <c r="BC88" s="600"/>
      <c r="BD88" s="5"/>
    </row>
    <row r="89" spans="1:56" x14ac:dyDescent="0.2">
      <c r="A89" s="600"/>
      <c r="B89" s="197"/>
      <c r="C89" s="534">
        <v>66</v>
      </c>
      <c r="D89" s="594"/>
      <c r="E89" s="594"/>
      <c r="F89" s="595"/>
      <c r="G89" s="596"/>
      <c r="H89" s="595"/>
      <c r="I89" s="596"/>
      <c r="J89" s="595"/>
      <c r="K89" s="596"/>
      <c r="L89" s="596"/>
      <c r="M89" s="596"/>
      <c r="N89" s="595"/>
      <c r="O89" s="597"/>
      <c r="P89" s="595"/>
      <c r="Q89" s="597"/>
      <c r="R89" s="595"/>
      <c r="S89" s="597"/>
      <c r="T89" s="595"/>
      <c r="U89" s="597"/>
      <c r="V89" s="778"/>
      <c r="W89" s="778"/>
      <c r="X89" s="778"/>
      <c r="Y89" s="778"/>
      <c r="Z89" s="778"/>
      <c r="AA89" s="778"/>
      <c r="AB89" s="778"/>
      <c r="AC89" s="778"/>
      <c r="AD89" s="778"/>
      <c r="AE89" s="778"/>
      <c r="AF89" s="778"/>
      <c r="AG89" s="778"/>
      <c r="AH89" s="778"/>
      <c r="AI89" s="778"/>
      <c r="AJ89" s="778"/>
      <c r="AK89" s="778"/>
      <c r="AL89" s="778"/>
      <c r="AM89" s="778"/>
      <c r="AN89" s="778"/>
      <c r="AO89" s="778"/>
      <c r="AP89" s="778"/>
      <c r="AQ89" s="778"/>
      <c r="AR89" s="778"/>
      <c r="AS89" s="778"/>
      <c r="AT89" s="778"/>
      <c r="AU89" s="598"/>
      <c r="AV89" s="598"/>
      <c r="AW89" s="598"/>
      <c r="AX89" s="595"/>
      <c r="AY89" s="595"/>
      <c r="AZ89" s="197"/>
      <c r="BA89" s="478" t="str">
        <f t="shared" si="2"/>
        <v>SUM_CO2</v>
      </c>
      <c r="BB89" s="573" t="str">
        <f t="shared" si="3"/>
        <v>SUM_EnergyIN</v>
      </c>
      <c r="BC89" s="600"/>
      <c r="BD89" s="5"/>
    </row>
    <row r="90" spans="1:56" x14ac:dyDescent="0.2">
      <c r="A90" s="600"/>
      <c r="B90" s="197"/>
      <c r="C90" s="534">
        <v>67</v>
      </c>
      <c r="D90" s="594"/>
      <c r="E90" s="594"/>
      <c r="F90" s="595"/>
      <c r="G90" s="596"/>
      <c r="H90" s="595"/>
      <c r="I90" s="596"/>
      <c r="J90" s="595"/>
      <c r="K90" s="596"/>
      <c r="L90" s="596"/>
      <c r="M90" s="596"/>
      <c r="N90" s="595"/>
      <c r="O90" s="597"/>
      <c r="P90" s="595"/>
      <c r="Q90" s="597"/>
      <c r="R90" s="595"/>
      <c r="S90" s="597"/>
      <c r="T90" s="595"/>
      <c r="U90" s="597"/>
      <c r="V90" s="778"/>
      <c r="W90" s="778"/>
      <c r="X90" s="778"/>
      <c r="Y90" s="778"/>
      <c r="Z90" s="778"/>
      <c r="AA90" s="778"/>
      <c r="AB90" s="778"/>
      <c r="AC90" s="778"/>
      <c r="AD90" s="778"/>
      <c r="AE90" s="778"/>
      <c r="AF90" s="778"/>
      <c r="AG90" s="778"/>
      <c r="AH90" s="778"/>
      <c r="AI90" s="778"/>
      <c r="AJ90" s="778"/>
      <c r="AK90" s="778"/>
      <c r="AL90" s="778"/>
      <c r="AM90" s="778"/>
      <c r="AN90" s="778"/>
      <c r="AO90" s="778"/>
      <c r="AP90" s="778"/>
      <c r="AQ90" s="778"/>
      <c r="AR90" s="778"/>
      <c r="AS90" s="778"/>
      <c r="AT90" s="778"/>
      <c r="AU90" s="598"/>
      <c r="AV90" s="598"/>
      <c r="AW90" s="598"/>
      <c r="AX90" s="595"/>
      <c r="AY90" s="595"/>
      <c r="AZ90" s="197"/>
      <c r="BA90" s="478" t="str">
        <f t="shared" si="2"/>
        <v>SUM_CO2</v>
      </c>
      <c r="BB90" s="573" t="str">
        <f t="shared" si="3"/>
        <v>SUM_EnergyIN</v>
      </c>
      <c r="BC90" s="600"/>
      <c r="BD90" s="5"/>
    </row>
    <row r="91" spans="1:56" x14ac:dyDescent="0.2">
      <c r="A91" s="600"/>
      <c r="B91" s="197"/>
      <c r="C91" s="534">
        <v>68</v>
      </c>
      <c r="D91" s="594"/>
      <c r="E91" s="594"/>
      <c r="F91" s="595"/>
      <c r="G91" s="596"/>
      <c r="H91" s="595"/>
      <c r="I91" s="596"/>
      <c r="J91" s="595"/>
      <c r="K91" s="596"/>
      <c r="L91" s="596"/>
      <c r="M91" s="596"/>
      <c r="N91" s="595"/>
      <c r="O91" s="597"/>
      <c r="P91" s="595"/>
      <c r="Q91" s="597"/>
      <c r="R91" s="595"/>
      <c r="S91" s="597"/>
      <c r="T91" s="595"/>
      <c r="U91" s="597"/>
      <c r="V91" s="778"/>
      <c r="W91" s="778"/>
      <c r="X91" s="778"/>
      <c r="Y91" s="778"/>
      <c r="Z91" s="778"/>
      <c r="AA91" s="778"/>
      <c r="AB91" s="778"/>
      <c r="AC91" s="778"/>
      <c r="AD91" s="778"/>
      <c r="AE91" s="778"/>
      <c r="AF91" s="778"/>
      <c r="AG91" s="778"/>
      <c r="AH91" s="778"/>
      <c r="AI91" s="778"/>
      <c r="AJ91" s="778"/>
      <c r="AK91" s="778"/>
      <c r="AL91" s="778"/>
      <c r="AM91" s="778"/>
      <c r="AN91" s="778"/>
      <c r="AO91" s="778"/>
      <c r="AP91" s="778"/>
      <c r="AQ91" s="778"/>
      <c r="AR91" s="778"/>
      <c r="AS91" s="778"/>
      <c r="AT91" s="778"/>
      <c r="AU91" s="598"/>
      <c r="AV91" s="598"/>
      <c r="AW91" s="598"/>
      <c r="AX91" s="595"/>
      <c r="AY91" s="595"/>
      <c r="AZ91" s="197"/>
      <c r="BA91" s="478" t="str">
        <f t="shared" si="2"/>
        <v>SUM_CO2</v>
      </c>
      <c r="BB91" s="573" t="str">
        <f t="shared" si="3"/>
        <v>SUM_EnergyIN</v>
      </c>
      <c r="BC91" s="600"/>
      <c r="BD91" s="5"/>
    </row>
    <row r="92" spans="1:56" x14ac:dyDescent="0.2">
      <c r="A92" s="600"/>
      <c r="B92" s="197"/>
      <c r="C92" s="534">
        <v>69</v>
      </c>
      <c r="D92" s="594"/>
      <c r="E92" s="594"/>
      <c r="F92" s="595"/>
      <c r="G92" s="596"/>
      <c r="H92" s="595"/>
      <c r="I92" s="596"/>
      <c r="J92" s="595"/>
      <c r="K92" s="596"/>
      <c r="L92" s="596"/>
      <c r="M92" s="596"/>
      <c r="N92" s="595"/>
      <c r="O92" s="597"/>
      <c r="P92" s="595"/>
      <c r="Q92" s="597"/>
      <c r="R92" s="595"/>
      <c r="S92" s="597"/>
      <c r="T92" s="595"/>
      <c r="U92" s="597"/>
      <c r="V92" s="778"/>
      <c r="W92" s="778"/>
      <c r="X92" s="778"/>
      <c r="Y92" s="778"/>
      <c r="Z92" s="778"/>
      <c r="AA92" s="778"/>
      <c r="AB92" s="778"/>
      <c r="AC92" s="778"/>
      <c r="AD92" s="778"/>
      <c r="AE92" s="778"/>
      <c r="AF92" s="778"/>
      <c r="AG92" s="778"/>
      <c r="AH92" s="778"/>
      <c r="AI92" s="778"/>
      <c r="AJ92" s="778"/>
      <c r="AK92" s="778"/>
      <c r="AL92" s="778"/>
      <c r="AM92" s="778"/>
      <c r="AN92" s="778"/>
      <c r="AO92" s="778"/>
      <c r="AP92" s="778"/>
      <c r="AQ92" s="778"/>
      <c r="AR92" s="778"/>
      <c r="AS92" s="778"/>
      <c r="AT92" s="778"/>
      <c r="AU92" s="598"/>
      <c r="AV92" s="598"/>
      <c r="AW92" s="598"/>
      <c r="AX92" s="595"/>
      <c r="AY92" s="595"/>
      <c r="AZ92" s="197"/>
      <c r="BA92" s="478" t="str">
        <f t="shared" si="2"/>
        <v>SUM_CO2</v>
      </c>
      <c r="BB92" s="573" t="str">
        <f t="shared" si="3"/>
        <v>SUM_EnergyIN</v>
      </c>
      <c r="BC92" s="600"/>
      <c r="BD92" s="5"/>
    </row>
    <row r="93" spans="1:56" x14ac:dyDescent="0.2">
      <c r="A93" s="600"/>
      <c r="B93" s="197"/>
      <c r="C93" s="534">
        <v>70</v>
      </c>
      <c r="D93" s="594"/>
      <c r="E93" s="594"/>
      <c r="F93" s="595"/>
      <c r="G93" s="596"/>
      <c r="H93" s="595"/>
      <c r="I93" s="596"/>
      <c r="J93" s="595"/>
      <c r="K93" s="596"/>
      <c r="L93" s="596"/>
      <c r="M93" s="596"/>
      <c r="N93" s="595"/>
      <c r="O93" s="597"/>
      <c r="P93" s="595"/>
      <c r="Q93" s="597"/>
      <c r="R93" s="595"/>
      <c r="S93" s="597"/>
      <c r="T93" s="595"/>
      <c r="U93" s="597"/>
      <c r="V93" s="778"/>
      <c r="W93" s="778"/>
      <c r="X93" s="778"/>
      <c r="Y93" s="778"/>
      <c r="Z93" s="778"/>
      <c r="AA93" s="778"/>
      <c r="AB93" s="778"/>
      <c r="AC93" s="778"/>
      <c r="AD93" s="778"/>
      <c r="AE93" s="778"/>
      <c r="AF93" s="778"/>
      <c r="AG93" s="778"/>
      <c r="AH93" s="778"/>
      <c r="AI93" s="778"/>
      <c r="AJ93" s="778"/>
      <c r="AK93" s="778"/>
      <c r="AL93" s="778"/>
      <c r="AM93" s="778"/>
      <c r="AN93" s="778"/>
      <c r="AO93" s="778"/>
      <c r="AP93" s="778"/>
      <c r="AQ93" s="778"/>
      <c r="AR93" s="778"/>
      <c r="AS93" s="778"/>
      <c r="AT93" s="778"/>
      <c r="AU93" s="598"/>
      <c r="AV93" s="598"/>
      <c r="AW93" s="598"/>
      <c r="AX93" s="595"/>
      <c r="AY93" s="595"/>
      <c r="AZ93" s="197"/>
      <c r="BA93" s="478" t="str">
        <f t="shared" si="2"/>
        <v>SUM_CO2</v>
      </c>
      <c r="BB93" s="573" t="str">
        <f t="shared" si="3"/>
        <v>SUM_EnergyIN</v>
      </c>
      <c r="BC93" s="600"/>
      <c r="BD93" s="5"/>
    </row>
    <row r="94" spans="1:56" x14ac:dyDescent="0.2">
      <c r="A94" s="600"/>
      <c r="B94" s="197"/>
      <c r="C94" s="534">
        <v>71</v>
      </c>
      <c r="D94" s="594"/>
      <c r="E94" s="594"/>
      <c r="F94" s="595"/>
      <c r="G94" s="596"/>
      <c r="H94" s="595"/>
      <c r="I94" s="596"/>
      <c r="J94" s="595"/>
      <c r="K94" s="596"/>
      <c r="L94" s="596"/>
      <c r="M94" s="596"/>
      <c r="N94" s="595"/>
      <c r="O94" s="597"/>
      <c r="P94" s="595"/>
      <c r="Q94" s="597"/>
      <c r="R94" s="595"/>
      <c r="S94" s="597"/>
      <c r="T94" s="595"/>
      <c r="U94" s="597"/>
      <c r="V94" s="778"/>
      <c r="W94" s="778"/>
      <c r="X94" s="778"/>
      <c r="Y94" s="778"/>
      <c r="Z94" s="778"/>
      <c r="AA94" s="778"/>
      <c r="AB94" s="778"/>
      <c r="AC94" s="778"/>
      <c r="AD94" s="778"/>
      <c r="AE94" s="778"/>
      <c r="AF94" s="778"/>
      <c r="AG94" s="778"/>
      <c r="AH94" s="778"/>
      <c r="AI94" s="778"/>
      <c r="AJ94" s="778"/>
      <c r="AK94" s="778"/>
      <c r="AL94" s="778"/>
      <c r="AM94" s="778"/>
      <c r="AN94" s="778"/>
      <c r="AO94" s="778"/>
      <c r="AP94" s="778"/>
      <c r="AQ94" s="778"/>
      <c r="AR94" s="778"/>
      <c r="AS94" s="778"/>
      <c r="AT94" s="778"/>
      <c r="AU94" s="598"/>
      <c r="AV94" s="598"/>
      <c r="AW94" s="598"/>
      <c r="AX94" s="595"/>
      <c r="AY94" s="595"/>
      <c r="AZ94" s="197"/>
      <c r="BA94" s="478" t="str">
        <f t="shared" si="2"/>
        <v>SUM_CO2</v>
      </c>
      <c r="BB94" s="573" t="str">
        <f t="shared" si="3"/>
        <v>SUM_EnergyIN</v>
      </c>
      <c r="BC94" s="600"/>
      <c r="BD94" s="5"/>
    </row>
    <row r="95" spans="1:56" x14ac:dyDescent="0.2">
      <c r="A95" s="600"/>
      <c r="B95" s="197"/>
      <c r="C95" s="534">
        <v>72</v>
      </c>
      <c r="D95" s="594"/>
      <c r="E95" s="594"/>
      <c r="F95" s="595"/>
      <c r="G95" s="596"/>
      <c r="H95" s="595"/>
      <c r="I95" s="596"/>
      <c r="J95" s="595"/>
      <c r="K95" s="596"/>
      <c r="L95" s="596"/>
      <c r="M95" s="596"/>
      <c r="N95" s="595"/>
      <c r="O95" s="597"/>
      <c r="P95" s="595"/>
      <c r="Q95" s="597"/>
      <c r="R95" s="595"/>
      <c r="S95" s="597"/>
      <c r="T95" s="595"/>
      <c r="U95" s="597"/>
      <c r="V95" s="778"/>
      <c r="W95" s="778"/>
      <c r="X95" s="778"/>
      <c r="Y95" s="778"/>
      <c r="Z95" s="778"/>
      <c r="AA95" s="778"/>
      <c r="AB95" s="778"/>
      <c r="AC95" s="778"/>
      <c r="AD95" s="778"/>
      <c r="AE95" s="778"/>
      <c r="AF95" s="778"/>
      <c r="AG95" s="778"/>
      <c r="AH95" s="778"/>
      <c r="AI95" s="778"/>
      <c r="AJ95" s="778"/>
      <c r="AK95" s="778"/>
      <c r="AL95" s="778"/>
      <c r="AM95" s="778"/>
      <c r="AN95" s="778"/>
      <c r="AO95" s="778"/>
      <c r="AP95" s="778"/>
      <c r="AQ95" s="778"/>
      <c r="AR95" s="778"/>
      <c r="AS95" s="778"/>
      <c r="AT95" s="778"/>
      <c r="AU95" s="598"/>
      <c r="AV95" s="598"/>
      <c r="AW95" s="598"/>
      <c r="AX95" s="595"/>
      <c r="AY95" s="595"/>
      <c r="AZ95" s="197"/>
      <c r="BA95" s="478" t="str">
        <f t="shared" si="2"/>
        <v>SUM_CO2</v>
      </c>
      <c r="BB95" s="573" t="str">
        <f t="shared" si="3"/>
        <v>SUM_EnergyIN</v>
      </c>
      <c r="BC95" s="600"/>
      <c r="BD95" s="5"/>
    </row>
    <row r="96" spans="1:56" x14ac:dyDescent="0.2">
      <c r="A96" s="600"/>
      <c r="B96" s="197"/>
      <c r="C96" s="534">
        <v>73</v>
      </c>
      <c r="D96" s="594"/>
      <c r="E96" s="594"/>
      <c r="F96" s="595"/>
      <c r="G96" s="596"/>
      <c r="H96" s="595"/>
      <c r="I96" s="596"/>
      <c r="J96" s="595"/>
      <c r="K96" s="596"/>
      <c r="L96" s="596"/>
      <c r="M96" s="596"/>
      <c r="N96" s="595"/>
      <c r="O96" s="597"/>
      <c r="P96" s="595"/>
      <c r="Q96" s="597"/>
      <c r="R96" s="595"/>
      <c r="S96" s="597"/>
      <c r="T96" s="595"/>
      <c r="U96" s="597"/>
      <c r="V96" s="778"/>
      <c r="W96" s="778"/>
      <c r="X96" s="778"/>
      <c r="Y96" s="778"/>
      <c r="Z96" s="778"/>
      <c r="AA96" s="778"/>
      <c r="AB96" s="778"/>
      <c r="AC96" s="778"/>
      <c r="AD96" s="778"/>
      <c r="AE96" s="778"/>
      <c r="AF96" s="778"/>
      <c r="AG96" s="778"/>
      <c r="AH96" s="778"/>
      <c r="AI96" s="778"/>
      <c r="AJ96" s="778"/>
      <c r="AK96" s="778"/>
      <c r="AL96" s="778"/>
      <c r="AM96" s="778"/>
      <c r="AN96" s="778"/>
      <c r="AO96" s="778"/>
      <c r="AP96" s="778"/>
      <c r="AQ96" s="778"/>
      <c r="AR96" s="778"/>
      <c r="AS96" s="778"/>
      <c r="AT96" s="778"/>
      <c r="AU96" s="598"/>
      <c r="AV96" s="598"/>
      <c r="AW96" s="598"/>
      <c r="AX96" s="595"/>
      <c r="AY96" s="595"/>
      <c r="AZ96" s="197"/>
      <c r="BA96" s="478" t="str">
        <f t="shared" si="2"/>
        <v>SUM_CO2</v>
      </c>
      <c r="BB96" s="573" t="str">
        <f t="shared" si="3"/>
        <v>SUM_EnergyIN</v>
      </c>
      <c r="BC96" s="600"/>
      <c r="BD96" s="5"/>
    </row>
    <row r="97" spans="1:56" x14ac:dyDescent="0.2">
      <c r="A97" s="600"/>
      <c r="B97" s="197"/>
      <c r="C97" s="534">
        <v>74</v>
      </c>
      <c r="D97" s="594"/>
      <c r="E97" s="594"/>
      <c r="F97" s="595"/>
      <c r="G97" s="596"/>
      <c r="H97" s="595"/>
      <c r="I97" s="596"/>
      <c r="J97" s="595"/>
      <c r="K97" s="596"/>
      <c r="L97" s="596"/>
      <c r="M97" s="596"/>
      <c r="N97" s="595"/>
      <c r="O97" s="597"/>
      <c r="P97" s="595"/>
      <c r="Q97" s="597"/>
      <c r="R97" s="595"/>
      <c r="S97" s="597"/>
      <c r="T97" s="595"/>
      <c r="U97" s="597"/>
      <c r="V97" s="778"/>
      <c r="W97" s="778"/>
      <c r="X97" s="778"/>
      <c r="Y97" s="778"/>
      <c r="Z97" s="778"/>
      <c r="AA97" s="778"/>
      <c r="AB97" s="778"/>
      <c r="AC97" s="778"/>
      <c r="AD97" s="778"/>
      <c r="AE97" s="778"/>
      <c r="AF97" s="778"/>
      <c r="AG97" s="778"/>
      <c r="AH97" s="778"/>
      <c r="AI97" s="778"/>
      <c r="AJ97" s="778"/>
      <c r="AK97" s="778"/>
      <c r="AL97" s="778"/>
      <c r="AM97" s="778"/>
      <c r="AN97" s="778"/>
      <c r="AO97" s="778"/>
      <c r="AP97" s="778"/>
      <c r="AQ97" s="778"/>
      <c r="AR97" s="778"/>
      <c r="AS97" s="778"/>
      <c r="AT97" s="778"/>
      <c r="AU97" s="598"/>
      <c r="AV97" s="598"/>
      <c r="AW97" s="598"/>
      <c r="AX97" s="595"/>
      <c r="AY97" s="595"/>
      <c r="AZ97" s="197"/>
      <c r="BA97" s="478" t="str">
        <f t="shared" si="2"/>
        <v>SUM_CO2</v>
      </c>
      <c r="BB97" s="573" t="str">
        <f t="shared" si="3"/>
        <v>SUM_EnergyIN</v>
      </c>
      <c r="BC97" s="600"/>
      <c r="BD97" s="5"/>
    </row>
    <row r="98" spans="1:56" x14ac:dyDescent="0.2">
      <c r="A98" s="600"/>
      <c r="B98" s="197"/>
      <c r="C98" s="534">
        <v>75</v>
      </c>
      <c r="D98" s="594"/>
      <c r="E98" s="594"/>
      <c r="F98" s="595"/>
      <c r="G98" s="596"/>
      <c r="H98" s="595"/>
      <c r="I98" s="596"/>
      <c r="J98" s="595"/>
      <c r="K98" s="596"/>
      <c r="L98" s="596"/>
      <c r="M98" s="596"/>
      <c r="N98" s="595"/>
      <c r="O98" s="597"/>
      <c r="P98" s="595"/>
      <c r="Q98" s="597"/>
      <c r="R98" s="595"/>
      <c r="S98" s="597"/>
      <c r="T98" s="595"/>
      <c r="U98" s="597"/>
      <c r="V98" s="778"/>
      <c r="W98" s="778"/>
      <c r="X98" s="778"/>
      <c r="Y98" s="778"/>
      <c r="Z98" s="778"/>
      <c r="AA98" s="778"/>
      <c r="AB98" s="778"/>
      <c r="AC98" s="778"/>
      <c r="AD98" s="778"/>
      <c r="AE98" s="778"/>
      <c r="AF98" s="778"/>
      <c r="AG98" s="778"/>
      <c r="AH98" s="778"/>
      <c r="AI98" s="778"/>
      <c r="AJ98" s="778"/>
      <c r="AK98" s="778"/>
      <c r="AL98" s="778"/>
      <c r="AM98" s="778"/>
      <c r="AN98" s="778"/>
      <c r="AO98" s="778"/>
      <c r="AP98" s="778"/>
      <c r="AQ98" s="778"/>
      <c r="AR98" s="778"/>
      <c r="AS98" s="778"/>
      <c r="AT98" s="778"/>
      <c r="AU98" s="598"/>
      <c r="AV98" s="598"/>
      <c r="AW98" s="598"/>
      <c r="AX98" s="595"/>
      <c r="AY98" s="595"/>
      <c r="AZ98" s="197"/>
      <c r="BA98" s="478" t="str">
        <f t="shared" si="2"/>
        <v>SUM_CO2</v>
      </c>
      <c r="BB98" s="573" t="str">
        <f t="shared" si="3"/>
        <v>SUM_EnergyIN</v>
      </c>
      <c r="BC98" s="600"/>
      <c r="BD98" s="5"/>
    </row>
    <row r="99" spans="1:56" x14ac:dyDescent="0.2">
      <c r="A99" s="600"/>
      <c r="B99" s="197"/>
      <c r="C99" s="77"/>
      <c r="D99" s="197"/>
      <c r="E99" s="197"/>
      <c r="F99" s="197"/>
      <c r="G99" s="197"/>
      <c r="H99" s="197"/>
      <c r="I99" s="197"/>
      <c r="J99" s="197"/>
      <c r="K99" s="197"/>
      <c r="L99" s="197"/>
      <c r="N99" s="197"/>
      <c r="O99" s="197"/>
      <c r="P99" s="197"/>
      <c r="Q99" s="197"/>
      <c r="R99" s="197"/>
      <c r="S99" s="197"/>
      <c r="T99" s="197"/>
      <c r="U99" s="197"/>
      <c r="V99" s="197"/>
      <c r="W99" s="197"/>
      <c r="X99" s="197"/>
      <c r="Y99" s="197"/>
      <c r="Z99" s="197"/>
      <c r="AA99" s="197"/>
      <c r="AB99" s="197"/>
      <c r="AC99" s="197"/>
      <c r="AD99" s="197"/>
      <c r="AE99" s="197"/>
      <c r="AF99" s="197"/>
      <c r="AG99" s="197"/>
      <c r="AH99" s="197"/>
      <c r="AI99" s="197"/>
      <c r="AJ99" s="197"/>
      <c r="AK99" s="197"/>
      <c r="AL99" s="197"/>
      <c r="AM99" s="197"/>
      <c r="AN99" s="197"/>
      <c r="AO99" s="197"/>
      <c r="AP99" s="197"/>
      <c r="AQ99" s="197"/>
      <c r="AR99" s="197"/>
      <c r="AS99" s="197"/>
      <c r="AT99" s="197"/>
      <c r="AU99" s="197"/>
      <c r="AV99" s="197"/>
      <c r="AW99" s="197"/>
      <c r="AX99" s="197"/>
      <c r="AY99" s="197"/>
      <c r="AZ99" s="197"/>
      <c r="BA99" s="600"/>
      <c r="BB99" s="600"/>
      <c r="BC99" s="600"/>
      <c r="BD99" s="5"/>
    </row>
    <row r="100" spans="1:56" ht="50.1" customHeight="1" thickBot="1" x14ac:dyDescent="0.45">
      <c r="A100" s="600"/>
      <c r="B100" s="197"/>
      <c r="C100" s="77"/>
      <c r="D100" s="522" t="str">
        <f>Translations!$B$339</f>
        <v>Strumienie materiałów wsadowych w przypadku PFC</v>
      </c>
      <c r="E100" s="197"/>
      <c r="F100" s="197"/>
      <c r="G100" s="197"/>
      <c r="H100" s="197"/>
      <c r="I100" s="197"/>
      <c r="J100" s="197"/>
      <c r="K100" s="197"/>
      <c r="L100" s="197"/>
      <c r="N100" s="197"/>
      <c r="O100" s="197"/>
      <c r="P100" s="197"/>
      <c r="Q100" s="197"/>
      <c r="R100" s="197"/>
      <c r="S100" s="197"/>
      <c r="T100" s="197"/>
      <c r="U100" s="197"/>
      <c r="V100" s="197"/>
      <c r="W100" s="197"/>
      <c r="X100" s="197"/>
      <c r="Y100" s="197"/>
      <c r="Z100" s="197"/>
      <c r="AA100" s="197"/>
      <c r="AB100" s="197"/>
      <c r="AC100" s="197"/>
      <c r="AD100" s="197"/>
      <c r="AE100" s="197"/>
      <c r="AF100" s="197"/>
      <c r="AG100" s="197"/>
      <c r="AH100" s="197"/>
      <c r="AI100" s="197"/>
      <c r="AJ100" s="197"/>
      <c r="AK100" s="197"/>
      <c r="AL100" s="197"/>
      <c r="AM100" s="197"/>
      <c r="AN100" s="197"/>
      <c r="AO100" s="197"/>
      <c r="AP100" s="197"/>
      <c r="AQ100" s="197"/>
      <c r="AR100" s="197"/>
      <c r="AS100" s="197"/>
      <c r="AT100" s="197"/>
      <c r="AU100" s="197"/>
      <c r="AV100" s="197"/>
      <c r="AW100" s="197"/>
      <c r="AX100" s="197"/>
      <c r="AY100" s="197"/>
      <c r="AZ100" s="197"/>
      <c r="BA100" s="600"/>
      <c r="BB100" s="600"/>
      <c r="BC100" s="600"/>
      <c r="BD100" s="5"/>
    </row>
    <row r="101" spans="1:56" ht="50.1" customHeight="1" thickBot="1" x14ac:dyDescent="0.25">
      <c r="A101" s="600"/>
      <c r="B101" s="197"/>
      <c r="C101" s="523" t="s">
        <v>482</v>
      </c>
      <c r="D101" s="524" t="str">
        <f>Translations!$B$282</f>
        <v>Metoda</v>
      </c>
      <c r="E101" s="524" t="str">
        <f>Translations!$B$340</f>
        <v>Nazwa</v>
      </c>
      <c r="F101" s="525" t="str">
        <f>Translations!$B$284</f>
        <v>Dane dotyczące działalności (AD)</v>
      </c>
      <c r="G101" s="525" t="str">
        <f>Translations!$B$285</f>
        <v>Jednostka AD</v>
      </c>
      <c r="H101" s="525" t="str">
        <f>Translations!$B$286</f>
        <v>Wartość opałowa (NCV)</v>
      </c>
      <c r="I101" s="525" t="str">
        <f>Translations!$B$287</f>
        <v>Jednostka NCV</v>
      </c>
      <c r="J101" s="525" t="str">
        <f>Translations!$B$288</f>
        <v>Współczynnik emisji (EF)</v>
      </c>
      <c r="K101" s="525" t="str">
        <f>Translations!$B$289</f>
        <v>Jednostka EF</v>
      </c>
      <c r="L101" s="525" t="str">
        <f>Translations!$B$290</f>
        <v>Zawartość węgla</v>
      </c>
      <c r="M101" s="525" t="str">
        <f>Translations!$B$291</f>
        <v>Jednostka zawartości węgla</v>
      </c>
      <c r="N101" s="525" t="str">
        <f>Translations!$B$292</f>
        <v>Współczynnik utleniania (OxF)</v>
      </c>
      <c r="O101" s="525" t="str">
        <f>Translations!$B$293</f>
        <v>Jednostka OxF</v>
      </c>
      <c r="P101" s="525" t="str">
        <f>Translations!$B$294</f>
        <v>Współczynnik konwersji</v>
      </c>
      <c r="Q101" s="525" t="str">
        <f>Translations!$B$295</f>
        <v>Jednostka współczynnika konwersji</v>
      </c>
      <c r="R101" s="525" t="str">
        <f>Translations!$B$296</f>
        <v>Zawartość biomasy (BioC)</v>
      </c>
      <c r="S101" s="525" t="str">
        <f>Translations!$B$297</f>
        <v>Jednostka BioC</v>
      </c>
      <c r="T101" s="525" t="str">
        <f>Translations!$B$298</f>
        <v>BioC niezrówn.</v>
      </c>
      <c r="U101" s="525" t="str">
        <f>Translations!$B$299</f>
        <v>Jednostka BioC niezrówn.</v>
      </c>
      <c r="V101" s="525" t="str">
        <f>Translations!$B$300</f>
        <v>Średnie godzinowe stężenie gazów cieplarnianych (GHG)</v>
      </c>
      <c r="W101" s="525" t="str">
        <f>Translations!$B$301</f>
        <v>Jednostka godzinowego stężenia GHG</v>
      </c>
      <c r="X101" s="525" t="str">
        <f>Translations!$B$302</f>
        <v>Godziny działania</v>
      </c>
      <c r="Y101" s="525" t="str">
        <f>Translations!$B$303</f>
        <v>Jednostka godzin działania</v>
      </c>
      <c r="Z101" s="525" t="str">
        <f>Translations!$B$304</f>
        <v>Przepływ spalin (średnia)</v>
      </c>
      <c r="AA101" s="525" t="str">
        <f>Translations!$B$305</f>
        <v>Jednostka przepływu spalin (średnia)</v>
      </c>
      <c r="AB101" s="525" t="str">
        <f>Translations!$B$306</f>
        <v>Przepływ spalin (łącznie)</v>
      </c>
      <c r="AC101" s="525" t="str">
        <f>Translations!$B$307</f>
        <v>Jednostka przepływu spalin (łącznie)</v>
      </c>
      <c r="AD101" s="525" t="str">
        <f>Translations!$B$308</f>
        <v>Roczna ilość GHG</v>
      </c>
      <c r="AE101" s="525" t="str">
        <f>Translations!$B$309</f>
        <v>Jednostka rocznej ilości GHG</v>
      </c>
      <c r="AF101" s="525" t="str">
        <f>Translations!$B$310</f>
        <v>Współczynnik ocieplenia globalnego GWP (tCO2e/t)</v>
      </c>
      <c r="AG101" s="525" t="str">
        <f>Translations!$B$311</f>
        <v>A: Częstotliwość</v>
      </c>
      <c r="AH101" s="525" t="str">
        <f>Translations!$B$312</f>
        <v>A: Czas trwania</v>
      </c>
      <c r="AI101" s="525" t="str">
        <f>Translations!$B$313</f>
        <v>A: SEF (CF4)</v>
      </c>
      <c r="AJ101" s="525" t="str">
        <f>Translations!$B$314</f>
        <v>B: AEO</v>
      </c>
      <c r="AK101" s="525" t="str">
        <f>Translations!$B$315</f>
        <v>B: CE</v>
      </c>
      <c r="AL101" s="525" t="str">
        <f>Translations!$B$316</f>
        <v>B: OVC</v>
      </c>
      <c r="AM101" s="525" t="str">
        <f>Translations!$B$317</f>
        <v>F(C2F6)</v>
      </c>
      <c r="AN101" s="525" t="str">
        <f>Translations!$B$318</f>
        <v>Emisje CF4 (t CF4)</v>
      </c>
      <c r="AO101" s="525" t="str">
        <f>Translations!$B$319</f>
        <v>Emisje C2F6 (t C2F6)</v>
      </c>
      <c r="AP101" s="525" t="str">
        <f>Translations!$B$320</f>
        <v>GWP (CF4) (tCO2e/t)</v>
      </c>
      <c r="AQ101" s="525" t="str">
        <f>Translations!$B$321</f>
        <v>GWP (C2F6) (tCO2e/t)</v>
      </c>
      <c r="AR101" s="525" t="str">
        <f>Translations!$B$322</f>
        <v>Emisje CF4 (t CO2e)</v>
      </c>
      <c r="AS101" s="525" t="str">
        <f>Translations!$B$323</f>
        <v>Emisje C2F6 (t CO2e)</v>
      </c>
      <c r="AT101" s="525" t="str">
        <f>Translations!$B$324</f>
        <v>Całkowita wydajność, %</v>
      </c>
      <c r="AU101" s="525" t="str">
        <f>Translations!$B$325</f>
        <v>Kopalne CO2e (t)</v>
      </c>
      <c r="AV101" s="525" t="str">
        <f>Translations!$B$326</f>
        <v>CO2e z biomasy (t)</v>
      </c>
      <c r="AW101" s="525" t="str">
        <f>Translations!$B$327</f>
        <v>CO2e z biomasy niezrówn. (t)</v>
      </c>
      <c r="AX101" s="526" t="str">
        <f>Translations!$B$328</f>
        <v>Zawartość energii (kopalne), TJ</v>
      </c>
      <c r="AY101" s="527" t="str">
        <f>Translations!$B$329</f>
        <v>Zawartość energii (biomasa), TJ</v>
      </c>
      <c r="AZ101" s="197"/>
      <c r="BA101" s="600"/>
      <c r="BB101" s="600"/>
      <c r="BC101" s="600"/>
      <c r="BD101" s="5"/>
    </row>
    <row r="102" spans="1:56" ht="12.75" customHeight="1" x14ac:dyDescent="0.2">
      <c r="A102" s="600"/>
      <c r="B102" s="197"/>
      <c r="C102" s="533" t="str">
        <f>Translations!$B$341</f>
        <v>Przykł.</v>
      </c>
      <c r="D102" s="690" t="str">
        <f>Translations!$B$342</f>
        <v>Emisje PFC</v>
      </c>
      <c r="E102" s="690" t="str">
        <f>Translations!$B$343</f>
        <v>Elektrolizer Prebake (CWPB); Anoda typu A</v>
      </c>
      <c r="F102" s="691">
        <v>5000</v>
      </c>
      <c r="G102" s="528" t="s">
        <v>212</v>
      </c>
      <c r="H102" s="779"/>
      <c r="I102" s="780"/>
      <c r="J102" s="779"/>
      <c r="K102" s="780"/>
      <c r="L102" s="780"/>
      <c r="M102" s="780"/>
      <c r="N102" s="779"/>
      <c r="O102" s="778"/>
      <c r="P102" s="779"/>
      <c r="Q102" s="778"/>
      <c r="R102" s="779"/>
      <c r="S102" s="778"/>
      <c r="T102" s="779"/>
      <c r="U102" s="778"/>
      <c r="V102" s="778"/>
      <c r="W102" s="778"/>
      <c r="X102" s="778"/>
      <c r="Y102" s="778"/>
      <c r="Z102" s="778"/>
      <c r="AA102" s="778"/>
      <c r="AB102" s="778"/>
      <c r="AC102" s="778"/>
      <c r="AD102" s="778"/>
      <c r="AE102" s="778"/>
      <c r="AF102" s="778"/>
      <c r="AG102" s="691">
        <v>300</v>
      </c>
      <c r="AH102" s="691">
        <v>2</v>
      </c>
      <c r="AI102" s="691">
        <v>0.14599999999999999</v>
      </c>
      <c r="AJ102" s="691">
        <v>0</v>
      </c>
      <c r="AK102" s="691">
        <v>0</v>
      </c>
      <c r="AL102" s="691">
        <v>0</v>
      </c>
      <c r="AM102" s="691">
        <v>0.122</v>
      </c>
      <c r="AN102" s="691">
        <v>4.38</v>
      </c>
      <c r="AO102" s="691">
        <v>0.53435999999999995</v>
      </c>
      <c r="AP102" s="695">
        <v>7390</v>
      </c>
      <c r="AQ102" s="695">
        <v>12200</v>
      </c>
      <c r="AR102" s="695">
        <v>32368.2</v>
      </c>
      <c r="AS102" s="695">
        <v>6519.1919999999991</v>
      </c>
      <c r="AT102" s="691">
        <v>98</v>
      </c>
      <c r="AU102" s="693">
        <v>39681.01224489796</v>
      </c>
      <c r="AV102" s="693"/>
      <c r="AW102" s="693"/>
      <c r="AX102" s="691"/>
      <c r="AY102" s="691"/>
      <c r="AZ102" s="197"/>
      <c r="BA102" s="600"/>
      <c r="BB102" s="600"/>
      <c r="BC102" s="600"/>
      <c r="BD102" s="5"/>
    </row>
    <row r="103" spans="1:56" x14ac:dyDescent="0.2">
      <c r="A103" s="600"/>
      <c r="B103" s="197"/>
      <c r="C103" s="528">
        <v>1</v>
      </c>
      <c r="D103" s="675"/>
      <c r="E103" s="594"/>
      <c r="F103" s="595"/>
      <c r="G103" s="596"/>
      <c r="H103" s="779"/>
      <c r="I103" s="780"/>
      <c r="J103" s="779"/>
      <c r="K103" s="780"/>
      <c r="L103" s="780"/>
      <c r="M103" s="780"/>
      <c r="N103" s="779"/>
      <c r="O103" s="778"/>
      <c r="P103" s="779"/>
      <c r="Q103" s="778"/>
      <c r="R103" s="779"/>
      <c r="S103" s="778"/>
      <c r="T103" s="779"/>
      <c r="U103" s="778"/>
      <c r="V103" s="778"/>
      <c r="W103" s="778"/>
      <c r="X103" s="778"/>
      <c r="Y103" s="778"/>
      <c r="Z103" s="778"/>
      <c r="AA103" s="778"/>
      <c r="AB103" s="778"/>
      <c r="AC103" s="778"/>
      <c r="AD103" s="778"/>
      <c r="AE103" s="778"/>
      <c r="AF103" s="778"/>
      <c r="AG103" s="595"/>
      <c r="AH103" s="595"/>
      <c r="AI103" s="595"/>
      <c r="AJ103" s="595"/>
      <c r="AK103" s="595"/>
      <c r="AL103" s="595"/>
      <c r="AM103" s="595"/>
      <c r="AN103" s="595"/>
      <c r="AO103" s="595"/>
      <c r="AP103" s="599"/>
      <c r="AQ103" s="599"/>
      <c r="AR103" s="599"/>
      <c r="AS103" s="599"/>
      <c r="AT103" s="595"/>
      <c r="AU103" s="598"/>
      <c r="AV103" s="598"/>
      <c r="AW103" s="598"/>
      <c r="AX103" s="595"/>
      <c r="AY103" s="595"/>
      <c r="AZ103" s="197"/>
      <c r="BA103" s="478" t="str">
        <f t="shared" ref="BA103:BA112" si="4">EUconst_SumPFC</f>
        <v>SUM_PFC</v>
      </c>
      <c r="BB103" s="573" t="str">
        <f t="shared" ref="BB103:BB112" si="5">EUconst_SumEnergyIN</f>
        <v>SUM_EnergyIN</v>
      </c>
      <c r="BC103" s="600"/>
      <c r="BD103" s="5"/>
    </row>
    <row r="104" spans="1:56" x14ac:dyDescent="0.2">
      <c r="A104" s="600"/>
      <c r="B104" s="197"/>
      <c r="C104" s="529">
        <v>2</v>
      </c>
      <c r="D104" s="675"/>
      <c r="E104" s="594"/>
      <c r="F104" s="595"/>
      <c r="G104" s="596"/>
      <c r="H104" s="779"/>
      <c r="I104" s="780"/>
      <c r="J104" s="779"/>
      <c r="K104" s="780"/>
      <c r="L104" s="780"/>
      <c r="M104" s="780"/>
      <c r="N104" s="779"/>
      <c r="O104" s="778"/>
      <c r="P104" s="779"/>
      <c r="Q104" s="778"/>
      <c r="R104" s="779"/>
      <c r="S104" s="778"/>
      <c r="T104" s="779"/>
      <c r="U104" s="778"/>
      <c r="V104" s="778"/>
      <c r="W104" s="778"/>
      <c r="X104" s="778"/>
      <c r="Y104" s="778"/>
      <c r="Z104" s="778"/>
      <c r="AA104" s="778"/>
      <c r="AB104" s="778"/>
      <c r="AC104" s="778"/>
      <c r="AD104" s="778"/>
      <c r="AE104" s="778"/>
      <c r="AF104" s="778"/>
      <c r="AG104" s="595"/>
      <c r="AH104" s="595"/>
      <c r="AI104" s="595"/>
      <c r="AJ104" s="595"/>
      <c r="AK104" s="595"/>
      <c r="AL104" s="595"/>
      <c r="AM104" s="595"/>
      <c r="AN104" s="595"/>
      <c r="AO104" s="595"/>
      <c r="AP104" s="599"/>
      <c r="AQ104" s="599"/>
      <c r="AR104" s="599"/>
      <c r="AS104" s="599"/>
      <c r="AT104" s="595"/>
      <c r="AU104" s="598"/>
      <c r="AV104" s="598"/>
      <c r="AW104" s="598"/>
      <c r="AX104" s="595"/>
      <c r="AY104" s="595"/>
      <c r="AZ104" s="197"/>
      <c r="BA104" s="478" t="str">
        <f t="shared" si="4"/>
        <v>SUM_PFC</v>
      </c>
      <c r="BB104" s="573" t="str">
        <f t="shared" si="5"/>
        <v>SUM_EnergyIN</v>
      </c>
      <c r="BC104" s="600"/>
      <c r="BD104" s="5"/>
    </row>
    <row r="105" spans="1:56" x14ac:dyDescent="0.2">
      <c r="A105" s="600"/>
      <c r="B105" s="197"/>
      <c r="C105" s="529">
        <v>3</v>
      </c>
      <c r="D105" s="675"/>
      <c r="E105" s="594"/>
      <c r="F105" s="595"/>
      <c r="G105" s="596"/>
      <c r="H105" s="779"/>
      <c r="I105" s="780"/>
      <c r="J105" s="779"/>
      <c r="K105" s="780"/>
      <c r="L105" s="780"/>
      <c r="M105" s="780"/>
      <c r="N105" s="779"/>
      <c r="O105" s="778"/>
      <c r="P105" s="779"/>
      <c r="Q105" s="778"/>
      <c r="R105" s="779"/>
      <c r="S105" s="778"/>
      <c r="T105" s="779"/>
      <c r="U105" s="778"/>
      <c r="V105" s="778"/>
      <c r="W105" s="778"/>
      <c r="X105" s="778"/>
      <c r="Y105" s="778"/>
      <c r="Z105" s="778"/>
      <c r="AA105" s="778"/>
      <c r="AB105" s="778"/>
      <c r="AC105" s="778"/>
      <c r="AD105" s="778"/>
      <c r="AE105" s="778"/>
      <c r="AF105" s="778"/>
      <c r="AG105" s="595"/>
      <c r="AH105" s="595"/>
      <c r="AI105" s="595"/>
      <c r="AJ105" s="595"/>
      <c r="AK105" s="595"/>
      <c r="AL105" s="595"/>
      <c r="AM105" s="595"/>
      <c r="AN105" s="595"/>
      <c r="AO105" s="595"/>
      <c r="AP105" s="599"/>
      <c r="AQ105" s="599"/>
      <c r="AR105" s="599"/>
      <c r="AS105" s="599"/>
      <c r="AT105" s="595"/>
      <c r="AU105" s="598"/>
      <c r="AV105" s="598"/>
      <c r="AW105" s="598"/>
      <c r="AX105" s="595"/>
      <c r="AY105" s="595"/>
      <c r="AZ105" s="197"/>
      <c r="BA105" s="478" t="str">
        <f t="shared" si="4"/>
        <v>SUM_PFC</v>
      </c>
      <c r="BB105" s="573" t="str">
        <f t="shared" si="5"/>
        <v>SUM_EnergyIN</v>
      </c>
      <c r="BC105" s="600"/>
      <c r="BD105" s="5"/>
    </row>
    <row r="106" spans="1:56" x14ac:dyDescent="0.2">
      <c r="A106" s="600"/>
      <c r="B106" s="197"/>
      <c r="C106" s="529">
        <v>4</v>
      </c>
      <c r="D106" s="675"/>
      <c r="E106" s="594"/>
      <c r="F106" s="595"/>
      <c r="G106" s="596"/>
      <c r="H106" s="779"/>
      <c r="I106" s="780"/>
      <c r="J106" s="779"/>
      <c r="K106" s="780"/>
      <c r="L106" s="780"/>
      <c r="M106" s="780"/>
      <c r="N106" s="779"/>
      <c r="O106" s="778"/>
      <c r="P106" s="779"/>
      <c r="Q106" s="778"/>
      <c r="R106" s="779"/>
      <c r="S106" s="778"/>
      <c r="T106" s="779"/>
      <c r="U106" s="778"/>
      <c r="V106" s="778"/>
      <c r="W106" s="778"/>
      <c r="X106" s="778"/>
      <c r="Y106" s="778"/>
      <c r="Z106" s="778"/>
      <c r="AA106" s="778"/>
      <c r="AB106" s="778"/>
      <c r="AC106" s="778"/>
      <c r="AD106" s="778"/>
      <c r="AE106" s="778"/>
      <c r="AF106" s="778"/>
      <c r="AG106" s="595"/>
      <c r="AH106" s="595"/>
      <c r="AI106" s="595"/>
      <c r="AJ106" s="595"/>
      <c r="AK106" s="595"/>
      <c r="AL106" s="595"/>
      <c r="AM106" s="595"/>
      <c r="AN106" s="595"/>
      <c r="AO106" s="595"/>
      <c r="AP106" s="599"/>
      <c r="AQ106" s="599"/>
      <c r="AR106" s="599"/>
      <c r="AS106" s="599"/>
      <c r="AT106" s="595"/>
      <c r="AU106" s="598"/>
      <c r="AV106" s="598"/>
      <c r="AW106" s="598"/>
      <c r="AX106" s="595"/>
      <c r="AY106" s="595"/>
      <c r="AZ106" s="197"/>
      <c r="BA106" s="478" t="str">
        <f t="shared" si="4"/>
        <v>SUM_PFC</v>
      </c>
      <c r="BB106" s="573" t="str">
        <f t="shared" si="5"/>
        <v>SUM_EnergyIN</v>
      </c>
      <c r="BC106" s="600"/>
      <c r="BD106" s="5"/>
    </row>
    <row r="107" spans="1:56" x14ac:dyDescent="0.2">
      <c r="A107" s="600"/>
      <c r="B107" s="197"/>
      <c r="C107" s="529">
        <v>5</v>
      </c>
      <c r="D107" s="675"/>
      <c r="E107" s="594"/>
      <c r="F107" s="595"/>
      <c r="G107" s="596"/>
      <c r="H107" s="779"/>
      <c r="I107" s="780"/>
      <c r="J107" s="779"/>
      <c r="K107" s="780"/>
      <c r="L107" s="780"/>
      <c r="M107" s="780"/>
      <c r="N107" s="779"/>
      <c r="O107" s="778"/>
      <c r="P107" s="779"/>
      <c r="Q107" s="778"/>
      <c r="R107" s="779"/>
      <c r="S107" s="778"/>
      <c r="T107" s="779"/>
      <c r="U107" s="778"/>
      <c r="V107" s="778"/>
      <c r="W107" s="778"/>
      <c r="X107" s="778"/>
      <c r="Y107" s="778"/>
      <c r="Z107" s="778"/>
      <c r="AA107" s="778"/>
      <c r="AB107" s="778"/>
      <c r="AC107" s="778"/>
      <c r="AD107" s="778"/>
      <c r="AE107" s="778"/>
      <c r="AF107" s="778"/>
      <c r="AG107" s="595"/>
      <c r="AH107" s="595"/>
      <c r="AI107" s="595"/>
      <c r="AJ107" s="595"/>
      <c r="AK107" s="595"/>
      <c r="AL107" s="595"/>
      <c r="AM107" s="595"/>
      <c r="AN107" s="595"/>
      <c r="AO107" s="595"/>
      <c r="AP107" s="599"/>
      <c r="AQ107" s="599"/>
      <c r="AR107" s="599"/>
      <c r="AS107" s="599"/>
      <c r="AT107" s="595"/>
      <c r="AU107" s="598"/>
      <c r="AV107" s="598"/>
      <c r="AW107" s="598"/>
      <c r="AX107" s="595"/>
      <c r="AY107" s="595"/>
      <c r="AZ107" s="197"/>
      <c r="BA107" s="478" t="str">
        <f t="shared" si="4"/>
        <v>SUM_PFC</v>
      </c>
      <c r="BB107" s="573" t="str">
        <f t="shared" si="5"/>
        <v>SUM_EnergyIN</v>
      </c>
      <c r="BC107" s="600"/>
      <c r="BD107" s="5"/>
    </row>
    <row r="108" spans="1:56" x14ac:dyDescent="0.2">
      <c r="A108" s="600"/>
      <c r="B108" s="197"/>
      <c r="C108" s="529">
        <v>6</v>
      </c>
      <c r="D108" s="675"/>
      <c r="E108" s="594"/>
      <c r="F108" s="595"/>
      <c r="G108" s="596"/>
      <c r="H108" s="779"/>
      <c r="I108" s="780"/>
      <c r="J108" s="779"/>
      <c r="K108" s="780"/>
      <c r="L108" s="780"/>
      <c r="M108" s="780"/>
      <c r="N108" s="779"/>
      <c r="O108" s="778"/>
      <c r="P108" s="779"/>
      <c r="Q108" s="778"/>
      <c r="R108" s="779"/>
      <c r="S108" s="778"/>
      <c r="T108" s="779"/>
      <c r="U108" s="778"/>
      <c r="V108" s="778"/>
      <c r="W108" s="778"/>
      <c r="X108" s="778"/>
      <c r="Y108" s="778"/>
      <c r="Z108" s="778"/>
      <c r="AA108" s="778"/>
      <c r="AB108" s="778"/>
      <c r="AC108" s="778"/>
      <c r="AD108" s="778"/>
      <c r="AE108" s="778"/>
      <c r="AF108" s="778"/>
      <c r="AG108" s="595"/>
      <c r="AH108" s="595"/>
      <c r="AI108" s="595"/>
      <c r="AJ108" s="595"/>
      <c r="AK108" s="595"/>
      <c r="AL108" s="595"/>
      <c r="AM108" s="595"/>
      <c r="AN108" s="595"/>
      <c r="AO108" s="595"/>
      <c r="AP108" s="599"/>
      <c r="AQ108" s="599"/>
      <c r="AR108" s="599"/>
      <c r="AS108" s="599"/>
      <c r="AT108" s="595"/>
      <c r="AU108" s="598"/>
      <c r="AV108" s="598"/>
      <c r="AW108" s="598"/>
      <c r="AX108" s="595"/>
      <c r="AY108" s="595"/>
      <c r="AZ108" s="197"/>
      <c r="BA108" s="478" t="str">
        <f t="shared" si="4"/>
        <v>SUM_PFC</v>
      </c>
      <c r="BB108" s="573" t="str">
        <f t="shared" si="5"/>
        <v>SUM_EnergyIN</v>
      </c>
      <c r="BC108" s="600"/>
      <c r="BD108" s="5"/>
    </row>
    <row r="109" spans="1:56" x14ac:dyDescent="0.2">
      <c r="A109" s="600"/>
      <c r="B109" s="197"/>
      <c r="C109" s="529">
        <v>7</v>
      </c>
      <c r="D109" s="675"/>
      <c r="E109" s="594"/>
      <c r="F109" s="595"/>
      <c r="G109" s="596"/>
      <c r="H109" s="779"/>
      <c r="I109" s="780"/>
      <c r="J109" s="779"/>
      <c r="K109" s="780"/>
      <c r="L109" s="780"/>
      <c r="M109" s="780"/>
      <c r="N109" s="779"/>
      <c r="O109" s="778"/>
      <c r="P109" s="779"/>
      <c r="Q109" s="778"/>
      <c r="R109" s="779"/>
      <c r="S109" s="778"/>
      <c r="T109" s="779"/>
      <c r="U109" s="778"/>
      <c r="V109" s="778"/>
      <c r="W109" s="778"/>
      <c r="X109" s="778"/>
      <c r="Y109" s="778"/>
      <c r="Z109" s="778"/>
      <c r="AA109" s="778"/>
      <c r="AB109" s="778"/>
      <c r="AC109" s="778"/>
      <c r="AD109" s="778"/>
      <c r="AE109" s="778"/>
      <c r="AF109" s="778"/>
      <c r="AG109" s="595"/>
      <c r="AH109" s="595"/>
      <c r="AI109" s="595"/>
      <c r="AJ109" s="595"/>
      <c r="AK109" s="595"/>
      <c r="AL109" s="595"/>
      <c r="AM109" s="595"/>
      <c r="AN109" s="595"/>
      <c r="AO109" s="595"/>
      <c r="AP109" s="599"/>
      <c r="AQ109" s="599"/>
      <c r="AR109" s="599"/>
      <c r="AS109" s="599"/>
      <c r="AT109" s="595"/>
      <c r="AU109" s="598"/>
      <c r="AV109" s="598"/>
      <c r="AW109" s="598"/>
      <c r="AX109" s="595"/>
      <c r="AY109" s="595"/>
      <c r="AZ109" s="197"/>
      <c r="BA109" s="478" t="str">
        <f t="shared" si="4"/>
        <v>SUM_PFC</v>
      </c>
      <c r="BB109" s="573" t="str">
        <f t="shared" si="5"/>
        <v>SUM_EnergyIN</v>
      </c>
      <c r="BC109" s="600"/>
      <c r="BD109" s="5"/>
    </row>
    <row r="110" spans="1:56" x14ac:dyDescent="0.2">
      <c r="A110" s="600"/>
      <c r="B110" s="197"/>
      <c r="C110" s="529">
        <v>8</v>
      </c>
      <c r="D110" s="675"/>
      <c r="E110" s="594"/>
      <c r="F110" s="595"/>
      <c r="G110" s="596"/>
      <c r="H110" s="779"/>
      <c r="I110" s="780"/>
      <c r="J110" s="779"/>
      <c r="K110" s="780"/>
      <c r="L110" s="780"/>
      <c r="M110" s="780"/>
      <c r="N110" s="779"/>
      <c r="O110" s="778"/>
      <c r="P110" s="779"/>
      <c r="Q110" s="778"/>
      <c r="R110" s="779"/>
      <c r="S110" s="778"/>
      <c r="T110" s="779"/>
      <c r="U110" s="778"/>
      <c r="V110" s="778"/>
      <c r="W110" s="778"/>
      <c r="X110" s="778"/>
      <c r="Y110" s="778"/>
      <c r="Z110" s="778"/>
      <c r="AA110" s="778"/>
      <c r="AB110" s="778"/>
      <c r="AC110" s="778"/>
      <c r="AD110" s="778"/>
      <c r="AE110" s="778"/>
      <c r="AF110" s="778"/>
      <c r="AG110" s="595"/>
      <c r="AH110" s="595"/>
      <c r="AI110" s="595"/>
      <c r="AJ110" s="595"/>
      <c r="AK110" s="595"/>
      <c r="AL110" s="595"/>
      <c r="AM110" s="595"/>
      <c r="AN110" s="595"/>
      <c r="AO110" s="595"/>
      <c r="AP110" s="599"/>
      <c r="AQ110" s="599"/>
      <c r="AR110" s="599"/>
      <c r="AS110" s="599"/>
      <c r="AT110" s="595"/>
      <c r="AU110" s="598"/>
      <c r="AV110" s="598"/>
      <c r="AW110" s="598"/>
      <c r="AX110" s="595"/>
      <c r="AY110" s="595"/>
      <c r="AZ110" s="197"/>
      <c r="BA110" s="478" t="str">
        <f t="shared" si="4"/>
        <v>SUM_PFC</v>
      </c>
      <c r="BB110" s="573" t="str">
        <f t="shared" si="5"/>
        <v>SUM_EnergyIN</v>
      </c>
      <c r="BC110" s="600"/>
      <c r="BD110" s="5"/>
    </row>
    <row r="111" spans="1:56" x14ac:dyDescent="0.2">
      <c r="A111" s="600"/>
      <c r="B111" s="197"/>
      <c r="C111" s="529">
        <v>9</v>
      </c>
      <c r="D111" s="675"/>
      <c r="E111" s="594"/>
      <c r="F111" s="595"/>
      <c r="G111" s="596"/>
      <c r="H111" s="779"/>
      <c r="I111" s="780"/>
      <c r="J111" s="779"/>
      <c r="K111" s="780"/>
      <c r="L111" s="780"/>
      <c r="M111" s="780"/>
      <c r="N111" s="779"/>
      <c r="O111" s="778"/>
      <c r="P111" s="779"/>
      <c r="Q111" s="778"/>
      <c r="R111" s="779"/>
      <c r="S111" s="778"/>
      <c r="T111" s="779"/>
      <c r="U111" s="778"/>
      <c r="V111" s="778"/>
      <c r="W111" s="778"/>
      <c r="X111" s="778"/>
      <c r="Y111" s="778"/>
      <c r="Z111" s="778"/>
      <c r="AA111" s="778"/>
      <c r="AB111" s="778"/>
      <c r="AC111" s="778"/>
      <c r="AD111" s="778"/>
      <c r="AE111" s="778"/>
      <c r="AF111" s="778"/>
      <c r="AG111" s="595"/>
      <c r="AH111" s="595"/>
      <c r="AI111" s="595"/>
      <c r="AJ111" s="595"/>
      <c r="AK111" s="595"/>
      <c r="AL111" s="595"/>
      <c r="AM111" s="595"/>
      <c r="AN111" s="595"/>
      <c r="AO111" s="595"/>
      <c r="AP111" s="599"/>
      <c r="AQ111" s="599"/>
      <c r="AR111" s="599"/>
      <c r="AS111" s="599"/>
      <c r="AT111" s="595"/>
      <c r="AU111" s="598"/>
      <c r="AV111" s="598"/>
      <c r="AW111" s="598"/>
      <c r="AX111" s="595"/>
      <c r="AY111" s="595"/>
      <c r="AZ111" s="197"/>
      <c r="BA111" s="478" t="str">
        <f t="shared" si="4"/>
        <v>SUM_PFC</v>
      </c>
      <c r="BB111" s="573" t="str">
        <f t="shared" si="5"/>
        <v>SUM_EnergyIN</v>
      </c>
      <c r="BC111" s="600"/>
      <c r="BD111" s="5"/>
    </row>
    <row r="112" spans="1:56" x14ac:dyDescent="0.2">
      <c r="A112" s="600"/>
      <c r="B112" s="197"/>
      <c r="C112" s="529">
        <v>10</v>
      </c>
      <c r="D112" s="675"/>
      <c r="E112" s="594"/>
      <c r="F112" s="595"/>
      <c r="G112" s="596"/>
      <c r="H112" s="779"/>
      <c r="I112" s="780"/>
      <c r="J112" s="779"/>
      <c r="K112" s="780"/>
      <c r="L112" s="780"/>
      <c r="M112" s="780"/>
      <c r="N112" s="779"/>
      <c r="O112" s="778"/>
      <c r="P112" s="779"/>
      <c r="Q112" s="778"/>
      <c r="R112" s="779"/>
      <c r="S112" s="778"/>
      <c r="T112" s="779"/>
      <c r="U112" s="778"/>
      <c r="V112" s="778"/>
      <c r="W112" s="778"/>
      <c r="X112" s="778"/>
      <c r="Y112" s="778"/>
      <c r="Z112" s="778"/>
      <c r="AA112" s="778"/>
      <c r="AB112" s="778"/>
      <c r="AC112" s="778"/>
      <c r="AD112" s="778"/>
      <c r="AE112" s="778"/>
      <c r="AF112" s="778"/>
      <c r="AG112" s="595"/>
      <c r="AH112" s="595"/>
      <c r="AI112" s="595"/>
      <c r="AJ112" s="595"/>
      <c r="AK112" s="595"/>
      <c r="AL112" s="595"/>
      <c r="AM112" s="595"/>
      <c r="AN112" s="595"/>
      <c r="AO112" s="595"/>
      <c r="AP112" s="599"/>
      <c r="AQ112" s="599"/>
      <c r="AR112" s="599"/>
      <c r="AS112" s="599"/>
      <c r="AT112" s="595"/>
      <c r="AU112" s="598"/>
      <c r="AV112" s="598"/>
      <c r="AW112" s="598"/>
      <c r="AX112" s="595"/>
      <c r="AY112" s="595"/>
      <c r="AZ112" s="197"/>
      <c r="BA112" s="478" t="str">
        <f t="shared" si="4"/>
        <v>SUM_PFC</v>
      </c>
      <c r="BB112" s="573" t="str">
        <f t="shared" si="5"/>
        <v>SUM_EnergyIN</v>
      </c>
      <c r="BC112" s="600"/>
      <c r="BD112" s="5"/>
    </row>
    <row r="113" spans="1:56" x14ac:dyDescent="0.2">
      <c r="A113" s="600"/>
      <c r="B113" s="197"/>
      <c r="F113" s="530"/>
      <c r="G113" s="6"/>
      <c r="H113" s="530"/>
      <c r="I113" s="6"/>
      <c r="J113" s="530"/>
      <c r="K113" s="6"/>
      <c r="L113" s="6"/>
      <c r="M113" s="6"/>
      <c r="N113" s="530"/>
      <c r="O113" s="531"/>
      <c r="P113" s="530"/>
      <c r="Q113" s="531"/>
      <c r="R113" s="530"/>
      <c r="S113" s="531"/>
      <c r="T113" s="530"/>
      <c r="U113" s="531"/>
      <c r="V113" s="531"/>
      <c r="W113" s="531"/>
      <c r="X113" s="531"/>
      <c r="Y113" s="531"/>
      <c r="Z113" s="531"/>
      <c r="AA113" s="531"/>
      <c r="AB113" s="531"/>
      <c r="AC113" s="531"/>
      <c r="AD113" s="531"/>
      <c r="AE113" s="531"/>
      <c r="AF113" s="531"/>
      <c r="AG113" s="531"/>
      <c r="AH113" s="531"/>
      <c r="AI113" s="531"/>
      <c r="AJ113" s="531"/>
      <c r="AK113" s="531"/>
      <c r="AL113" s="531"/>
      <c r="AM113" s="531"/>
      <c r="AN113" s="531"/>
      <c r="AO113" s="531"/>
      <c r="AP113" s="531"/>
      <c r="AQ113" s="531"/>
      <c r="AR113" s="531"/>
      <c r="AS113" s="531"/>
      <c r="AT113" s="531"/>
      <c r="AU113" s="532"/>
      <c r="AV113" s="532"/>
      <c r="AW113" s="532"/>
      <c r="AX113" s="530"/>
      <c r="AY113" s="530"/>
      <c r="AZ113" s="197"/>
      <c r="BA113" s="600"/>
      <c r="BB113" s="600"/>
      <c r="BC113" s="600"/>
      <c r="BD113" s="5"/>
    </row>
    <row r="114" spans="1:56" ht="50.1" customHeight="1" thickBot="1" x14ac:dyDescent="0.45">
      <c r="A114" s="600"/>
      <c r="B114" s="197"/>
      <c r="C114" s="77"/>
      <c r="D114" s="522" t="str">
        <f>Translations!$B$344</f>
        <v>Źródła emisji (metody oparte na pomiarach)</v>
      </c>
      <c r="E114" s="197"/>
      <c r="F114" s="197"/>
      <c r="G114" s="197"/>
      <c r="H114" s="197"/>
      <c r="I114" s="197"/>
      <c r="J114" s="197"/>
      <c r="K114" s="197"/>
      <c r="L114" s="197"/>
      <c r="N114" s="197"/>
      <c r="O114" s="197"/>
      <c r="P114" s="197"/>
      <c r="Q114" s="197"/>
      <c r="R114" s="197"/>
      <c r="S114" s="197"/>
      <c r="T114" s="197"/>
      <c r="U114" s="197"/>
      <c r="V114" s="197"/>
      <c r="W114" s="197"/>
      <c r="X114" s="197"/>
      <c r="Y114" s="197"/>
      <c r="Z114" s="197"/>
      <c r="AA114" s="197"/>
      <c r="AB114" s="197"/>
      <c r="AC114" s="197"/>
      <c r="AD114" s="197"/>
      <c r="AE114" s="197"/>
      <c r="AF114" s="677"/>
      <c r="AG114" s="197"/>
      <c r="AH114" s="197"/>
      <c r="AI114" s="197"/>
      <c r="AJ114" s="197"/>
      <c r="AK114" s="197"/>
      <c r="AL114" s="197"/>
      <c r="AM114" s="197"/>
      <c r="AN114" s="197"/>
      <c r="AO114" s="197"/>
      <c r="AP114" s="197"/>
      <c r="AQ114" s="197"/>
      <c r="AR114" s="197"/>
      <c r="AS114" s="197"/>
      <c r="AT114" s="197"/>
      <c r="AU114" s="197"/>
      <c r="AV114" s="197"/>
      <c r="AW114" s="197"/>
      <c r="AX114" s="197"/>
      <c r="AY114" s="197"/>
      <c r="AZ114" s="197"/>
      <c r="BA114" s="600"/>
      <c r="BB114" s="600"/>
      <c r="BC114" s="600"/>
      <c r="BD114" s="5"/>
    </row>
    <row r="115" spans="1:56" ht="50.1" customHeight="1" thickBot="1" x14ac:dyDescent="0.25">
      <c r="A115" s="600"/>
      <c r="B115" s="197"/>
      <c r="C115" s="523" t="s">
        <v>482</v>
      </c>
      <c r="D115" s="524" t="str">
        <f>Translations!$B$282</f>
        <v>Metoda</v>
      </c>
      <c r="E115" s="524" t="str">
        <f>Translations!$B$340</f>
        <v>Nazwa</v>
      </c>
      <c r="F115" s="525" t="str">
        <f>Translations!$B$284</f>
        <v>Dane dotyczące działalności (AD)</v>
      </c>
      <c r="G115" s="525" t="str">
        <f>Translations!$B$285</f>
        <v>Jednostka AD</v>
      </c>
      <c r="H115" s="525" t="str">
        <f>Translations!$B$286</f>
        <v>Wartość opałowa (NCV)</v>
      </c>
      <c r="I115" s="525" t="str">
        <f>Translations!$B$287</f>
        <v>Jednostka NCV</v>
      </c>
      <c r="J115" s="525" t="str">
        <f>Translations!$B$288</f>
        <v>Współczynnik emisji (EF)</v>
      </c>
      <c r="K115" s="525" t="str">
        <f>Translations!$B$289</f>
        <v>Jednostka EF</v>
      </c>
      <c r="L115" s="525" t="str">
        <f>Translations!$B$290</f>
        <v>Zawartość węgla</v>
      </c>
      <c r="M115" s="525" t="str">
        <f>Translations!$B$291</f>
        <v>Jednostka zawartości węgla</v>
      </c>
      <c r="N115" s="525" t="str">
        <f>Translations!$B$292</f>
        <v>Współczynnik utleniania (OxF)</v>
      </c>
      <c r="O115" s="525" t="str">
        <f>Translations!$B$293</f>
        <v>Jednostka OxF</v>
      </c>
      <c r="P115" s="525" t="str">
        <f>Translations!$B$294</f>
        <v>Współczynnik konwersji</v>
      </c>
      <c r="Q115" s="525" t="str">
        <f>Translations!$B$295</f>
        <v>Jednostka współczynnika konwersji</v>
      </c>
      <c r="R115" s="525" t="str">
        <f>Translations!$B$296</f>
        <v>Zawartość biomasy (BioC)</v>
      </c>
      <c r="S115" s="525" t="str">
        <f>Translations!$B$297</f>
        <v>Jednostka BioC</v>
      </c>
      <c r="T115" s="525" t="str">
        <f>Translations!$B$298</f>
        <v>BioC niezrówn.</v>
      </c>
      <c r="U115" s="525" t="str">
        <f>Translations!$B$299</f>
        <v>Jednostka BioC niezrówn.</v>
      </c>
      <c r="V115" s="525" t="str">
        <f>Translations!$B$300</f>
        <v>Średnie godzinowe stężenie gazów cieplarnianych (GHG)</v>
      </c>
      <c r="W115" s="525" t="str">
        <f>Translations!$B$301</f>
        <v>Jednostka godzinowego stężenia GHG</v>
      </c>
      <c r="X115" s="525" t="str">
        <f>Translations!$B$302</f>
        <v>Godziny działania</v>
      </c>
      <c r="Y115" s="525" t="str">
        <f>Translations!$B$303</f>
        <v>Jednostka godzin działania</v>
      </c>
      <c r="Z115" s="525" t="str">
        <f>Translations!$B$304</f>
        <v>Przepływ spalin (średnia)</v>
      </c>
      <c r="AA115" s="525" t="str">
        <f>Translations!$B$305</f>
        <v>Jednostka przepływu spalin (średnia)</v>
      </c>
      <c r="AB115" s="525" t="str">
        <f>Translations!$B$306</f>
        <v>Przepływ spalin (łącznie)</v>
      </c>
      <c r="AC115" s="525" t="str">
        <f>Translations!$B$307</f>
        <v>Jednostka przepływu spalin (łącznie)</v>
      </c>
      <c r="AD115" s="525" t="str">
        <f>Translations!$B$308</f>
        <v>Roczna ilość GHG</v>
      </c>
      <c r="AE115" s="525" t="str">
        <f>Translations!$B$309</f>
        <v>Jednostka rocznej ilości GHG</v>
      </c>
      <c r="AF115" s="525" t="str">
        <f>Translations!$B$310</f>
        <v>Współczynnik ocieplenia globalnego GWP (tCO2e/t)</v>
      </c>
      <c r="AG115" s="525" t="str">
        <f>Translations!$B$311</f>
        <v>A: Częstotliwość</v>
      </c>
      <c r="AH115" s="525" t="str">
        <f>Translations!$B$312</f>
        <v>A: Czas trwania</v>
      </c>
      <c r="AI115" s="525" t="str">
        <f>Translations!$B$313</f>
        <v>A: SEF (CF4)</v>
      </c>
      <c r="AJ115" s="525" t="str">
        <f>Translations!$B$314</f>
        <v>B: AEO</v>
      </c>
      <c r="AK115" s="525" t="str">
        <f>Translations!$B$315</f>
        <v>B: CE</v>
      </c>
      <c r="AL115" s="525" t="str">
        <f>Translations!$B$316</f>
        <v>B: OVC</v>
      </c>
      <c r="AM115" s="525" t="str">
        <f>Translations!$B$317</f>
        <v>F(C2F6)</v>
      </c>
      <c r="AN115" s="525" t="str">
        <f>Translations!$B$318</f>
        <v>Emisje CF4 (t CF4)</v>
      </c>
      <c r="AO115" s="525" t="str">
        <f>Translations!$B$319</f>
        <v>Emisje C2F6 (t C2F6)</v>
      </c>
      <c r="AP115" s="525" t="str">
        <f>Translations!$B$320</f>
        <v>GWP (CF4) (tCO2e/t)</v>
      </c>
      <c r="AQ115" s="525" t="str">
        <f>Translations!$B$321</f>
        <v>GWP (C2F6) (tCO2e/t)</v>
      </c>
      <c r="AR115" s="525" t="str">
        <f>Translations!$B$322</f>
        <v>Emisje CF4 (t CO2e)</v>
      </c>
      <c r="AS115" s="525" t="str">
        <f>Translations!$B$323</f>
        <v>Emisje C2F6 (t CO2e)</v>
      </c>
      <c r="AT115" s="525" t="str">
        <f>Translations!$B$324</f>
        <v>Całkowita wydajność, %</v>
      </c>
      <c r="AU115" s="525" t="str">
        <f>Translations!$B$325</f>
        <v>Kopalne CO2e (t)</v>
      </c>
      <c r="AV115" s="525" t="str">
        <f>Translations!$B$326</f>
        <v>CO2e z biomasy (t)</v>
      </c>
      <c r="AW115" s="525" t="str">
        <f>Translations!$B$327</f>
        <v>CO2e z biomasy niezrówn. (t)</v>
      </c>
      <c r="AX115" s="526" t="str">
        <f>Translations!$B$328</f>
        <v>Zawartość energii (kopalne), TJ</v>
      </c>
      <c r="AY115" s="527" t="str">
        <f>Translations!$B$329</f>
        <v>Zawartość energii (biomasa), TJ</v>
      </c>
      <c r="AZ115" s="197"/>
      <c r="BA115" s="600"/>
      <c r="BB115" s="600"/>
      <c r="BC115" s="600"/>
      <c r="BD115" s="5"/>
    </row>
    <row r="116" spans="1:56" ht="12.75" customHeight="1" x14ac:dyDescent="0.2">
      <c r="A116" s="600"/>
      <c r="B116" s="197"/>
      <c r="C116" s="533" t="str">
        <f>Translations!$B$330</f>
        <v>Przykł. 1</v>
      </c>
      <c r="D116" s="690" t="s">
        <v>388</v>
      </c>
      <c r="E116" s="690" t="str">
        <f>Translations!$B$345</f>
        <v>Kwas azotowy, linia 1</v>
      </c>
      <c r="F116" s="779"/>
      <c r="G116" s="780"/>
      <c r="H116" s="779"/>
      <c r="I116" s="780"/>
      <c r="J116" s="779"/>
      <c r="K116" s="780"/>
      <c r="L116" s="780"/>
      <c r="M116" s="780"/>
      <c r="N116" s="779"/>
      <c r="O116" s="778"/>
      <c r="P116" s="779"/>
      <c r="Q116" s="778"/>
      <c r="R116" s="695">
        <v>0</v>
      </c>
      <c r="S116" s="692" t="s">
        <v>409</v>
      </c>
      <c r="T116" s="695">
        <v>0</v>
      </c>
      <c r="U116" s="692" t="s">
        <v>409</v>
      </c>
      <c r="V116" s="695">
        <v>64.292500000000004</v>
      </c>
      <c r="W116" s="692" t="s">
        <v>533</v>
      </c>
      <c r="X116" s="695">
        <v>4</v>
      </c>
      <c r="Y116" s="692" t="str">
        <f>Translations!$B$346</f>
        <v>h/rok</v>
      </c>
      <c r="Z116" s="695">
        <v>265</v>
      </c>
      <c r="AA116" s="692" t="str">
        <f>Translations!$B$347</f>
        <v>1000Nm3/h</v>
      </c>
      <c r="AB116" s="695">
        <v>1060</v>
      </c>
      <c r="AC116" s="692" t="str">
        <f>Translations!$B$348</f>
        <v>1000Nm3/rok</v>
      </c>
      <c r="AD116" s="695">
        <v>68</v>
      </c>
      <c r="AE116" s="692" t="s">
        <v>212</v>
      </c>
      <c r="AF116" s="695">
        <v>298</v>
      </c>
      <c r="AG116" s="781"/>
      <c r="AH116" s="781"/>
      <c r="AI116" s="781"/>
      <c r="AJ116" s="781"/>
      <c r="AK116" s="781"/>
      <c r="AL116" s="781"/>
      <c r="AM116" s="781"/>
      <c r="AN116" s="781"/>
      <c r="AO116" s="781"/>
      <c r="AP116" s="781"/>
      <c r="AQ116" s="781"/>
      <c r="AR116" s="781"/>
      <c r="AS116" s="781"/>
      <c r="AT116" s="781"/>
      <c r="AU116" s="693">
        <v>20308.714900000003</v>
      </c>
      <c r="AV116" s="693">
        <v>0</v>
      </c>
      <c r="AW116" s="693">
        <v>0</v>
      </c>
      <c r="AX116" s="695">
        <v>0</v>
      </c>
      <c r="AY116" s="695">
        <v>0</v>
      </c>
      <c r="AZ116" s="197"/>
      <c r="BA116" s="600"/>
      <c r="BB116" s="600"/>
      <c r="BC116" s="600"/>
      <c r="BD116" s="5"/>
    </row>
    <row r="117" spans="1:56" ht="12.75" customHeight="1" x14ac:dyDescent="0.2">
      <c r="A117" s="600"/>
      <c r="B117" s="197"/>
      <c r="C117" s="533" t="str">
        <f>Translations!$B$333</f>
        <v>Przykł. 2</v>
      </c>
      <c r="D117" s="690" t="str">
        <f>Translations!$B$349</f>
        <v>Przenoszenie CO2</v>
      </c>
      <c r="E117" s="690" t="str">
        <f>Translations!$B$350</f>
        <v>Przenoszenie do instalacji objętej EU ETS X</v>
      </c>
      <c r="F117" s="779"/>
      <c r="G117" s="780"/>
      <c r="H117" s="779"/>
      <c r="I117" s="780"/>
      <c r="J117" s="779"/>
      <c r="K117" s="780"/>
      <c r="L117" s="780"/>
      <c r="M117" s="780"/>
      <c r="N117" s="779"/>
      <c r="O117" s="778"/>
      <c r="P117" s="779"/>
      <c r="Q117" s="778"/>
      <c r="R117" s="695">
        <v>0</v>
      </c>
      <c r="S117" s="692" t="s">
        <v>409</v>
      </c>
      <c r="T117" s="695">
        <v>0</v>
      </c>
      <c r="U117" s="692" t="s">
        <v>409</v>
      </c>
      <c r="V117" s="695">
        <v>1820</v>
      </c>
      <c r="W117" s="692" t="s">
        <v>533</v>
      </c>
      <c r="X117" s="695">
        <v>5000</v>
      </c>
      <c r="Y117" s="692" t="str">
        <f>Translations!$B$346</f>
        <v>h/rok</v>
      </c>
      <c r="Z117" s="695">
        <v>50</v>
      </c>
      <c r="AA117" s="692" t="str">
        <f>Translations!$B$347</f>
        <v>1000Nm3/h</v>
      </c>
      <c r="AB117" s="695">
        <v>250000</v>
      </c>
      <c r="AC117" s="692" t="str">
        <f>Translations!$B$348</f>
        <v>1000Nm3/rok</v>
      </c>
      <c r="AD117" s="695">
        <v>455000</v>
      </c>
      <c r="AE117" s="692" t="s">
        <v>212</v>
      </c>
      <c r="AF117" s="695">
        <v>1</v>
      </c>
      <c r="AG117" s="781"/>
      <c r="AH117" s="781"/>
      <c r="AI117" s="781"/>
      <c r="AJ117" s="781"/>
      <c r="AK117" s="781"/>
      <c r="AL117" s="781"/>
      <c r="AM117" s="781"/>
      <c r="AN117" s="781"/>
      <c r="AO117" s="781"/>
      <c r="AP117" s="781"/>
      <c r="AQ117" s="781"/>
      <c r="AR117" s="781"/>
      <c r="AS117" s="781"/>
      <c r="AT117" s="781"/>
      <c r="AU117" s="693">
        <v>-455000</v>
      </c>
      <c r="AV117" s="693">
        <v>0</v>
      </c>
      <c r="AW117" s="693">
        <v>0</v>
      </c>
      <c r="AX117" s="695">
        <v>0</v>
      </c>
      <c r="AY117" s="695">
        <v>0</v>
      </c>
      <c r="AZ117" s="197"/>
      <c r="BA117" s="600"/>
      <c r="BB117" s="600"/>
      <c r="BC117" s="600"/>
      <c r="BD117" s="5"/>
    </row>
    <row r="118" spans="1:56" x14ac:dyDescent="0.2">
      <c r="A118" s="600"/>
      <c r="B118" s="197"/>
      <c r="C118" s="529">
        <v>1</v>
      </c>
      <c r="D118" s="675"/>
      <c r="E118" s="594"/>
      <c r="F118" s="779"/>
      <c r="G118" s="780"/>
      <c r="H118" s="779"/>
      <c r="I118" s="780"/>
      <c r="J118" s="779"/>
      <c r="K118" s="780"/>
      <c r="L118" s="780"/>
      <c r="M118" s="780"/>
      <c r="N118" s="779"/>
      <c r="O118" s="778"/>
      <c r="P118" s="779"/>
      <c r="Q118" s="778"/>
      <c r="R118" s="599"/>
      <c r="S118" s="597"/>
      <c r="T118" s="599"/>
      <c r="U118" s="597"/>
      <c r="V118" s="599"/>
      <c r="W118" s="597"/>
      <c r="X118" s="599"/>
      <c r="Y118" s="597"/>
      <c r="Z118" s="599"/>
      <c r="AA118" s="597"/>
      <c r="AB118" s="599"/>
      <c r="AC118" s="597"/>
      <c r="AD118" s="599"/>
      <c r="AE118" s="597"/>
      <c r="AF118" s="599"/>
      <c r="AG118" s="781"/>
      <c r="AH118" s="781"/>
      <c r="AI118" s="781"/>
      <c r="AJ118" s="781"/>
      <c r="AK118" s="781"/>
      <c r="AL118" s="781"/>
      <c r="AM118" s="781"/>
      <c r="AN118" s="781"/>
      <c r="AO118" s="781"/>
      <c r="AP118" s="781"/>
      <c r="AQ118" s="781"/>
      <c r="AR118" s="781"/>
      <c r="AS118" s="781"/>
      <c r="AT118" s="781"/>
      <c r="AU118" s="598"/>
      <c r="AV118" s="598"/>
      <c r="AW118" s="598"/>
      <c r="AX118" s="599"/>
      <c r="AY118" s="599"/>
      <c r="AZ118" s="197"/>
      <c r="BA118" s="478" t="str">
        <f t="shared" ref="BA118:BA127" si="6">IF(SUM(AF118)&gt;1,EUconst_SumN2O,IF(SUM(AU118:AV118)&lt;0,EUconst_SumTransferCO2,EUconst_SumCO2))</f>
        <v>SUM_CO2</v>
      </c>
      <c r="BB118" s="573" t="str">
        <f t="shared" ref="BB118:BB127" si="7">EUconst_SumEnergyIN</f>
        <v>SUM_EnergyIN</v>
      </c>
      <c r="BC118" s="600"/>
      <c r="BD118" s="5"/>
    </row>
    <row r="119" spans="1:56" x14ac:dyDescent="0.2">
      <c r="A119" s="600"/>
      <c r="B119" s="197"/>
      <c r="C119" s="529">
        <v>2</v>
      </c>
      <c r="D119" s="675"/>
      <c r="E119" s="594"/>
      <c r="F119" s="779"/>
      <c r="G119" s="780"/>
      <c r="H119" s="779"/>
      <c r="I119" s="780"/>
      <c r="J119" s="779"/>
      <c r="K119" s="780"/>
      <c r="L119" s="780"/>
      <c r="M119" s="780"/>
      <c r="N119" s="779"/>
      <c r="O119" s="778"/>
      <c r="P119" s="779"/>
      <c r="Q119" s="778"/>
      <c r="R119" s="599"/>
      <c r="S119" s="597"/>
      <c r="T119" s="599"/>
      <c r="U119" s="597"/>
      <c r="V119" s="599"/>
      <c r="W119" s="597"/>
      <c r="X119" s="599"/>
      <c r="Y119" s="597"/>
      <c r="Z119" s="599"/>
      <c r="AA119" s="597"/>
      <c r="AB119" s="599"/>
      <c r="AC119" s="597"/>
      <c r="AD119" s="599"/>
      <c r="AE119" s="597"/>
      <c r="AF119" s="599"/>
      <c r="AG119" s="781"/>
      <c r="AH119" s="781"/>
      <c r="AI119" s="781"/>
      <c r="AJ119" s="781"/>
      <c r="AK119" s="781"/>
      <c r="AL119" s="781"/>
      <c r="AM119" s="781"/>
      <c r="AN119" s="781"/>
      <c r="AO119" s="781"/>
      <c r="AP119" s="781"/>
      <c r="AQ119" s="781"/>
      <c r="AR119" s="781"/>
      <c r="AS119" s="781"/>
      <c r="AT119" s="781"/>
      <c r="AU119" s="598"/>
      <c r="AV119" s="598"/>
      <c r="AW119" s="598"/>
      <c r="AX119" s="599"/>
      <c r="AY119" s="599"/>
      <c r="AZ119" s="197"/>
      <c r="BA119" s="478" t="str">
        <f t="shared" si="6"/>
        <v>SUM_CO2</v>
      </c>
      <c r="BB119" s="573" t="str">
        <f t="shared" si="7"/>
        <v>SUM_EnergyIN</v>
      </c>
      <c r="BC119" s="600"/>
      <c r="BD119" s="5"/>
    </row>
    <row r="120" spans="1:56" x14ac:dyDescent="0.2">
      <c r="A120" s="600"/>
      <c r="B120" s="197"/>
      <c r="C120" s="529">
        <v>3</v>
      </c>
      <c r="D120" s="675"/>
      <c r="E120" s="594"/>
      <c r="F120" s="779"/>
      <c r="G120" s="780"/>
      <c r="H120" s="779"/>
      <c r="I120" s="780"/>
      <c r="J120" s="779"/>
      <c r="K120" s="780"/>
      <c r="L120" s="780"/>
      <c r="M120" s="780"/>
      <c r="N120" s="779"/>
      <c r="O120" s="778"/>
      <c r="P120" s="779"/>
      <c r="Q120" s="778"/>
      <c r="R120" s="599"/>
      <c r="S120" s="597"/>
      <c r="T120" s="599"/>
      <c r="U120" s="597"/>
      <c r="V120" s="599"/>
      <c r="W120" s="597"/>
      <c r="X120" s="599"/>
      <c r="Y120" s="597"/>
      <c r="Z120" s="599"/>
      <c r="AA120" s="597"/>
      <c r="AB120" s="599"/>
      <c r="AC120" s="597"/>
      <c r="AD120" s="599"/>
      <c r="AE120" s="597"/>
      <c r="AF120" s="599"/>
      <c r="AG120" s="781"/>
      <c r="AH120" s="781"/>
      <c r="AI120" s="781"/>
      <c r="AJ120" s="781"/>
      <c r="AK120" s="781"/>
      <c r="AL120" s="781"/>
      <c r="AM120" s="781"/>
      <c r="AN120" s="781"/>
      <c r="AO120" s="781"/>
      <c r="AP120" s="781"/>
      <c r="AQ120" s="781"/>
      <c r="AR120" s="781"/>
      <c r="AS120" s="781"/>
      <c r="AT120" s="781"/>
      <c r="AU120" s="598"/>
      <c r="AV120" s="598"/>
      <c r="AW120" s="598"/>
      <c r="AX120" s="599"/>
      <c r="AY120" s="599"/>
      <c r="AZ120" s="197"/>
      <c r="BA120" s="478" t="str">
        <f t="shared" si="6"/>
        <v>SUM_CO2</v>
      </c>
      <c r="BB120" s="573" t="str">
        <f t="shared" si="7"/>
        <v>SUM_EnergyIN</v>
      </c>
      <c r="BC120" s="600"/>
      <c r="BD120" s="5"/>
    </row>
    <row r="121" spans="1:56" x14ac:dyDescent="0.2">
      <c r="A121" s="600"/>
      <c r="B121" s="197"/>
      <c r="C121" s="529">
        <v>4</v>
      </c>
      <c r="D121" s="675"/>
      <c r="E121" s="594"/>
      <c r="F121" s="779"/>
      <c r="G121" s="780"/>
      <c r="H121" s="779"/>
      <c r="I121" s="780"/>
      <c r="J121" s="779"/>
      <c r="K121" s="780"/>
      <c r="L121" s="780"/>
      <c r="M121" s="780"/>
      <c r="N121" s="779"/>
      <c r="O121" s="778"/>
      <c r="P121" s="779"/>
      <c r="Q121" s="778"/>
      <c r="R121" s="599"/>
      <c r="S121" s="597"/>
      <c r="T121" s="599"/>
      <c r="U121" s="597"/>
      <c r="V121" s="599"/>
      <c r="W121" s="597"/>
      <c r="X121" s="599"/>
      <c r="Y121" s="597"/>
      <c r="Z121" s="599"/>
      <c r="AA121" s="597"/>
      <c r="AB121" s="599"/>
      <c r="AC121" s="597"/>
      <c r="AD121" s="599"/>
      <c r="AE121" s="597"/>
      <c r="AF121" s="599"/>
      <c r="AG121" s="781"/>
      <c r="AH121" s="781"/>
      <c r="AI121" s="781"/>
      <c r="AJ121" s="781"/>
      <c r="AK121" s="781"/>
      <c r="AL121" s="781"/>
      <c r="AM121" s="781"/>
      <c r="AN121" s="781"/>
      <c r="AO121" s="781"/>
      <c r="AP121" s="781"/>
      <c r="AQ121" s="781"/>
      <c r="AR121" s="781"/>
      <c r="AS121" s="781"/>
      <c r="AT121" s="781"/>
      <c r="AU121" s="598"/>
      <c r="AV121" s="598"/>
      <c r="AW121" s="598"/>
      <c r="AX121" s="599"/>
      <c r="AY121" s="599"/>
      <c r="AZ121" s="197"/>
      <c r="BA121" s="478" t="str">
        <f t="shared" si="6"/>
        <v>SUM_CO2</v>
      </c>
      <c r="BB121" s="573" t="str">
        <f t="shared" si="7"/>
        <v>SUM_EnergyIN</v>
      </c>
      <c r="BC121" s="600"/>
      <c r="BD121" s="5"/>
    </row>
    <row r="122" spans="1:56" x14ac:dyDescent="0.2">
      <c r="A122" s="600"/>
      <c r="B122" s="197"/>
      <c r="C122" s="529">
        <v>5</v>
      </c>
      <c r="D122" s="675"/>
      <c r="E122" s="594"/>
      <c r="F122" s="779"/>
      <c r="G122" s="780"/>
      <c r="H122" s="779"/>
      <c r="I122" s="780"/>
      <c r="J122" s="779"/>
      <c r="K122" s="780"/>
      <c r="L122" s="780"/>
      <c r="M122" s="780"/>
      <c r="N122" s="779"/>
      <c r="O122" s="778"/>
      <c r="P122" s="779"/>
      <c r="Q122" s="778"/>
      <c r="R122" s="599"/>
      <c r="S122" s="597"/>
      <c r="T122" s="599"/>
      <c r="U122" s="597"/>
      <c r="V122" s="599"/>
      <c r="W122" s="597"/>
      <c r="X122" s="599"/>
      <c r="Y122" s="597"/>
      <c r="Z122" s="599"/>
      <c r="AA122" s="597"/>
      <c r="AB122" s="599"/>
      <c r="AC122" s="597"/>
      <c r="AD122" s="599"/>
      <c r="AE122" s="597"/>
      <c r="AF122" s="599"/>
      <c r="AG122" s="781"/>
      <c r="AH122" s="781"/>
      <c r="AI122" s="781"/>
      <c r="AJ122" s="781"/>
      <c r="AK122" s="781"/>
      <c r="AL122" s="781"/>
      <c r="AM122" s="781"/>
      <c r="AN122" s="781"/>
      <c r="AO122" s="781"/>
      <c r="AP122" s="781"/>
      <c r="AQ122" s="781"/>
      <c r="AR122" s="781"/>
      <c r="AS122" s="781"/>
      <c r="AT122" s="781"/>
      <c r="AU122" s="598"/>
      <c r="AV122" s="598"/>
      <c r="AW122" s="598"/>
      <c r="AX122" s="599"/>
      <c r="AY122" s="599"/>
      <c r="AZ122" s="197"/>
      <c r="BA122" s="478" t="str">
        <f t="shared" si="6"/>
        <v>SUM_CO2</v>
      </c>
      <c r="BB122" s="573" t="str">
        <f t="shared" si="7"/>
        <v>SUM_EnergyIN</v>
      </c>
      <c r="BC122" s="600"/>
      <c r="BD122" s="5"/>
    </row>
    <row r="123" spans="1:56" x14ac:dyDescent="0.2">
      <c r="A123" s="600"/>
      <c r="B123" s="197"/>
      <c r="C123" s="529">
        <v>6</v>
      </c>
      <c r="D123" s="675"/>
      <c r="E123" s="594"/>
      <c r="F123" s="779"/>
      <c r="G123" s="780"/>
      <c r="H123" s="779"/>
      <c r="I123" s="780"/>
      <c r="J123" s="779"/>
      <c r="K123" s="780"/>
      <c r="L123" s="780"/>
      <c r="M123" s="780"/>
      <c r="N123" s="779"/>
      <c r="O123" s="778"/>
      <c r="P123" s="779"/>
      <c r="Q123" s="778"/>
      <c r="R123" s="599"/>
      <c r="S123" s="597"/>
      <c r="T123" s="599"/>
      <c r="U123" s="597"/>
      <c r="V123" s="599"/>
      <c r="W123" s="597"/>
      <c r="X123" s="599"/>
      <c r="Y123" s="597"/>
      <c r="Z123" s="599"/>
      <c r="AA123" s="597"/>
      <c r="AB123" s="599"/>
      <c r="AC123" s="597"/>
      <c r="AD123" s="599"/>
      <c r="AE123" s="597"/>
      <c r="AF123" s="599"/>
      <c r="AG123" s="781"/>
      <c r="AH123" s="781"/>
      <c r="AI123" s="781"/>
      <c r="AJ123" s="781"/>
      <c r="AK123" s="781"/>
      <c r="AL123" s="781"/>
      <c r="AM123" s="781"/>
      <c r="AN123" s="781"/>
      <c r="AO123" s="781"/>
      <c r="AP123" s="781"/>
      <c r="AQ123" s="781"/>
      <c r="AR123" s="781"/>
      <c r="AS123" s="781"/>
      <c r="AT123" s="781"/>
      <c r="AU123" s="598"/>
      <c r="AV123" s="598"/>
      <c r="AW123" s="598"/>
      <c r="AX123" s="599"/>
      <c r="AY123" s="599"/>
      <c r="AZ123" s="197"/>
      <c r="BA123" s="478" t="str">
        <f t="shared" si="6"/>
        <v>SUM_CO2</v>
      </c>
      <c r="BB123" s="573" t="str">
        <f t="shared" si="7"/>
        <v>SUM_EnergyIN</v>
      </c>
      <c r="BC123" s="600"/>
      <c r="BD123" s="5"/>
    </row>
    <row r="124" spans="1:56" x14ac:dyDescent="0.2">
      <c r="A124" s="600"/>
      <c r="B124" s="197"/>
      <c r="C124" s="529">
        <v>7</v>
      </c>
      <c r="D124" s="675"/>
      <c r="E124" s="594"/>
      <c r="F124" s="779"/>
      <c r="G124" s="780"/>
      <c r="H124" s="779"/>
      <c r="I124" s="780"/>
      <c r="J124" s="779"/>
      <c r="K124" s="780"/>
      <c r="L124" s="780"/>
      <c r="M124" s="780"/>
      <c r="N124" s="779"/>
      <c r="O124" s="778"/>
      <c r="P124" s="779"/>
      <c r="Q124" s="778"/>
      <c r="R124" s="599"/>
      <c r="S124" s="597"/>
      <c r="T124" s="599"/>
      <c r="U124" s="597"/>
      <c r="V124" s="599"/>
      <c r="W124" s="597"/>
      <c r="X124" s="599"/>
      <c r="Y124" s="597"/>
      <c r="Z124" s="599"/>
      <c r="AA124" s="597"/>
      <c r="AB124" s="599"/>
      <c r="AC124" s="597"/>
      <c r="AD124" s="599"/>
      <c r="AE124" s="597"/>
      <c r="AF124" s="599"/>
      <c r="AG124" s="781"/>
      <c r="AH124" s="781"/>
      <c r="AI124" s="781"/>
      <c r="AJ124" s="781"/>
      <c r="AK124" s="781"/>
      <c r="AL124" s="781"/>
      <c r="AM124" s="781"/>
      <c r="AN124" s="781"/>
      <c r="AO124" s="781"/>
      <c r="AP124" s="781"/>
      <c r="AQ124" s="781"/>
      <c r="AR124" s="781"/>
      <c r="AS124" s="781"/>
      <c r="AT124" s="781"/>
      <c r="AU124" s="598"/>
      <c r="AV124" s="598"/>
      <c r="AW124" s="598"/>
      <c r="AX124" s="599"/>
      <c r="AY124" s="599"/>
      <c r="AZ124" s="197"/>
      <c r="BA124" s="478" t="str">
        <f t="shared" si="6"/>
        <v>SUM_CO2</v>
      </c>
      <c r="BB124" s="573" t="str">
        <f t="shared" si="7"/>
        <v>SUM_EnergyIN</v>
      </c>
      <c r="BC124" s="600"/>
      <c r="BD124" s="5"/>
    </row>
    <row r="125" spans="1:56" x14ac:dyDescent="0.2">
      <c r="A125" s="600"/>
      <c r="B125" s="197"/>
      <c r="C125" s="529">
        <v>8</v>
      </c>
      <c r="D125" s="675"/>
      <c r="E125" s="594"/>
      <c r="F125" s="779"/>
      <c r="G125" s="780"/>
      <c r="H125" s="779"/>
      <c r="I125" s="780"/>
      <c r="J125" s="779"/>
      <c r="K125" s="780"/>
      <c r="L125" s="780"/>
      <c r="M125" s="780"/>
      <c r="N125" s="779"/>
      <c r="O125" s="778"/>
      <c r="P125" s="779"/>
      <c r="Q125" s="778"/>
      <c r="R125" s="599"/>
      <c r="S125" s="597"/>
      <c r="T125" s="599"/>
      <c r="U125" s="597"/>
      <c r="V125" s="599"/>
      <c r="W125" s="597"/>
      <c r="X125" s="599"/>
      <c r="Y125" s="597"/>
      <c r="Z125" s="599"/>
      <c r="AA125" s="597"/>
      <c r="AB125" s="599"/>
      <c r="AC125" s="597"/>
      <c r="AD125" s="599"/>
      <c r="AE125" s="597"/>
      <c r="AF125" s="599"/>
      <c r="AG125" s="781"/>
      <c r="AH125" s="781"/>
      <c r="AI125" s="781"/>
      <c r="AJ125" s="781"/>
      <c r="AK125" s="781"/>
      <c r="AL125" s="781"/>
      <c r="AM125" s="781"/>
      <c r="AN125" s="781"/>
      <c r="AO125" s="781"/>
      <c r="AP125" s="781"/>
      <c r="AQ125" s="781"/>
      <c r="AR125" s="781"/>
      <c r="AS125" s="781"/>
      <c r="AT125" s="781"/>
      <c r="AU125" s="598"/>
      <c r="AV125" s="598"/>
      <c r="AW125" s="598"/>
      <c r="AX125" s="599"/>
      <c r="AY125" s="599"/>
      <c r="AZ125" s="197"/>
      <c r="BA125" s="478" t="str">
        <f t="shared" si="6"/>
        <v>SUM_CO2</v>
      </c>
      <c r="BB125" s="573" t="str">
        <f t="shared" si="7"/>
        <v>SUM_EnergyIN</v>
      </c>
      <c r="BC125" s="600"/>
      <c r="BD125" s="5"/>
    </row>
    <row r="126" spans="1:56" x14ac:dyDescent="0.2">
      <c r="A126" s="600"/>
      <c r="B126" s="197"/>
      <c r="C126" s="529">
        <v>9</v>
      </c>
      <c r="D126" s="675"/>
      <c r="E126" s="594"/>
      <c r="F126" s="779"/>
      <c r="G126" s="780"/>
      <c r="H126" s="779"/>
      <c r="I126" s="780"/>
      <c r="J126" s="779"/>
      <c r="K126" s="780"/>
      <c r="L126" s="780"/>
      <c r="M126" s="780"/>
      <c r="N126" s="779"/>
      <c r="O126" s="778"/>
      <c r="P126" s="779"/>
      <c r="Q126" s="778"/>
      <c r="R126" s="599"/>
      <c r="S126" s="597"/>
      <c r="T126" s="599"/>
      <c r="U126" s="597"/>
      <c r="V126" s="599"/>
      <c r="W126" s="597"/>
      <c r="X126" s="599"/>
      <c r="Y126" s="597"/>
      <c r="Z126" s="599"/>
      <c r="AA126" s="597"/>
      <c r="AB126" s="599"/>
      <c r="AC126" s="597"/>
      <c r="AD126" s="599"/>
      <c r="AE126" s="597"/>
      <c r="AF126" s="599"/>
      <c r="AG126" s="781"/>
      <c r="AH126" s="781"/>
      <c r="AI126" s="781"/>
      <c r="AJ126" s="781"/>
      <c r="AK126" s="781"/>
      <c r="AL126" s="781"/>
      <c r="AM126" s="781"/>
      <c r="AN126" s="781"/>
      <c r="AO126" s="781"/>
      <c r="AP126" s="781"/>
      <c r="AQ126" s="781"/>
      <c r="AR126" s="781"/>
      <c r="AS126" s="781"/>
      <c r="AT126" s="781"/>
      <c r="AU126" s="598"/>
      <c r="AV126" s="598"/>
      <c r="AW126" s="598"/>
      <c r="AX126" s="599"/>
      <c r="AY126" s="599"/>
      <c r="AZ126" s="197"/>
      <c r="BA126" s="478" t="str">
        <f t="shared" si="6"/>
        <v>SUM_CO2</v>
      </c>
      <c r="BB126" s="573" t="str">
        <f t="shared" si="7"/>
        <v>SUM_EnergyIN</v>
      </c>
      <c r="BC126" s="600"/>
      <c r="BD126" s="5"/>
    </row>
    <row r="127" spans="1:56" x14ac:dyDescent="0.2">
      <c r="A127" s="600"/>
      <c r="B127" s="197"/>
      <c r="C127" s="529">
        <v>10</v>
      </c>
      <c r="D127" s="675"/>
      <c r="E127" s="594"/>
      <c r="F127" s="779"/>
      <c r="G127" s="780"/>
      <c r="H127" s="779"/>
      <c r="I127" s="780"/>
      <c r="J127" s="779"/>
      <c r="K127" s="780"/>
      <c r="L127" s="780"/>
      <c r="M127" s="780"/>
      <c r="N127" s="779"/>
      <c r="O127" s="778"/>
      <c r="P127" s="779"/>
      <c r="Q127" s="778"/>
      <c r="R127" s="599"/>
      <c r="S127" s="597"/>
      <c r="T127" s="599"/>
      <c r="U127" s="597"/>
      <c r="V127" s="599"/>
      <c r="W127" s="597"/>
      <c r="X127" s="599"/>
      <c r="Y127" s="597"/>
      <c r="Z127" s="599"/>
      <c r="AA127" s="597"/>
      <c r="AB127" s="599"/>
      <c r="AC127" s="597"/>
      <c r="AD127" s="599"/>
      <c r="AE127" s="597"/>
      <c r="AF127" s="599"/>
      <c r="AG127" s="781"/>
      <c r="AH127" s="781"/>
      <c r="AI127" s="781"/>
      <c r="AJ127" s="781"/>
      <c r="AK127" s="781"/>
      <c r="AL127" s="781"/>
      <c r="AM127" s="781"/>
      <c r="AN127" s="781"/>
      <c r="AO127" s="781"/>
      <c r="AP127" s="781"/>
      <c r="AQ127" s="781"/>
      <c r="AR127" s="781"/>
      <c r="AS127" s="781"/>
      <c r="AT127" s="781"/>
      <c r="AU127" s="598"/>
      <c r="AV127" s="598"/>
      <c r="AW127" s="598"/>
      <c r="AX127" s="599"/>
      <c r="AY127" s="599"/>
      <c r="AZ127" s="197"/>
      <c r="BA127" s="478" t="str">
        <f t="shared" si="6"/>
        <v>SUM_CO2</v>
      </c>
      <c r="BB127" s="573" t="str">
        <f t="shared" si="7"/>
        <v>SUM_EnergyIN</v>
      </c>
      <c r="BC127" s="600"/>
      <c r="BD127" s="5"/>
    </row>
    <row r="128" spans="1:56" x14ac:dyDescent="0.2">
      <c r="A128" s="600"/>
      <c r="B128" s="197"/>
      <c r="C128" s="77"/>
      <c r="D128" s="197"/>
      <c r="E128" s="197"/>
      <c r="F128" s="197"/>
      <c r="G128" s="197"/>
      <c r="H128" s="197"/>
      <c r="I128" s="197"/>
      <c r="J128" s="197"/>
      <c r="K128" s="197"/>
      <c r="L128" s="197"/>
      <c r="N128" s="197"/>
      <c r="O128" s="197"/>
      <c r="P128" s="197"/>
      <c r="Q128" s="197"/>
      <c r="R128" s="197"/>
      <c r="S128" s="197"/>
      <c r="T128" s="197"/>
      <c r="U128" s="197"/>
      <c r="V128" s="197"/>
      <c r="W128" s="197"/>
      <c r="X128" s="197"/>
      <c r="Y128" s="197"/>
      <c r="Z128" s="197"/>
      <c r="AA128" s="197"/>
      <c r="AB128" s="197"/>
      <c r="AC128" s="197"/>
      <c r="AD128" s="197"/>
      <c r="AE128" s="197"/>
      <c r="AF128" s="197"/>
      <c r="AG128" s="197"/>
      <c r="AH128" s="197"/>
      <c r="AI128" s="197"/>
      <c r="AJ128" s="197"/>
      <c r="AK128" s="197"/>
      <c r="AL128" s="197"/>
      <c r="AM128" s="197"/>
      <c r="AN128" s="197"/>
      <c r="AO128" s="197"/>
      <c r="AP128" s="197"/>
      <c r="AQ128" s="197"/>
      <c r="AR128" s="197"/>
      <c r="AS128" s="197"/>
      <c r="AT128" s="197"/>
      <c r="AU128" s="197"/>
      <c r="AV128" s="197"/>
      <c r="AW128" s="197"/>
      <c r="AX128" s="197"/>
      <c r="AY128" s="197"/>
      <c r="AZ128" s="197"/>
      <c r="BA128" s="600"/>
      <c r="BB128" s="600"/>
      <c r="BC128" s="600"/>
      <c r="BD128" s="5"/>
    </row>
    <row r="129" spans="1:56" ht="50.1" customHeight="1" thickBot="1" x14ac:dyDescent="0.45">
      <c r="A129" s="600"/>
      <c r="B129" s="197"/>
      <c r="C129" s="77"/>
      <c r="D129" s="522" t="str">
        <f>Translations!$B$271</f>
        <v>Rozwiązania rezerwowe (fall-back)</v>
      </c>
      <c r="E129" s="197"/>
      <c r="F129" s="197"/>
      <c r="G129" s="197"/>
      <c r="H129" s="197"/>
      <c r="I129" s="197"/>
      <c r="J129" s="197"/>
      <c r="K129" s="197"/>
      <c r="L129" s="197"/>
      <c r="N129" s="197"/>
      <c r="O129" s="197"/>
      <c r="P129" s="197"/>
      <c r="Q129" s="197"/>
      <c r="R129" s="197"/>
      <c r="S129" s="197"/>
      <c r="T129" s="197"/>
      <c r="U129" s="197"/>
      <c r="V129" s="197"/>
      <c r="W129" s="197"/>
      <c r="X129" s="197"/>
      <c r="Y129" s="197"/>
      <c r="Z129" s="197"/>
      <c r="AA129" s="197"/>
      <c r="AB129" s="197"/>
      <c r="AC129" s="197"/>
      <c r="AD129" s="197"/>
      <c r="AE129" s="197"/>
      <c r="AF129" s="197"/>
      <c r="AG129" s="197"/>
      <c r="AH129" s="197"/>
      <c r="AI129" s="197"/>
      <c r="AJ129" s="197"/>
      <c r="AK129" s="197"/>
      <c r="AL129" s="197"/>
      <c r="AM129" s="197"/>
      <c r="AN129" s="197"/>
      <c r="AO129" s="197"/>
      <c r="AP129" s="197"/>
      <c r="AQ129" s="197"/>
      <c r="AR129" s="197"/>
      <c r="AS129" s="197"/>
      <c r="AT129" s="197"/>
      <c r="AU129" s="197"/>
      <c r="AV129" s="197"/>
      <c r="AW129" s="197"/>
      <c r="AX129" s="197"/>
      <c r="AY129" s="197"/>
      <c r="AZ129" s="197"/>
      <c r="BA129" s="600"/>
      <c r="BB129" s="600"/>
      <c r="BC129" s="600"/>
      <c r="BD129" s="5"/>
    </row>
    <row r="130" spans="1:56" ht="50.1" customHeight="1" thickBot="1" x14ac:dyDescent="0.25">
      <c r="A130" s="600"/>
      <c r="B130" s="197"/>
      <c r="C130" s="523" t="s">
        <v>482</v>
      </c>
      <c r="D130" s="524" t="str">
        <f>Translations!$B$282</f>
        <v>Metoda</v>
      </c>
      <c r="E130" s="524" t="str">
        <f>Translations!$B$340</f>
        <v>Nazwa</v>
      </c>
      <c r="F130" s="525" t="str">
        <f>Translations!$B$284</f>
        <v>Dane dotyczące działalności (AD)</v>
      </c>
      <c r="G130" s="525" t="str">
        <f>Translations!$B$285</f>
        <v>Jednostka AD</v>
      </c>
      <c r="H130" s="525" t="str">
        <f>Translations!$B$286</f>
        <v>Wartość opałowa (NCV)</v>
      </c>
      <c r="I130" s="525" t="str">
        <f>Translations!$B$287</f>
        <v>Jednostka NCV</v>
      </c>
      <c r="J130" s="525" t="str">
        <f>Translations!$B$288</f>
        <v>Współczynnik emisji (EF)</v>
      </c>
      <c r="K130" s="525" t="str">
        <f>Translations!$B$289</f>
        <v>Jednostka EF</v>
      </c>
      <c r="L130" s="525" t="str">
        <f>Translations!$B$290</f>
        <v>Zawartość węgla</v>
      </c>
      <c r="M130" s="525" t="str">
        <f>Translations!$B$291</f>
        <v>Jednostka zawartości węgla</v>
      </c>
      <c r="N130" s="525" t="str">
        <f>Translations!$B$292</f>
        <v>Współczynnik utleniania (OxF)</v>
      </c>
      <c r="O130" s="525" t="str">
        <f>Translations!$B$293</f>
        <v>Jednostka OxF</v>
      </c>
      <c r="P130" s="525" t="str">
        <f>Translations!$B$294</f>
        <v>Współczynnik konwersji</v>
      </c>
      <c r="Q130" s="525" t="str">
        <f>Translations!$B$295</f>
        <v>Jednostka współczynnika konwersji</v>
      </c>
      <c r="R130" s="525" t="str">
        <f>Translations!$B$296</f>
        <v>Zawartość biomasy (BioC)</v>
      </c>
      <c r="S130" s="525" t="str">
        <f>Translations!$B$297</f>
        <v>Jednostka BioC</v>
      </c>
      <c r="T130" s="525" t="str">
        <f>Translations!$B$298</f>
        <v>BioC niezrówn.</v>
      </c>
      <c r="U130" s="525" t="str">
        <f>Translations!$B$299</f>
        <v>Jednostka BioC niezrówn.</v>
      </c>
      <c r="V130" s="525" t="str">
        <f>Translations!$B$300</f>
        <v>Średnie godzinowe stężenie gazów cieplarnianych (GHG)</v>
      </c>
      <c r="W130" s="525" t="str">
        <f>Translations!$B$301</f>
        <v>Jednostka godzinowego stężenia GHG</v>
      </c>
      <c r="X130" s="525" t="str">
        <f>Translations!$B$302</f>
        <v>Godziny działania</v>
      </c>
      <c r="Y130" s="525" t="str">
        <f>Translations!$B$303</f>
        <v>Jednostka godzin działania</v>
      </c>
      <c r="Z130" s="525" t="str">
        <f>Translations!$B$304</f>
        <v>Przepływ spalin (średnia)</v>
      </c>
      <c r="AA130" s="525" t="str">
        <f>Translations!$B$305</f>
        <v>Jednostka przepływu spalin (średnia)</v>
      </c>
      <c r="AB130" s="525" t="str">
        <f>Translations!$B$306</f>
        <v>Przepływ spalin (łącznie)</v>
      </c>
      <c r="AC130" s="525" t="str">
        <f>Translations!$B$307</f>
        <v>Jednostka przepływu spalin (łącznie)</v>
      </c>
      <c r="AD130" s="525" t="str">
        <f>Translations!$B$308</f>
        <v>Roczna ilość GHG</v>
      </c>
      <c r="AE130" s="525" t="str">
        <f>Translations!$B$309</f>
        <v>Jednostka rocznej ilości GHG</v>
      </c>
      <c r="AF130" s="525" t="str">
        <f>Translations!$B$310</f>
        <v>Współczynnik ocieplenia globalnego GWP (tCO2e/t)</v>
      </c>
      <c r="AG130" s="525" t="str">
        <f>Translations!$B$311</f>
        <v>A: Częstotliwość</v>
      </c>
      <c r="AH130" s="525" t="str">
        <f>Translations!$B$312</f>
        <v>A: Czas trwania</v>
      </c>
      <c r="AI130" s="525" t="str">
        <f>Translations!$B$313</f>
        <v>A: SEF (CF4)</v>
      </c>
      <c r="AJ130" s="525" t="str">
        <f>Translations!$B$314</f>
        <v>B: AEO</v>
      </c>
      <c r="AK130" s="525" t="str">
        <f>Translations!$B$315</f>
        <v>B: CE</v>
      </c>
      <c r="AL130" s="525" t="str">
        <f>Translations!$B$316</f>
        <v>B: OVC</v>
      </c>
      <c r="AM130" s="525" t="str">
        <f>Translations!$B$317</f>
        <v>F(C2F6)</v>
      </c>
      <c r="AN130" s="525" t="str">
        <f>Translations!$B$318</f>
        <v>Emisje CF4 (t CF4)</v>
      </c>
      <c r="AO130" s="525" t="str">
        <f>Translations!$B$319</f>
        <v>Emisje C2F6 (t C2F6)</v>
      </c>
      <c r="AP130" s="525" t="str">
        <f>Translations!$B$320</f>
        <v>GWP (CF4) (tCO2e/t)</v>
      </c>
      <c r="AQ130" s="525" t="str">
        <f>Translations!$B$321</f>
        <v>GWP (C2F6) (tCO2e/t)</v>
      </c>
      <c r="AR130" s="525" t="str">
        <f>Translations!$B$322</f>
        <v>Emisje CF4 (t CO2e)</v>
      </c>
      <c r="AS130" s="525" t="str">
        <f>Translations!$B$323</f>
        <v>Emisje C2F6 (t CO2e)</v>
      </c>
      <c r="AT130" s="525" t="str">
        <f>Translations!$B$324</f>
        <v>Całkowita wydajność, %</v>
      </c>
      <c r="AU130" s="525" t="str">
        <f>Translations!$B$325</f>
        <v>Kopalne CO2e (t)</v>
      </c>
      <c r="AV130" s="525" t="str">
        <f>Translations!$B$326</f>
        <v>CO2e z biomasy (t)</v>
      </c>
      <c r="AW130" s="525" t="str">
        <f>Translations!$B$327</f>
        <v>CO2e z biomasy niezrówn. (t)</v>
      </c>
      <c r="AX130" s="526" t="str">
        <f>Translations!$B$328</f>
        <v>Zawartość energii (kopalne), TJ</v>
      </c>
      <c r="AY130" s="527" t="str">
        <f>Translations!$B$329</f>
        <v>Zawartość energii (biomasa), TJ</v>
      </c>
      <c r="AZ130" s="197"/>
      <c r="BA130" s="600"/>
      <c r="BB130" s="600"/>
      <c r="BC130" s="600"/>
      <c r="BD130" s="5"/>
    </row>
    <row r="131" spans="1:56" ht="12.75" customHeight="1" x14ac:dyDescent="0.2">
      <c r="A131" s="600"/>
      <c r="B131" s="197"/>
      <c r="C131" s="696" t="str">
        <f>Translations!$B$341</f>
        <v>Przykł.</v>
      </c>
      <c r="D131" s="673" t="str">
        <f>Translations!$B$271</f>
        <v>Rozwiązania rezerwowe (fall-back)</v>
      </c>
      <c r="E131" s="782"/>
      <c r="F131" s="783"/>
      <c r="G131" s="784"/>
      <c r="H131" s="783"/>
      <c r="I131" s="784"/>
      <c r="J131" s="783"/>
      <c r="K131" s="784"/>
      <c r="L131" s="784"/>
      <c r="M131" s="784"/>
      <c r="N131" s="783"/>
      <c r="O131" s="785"/>
      <c r="P131" s="783"/>
      <c r="Q131" s="785"/>
      <c r="R131" s="783"/>
      <c r="S131" s="785"/>
      <c r="T131" s="783"/>
      <c r="U131" s="785"/>
      <c r="V131" s="785"/>
      <c r="W131" s="785"/>
      <c r="X131" s="785"/>
      <c r="Y131" s="785"/>
      <c r="Z131" s="785"/>
      <c r="AA131" s="785"/>
      <c r="AB131" s="785"/>
      <c r="AC131" s="785"/>
      <c r="AD131" s="785"/>
      <c r="AE131" s="785"/>
      <c r="AF131" s="785"/>
      <c r="AG131" s="785"/>
      <c r="AH131" s="785"/>
      <c r="AI131" s="785"/>
      <c r="AJ131" s="785"/>
      <c r="AK131" s="785"/>
      <c r="AL131" s="785"/>
      <c r="AM131" s="785"/>
      <c r="AN131" s="785"/>
      <c r="AO131" s="785"/>
      <c r="AP131" s="785"/>
      <c r="AQ131" s="785"/>
      <c r="AR131" s="785"/>
      <c r="AS131" s="785"/>
      <c r="AT131" s="785"/>
      <c r="AU131" s="697">
        <v>2850</v>
      </c>
      <c r="AV131" s="697">
        <v>340</v>
      </c>
      <c r="AW131" s="697">
        <v>0</v>
      </c>
      <c r="AX131" s="698">
        <v>45</v>
      </c>
      <c r="AY131" s="698">
        <v>5</v>
      </c>
      <c r="AZ131" s="197"/>
      <c r="BA131" s="600"/>
      <c r="BB131" s="600"/>
      <c r="BC131" s="600"/>
      <c r="BD131" s="5"/>
    </row>
    <row r="132" spans="1:56" x14ac:dyDescent="0.2">
      <c r="A132" s="600"/>
      <c r="B132" s="197"/>
      <c r="C132" s="528">
        <v>1</v>
      </c>
      <c r="D132" s="690" t="str">
        <f>Translations!$B$271</f>
        <v>Rozwiązania rezerwowe (fall-back)</v>
      </c>
      <c r="E132" s="786"/>
      <c r="F132" s="779"/>
      <c r="G132" s="780"/>
      <c r="H132" s="779"/>
      <c r="I132" s="780"/>
      <c r="J132" s="779"/>
      <c r="K132" s="780"/>
      <c r="L132" s="780"/>
      <c r="M132" s="780"/>
      <c r="N132" s="779"/>
      <c r="O132" s="778"/>
      <c r="P132" s="779"/>
      <c r="Q132" s="778"/>
      <c r="R132" s="779"/>
      <c r="S132" s="778"/>
      <c r="T132" s="779"/>
      <c r="U132" s="778"/>
      <c r="V132" s="778"/>
      <c r="W132" s="778"/>
      <c r="X132" s="778"/>
      <c r="Y132" s="778"/>
      <c r="Z132" s="778"/>
      <c r="AA132" s="778"/>
      <c r="AB132" s="778"/>
      <c r="AC132" s="778"/>
      <c r="AD132" s="778"/>
      <c r="AE132" s="778"/>
      <c r="AF132" s="778"/>
      <c r="AG132" s="778"/>
      <c r="AH132" s="778"/>
      <c r="AI132" s="778"/>
      <c r="AJ132" s="778"/>
      <c r="AK132" s="778"/>
      <c r="AL132" s="778"/>
      <c r="AM132" s="778"/>
      <c r="AN132" s="778"/>
      <c r="AO132" s="778"/>
      <c r="AP132" s="778"/>
      <c r="AQ132" s="778"/>
      <c r="AR132" s="778"/>
      <c r="AS132" s="778"/>
      <c r="AT132" s="778"/>
      <c r="AU132" s="598"/>
      <c r="AV132" s="598"/>
      <c r="AW132" s="598"/>
      <c r="AX132" s="599"/>
      <c r="AY132" s="599"/>
      <c r="AZ132" s="197"/>
      <c r="BA132" s="478" t="str">
        <f>EUconst_SumCO2</f>
        <v>SUM_CO2</v>
      </c>
      <c r="BB132" s="573" t="str">
        <f>EUconst_SumEnergyIN</f>
        <v>SUM_EnergyIN</v>
      </c>
      <c r="BC132" s="600"/>
      <c r="BD132" s="5"/>
    </row>
    <row r="133" spans="1:56" x14ac:dyDescent="0.2">
      <c r="AZ133" s="672"/>
      <c r="BC133" s="674"/>
      <c r="BD133" s="5"/>
    </row>
    <row r="134" spans="1:56" s="2" customFormat="1" hidden="1" x14ac:dyDescent="0.2">
      <c r="A134" s="2" t="s">
        <v>101</v>
      </c>
      <c r="B134" s="2" t="s">
        <v>350</v>
      </c>
      <c r="C134" s="2" t="s">
        <v>350</v>
      </c>
      <c r="D134" s="2" t="s">
        <v>350</v>
      </c>
      <c r="E134" s="2" t="s">
        <v>350</v>
      </c>
      <c r="F134" s="2" t="s">
        <v>350</v>
      </c>
      <c r="G134" s="2" t="s">
        <v>350</v>
      </c>
      <c r="H134" s="2" t="s">
        <v>350</v>
      </c>
      <c r="I134" s="2" t="s">
        <v>350</v>
      </c>
      <c r="J134" s="2" t="s">
        <v>350</v>
      </c>
      <c r="K134" s="2" t="s">
        <v>350</v>
      </c>
      <c r="L134" s="2" t="s">
        <v>350</v>
      </c>
      <c r="M134" s="2" t="s">
        <v>350</v>
      </c>
      <c r="N134" s="2" t="s">
        <v>350</v>
      </c>
      <c r="O134" s="2" t="s">
        <v>350</v>
      </c>
      <c r="P134" s="2" t="s">
        <v>350</v>
      </c>
      <c r="Q134" s="2" t="s">
        <v>350</v>
      </c>
      <c r="R134" s="2" t="s">
        <v>350</v>
      </c>
      <c r="S134" s="2" t="s">
        <v>350</v>
      </c>
      <c r="T134" s="2" t="s">
        <v>350</v>
      </c>
      <c r="U134" s="2" t="s">
        <v>350</v>
      </c>
      <c r="V134" s="2" t="s">
        <v>350</v>
      </c>
      <c r="W134" s="2" t="s">
        <v>350</v>
      </c>
      <c r="X134" s="2" t="s">
        <v>350</v>
      </c>
      <c r="Y134" s="2" t="s">
        <v>350</v>
      </c>
      <c r="Z134" s="2" t="s">
        <v>350</v>
      </c>
      <c r="AA134" s="2" t="s">
        <v>350</v>
      </c>
      <c r="AB134" s="2" t="s">
        <v>350</v>
      </c>
      <c r="AC134" s="2" t="s">
        <v>350</v>
      </c>
      <c r="AD134" s="2" t="s">
        <v>350</v>
      </c>
      <c r="AE134" s="2" t="s">
        <v>350</v>
      </c>
      <c r="AF134" s="2" t="s">
        <v>350</v>
      </c>
      <c r="AG134" s="2" t="s">
        <v>350</v>
      </c>
      <c r="AH134" s="2" t="s">
        <v>350</v>
      </c>
      <c r="AI134" s="2" t="s">
        <v>350</v>
      </c>
      <c r="AJ134" s="2" t="s">
        <v>350</v>
      </c>
      <c r="AK134" s="2" t="s">
        <v>350</v>
      </c>
      <c r="AL134" s="2" t="s">
        <v>350</v>
      </c>
      <c r="AM134" s="2" t="s">
        <v>350</v>
      </c>
      <c r="AN134" s="2" t="s">
        <v>350</v>
      </c>
      <c r="AO134" s="2" t="s">
        <v>350</v>
      </c>
      <c r="AP134" s="2" t="s">
        <v>350</v>
      </c>
      <c r="AQ134" s="2" t="s">
        <v>350</v>
      </c>
      <c r="AR134" s="2" t="s">
        <v>350</v>
      </c>
      <c r="AS134" s="2" t="s">
        <v>350</v>
      </c>
      <c r="AT134" s="2" t="s">
        <v>350</v>
      </c>
      <c r="AU134" s="2" t="s">
        <v>350</v>
      </c>
      <c r="AV134" s="2" t="s">
        <v>350</v>
      </c>
      <c r="AW134" s="2" t="s">
        <v>350</v>
      </c>
      <c r="AX134" s="2" t="s">
        <v>350</v>
      </c>
      <c r="AY134" s="2" t="s">
        <v>350</v>
      </c>
      <c r="AZ134" s="2" t="s">
        <v>350</v>
      </c>
      <c r="BA134" s="2" t="s">
        <v>350</v>
      </c>
      <c r="BB134" s="2" t="s">
        <v>350</v>
      </c>
      <c r="BC134" s="430"/>
    </row>
    <row r="135" spans="1:56" x14ac:dyDescent="0.2">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674"/>
      <c r="BB135" s="674"/>
      <c r="BC135" s="674"/>
      <c r="BD135" s="5"/>
    </row>
  </sheetData>
  <sheetProtection formatCells="0" formatColumns="0" formatRows="0"/>
  <mergeCells count="26">
    <mergeCell ref="L2:M2"/>
    <mergeCell ref="F3:G3"/>
    <mergeCell ref="H3:I3"/>
    <mergeCell ref="J3:K3"/>
    <mergeCell ref="L3:M3"/>
    <mergeCell ref="B2:D3"/>
    <mergeCell ref="F2:G2"/>
    <mergeCell ref="H2:I2"/>
    <mergeCell ref="J2:K2"/>
    <mergeCell ref="B4:D4"/>
    <mergeCell ref="F4:G4"/>
    <mergeCell ref="H4:I4"/>
    <mergeCell ref="J4:K4"/>
    <mergeCell ref="L4:M4"/>
    <mergeCell ref="D15:K15"/>
    <mergeCell ref="D16:K16"/>
    <mergeCell ref="D17:K17"/>
    <mergeCell ref="D18:K18"/>
    <mergeCell ref="D8:N8"/>
    <mergeCell ref="D10:I10"/>
    <mergeCell ref="J10:K10"/>
    <mergeCell ref="D11:K11"/>
    <mergeCell ref="D12:K12"/>
    <mergeCell ref="D14:N14"/>
    <mergeCell ref="D6:I6"/>
    <mergeCell ref="J6:K6"/>
  </mergeCells>
  <conditionalFormatting sqref="D24:G24 AV24:AW24 AG103:AY112 D103:G112 D118:E127 R118:AF127 AU118:AY127 AU132:AY132 AU27:AY98 D27:U98 AY24 K24:U24">
    <cfRule type="expression" dxfId="357" priority="13" stopIfTrue="1">
      <formula>MSconst_AllowInstEmmisionTotals</formula>
    </cfRule>
  </conditionalFormatting>
  <conditionalFormatting sqref="D26:G26 AU26 AW26:AX26 K26:U26">
    <cfRule type="expression" dxfId="356" priority="12" stopIfTrue="1">
      <formula>MSconst_AllowInstEmmisionTotals</formula>
    </cfRule>
  </conditionalFormatting>
  <conditionalFormatting sqref="AU24">
    <cfRule type="expression" dxfId="355" priority="11" stopIfTrue="1">
      <formula>MSconst_AllowInstEmmisionTotals</formula>
    </cfRule>
  </conditionalFormatting>
  <conditionalFormatting sqref="AX24">
    <cfRule type="expression" dxfId="354" priority="10" stopIfTrue="1">
      <formula>MSconst_AllowInstEmmisionTotals</formula>
    </cfRule>
  </conditionalFormatting>
  <conditionalFormatting sqref="AV26">
    <cfRule type="expression" dxfId="353" priority="9" stopIfTrue="1">
      <formula>MSconst_AllowInstEmmisionTotals</formula>
    </cfRule>
  </conditionalFormatting>
  <conditionalFormatting sqref="AY26">
    <cfRule type="expression" dxfId="352" priority="8" stopIfTrue="1">
      <formula>MSconst_AllowInstEmmisionTotals</formula>
    </cfRule>
  </conditionalFormatting>
  <conditionalFormatting sqref="H24:J24">
    <cfRule type="expression" dxfId="351" priority="7" stopIfTrue="1">
      <formula>MSconst_AllowInstEmmisionTotals</formula>
    </cfRule>
  </conditionalFormatting>
  <conditionalFormatting sqref="H26:J26">
    <cfRule type="expression" dxfId="350" priority="6" stopIfTrue="1">
      <formula>MSconst_AllowInstEmmisionTotals</formula>
    </cfRule>
  </conditionalFormatting>
  <conditionalFormatting sqref="D25:G25 AU25 AW25:AX25 K25:U25">
    <cfRule type="expression" dxfId="349" priority="4" stopIfTrue="1">
      <formula>MSconst_AllowInstEmmisionTotals</formula>
    </cfRule>
  </conditionalFormatting>
  <conditionalFormatting sqref="AV25">
    <cfRule type="expression" dxfId="348" priority="3" stopIfTrue="1">
      <formula>MSconst_AllowInstEmmisionTotals</formula>
    </cfRule>
  </conditionalFormatting>
  <conditionalFormatting sqref="AY25">
    <cfRule type="expression" dxfId="347" priority="2" stopIfTrue="1">
      <formula>MSconst_AllowInstEmmisionTotals</formula>
    </cfRule>
  </conditionalFormatting>
  <conditionalFormatting sqref="H25:J25">
    <cfRule type="expression" dxfId="346" priority="1" stopIfTrue="1">
      <formula>MSconst_AllowInstEmmisionTotals</formula>
    </cfRule>
  </conditionalFormatting>
  <hyperlinks>
    <hyperlink ref="F2:G2" location="JUMP_TOC_Home" display="Table of contents"/>
    <hyperlink ref="L2:M2" location="JUMP_K_I" display="Summary"/>
    <hyperlink ref="J2:K2" location="JUMP_BY4_Top" display="JUMP_BY4_Top"/>
    <hyperlink ref="H2:I2" location="JUMP_BY2_Top" display="JUMP_BY2_Top"/>
    <hyperlink ref="E3" location="JUMP_BY3_Top" display="JUMP_BY3_Top"/>
    <hyperlink ref="F3:G3" location="JUMP_BY3_Source" display="Source streams (excl. PFC)"/>
    <hyperlink ref="H3:I3" location="JUMP_BY3_PFC" display="PFC source streams"/>
    <hyperlink ref="J3:K3" location="JUMP_BY3_Emissions" display="Emission Sources (CEMS)"/>
    <hyperlink ref="L3:M3" location="JUMP_BY3_Fallback" display="Fall-back"/>
  </hyperlinks>
  <pageMargins left="0.70866141732283472" right="0.70866141732283472" top="0.78740157480314965" bottom="0.78740157480314965" header="0.31496062992125984" footer="0.31496062992125984"/>
  <pageSetup paperSize="9" scale="37" fitToWidth="10" orientation="portrait" r:id="rId1"/>
  <headerFooter>
    <oddFooter>&amp;L&amp;F; &amp;A&amp;C&amp;P / &amp;N&amp;R&amp;D; &amp;T</oddFooter>
  </headerFooter>
  <colBreaks count="1" manualBreakCount="1">
    <brk id="51" min="4" max="131"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tabColor rgb="FFCCFFCC"/>
    <pageSetUpPr fitToPage="1"/>
  </sheetPr>
  <dimension ref="A1:BD136"/>
  <sheetViews>
    <sheetView topLeftCell="B1" zoomScaleNormal="100" workbookViewId="0">
      <pane ySplit="4" topLeftCell="A5" activePane="bottomLeft" state="frozen"/>
      <selection activeCell="C2" sqref="C2"/>
      <selection pane="bottomLeft" activeCell="B24" sqref="A24:XFD25"/>
    </sheetView>
  </sheetViews>
  <sheetFormatPr defaultColWidth="11.42578125" defaultRowHeight="12.75" x14ac:dyDescent="0.2"/>
  <cols>
    <col min="1" max="1" width="3.42578125" style="671" hidden="1" customWidth="1"/>
    <col min="2" max="2" width="3.42578125" style="199" customWidth="1"/>
    <col min="3" max="3" width="8.42578125" style="6" bestFit="1" customWidth="1"/>
    <col min="4" max="4" width="21.5703125" style="199" bestFit="1" customWidth="1"/>
    <col min="5" max="5" width="35.7109375" style="199" customWidth="1"/>
    <col min="6" max="6" width="15.7109375" style="199" customWidth="1"/>
    <col min="7" max="51" width="12.7109375" style="199" customWidth="1"/>
    <col min="52" max="52" width="9.140625" style="199" customWidth="1"/>
    <col min="53" max="55" width="11.42578125" style="671" hidden="1" customWidth="1"/>
    <col min="56" max="16384" width="11.42578125" style="672"/>
  </cols>
  <sheetData>
    <row r="1" spans="1:56" ht="13.5" hidden="1" thickBot="1" x14ac:dyDescent="0.25">
      <c r="A1" s="509" t="s">
        <v>101</v>
      </c>
      <c r="B1" s="519"/>
      <c r="C1" s="520"/>
      <c r="D1" s="519"/>
      <c r="E1" s="519"/>
      <c r="F1" s="519"/>
      <c r="G1" s="519"/>
      <c r="H1" s="519"/>
      <c r="I1" s="519"/>
      <c r="J1" s="519"/>
      <c r="K1" s="519"/>
      <c r="L1" s="521"/>
      <c r="M1" s="519"/>
      <c r="N1" s="519"/>
      <c r="O1" s="519"/>
      <c r="P1" s="519"/>
      <c r="Q1" s="519"/>
      <c r="R1" s="519"/>
      <c r="S1" s="519"/>
      <c r="T1" s="519"/>
      <c r="U1" s="519"/>
      <c r="V1" s="519"/>
      <c r="W1" s="519"/>
      <c r="X1" s="519"/>
      <c r="Y1" s="519"/>
      <c r="Z1" s="519"/>
      <c r="AA1" s="519"/>
      <c r="AB1" s="519"/>
      <c r="AC1" s="519"/>
      <c r="AD1" s="519"/>
      <c r="AE1" s="519"/>
      <c r="AF1" s="519"/>
      <c r="AG1" s="519"/>
      <c r="AH1" s="519"/>
      <c r="AI1" s="519"/>
      <c r="AJ1" s="519"/>
      <c r="AK1" s="519"/>
      <c r="AL1" s="519"/>
      <c r="AM1" s="519"/>
      <c r="AN1" s="519"/>
      <c r="AO1" s="519"/>
      <c r="AP1" s="519"/>
      <c r="AQ1" s="519"/>
      <c r="AR1" s="519"/>
      <c r="AS1" s="519"/>
      <c r="AT1" s="519"/>
      <c r="AU1" s="519"/>
      <c r="AV1" s="519"/>
      <c r="AW1" s="519"/>
      <c r="AX1" s="519"/>
      <c r="AY1" s="519"/>
      <c r="AZ1" s="519"/>
      <c r="BA1" s="600" t="s">
        <v>101</v>
      </c>
      <c r="BB1" s="600" t="s">
        <v>101</v>
      </c>
      <c r="BC1" s="600" t="s">
        <v>101</v>
      </c>
      <c r="BD1" s="5"/>
    </row>
    <row r="2" spans="1:56" ht="13.5" customHeight="1" thickBot="1" x14ac:dyDescent="0.25">
      <c r="A2" s="600"/>
      <c r="B2" s="1548" t="str">
        <f>Translations!$B$267</f>
        <v>Dane roczne dotyczące emisji B+C</v>
      </c>
      <c r="C2" s="1584"/>
      <c r="D2" s="1585"/>
      <c r="E2" s="793" t="str">
        <f>Translations!$B$2</f>
        <v>Obszar nawigacji:</v>
      </c>
      <c r="F2" s="1558" t="str">
        <f>Translations!$B$18</f>
        <v>Spis treści</v>
      </c>
      <c r="G2" s="1339"/>
      <c r="H2" s="1339" t="str">
        <f>Translations!$B$19</f>
        <v>Poprzedni arkusz</v>
      </c>
      <c r="I2" s="1607"/>
      <c r="J2" s="1339" t="str">
        <f>Translations!$B$3</f>
        <v>Następny arkusz</v>
      </c>
      <c r="K2" s="1607"/>
      <c r="L2" s="1339" t="str">
        <f>Translations!$B$4</f>
        <v>Podsumowanie</v>
      </c>
      <c r="M2" s="160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602" t="s">
        <v>512</v>
      </c>
      <c r="BB2" s="601">
        <v>4</v>
      </c>
      <c r="BC2" s="689"/>
      <c r="BD2" s="5"/>
    </row>
    <row r="3" spans="1:56" ht="13.5" thickBot="1" x14ac:dyDescent="0.25">
      <c r="A3" s="600"/>
      <c r="B3" s="1586"/>
      <c r="C3" s="1587"/>
      <c r="D3" s="1588"/>
      <c r="E3" s="1090" t="str">
        <f>Translations!$B$5</f>
        <v>Początek arkusza</v>
      </c>
      <c r="F3" s="1597" t="str">
        <f>Translations!$B$268</f>
        <v>Strumienie materiałów wsadowych (z wyłączeniem PFC)</v>
      </c>
      <c r="G3" s="1544"/>
      <c r="H3" s="1544" t="str">
        <f>Translations!$B$269</f>
        <v>Strumienie materiałów wsadowych w przypadku PFC</v>
      </c>
      <c r="I3" s="1544"/>
      <c r="J3" s="1544" t="str">
        <f>Translations!$B$270</f>
        <v>Źródła emisji (CEMS)</v>
      </c>
      <c r="K3" s="1544"/>
      <c r="L3" s="1544" t="str">
        <f>Translations!$B$271</f>
        <v>Rozwiązania rezerwowe (fall-back)</v>
      </c>
      <c r="M3" s="1598"/>
      <c r="N3" s="197"/>
      <c r="O3" s="197"/>
      <c r="P3" s="197"/>
      <c r="Q3" s="197"/>
      <c r="R3" s="197"/>
      <c r="S3" s="197"/>
      <c r="T3" s="197"/>
      <c r="U3" s="197"/>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602" t="s">
        <v>511</v>
      </c>
      <c r="BB3" s="604">
        <f>INDEX(EUconst_ReportingYears,BB2)+(IF(CNTR_BaselinePeriod=EUconst_NA,0,CNTR_BaselinePeriod-1)*5)</f>
        <v>2017</v>
      </c>
      <c r="BC3" s="689"/>
      <c r="BD3" s="5"/>
    </row>
    <row r="4" spans="1:56" ht="13.5" thickBot="1" x14ac:dyDescent="0.25">
      <c r="A4" s="600"/>
      <c r="B4" s="1589">
        <f>BB3</f>
        <v>2017</v>
      </c>
      <c r="C4" s="1590"/>
      <c r="D4" s="1591"/>
      <c r="E4" s="794"/>
      <c r="F4" s="1593"/>
      <c r="G4" s="1608"/>
      <c r="H4" s="1595"/>
      <c r="I4" s="1595"/>
      <c r="J4" s="1595"/>
      <c r="K4" s="1595"/>
      <c r="L4" s="1595"/>
      <c r="M4" s="1601"/>
      <c r="N4" s="77">
        <f>$B$4</f>
        <v>2017</v>
      </c>
      <c r="O4" s="197"/>
      <c r="P4" s="77">
        <f>$B$4</f>
        <v>2017</v>
      </c>
      <c r="Q4" s="197"/>
      <c r="R4" s="77">
        <f>$B$4</f>
        <v>2017</v>
      </c>
      <c r="S4" s="197"/>
      <c r="T4" s="77">
        <f>$B$4</f>
        <v>2017</v>
      </c>
      <c r="U4" s="197"/>
      <c r="V4" s="77">
        <f>$B$4</f>
        <v>2017</v>
      </c>
      <c r="W4" s="197"/>
      <c r="X4" s="77">
        <f>$B$4</f>
        <v>2017</v>
      </c>
      <c r="Y4" s="197"/>
      <c r="Z4" s="77">
        <f>$B$4</f>
        <v>2017</v>
      </c>
      <c r="AA4" s="197"/>
      <c r="AB4" s="77">
        <f>$B$4</f>
        <v>2017</v>
      </c>
      <c r="AC4" s="197"/>
      <c r="AD4" s="77">
        <f>$B$4</f>
        <v>2017</v>
      </c>
      <c r="AE4" s="197"/>
      <c r="AF4" s="77">
        <f>$B$4</f>
        <v>2017</v>
      </c>
      <c r="AG4" s="197"/>
      <c r="AH4" s="77">
        <f>$B$4</f>
        <v>2017</v>
      </c>
      <c r="AI4" s="197"/>
      <c r="AJ4" s="77">
        <f>$B$4</f>
        <v>2017</v>
      </c>
      <c r="AK4" s="197"/>
      <c r="AL4" s="77">
        <f>$B$4</f>
        <v>2017</v>
      </c>
      <c r="AM4" s="197"/>
      <c r="AN4" s="77">
        <f>$B$4</f>
        <v>2017</v>
      </c>
      <c r="AO4" s="197"/>
      <c r="AP4" s="77">
        <f>$B$4</f>
        <v>2017</v>
      </c>
      <c r="AQ4" s="197"/>
      <c r="AR4" s="77">
        <f>$B$4</f>
        <v>2017</v>
      </c>
      <c r="AS4" s="197"/>
      <c r="AT4" s="77">
        <f>$B$4</f>
        <v>2017</v>
      </c>
      <c r="AU4" s="197"/>
      <c r="AV4" s="77">
        <f>$B$4</f>
        <v>2017</v>
      </c>
      <c r="AW4" s="197"/>
      <c r="AX4" s="77">
        <f>$B$4</f>
        <v>2017</v>
      </c>
      <c r="AY4" s="197"/>
      <c r="AZ4" s="197"/>
      <c r="BA4" s="600"/>
      <c r="BB4" s="603"/>
      <c r="BC4" s="689"/>
      <c r="BD4" s="5"/>
    </row>
    <row r="5" spans="1:56" x14ac:dyDescent="0.2">
      <c r="A5" s="600"/>
      <c r="B5" s="3"/>
      <c r="C5" s="4"/>
      <c r="D5" s="5"/>
      <c r="E5" s="5"/>
      <c r="F5" s="6"/>
      <c r="G5" s="6"/>
      <c r="H5" s="6"/>
      <c r="I5" s="3"/>
      <c r="J5" s="3"/>
      <c r="K5" s="3"/>
      <c r="L5" s="3"/>
      <c r="M5" s="7"/>
      <c r="N5" s="7"/>
      <c r="O5" s="197"/>
      <c r="P5" s="197"/>
      <c r="Q5" s="197"/>
      <c r="R5" s="197"/>
      <c r="S5" s="197"/>
      <c r="T5" s="197"/>
      <c r="U5" s="197"/>
      <c r="V5" s="197"/>
      <c r="W5" s="197"/>
      <c r="X5" s="197"/>
      <c r="Y5" s="197"/>
      <c r="Z5" s="197"/>
      <c r="AA5" s="197"/>
      <c r="AB5" s="197"/>
      <c r="AC5" s="197"/>
      <c r="AD5" s="197"/>
      <c r="AE5" s="197"/>
      <c r="AF5" s="197"/>
      <c r="AG5" s="197"/>
      <c r="AH5" s="197"/>
      <c r="AI5" s="197"/>
      <c r="AJ5" s="197"/>
      <c r="AK5" s="197"/>
      <c r="AL5" s="197"/>
      <c r="AM5" s="197"/>
      <c r="AN5" s="197"/>
      <c r="AO5" s="197"/>
      <c r="AP5" s="197"/>
      <c r="AQ5" s="197"/>
      <c r="AR5" s="197"/>
      <c r="AS5" s="197"/>
      <c r="AT5" s="197"/>
      <c r="AU5" s="197"/>
      <c r="AV5" s="197"/>
      <c r="AW5" s="197"/>
      <c r="AX5" s="197"/>
      <c r="AY5" s="197"/>
      <c r="AZ5" s="197"/>
      <c r="BA5" s="600"/>
      <c r="BB5" s="603"/>
      <c r="BC5" s="689"/>
      <c r="BD5" s="5"/>
    </row>
    <row r="6" spans="1:56" ht="38.25" customHeight="1" x14ac:dyDescent="0.2">
      <c r="A6" s="600"/>
      <c r="B6" s="3"/>
      <c r="C6" s="9" t="s">
        <v>642</v>
      </c>
      <c r="D6" s="1599" t="str">
        <f>Translations!$B$272</f>
        <v>Arkusz „Annual Emissions Data” (Dane roczne dotyczące emisji) w odniesieniu do roku:</v>
      </c>
      <c r="E6" s="1599"/>
      <c r="F6" s="1599"/>
      <c r="G6" s="1599"/>
      <c r="H6" s="1599"/>
      <c r="I6" s="1600"/>
      <c r="J6" s="1592">
        <f>B4</f>
        <v>2017</v>
      </c>
      <c r="K6" s="1592"/>
      <c r="L6" s="197"/>
      <c r="N6" s="445"/>
      <c r="O6" s="197"/>
      <c r="P6" s="197"/>
      <c r="Q6" s="197"/>
      <c r="R6" s="197"/>
      <c r="S6" s="197"/>
      <c r="T6" s="197"/>
      <c r="U6" s="197"/>
      <c r="V6" s="197"/>
      <c r="W6" s="197"/>
      <c r="X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0" t="s">
        <v>75</v>
      </c>
      <c r="BB6" s="10" t="s">
        <v>75</v>
      </c>
      <c r="BC6" s="689"/>
      <c r="BD6" s="5"/>
    </row>
    <row r="7" spans="1:56" x14ac:dyDescent="0.2">
      <c r="A7" s="600"/>
      <c r="B7" s="197"/>
      <c r="C7" s="197"/>
      <c r="D7" s="197"/>
      <c r="E7" s="197"/>
      <c r="F7" s="197"/>
      <c r="G7" s="197"/>
      <c r="H7" s="197"/>
      <c r="I7" s="197"/>
      <c r="J7" s="197"/>
      <c r="K7" s="197"/>
      <c r="L7" s="197"/>
      <c r="M7" s="197"/>
      <c r="N7" s="197"/>
      <c r="O7" s="197"/>
      <c r="P7" s="197"/>
      <c r="Q7" s="197"/>
      <c r="R7" s="197"/>
      <c r="S7" s="197"/>
      <c r="T7" s="197"/>
      <c r="U7" s="197"/>
      <c r="V7" s="197"/>
      <c r="W7" s="197"/>
      <c r="X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1" t="s">
        <v>274</v>
      </c>
      <c r="BB7" s="11" t="s">
        <v>274</v>
      </c>
      <c r="BC7" s="689"/>
      <c r="BD7" s="5"/>
    </row>
    <row r="8" spans="1:56" s="670" customFormat="1" ht="15.75" x14ac:dyDescent="0.25">
      <c r="A8" s="667"/>
      <c r="B8" s="3"/>
      <c r="C8" s="12" t="s">
        <v>407</v>
      </c>
      <c r="D8" s="1596" t="str">
        <f>Translations!$B$273</f>
        <v>Ogólne wytyczne na temat danych dotyczących strumienia materiałów wsadowych</v>
      </c>
      <c r="E8" s="1596"/>
      <c r="F8" s="1596"/>
      <c r="G8" s="1596"/>
      <c r="H8" s="1596"/>
      <c r="I8" s="1596"/>
      <c r="J8" s="1596"/>
      <c r="K8" s="1596"/>
      <c r="L8" s="1596"/>
      <c r="M8" s="1596"/>
      <c r="N8" s="1596"/>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600"/>
      <c r="BB8" s="600"/>
      <c r="BC8" s="689"/>
      <c r="BD8" s="5"/>
    </row>
    <row r="9" spans="1:56" s="670" customFormat="1" x14ac:dyDescent="0.2">
      <c r="A9" s="667"/>
      <c r="B9" s="668"/>
      <c r="C9" s="124"/>
      <c r="D9" s="124"/>
      <c r="E9" s="124"/>
      <c r="F9" s="124"/>
      <c r="G9" s="124"/>
      <c r="H9" s="124"/>
      <c r="I9" s="124"/>
      <c r="J9" s="124"/>
      <c r="K9" s="124"/>
      <c r="L9" s="124"/>
      <c r="M9" s="124"/>
      <c r="N9" s="124"/>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600"/>
      <c r="BB9" s="600"/>
      <c r="BC9" s="689"/>
      <c r="BD9" s="5"/>
    </row>
    <row r="10" spans="1:56" s="670" customFormat="1" ht="25.5" customHeight="1" x14ac:dyDescent="0.2">
      <c r="A10" s="667"/>
      <c r="B10" s="3"/>
      <c r="C10" s="14"/>
      <c r="D10" s="1466" t="str">
        <f>Translations!$B$274</f>
        <v>Państwo członkowskie zwykle wymaga obowiązkowego podania szczegółowych danych dotyczących strumienia materiałów wsadowych:</v>
      </c>
      <c r="E10" s="1466"/>
      <c r="F10" s="1466"/>
      <c r="G10" s="1466"/>
      <c r="H10" s="1466"/>
      <c r="I10" s="1603"/>
      <c r="J10" s="1604" t="b">
        <f>NOT(MSconst_AllowInstEmmisionTotals)</f>
        <v>1</v>
      </c>
      <c r="K10" s="1604"/>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600"/>
      <c r="BB10" s="600"/>
      <c r="BC10" s="689"/>
      <c r="BD10" s="5"/>
    </row>
    <row r="11" spans="1:56" s="670" customFormat="1" ht="12.75" customHeight="1" x14ac:dyDescent="0.2">
      <c r="A11" s="667"/>
      <c r="B11" s="668"/>
      <c r="C11" s="668"/>
      <c r="D11" s="1416" t="str">
        <f>Translations!$B$275</f>
        <v>Jeżeli wartość tej komórki to „Fałsz”, wpisy w tym miejscu nie są obowiązkowe i przedstawiają jedynie całkowite roczne emisje w części D.I.</v>
      </c>
      <c r="E11" s="1416"/>
      <c r="F11" s="1416"/>
      <c r="G11" s="1416"/>
      <c r="H11" s="1416"/>
      <c r="I11" s="1416"/>
      <c r="J11" s="1416"/>
      <c r="K11" s="1416"/>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600"/>
      <c r="BB11" s="600"/>
      <c r="BC11" s="689"/>
      <c r="BD11" s="5"/>
    </row>
    <row r="12" spans="1:56" s="670" customFormat="1" ht="12.75" customHeight="1" x14ac:dyDescent="0.2">
      <c r="A12" s="667"/>
      <c r="B12" s="668"/>
      <c r="C12" s="668"/>
      <c r="D12" s="1606" t="str">
        <f>IF(MSconst_AllowInstEmmisionTotals,HYPERLINK(BB12,EUconst_ERR_Goto_DI2),"")</f>
        <v/>
      </c>
      <c r="E12" s="1606"/>
      <c r="F12" s="1606"/>
      <c r="G12" s="1606"/>
      <c r="H12" s="1606"/>
      <c r="I12" s="1606"/>
      <c r="J12" s="1606"/>
      <c r="K12" s="1606"/>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2" t="s">
        <v>199</v>
      </c>
      <c r="BB12" s="346" t="str">
        <f>"#JUMP_D_I"</f>
        <v>#JUMP_D_I</v>
      </c>
      <c r="BC12" s="689"/>
      <c r="BD12" s="5"/>
    </row>
    <row r="13" spans="1:56" s="670" customFormat="1" x14ac:dyDescent="0.2">
      <c r="A13" s="667"/>
      <c r="B13" s="3"/>
      <c r="C13" s="3"/>
      <c r="D13" s="3"/>
      <c r="E13" s="669"/>
      <c r="F13" s="3"/>
      <c r="G13" s="3"/>
      <c r="H13" s="3"/>
      <c r="I13" s="3"/>
      <c r="J13" s="3"/>
      <c r="K13" s="3"/>
      <c r="L13" s="3"/>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600"/>
      <c r="BB13" s="600"/>
      <c r="BC13" s="600"/>
      <c r="BD13" s="5"/>
    </row>
    <row r="14" spans="1:56" s="670" customFormat="1" ht="15.75" x14ac:dyDescent="0.25">
      <c r="A14" s="667"/>
      <c r="B14" s="3"/>
      <c r="C14" s="12" t="s">
        <v>352</v>
      </c>
      <c r="D14" s="1384" t="str">
        <f>Translations!$B$276</f>
        <v>Strumienie materiałów wsadowych i źródła emisji</v>
      </c>
      <c r="E14" s="1384"/>
      <c r="F14" s="1384"/>
      <c r="G14" s="1384"/>
      <c r="H14" s="1384"/>
      <c r="I14" s="1384"/>
      <c r="J14" s="1384"/>
      <c r="K14" s="1384"/>
      <c r="L14" s="1384"/>
      <c r="M14" s="1384"/>
      <c r="N14" s="1384"/>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600"/>
      <c r="BB14" s="600"/>
      <c r="BC14" s="600"/>
      <c r="BD14" s="5"/>
    </row>
    <row r="15" spans="1:56" s="670" customFormat="1" ht="12.75" customHeight="1" x14ac:dyDescent="0.2">
      <c r="A15" s="667"/>
      <c r="B15" s="668"/>
      <c r="C15" s="694"/>
      <c r="D15" s="1416" t="str">
        <f>Translations!$B$277</f>
        <v>Poniższe tabele są identyczne jak w arkuszu „Accounting” (Rachunkowość) w przedstawionym przez Komisję formularzu rocznego raportu na temat wielkości emisji.</v>
      </c>
      <c r="E15" s="1416"/>
      <c r="F15" s="1416"/>
      <c r="G15" s="1416"/>
      <c r="H15" s="1416"/>
      <c r="I15" s="1416"/>
      <c r="J15" s="1416"/>
      <c r="K15" s="1416"/>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600"/>
      <c r="BB15" s="600"/>
      <c r="BC15" s="689"/>
      <c r="BD15" s="5"/>
    </row>
    <row r="16" spans="1:56" s="670" customFormat="1" ht="12.75" customHeight="1" x14ac:dyDescent="0.2">
      <c r="A16" s="667"/>
      <c r="B16" s="668"/>
      <c r="C16" s="694"/>
      <c r="D16" s="1416" t="str">
        <f>Translations!$B$278</f>
        <v>W związku z tym dane do każdej tabeli można skopiować z formularza rocznego raportu na temat wielkości emisji bez późniejszych wpisów, a także znaleźć tam dodatkowe wskazówki.</v>
      </c>
      <c r="E16" s="1416"/>
      <c r="F16" s="1416"/>
      <c r="G16" s="1416"/>
      <c r="H16" s="1416"/>
      <c r="I16" s="1416"/>
      <c r="J16" s="1416"/>
      <c r="K16" s="1416"/>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600"/>
      <c r="BB16" s="600"/>
      <c r="BC16" s="689"/>
      <c r="BD16" s="5"/>
    </row>
    <row r="17" spans="1:56" s="670" customFormat="1" ht="12.75" customHeight="1" x14ac:dyDescent="0.2">
      <c r="A17" s="667"/>
      <c r="B17" s="668"/>
      <c r="C17" s="694"/>
      <c r="D17" s="1416" t="str">
        <f>Translations!$B$279</f>
        <v>Jeżeli formularz Komisji nie jest stosowany w danym państwie członkowskim lub woleliby Państwo wprowadzić dane ręcznie, każda tabela zawiera przykładowe dane na górze (białe pola).</v>
      </c>
      <c r="E17" s="1416"/>
      <c r="F17" s="1416"/>
      <c r="G17" s="1416"/>
      <c r="H17" s="1416"/>
      <c r="I17" s="1416"/>
      <c r="J17" s="1416"/>
      <c r="K17" s="1416"/>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600"/>
      <c r="BB17" s="600"/>
      <c r="BC17" s="689"/>
      <c r="BD17" s="5"/>
    </row>
    <row r="18" spans="1:56" s="670" customFormat="1" ht="25.5" customHeight="1" x14ac:dyDescent="0.2">
      <c r="A18" s="667"/>
      <c r="B18" s="668"/>
      <c r="C18" s="694"/>
      <c r="D18" s="1414" t="str">
        <f>Translations!$B$280</f>
        <v>Proszę zwrócić uwagę, że w tym arkuszu nie są dokonywane żadne obliczenia. W związku z tym należy poprawnie wpisywać sumy w kolumnach AU do AY, ponieważ dane te będą wykorzystywane w kolejnych polach niniejszego formularza!</v>
      </c>
      <c r="E18" s="1414"/>
      <c r="F18" s="1414"/>
      <c r="G18" s="1414"/>
      <c r="H18" s="1414"/>
      <c r="I18" s="1414"/>
      <c r="J18" s="1414"/>
      <c r="K18" s="1414"/>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600"/>
      <c r="BB18" s="600"/>
      <c r="BC18" s="689"/>
      <c r="BD18" s="5"/>
    </row>
    <row r="19" spans="1:56" ht="50.1" customHeight="1" thickBot="1" x14ac:dyDescent="0.45">
      <c r="A19" s="600"/>
      <c r="B19" s="197"/>
      <c r="C19" s="77"/>
      <c r="D19" s="522" t="str">
        <f>Translations!$B$281</f>
        <v>Strumienie materiałów wsadowych (z wyłączeniem emisji PFC)</v>
      </c>
      <c r="E19" s="197"/>
      <c r="F19" s="197"/>
      <c r="G19" s="197"/>
      <c r="H19" s="197"/>
      <c r="I19" s="197"/>
      <c r="J19" s="197"/>
      <c r="K19" s="197"/>
      <c r="L19" s="197"/>
      <c r="N19" s="197"/>
      <c r="O19" s="197"/>
      <c r="P19" s="197"/>
      <c r="Q19" s="197"/>
      <c r="R19" s="197"/>
      <c r="S19" s="197"/>
      <c r="T19" s="197"/>
      <c r="U19" s="197"/>
      <c r="V19" s="197"/>
      <c r="W19" s="197"/>
      <c r="X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600"/>
      <c r="BB19" s="600"/>
      <c r="BC19" s="689"/>
      <c r="BD19" s="5"/>
    </row>
    <row r="20" spans="1:56" ht="50.1" customHeight="1" thickBot="1" x14ac:dyDescent="0.25">
      <c r="A20" s="600"/>
      <c r="B20" s="197"/>
      <c r="C20" s="523" t="s">
        <v>482</v>
      </c>
      <c r="D20" s="524" t="str">
        <f>Translations!$B$282</f>
        <v>Metoda</v>
      </c>
      <c r="E20" s="524" t="str">
        <f>Translations!$B$283</f>
        <v>Nazwa strumienia materiałów wsadowych</v>
      </c>
      <c r="F20" s="525" t="str">
        <f>Translations!$B$284</f>
        <v>Dane dotyczące działalności (AD)</v>
      </c>
      <c r="G20" s="525" t="str">
        <f>Translations!$B$285</f>
        <v>Jednostka AD</v>
      </c>
      <c r="H20" s="525" t="str">
        <f>Translations!$B$286</f>
        <v>Wartość opałowa (NCV)</v>
      </c>
      <c r="I20" s="525" t="str">
        <f>Translations!$B$287</f>
        <v>Jednostka NCV</v>
      </c>
      <c r="J20" s="525" t="str">
        <f>Translations!$B$288</f>
        <v>Współczynnik emisji (EF)</v>
      </c>
      <c r="K20" s="525" t="str">
        <f>Translations!$B$289</f>
        <v>Jednostka EF</v>
      </c>
      <c r="L20" s="525" t="str">
        <f>Translations!$B$290</f>
        <v>Zawartość węgla</v>
      </c>
      <c r="M20" s="525" t="str">
        <f>Translations!$B$291</f>
        <v>Jednostka zawartości węgla</v>
      </c>
      <c r="N20" s="525" t="str">
        <f>Translations!$B$292</f>
        <v>Współczynnik utleniania (OxF)</v>
      </c>
      <c r="O20" s="525" t="str">
        <f>Translations!$B$293</f>
        <v>Jednostka OxF</v>
      </c>
      <c r="P20" s="525" t="str">
        <f>Translations!$B$294</f>
        <v>Współczynnik konwersji</v>
      </c>
      <c r="Q20" s="525" t="str">
        <f>Translations!$B$295</f>
        <v>Jednostka współczynnika konwersji</v>
      </c>
      <c r="R20" s="525" t="str">
        <f>Translations!$B$296</f>
        <v>Zawartość biomasy (BioC)</v>
      </c>
      <c r="S20" s="525" t="str">
        <f>Translations!$B$297</f>
        <v>Jednostka BioC</v>
      </c>
      <c r="T20" s="525" t="str">
        <f>Translations!$B$298</f>
        <v>BioC niezrówn.</v>
      </c>
      <c r="U20" s="525" t="str">
        <f>Translations!$B$299</f>
        <v>Jednostka BioC niezrówn.</v>
      </c>
      <c r="V20" s="525" t="str">
        <f>Translations!$B$300</f>
        <v>Średnie godzinowe stężenie gazów cieplarnianych (GHG)</v>
      </c>
      <c r="W20" s="525" t="str">
        <f>Translations!$B$301</f>
        <v>Jednostka godzinowego stężenia GHG</v>
      </c>
      <c r="X20" s="525" t="str">
        <f>Translations!$B$302</f>
        <v>Godziny działania</v>
      </c>
      <c r="Y20" s="525" t="str">
        <f>Translations!$B$303</f>
        <v>Jednostka godzin działania</v>
      </c>
      <c r="Z20" s="525" t="str">
        <f>Translations!$B$304</f>
        <v>Przepływ spalin (średnia)</v>
      </c>
      <c r="AA20" s="525" t="str">
        <f>Translations!$B$305</f>
        <v>Jednostka przepływu spalin (średnia)</v>
      </c>
      <c r="AB20" s="525" t="str">
        <f>Translations!$B$306</f>
        <v>Przepływ spalin (łącznie)</v>
      </c>
      <c r="AC20" s="525" t="str">
        <f>Translations!$B$307</f>
        <v>Jednostka przepływu spalin (łącznie)</v>
      </c>
      <c r="AD20" s="525" t="str">
        <f>Translations!$B$308</f>
        <v>Roczna ilość GHG</v>
      </c>
      <c r="AE20" s="525" t="str">
        <f>Translations!$B$309</f>
        <v>Jednostka rocznej ilości GHG</v>
      </c>
      <c r="AF20" s="525" t="str">
        <f>Translations!$B$310</f>
        <v>Współczynnik ocieplenia globalnego GWP (tCO2e/t)</v>
      </c>
      <c r="AG20" s="525" t="str">
        <f>Translations!$B$311</f>
        <v>A: Częstotliwość</v>
      </c>
      <c r="AH20" s="525" t="str">
        <f>Translations!$B$312</f>
        <v>A: Czas trwania</v>
      </c>
      <c r="AI20" s="525" t="str">
        <f>Translations!$B$313</f>
        <v>A: SEF (CF4)</v>
      </c>
      <c r="AJ20" s="525" t="str">
        <f>Translations!$B$314</f>
        <v>B: AEO</v>
      </c>
      <c r="AK20" s="525" t="str">
        <f>Translations!$B$315</f>
        <v>B: CE</v>
      </c>
      <c r="AL20" s="525" t="str">
        <f>Translations!$B$316</f>
        <v>B: OVC</v>
      </c>
      <c r="AM20" s="525" t="str">
        <f>Translations!$B$317</f>
        <v>F(C2F6)</v>
      </c>
      <c r="AN20" s="525" t="str">
        <f>Translations!$B$318</f>
        <v>Emisje CF4 (t CF4)</v>
      </c>
      <c r="AO20" s="525" t="str">
        <f>Translations!$B$319</f>
        <v>Emisje C2F6 (t C2F6)</v>
      </c>
      <c r="AP20" s="525" t="str">
        <f>Translations!$B$320</f>
        <v>GWP (CF4) (tCO2e/t)</v>
      </c>
      <c r="AQ20" s="525" t="str">
        <f>Translations!$B$321</f>
        <v>GWP (C2F6) (tCO2e/t)</v>
      </c>
      <c r="AR20" s="525" t="str">
        <f>Translations!$B$322</f>
        <v>Emisje CF4 (t CO2e)</v>
      </c>
      <c r="AS20" s="525" t="str">
        <f>Translations!$B$323</f>
        <v>Emisje C2F6 (t CO2e)</v>
      </c>
      <c r="AT20" s="525" t="str">
        <f>Translations!$B$324</f>
        <v>Całkowita wydajność, %</v>
      </c>
      <c r="AU20" s="525" t="str">
        <f>Translations!$B$325</f>
        <v>Kopalne CO2e (t)</v>
      </c>
      <c r="AV20" s="525" t="str">
        <f>Translations!$B$326</f>
        <v>CO2e z biomasy (t)</v>
      </c>
      <c r="AW20" s="525" t="str">
        <f>Translations!$B$327</f>
        <v>CO2e z biomasy niezrówn. (t)</v>
      </c>
      <c r="AX20" s="526" t="str">
        <f>Translations!$B$328</f>
        <v>Zawartość energii (kopalne), TJ</v>
      </c>
      <c r="AY20" s="527" t="str">
        <f>Translations!$B$329</f>
        <v>Zawartość energii (biomasa), TJ</v>
      </c>
      <c r="AZ20" s="197"/>
      <c r="BA20" s="600"/>
      <c r="BB20" s="600"/>
      <c r="BC20" s="689"/>
      <c r="BD20" s="5"/>
    </row>
    <row r="21" spans="1:56" ht="12.75" customHeight="1" x14ac:dyDescent="0.2">
      <c r="A21" s="600"/>
      <c r="B21" s="197"/>
      <c r="C21" s="533" t="str">
        <f>Translations!$B$330</f>
        <v>Przykł. 1</v>
      </c>
      <c r="D21" s="690" t="str">
        <f>Translations!$B$331</f>
        <v>Spalanie</v>
      </c>
      <c r="E21" s="690" t="str">
        <f>Translations!$B$332</f>
        <v>Ciężki olej opałowy</v>
      </c>
      <c r="F21" s="691">
        <v>252000</v>
      </c>
      <c r="G21" s="528" t="s">
        <v>212</v>
      </c>
      <c r="H21" s="691">
        <v>45</v>
      </c>
      <c r="I21" s="528" t="s">
        <v>529</v>
      </c>
      <c r="J21" s="691">
        <v>73</v>
      </c>
      <c r="K21" s="528" t="s">
        <v>530</v>
      </c>
      <c r="L21" s="528"/>
      <c r="M21" s="528" t="s">
        <v>489</v>
      </c>
      <c r="N21" s="691">
        <v>100</v>
      </c>
      <c r="O21" s="692" t="s">
        <v>409</v>
      </c>
      <c r="P21" s="691"/>
      <c r="Q21" s="692" t="s">
        <v>409</v>
      </c>
      <c r="R21" s="691">
        <v>0</v>
      </c>
      <c r="S21" s="692" t="s">
        <v>409</v>
      </c>
      <c r="T21" s="691">
        <v>0</v>
      </c>
      <c r="U21" s="692" t="s">
        <v>409</v>
      </c>
      <c r="V21" s="778"/>
      <c r="W21" s="778"/>
      <c r="X21" s="778"/>
      <c r="Y21" s="778"/>
      <c r="Z21" s="778"/>
      <c r="AA21" s="778"/>
      <c r="AB21" s="778"/>
      <c r="AC21" s="778"/>
      <c r="AD21" s="778"/>
      <c r="AE21" s="778"/>
      <c r="AF21" s="778"/>
      <c r="AG21" s="778"/>
      <c r="AH21" s="778"/>
      <c r="AI21" s="778"/>
      <c r="AJ21" s="778"/>
      <c r="AK21" s="778"/>
      <c r="AL21" s="778"/>
      <c r="AM21" s="778"/>
      <c r="AN21" s="778"/>
      <c r="AO21" s="778"/>
      <c r="AP21" s="778"/>
      <c r="AQ21" s="778"/>
      <c r="AR21" s="778"/>
      <c r="AS21" s="778"/>
      <c r="AT21" s="778"/>
      <c r="AU21" s="693">
        <v>827820</v>
      </c>
      <c r="AV21" s="693">
        <v>0</v>
      </c>
      <c r="AW21" s="693">
        <v>0</v>
      </c>
      <c r="AX21" s="691">
        <v>11340</v>
      </c>
      <c r="AY21" s="691">
        <v>0</v>
      </c>
      <c r="AZ21" s="197"/>
      <c r="BA21" s="600"/>
      <c r="BB21" s="600"/>
      <c r="BC21" s="689"/>
      <c r="BD21" s="5"/>
    </row>
    <row r="22" spans="1:56" ht="12.75" customHeight="1" x14ac:dyDescent="0.2">
      <c r="A22" s="600"/>
      <c r="B22" s="197"/>
      <c r="C22" s="533" t="str">
        <f>Translations!$B$333</f>
        <v>Przykł. 2</v>
      </c>
      <c r="D22" s="690" t="str">
        <f>Translations!$B$334</f>
        <v>Emisje procesowe</v>
      </c>
      <c r="E22" s="690" t="str">
        <f>Translations!$B$335</f>
        <v>Glina</v>
      </c>
      <c r="F22" s="691">
        <v>121000</v>
      </c>
      <c r="G22" s="528" t="s">
        <v>212</v>
      </c>
      <c r="H22" s="691"/>
      <c r="I22" s="528" t="s">
        <v>489</v>
      </c>
      <c r="J22" s="691">
        <v>8.7940000000000004E-2</v>
      </c>
      <c r="K22" s="528" t="s">
        <v>531</v>
      </c>
      <c r="L22" s="528"/>
      <c r="M22" s="528" t="s">
        <v>489</v>
      </c>
      <c r="N22" s="691"/>
      <c r="O22" s="692" t="s">
        <v>409</v>
      </c>
      <c r="P22" s="691"/>
      <c r="Q22" s="692" t="s">
        <v>409</v>
      </c>
      <c r="R22" s="691">
        <v>0</v>
      </c>
      <c r="S22" s="692" t="s">
        <v>409</v>
      </c>
      <c r="T22" s="691">
        <v>0</v>
      </c>
      <c r="U22" s="692" t="s">
        <v>409</v>
      </c>
      <c r="V22" s="778"/>
      <c r="W22" s="778"/>
      <c r="X22" s="778"/>
      <c r="Y22" s="778"/>
      <c r="Z22" s="778"/>
      <c r="AA22" s="778"/>
      <c r="AB22" s="778"/>
      <c r="AC22" s="778"/>
      <c r="AD22" s="778"/>
      <c r="AE22" s="778"/>
      <c r="AF22" s="778"/>
      <c r="AG22" s="778"/>
      <c r="AH22" s="778"/>
      <c r="AI22" s="778"/>
      <c r="AJ22" s="778"/>
      <c r="AK22" s="778"/>
      <c r="AL22" s="778"/>
      <c r="AM22" s="778"/>
      <c r="AN22" s="778"/>
      <c r="AO22" s="778"/>
      <c r="AP22" s="778"/>
      <c r="AQ22" s="778"/>
      <c r="AR22" s="778"/>
      <c r="AS22" s="778"/>
      <c r="AT22" s="778"/>
      <c r="AU22" s="693">
        <v>10640.74</v>
      </c>
      <c r="AV22" s="693">
        <v>0</v>
      </c>
      <c r="AW22" s="693">
        <v>0</v>
      </c>
      <c r="AX22" s="691">
        <v>0</v>
      </c>
      <c r="AY22" s="691">
        <v>0</v>
      </c>
      <c r="AZ22" s="197"/>
      <c r="BA22" s="600"/>
      <c r="BB22" s="600"/>
      <c r="BC22" s="689"/>
      <c r="BD22" s="5"/>
    </row>
    <row r="23" spans="1:56" ht="12.75" customHeight="1" x14ac:dyDescent="0.2">
      <c r="A23" s="600"/>
      <c r="B23" s="197"/>
      <c r="C23" s="533" t="str">
        <f>Translations!$B$336</f>
        <v>Przykł. 3</v>
      </c>
      <c r="D23" s="690" t="str">
        <f>Translations!$B$337</f>
        <v>Bilans masowy</v>
      </c>
      <c r="E23" s="690" t="str">
        <f>Translations!$B$338</f>
        <v>Stal</v>
      </c>
      <c r="F23" s="691">
        <v>-1808226</v>
      </c>
      <c r="G23" s="528" t="s">
        <v>212</v>
      </c>
      <c r="H23" s="691"/>
      <c r="I23" s="528" t="s">
        <v>489</v>
      </c>
      <c r="J23" s="691">
        <v>0</v>
      </c>
      <c r="K23" s="528" t="s">
        <v>489</v>
      </c>
      <c r="L23" s="528">
        <v>0.38779999999999998</v>
      </c>
      <c r="M23" s="528" t="s">
        <v>532</v>
      </c>
      <c r="N23" s="691"/>
      <c r="O23" s="692" t="s">
        <v>409</v>
      </c>
      <c r="P23" s="691">
        <v>100</v>
      </c>
      <c r="Q23" s="692" t="s">
        <v>409</v>
      </c>
      <c r="R23" s="691">
        <v>0</v>
      </c>
      <c r="S23" s="692" t="s">
        <v>409</v>
      </c>
      <c r="T23" s="691">
        <v>0</v>
      </c>
      <c r="U23" s="692" t="s">
        <v>409</v>
      </c>
      <c r="V23" s="778"/>
      <c r="W23" s="778"/>
      <c r="X23" s="778"/>
      <c r="Y23" s="778"/>
      <c r="Z23" s="778"/>
      <c r="AA23" s="778"/>
      <c r="AB23" s="778"/>
      <c r="AC23" s="778"/>
      <c r="AD23" s="778"/>
      <c r="AE23" s="778"/>
      <c r="AF23" s="778"/>
      <c r="AG23" s="778"/>
      <c r="AH23" s="778"/>
      <c r="AI23" s="778"/>
      <c r="AJ23" s="778"/>
      <c r="AK23" s="778"/>
      <c r="AL23" s="778"/>
      <c r="AM23" s="778"/>
      <c r="AN23" s="778"/>
      <c r="AO23" s="778"/>
      <c r="AP23" s="778"/>
      <c r="AQ23" s="778"/>
      <c r="AR23" s="778"/>
      <c r="AS23" s="778"/>
      <c r="AT23" s="778"/>
      <c r="AU23" s="693">
        <v>-2569306.8768191999</v>
      </c>
      <c r="AV23" s="693">
        <v>0</v>
      </c>
      <c r="AW23" s="693">
        <v>0</v>
      </c>
      <c r="AX23" s="691">
        <v>0</v>
      </c>
      <c r="AY23" s="691">
        <v>0</v>
      </c>
      <c r="AZ23" s="197"/>
      <c r="BA23" s="600"/>
      <c r="BB23" s="600"/>
      <c r="BC23" s="689"/>
      <c r="BD23" s="5"/>
    </row>
    <row r="24" spans="1:56" x14ac:dyDescent="0.2">
      <c r="A24" s="600"/>
      <c r="B24" s="197"/>
      <c r="C24" s="533">
        <v>1</v>
      </c>
      <c r="D24" s="594" t="s">
        <v>2507</v>
      </c>
      <c r="E24" s="594" t="s">
        <v>3674</v>
      </c>
      <c r="F24" s="595">
        <v>72000</v>
      </c>
      <c r="G24" s="596" t="s">
        <v>212</v>
      </c>
      <c r="H24" s="595">
        <v>19</v>
      </c>
      <c r="I24" s="596" t="s">
        <v>529</v>
      </c>
      <c r="J24" s="595">
        <v>98.013999999999996</v>
      </c>
      <c r="K24" s="596" t="s">
        <v>530</v>
      </c>
      <c r="L24" s="596">
        <v>0</v>
      </c>
      <c r="M24" s="596" t="s">
        <v>489</v>
      </c>
      <c r="N24" s="595">
        <v>98.97</v>
      </c>
      <c r="O24" s="597" t="s">
        <v>409</v>
      </c>
      <c r="P24" s="595">
        <v>100</v>
      </c>
      <c r="Q24" s="597" t="s">
        <v>409</v>
      </c>
      <c r="R24" s="595">
        <v>0</v>
      </c>
      <c r="S24" s="597" t="s">
        <v>409</v>
      </c>
      <c r="T24" s="595">
        <v>0</v>
      </c>
      <c r="U24" s="597" t="s">
        <v>409</v>
      </c>
      <c r="V24" s="778"/>
      <c r="W24" s="778"/>
      <c r="X24" s="778"/>
      <c r="Y24" s="778"/>
      <c r="Z24" s="778"/>
      <c r="AA24" s="778"/>
      <c r="AB24" s="778"/>
      <c r="AC24" s="778"/>
      <c r="AD24" s="778"/>
      <c r="AE24" s="778"/>
      <c r="AF24" s="778"/>
      <c r="AG24" s="778"/>
      <c r="AH24" s="778"/>
      <c r="AI24" s="778"/>
      <c r="AJ24" s="778"/>
      <c r="AK24" s="778"/>
      <c r="AL24" s="778"/>
      <c r="AM24" s="778"/>
      <c r="AN24" s="778"/>
      <c r="AO24" s="778"/>
      <c r="AP24" s="778"/>
      <c r="AQ24" s="778"/>
      <c r="AR24" s="778"/>
      <c r="AS24" s="778"/>
      <c r="AT24" s="778"/>
      <c r="AU24" s="598">
        <v>132702.0955344</v>
      </c>
      <c r="AV24" s="598">
        <v>0</v>
      </c>
      <c r="AW24" s="598">
        <v>0</v>
      </c>
      <c r="AX24" s="595">
        <v>1368</v>
      </c>
      <c r="AY24" s="595">
        <v>0</v>
      </c>
      <c r="AZ24" s="197"/>
      <c r="BA24" s="478" t="s">
        <v>157</v>
      </c>
      <c r="BB24" s="573" t="s">
        <v>159</v>
      </c>
      <c r="BC24" s="600"/>
      <c r="BD24" s="5"/>
    </row>
    <row r="25" spans="1:56" x14ac:dyDescent="0.2">
      <c r="A25" s="600"/>
      <c r="B25" s="197"/>
      <c r="C25" s="534">
        <v>2</v>
      </c>
      <c r="D25" s="594" t="s">
        <v>2507</v>
      </c>
      <c r="E25" s="594" t="s">
        <v>3675</v>
      </c>
      <c r="F25" s="595">
        <v>72000</v>
      </c>
      <c r="G25" s="596" t="s">
        <v>212</v>
      </c>
      <c r="H25" s="595">
        <v>16</v>
      </c>
      <c r="I25" s="596" t="s">
        <v>529</v>
      </c>
      <c r="J25" s="595">
        <v>112</v>
      </c>
      <c r="K25" s="596" t="s">
        <v>530</v>
      </c>
      <c r="L25" s="596">
        <v>0</v>
      </c>
      <c r="M25" s="596" t="s">
        <v>489</v>
      </c>
      <c r="N25" s="595">
        <v>100</v>
      </c>
      <c r="O25" s="597" t="s">
        <v>409</v>
      </c>
      <c r="P25" s="595">
        <v>100</v>
      </c>
      <c r="Q25" s="597" t="s">
        <v>409</v>
      </c>
      <c r="R25" s="595">
        <v>100</v>
      </c>
      <c r="S25" s="597" t="s">
        <v>409</v>
      </c>
      <c r="T25" s="595">
        <v>0</v>
      </c>
      <c r="U25" s="597" t="s">
        <v>409</v>
      </c>
      <c r="V25" s="778"/>
      <c r="W25" s="778"/>
      <c r="X25" s="778"/>
      <c r="Y25" s="778"/>
      <c r="Z25" s="778"/>
      <c r="AA25" s="778"/>
      <c r="AB25" s="778"/>
      <c r="AC25" s="778"/>
      <c r="AD25" s="778"/>
      <c r="AE25" s="778"/>
      <c r="AF25" s="778"/>
      <c r="AG25" s="778"/>
      <c r="AH25" s="778"/>
      <c r="AI25" s="778"/>
      <c r="AJ25" s="778"/>
      <c r="AK25" s="778"/>
      <c r="AL25" s="778"/>
      <c r="AM25" s="778"/>
      <c r="AN25" s="778"/>
      <c r="AO25" s="778"/>
      <c r="AP25" s="778"/>
      <c r="AQ25" s="778"/>
      <c r="AR25" s="778"/>
      <c r="AS25" s="778"/>
      <c r="AT25" s="778"/>
      <c r="AU25" s="598">
        <v>0</v>
      </c>
      <c r="AV25" s="598">
        <v>129024</v>
      </c>
      <c r="AW25" s="598">
        <v>0</v>
      </c>
      <c r="AX25" s="595">
        <v>0</v>
      </c>
      <c r="AY25" s="595">
        <v>1152</v>
      </c>
      <c r="AZ25" s="197"/>
      <c r="BA25" s="478" t="s">
        <v>157</v>
      </c>
      <c r="BB25" s="573" t="s">
        <v>159</v>
      </c>
      <c r="BC25" s="600"/>
      <c r="BD25" s="5"/>
    </row>
    <row r="26" spans="1:56" x14ac:dyDescent="0.2">
      <c r="A26" s="600"/>
      <c r="B26" s="197"/>
      <c r="C26" s="534">
        <v>3</v>
      </c>
      <c r="D26" s="594"/>
      <c r="E26" s="594"/>
      <c r="F26" s="595"/>
      <c r="G26" s="596"/>
      <c r="H26" s="595"/>
      <c r="I26" s="596"/>
      <c r="J26" s="595"/>
      <c r="K26" s="596"/>
      <c r="L26" s="596"/>
      <c r="M26" s="596"/>
      <c r="N26" s="595"/>
      <c r="O26" s="597"/>
      <c r="P26" s="595"/>
      <c r="Q26" s="597"/>
      <c r="R26" s="595"/>
      <c r="S26" s="597"/>
      <c r="T26" s="595"/>
      <c r="U26" s="597"/>
      <c r="V26" s="778"/>
      <c r="W26" s="778"/>
      <c r="X26" s="778"/>
      <c r="Y26" s="778"/>
      <c r="Z26" s="778"/>
      <c r="AA26" s="778"/>
      <c r="AB26" s="778"/>
      <c r="AC26" s="778"/>
      <c r="AD26" s="778"/>
      <c r="AE26" s="778"/>
      <c r="AF26" s="778"/>
      <c r="AG26" s="778"/>
      <c r="AH26" s="778"/>
      <c r="AI26" s="778"/>
      <c r="AJ26" s="778"/>
      <c r="AK26" s="778"/>
      <c r="AL26" s="778"/>
      <c r="AM26" s="778"/>
      <c r="AN26" s="778"/>
      <c r="AO26" s="778"/>
      <c r="AP26" s="778"/>
      <c r="AQ26" s="778"/>
      <c r="AR26" s="778"/>
      <c r="AS26" s="778"/>
      <c r="AT26" s="778"/>
      <c r="AU26" s="598"/>
      <c r="AV26" s="598"/>
      <c r="AW26" s="598"/>
      <c r="AX26" s="595"/>
      <c r="AY26" s="595"/>
      <c r="AZ26" s="197"/>
      <c r="BA26" s="478"/>
      <c r="BB26" s="573"/>
      <c r="BC26" s="600"/>
      <c r="BD26" s="5"/>
    </row>
    <row r="27" spans="1:56" x14ac:dyDescent="0.2">
      <c r="A27" s="600"/>
      <c r="B27" s="197"/>
      <c r="C27" s="534">
        <v>4</v>
      </c>
      <c r="D27" s="594"/>
      <c r="E27" s="594"/>
      <c r="F27" s="595"/>
      <c r="G27" s="596"/>
      <c r="H27" s="595"/>
      <c r="I27" s="596"/>
      <c r="J27" s="595"/>
      <c r="K27" s="596"/>
      <c r="L27" s="596"/>
      <c r="M27" s="596"/>
      <c r="N27" s="595"/>
      <c r="O27" s="597"/>
      <c r="P27" s="595"/>
      <c r="Q27" s="597"/>
      <c r="R27" s="595"/>
      <c r="S27" s="597"/>
      <c r="T27" s="595"/>
      <c r="U27" s="597"/>
      <c r="V27" s="778"/>
      <c r="W27" s="778"/>
      <c r="X27" s="778"/>
      <c r="Y27" s="778"/>
      <c r="Z27" s="778"/>
      <c r="AA27" s="778"/>
      <c r="AB27" s="778"/>
      <c r="AC27" s="778"/>
      <c r="AD27" s="778"/>
      <c r="AE27" s="778"/>
      <c r="AF27" s="778"/>
      <c r="AG27" s="778"/>
      <c r="AH27" s="778"/>
      <c r="AI27" s="778"/>
      <c r="AJ27" s="778"/>
      <c r="AK27" s="778"/>
      <c r="AL27" s="778"/>
      <c r="AM27" s="778"/>
      <c r="AN27" s="778"/>
      <c r="AO27" s="778"/>
      <c r="AP27" s="778"/>
      <c r="AQ27" s="778"/>
      <c r="AR27" s="778"/>
      <c r="AS27" s="778"/>
      <c r="AT27" s="778"/>
      <c r="AU27" s="598"/>
      <c r="AV27" s="598"/>
      <c r="AW27" s="598"/>
      <c r="AX27" s="595"/>
      <c r="AY27" s="595"/>
      <c r="AZ27" s="197"/>
      <c r="BA27" s="478" t="str">
        <f t="shared" ref="BA24:BA87" si="0">EUconst_SumCO2</f>
        <v>SUM_CO2</v>
      </c>
      <c r="BB27" s="573" t="str">
        <f t="shared" ref="BB24:BB87" si="1">EUconst_SumEnergyIN</f>
        <v>SUM_EnergyIN</v>
      </c>
      <c r="BC27" s="600"/>
      <c r="BD27" s="5"/>
    </row>
    <row r="28" spans="1:56" x14ac:dyDescent="0.2">
      <c r="A28" s="600"/>
      <c r="B28" s="197"/>
      <c r="C28" s="534">
        <v>5</v>
      </c>
      <c r="D28" s="594"/>
      <c r="E28" s="594"/>
      <c r="F28" s="595"/>
      <c r="G28" s="596"/>
      <c r="H28" s="595"/>
      <c r="I28" s="596"/>
      <c r="J28" s="595"/>
      <c r="K28" s="596"/>
      <c r="L28" s="596"/>
      <c r="M28" s="596"/>
      <c r="N28" s="595"/>
      <c r="O28" s="597"/>
      <c r="P28" s="595"/>
      <c r="Q28" s="597"/>
      <c r="R28" s="595"/>
      <c r="S28" s="597"/>
      <c r="T28" s="595"/>
      <c r="U28" s="597"/>
      <c r="V28" s="778"/>
      <c r="W28" s="778"/>
      <c r="X28" s="778"/>
      <c r="Y28" s="778"/>
      <c r="Z28" s="778"/>
      <c r="AA28" s="778"/>
      <c r="AB28" s="778"/>
      <c r="AC28" s="778"/>
      <c r="AD28" s="778"/>
      <c r="AE28" s="778"/>
      <c r="AF28" s="778"/>
      <c r="AG28" s="778"/>
      <c r="AH28" s="778"/>
      <c r="AI28" s="778"/>
      <c r="AJ28" s="778"/>
      <c r="AK28" s="778"/>
      <c r="AL28" s="778"/>
      <c r="AM28" s="778"/>
      <c r="AN28" s="778"/>
      <c r="AO28" s="778"/>
      <c r="AP28" s="778"/>
      <c r="AQ28" s="778"/>
      <c r="AR28" s="778"/>
      <c r="AS28" s="778"/>
      <c r="AT28" s="778"/>
      <c r="AU28" s="598"/>
      <c r="AV28" s="598"/>
      <c r="AW28" s="598"/>
      <c r="AX28" s="595"/>
      <c r="AY28" s="595"/>
      <c r="AZ28" s="197"/>
      <c r="BA28" s="478" t="str">
        <f t="shared" si="0"/>
        <v>SUM_CO2</v>
      </c>
      <c r="BB28" s="573" t="str">
        <f t="shared" si="1"/>
        <v>SUM_EnergyIN</v>
      </c>
      <c r="BC28" s="600"/>
      <c r="BD28" s="5"/>
    </row>
    <row r="29" spans="1:56" x14ac:dyDescent="0.2">
      <c r="A29" s="600"/>
      <c r="B29" s="197"/>
      <c r="C29" s="534">
        <v>6</v>
      </c>
      <c r="D29" s="594"/>
      <c r="E29" s="594"/>
      <c r="F29" s="595"/>
      <c r="G29" s="596"/>
      <c r="H29" s="595"/>
      <c r="I29" s="596"/>
      <c r="J29" s="595"/>
      <c r="K29" s="596"/>
      <c r="L29" s="596"/>
      <c r="M29" s="596"/>
      <c r="N29" s="595"/>
      <c r="O29" s="597"/>
      <c r="P29" s="595"/>
      <c r="Q29" s="597"/>
      <c r="R29" s="595"/>
      <c r="S29" s="597"/>
      <c r="T29" s="595"/>
      <c r="U29" s="597"/>
      <c r="V29" s="778"/>
      <c r="W29" s="778"/>
      <c r="X29" s="778"/>
      <c r="Y29" s="778"/>
      <c r="Z29" s="778"/>
      <c r="AA29" s="778"/>
      <c r="AB29" s="778"/>
      <c r="AC29" s="778"/>
      <c r="AD29" s="778"/>
      <c r="AE29" s="778"/>
      <c r="AF29" s="778"/>
      <c r="AG29" s="778"/>
      <c r="AH29" s="778"/>
      <c r="AI29" s="778"/>
      <c r="AJ29" s="778"/>
      <c r="AK29" s="778"/>
      <c r="AL29" s="778"/>
      <c r="AM29" s="778"/>
      <c r="AN29" s="778"/>
      <c r="AO29" s="778"/>
      <c r="AP29" s="778"/>
      <c r="AQ29" s="778"/>
      <c r="AR29" s="778"/>
      <c r="AS29" s="778"/>
      <c r="AT29" s="778"/>
      <c r="AU29" s="598"/>
      <c r="AV29" s="598"/>
      <c r="AW29" s="598"/>
      <c r="AX29" s="595"/>
      <c r="AY29" s="595"/>
      <c r="AZ29" s="197"/>
      <c r="BA29" s="478" t="str">
        <f t="shared" si="0"/>
        <v>SUM_CO2</v>
      </c>
      <c r="BB29" s="573" t="str">
        <f t="shared" si="1"/>
        <v>SUM_EnergyIN</v>
      </c>
      <c r="BC29" s="600"/>
      <c r="BD29" s="5"/>
    </row>
    <row r="30" spans="1:56" x14ac:dyDescent="0.2">
      <c r="A30" s="600"/>
      <c r="B30" s="197"/>
      <c r="C30" s="534">
        <v>7</v>
      </c>
      <c r="D30" s="594"/>
      <c r="E30" s="594"/>
      <c r="F30" s="595"/>
      <c r="G30" s="596"/>
      <c r="H30" s="595"/>
      <c r="I30" s="596"/>
      <c r="J30" s="595"/>
      <c r="K30" s="596"/>
      <c r="L30" s="596"/>
      <c r="M30" s="596"/>
      <c r="N30" s="595"/>
      <c r="O30" s="597"/>
      <c r="P30" s="595"/>
      <c r="Q30" s="597"/>
      <c r="R30" s="595"/>
      <c r="S30" s="597"/>
      <c r="T30" s="595"/>
      <c r="U30" s="597"/>
      <c r="V30" s="778"/>
      <c r="W30" s="778"/>
      <c r="X30" s="778"/>
      <c r="Y30" s="778"/>
      <c r="Z30" s="778"/>
      <c r="AA30" s="778"/>
      <c r="AB30" s="778"/>
      <c r="AC30" s="778"/>
      <c r="AD30" s="778"/>
      <c r="AE30" s="778"/>
      <c r="AF30" s="778"/>
      <c r="AG30" s="778"/>
      <c r="AH30" s="778"/>
      <c r="AI30" s="778"/>
      <c r="AJ30" s="778"/>
      <c r="AK30" s="778"/>
      <c r="AL30" s="778"/>
      <c r="AM30" s="778"/>
      <c r="AN30" s="778"/>
      <c r="AO30" s="778"/>
      <c r="AP30" s="778"/>
      <c r="AQ30" s="778"/>
      <c r="AR30" s="778"/>
      <c r="AS30" s="778"/>
      <c r="AT30" s="778"/>
      <c r="AU30" s="598"/>
      <c r="AV30" s="598"/>
      <c r="AW30" s="598"/>
      <c r="AX30" s="595"/>
      <c r="AY30" s="595"/>
      <c r="AZ30" s="197"/>
      <c r="BA30" s="478" t="str">
        <f t="shared" si="0"/>
        <v>SUM_CO2</v>
      </c>
      <c r="BB30" s="573" t="str">
        <f t="shared" si="1"/>
        <v>SUM_EnergyIN</v>
      </c>
      <c r="BC30" s="600"/>
      <c r="BD30" s="5"/>
    </row>
    <row r="31" spans="1:56" x14ac:dyDescent="0.2">
      <c r="A31" s="600"/>
      <c r="B31" s="197"/>
      <c r="C31" s="534">
        <v>8</v>
      </c>
      <c r="D31" s="594"/>
      <c r="E31" s="594"/>
      <c r="F31" s="595"/>
      <c r="G31" s="596"/>
      <c r="H31" s="595"/>
      <c r="I31" s="596"/>
      <c r="J31" s="595"/>
      <c r="K31" s="596"/>
      <c r="L31" s="596"/>
      <c r="M31" s="596"/>
      <c r="N31" s="595"/>
      <c r="O31" s="597"/>
      <c r="P31" s="595"/>
      <c r="Q31" s="597"/>
      <c r="R31" s="595"/>
      <c r="S31" s="597"/>
      <c r="T31" s="595"/>
      <c r="U31" s="597"/>
      <c r="V31" s="778"/>
      <c r="W31" s="778"/>
      <c r="X31" s="778"/>
      <c r="Y31" s="778"/>
      <c r="Z31" s="778"/>
      <c r="AA31" s="778"/>
      <c r="AB31" s="778"/>
      <c r="AC31" s="778"/>
      <c r="AD31" s="778"/>
      <c r="AE31" s="778"/>
      <c r="AF31" s="778"/>
      <c r="AG31" s="778"/>
      <c r="AH31" s="778"/>
      <c r="AI31" s="778"/>
      <c r="AJ31" s="778"/>
      <c r="AK31" s="778"/>
      <c r="AL31" s="778"/>
      <c r="AM31" s="778"/>
      <c r="AN31" s="778"/>
      <c r="AO31" s="778"/>
      <c r="AP31" s="778"/>
      <c r="AQ31" s="778"/>
      <c r="AR31" s="778"/>
      <c r="AS31" s="778"/>
      <c r="AT31" s="778"/>
      <c r="AU31" s="598"/>
      <c r="AV31" s="598"/>
      <c r="AW31" s="598"/>
      <c r="AX31" s="595"/>
      <c r="AY31" s="595"/>
      <c r="AZ31" s="197"/>
      <c r="BA31" s="478" t="str">
        <f t="shared" si="0"/>
        <v>SUM_CO2</v>
      </c>
      <c r="BB31" s="573" t="str">
        <f t="shared" si="1"/>
        <v>SUM_EnergyIN</v>
      </c>
      <c r="BC31" s="600"/>
      <c r="BD31" s="5"/>
    </row>
    <row r="32" spans="1:56" x14ac:dyDescent="0.2">
      <c r="A32" s="600"/>
      <c r="B32" s="197"/>
      <c r="C32" s="534">
        <v>9</v>
      </c>
      <c r="D32" s="594"/>
      <c r="E32" s="594"/>
      <c r="F32" s="595"/>
      <c r="G32" s="596"/>
      <c r="H32" s="595"/>
      <c r="I32" s="596"/>
      <c r="J32" s="595"/>
      <c r="K32" s="596"/>
      <c r="L32" s="596"/>
      <c r="M32" s="596"/>
      <c r="N32" s="595"/>
      <c r="O32" s="597"/>
      <c r="P32" s="595"/>
      <c r="Q32" s="597"/>
      <c r="R32" s="595"/>
      <c r="S32" s="597"/>
      <c r="T32" s="595"/>
      <c r="U32" s="597"/>
      <c r="V32" s="778"/>
      <c r="W32" s="778"/>
      <c r="X32" s="778"/>
      <c r="Y32" s="778"/>
      <c r="Z32" s="778"/>
      <c r="AA32" s="778"/>
      <c r="AB32" s="778"/>
      <c r="AC32" s="778"/>
      <c r="AD32" s="778"/>
      <c r="AE32" s="778"/>
      <c r="AF32" s="778"/>
      <c r="AG32" s="778"/>
      <c r="AH32" s="778"/>
      <c r="AI32" s="778"/>
      <c r="AJ32" s="778"/>
      <c r="AK32" s="778"/>
      <c r="AL32" s="778"/>
      <c r="AM32" s="778"/>
      <c r="AN32" s="778"/>
      <c r="AO32" s="778"/>
      <c r="AP32" s="778"/>
      <c r="AQ32" s="778"/>
      <c r="AR32" s="778"/>
      <c r="AS32" s="778"/>
      <c r="AT32" s="778"/>
      <c r="AU32" s="598"/>
      <c r="AV32" s="598"/>
      <c r="AW32" s="598"/>
      <c r="AX32" s="595"/>
      <c r="AY32" s="595"/>
      <c r="AZ32" s="197"/>
      <c r="BA32" s="478" t="str">
        <f t="shared" si="0"/>
        <v>SUM_CO2</v>
      </c>
      <c r="BB32" s="573" t="str">
        <f t="shared" si="1"/>
        <v>SUM_EnergyIN</v>
      </c>
      <c r="BC32" s="600"/>
      <c r="BD32" s="5"/>
    </row>
    <row r="33" spans="1:56" x14ac:dyDescent="0.2">
      <c r="A33" s="600"/>
      <c r="B33" s="197"/>
      <c r="C33" s="534">
        <v>10</v>
      </c>
      <c r="D33" s="594"/>
      <c r="E33" s="594"/>
      <c r="F33" s="595"/>
      <c r="G33" s="596"/>
      <c r="H33" s="595"/>
      <c r="I33" s="596"/>
      <c r="J33" s="595"/>
      <c r="K33" s="596"/>
      <c r="L33" s="596"/>
      <c r="M33" s="596"/>
      <c r="N33" s="595"/>
      <c r="O33" s="597"/>
      <c r="P33" s="595"/>
      <c r="Q33" s="597"/>
      <c r="R33" s="595"/>
      <c r="S33" s="597"/>
      <c r="T33" s="595"/>
      <c r="U33" s="597"/>
      <c r="V33" s="778"/>
      <c r="W33" s="778"/>
      <c r="X33" s="778"/>
      <c r="Y33" s="778"/>
      <c r="Z33" s="778"/>
      <c r="AA33" s="778"/>
      <c r="AB33" s="778"/>
      <c r="AC33" s="778"/>
      <c r="AD33" s="778"/>
      <c r="AE33" s="778"/>
      <c r="AF33" s="778"/>
      <c r="AG33" s="778"/>
      <c r="AH33" s="778"/>
      <c r="AI33" s="778"/>
      <c r="AJ33" s="778"/>
      <c r="AK33" s="778"/>
      <c r="AL33" s="778"/>
      <c r="AM33" s="778"/>
      <c r="AN33" s="778"/>
      <c r="AO33" s="778"/>
      <c r="AP33" s="778"/>
      <c r="AQ33" s="778"/>
      <c r="AR33" s="778"/>
      <c r="AS33" s="778"/>
      <c r="AT33" s="778"/>
      <c r="AU33" s="598"/>
      <c r="AV33" s="598"/>
      <c r="AW33" s="598"/>
      <c r="AX33" s="595"/>
      <c r="AY33" s="595"/>
      <c r="AZ33" s="197"/>
      <c r="BA33" s="478" t="str">
        <f t="shared" si="0"/>
        <v>SUM_CO2</v>
      </c>
      <c r="BB33" s="573" t="str">
        <f t="shared" si="1"/>
        <v>SUM_EnergyIN</v>
      </c>
      <c r="BC33" s="600"/>
      <c r="BD33" s="5"/>
    </row>
    <row r="34" spans="1:56" x14ac:dyDescent="0.2">
      <c r="A34" s="600"/>
      <c r="B34" s="197"/>
      <c r="C34" s="534">
        <v>11</v>
      </c>
      <c r="D34" s="594"/>
      <c r="E34" s="594"/>
      <c r="F34" s="595"/>
      <c r="G34" s="596"/>
      <c r="H34" s="595"/>
      <c r="I34" s="596"/>
      <c r="J34" s="595"/>
      <c r="K34" s="596"/>
      <c r="L34" s="596"/>
      <c r="M34" s="596"/>
      <c r="N34" s="595"/>
      <c r="O34" s="597"/>
      <c r="P34" s="595"/>
      <c r="Q34" s="597"/>
      <c r="R34" s="595"/>
      <c r="S34" s="597"/>
      <c r="T34" s="595"/>
      <c r="U34" s="597"/>
      <c r="V34" s="778"/>
      <c r="W34" s="778"/>
      <c r="X34" s="778"/>
      <c r="Y34" s="778"/>
      <c r="Z34" s="778"/>
      <c r="AA34" s="778"/>
      <c r="AB34" s="778"/>
      <c r="AC34" s="778"/>
      <c r="AD34" s="778"/>
      <c r="AE34" s="778"/>
      <c r="AF34" s="778"/>
      <c r="AG34" s="778"/>
      <c r="AH34" s="778"/>
      <c r="AI34" s="778"/>
      <c r="AJ34" s="778"/>
      <c r="AK34" s="778"/>
      <c r="AL34" s="778"/>
      <c r="AM34" s="778"/>
      <c r="AN34" s="778"/>
      <c r="AO34" s="778"/>
      <c r="AP34" s="778"/>
      <c r="AQ34" s="778"/>
      <c r="AR34" s="778"/>
      <c r="AS34" s="778"/>
      <c r="AT34" s="778"/>
      <c r="AU34" s="598"/>
      <c r="AV34" s="598"/>
      <c r="AW34" s="598"/>
      <c r="AX34" s="595"/>
      <c r="AY34" s="595"/>
      <c r="AZ34" s="197"/>
      <c r="BA34" s="478" t="str">
        <f t="shared" si="0"/>
        <v>SUM_CO2</v>
      </c>
      <c r="BB34" s="573" t="str">
        <f t="shared" si="1"/>
        <v>SUM_EnergyIN</v>
      </c>
      <c r="BC34" s="600"/>
      <c r="BD34" s="5"/>
    </row>
    <row r="35" spans="1:56" x14ac:dyDescent="0.2">
      <c r="A35" s="600"/>
      <c r="B35" s="197"/>
      <c r="C35" s="534">
        <v>12</v>
      </c>
      <c r="D35" s="594"/>
      <c r="E35" s="594"/>
      <c r="F35" s="595"/>
      <c r="G35" s="596"/>
      <c r="H35" s="595"/>
      <c r="I35" s="596"/>
      <c r="J35" s="595"/>
      <c r="K35" s="596"/>
      <c r="L35" s="596"/>
      <c r="M35" s="596"/>
      <c r="N35" s="595"/>
      <c r="O35" s="597"/>
      <c r="P35" s="595"/>
      <c r="Q35" s="597"/>
      <c r="R35" s="595"/>
      <c r="S35" s="597"/>
      <c r="T35" s="595"/>
      <c r="U35" s="597"/>
      <c r="V35" s="778"/>
      <c r="W35" s="778"/>
      <c r="X35" s="778"/>
      <c r="Y35" s="778"/>
      <c r="Z35" s="778"/>
      <c r="AA35" s="778"/>
      <c r="AB35" s="778"/>
      <c r="AC35" s="778"/>
      <c r="AD35" s="778"/>
      <c r="AE35" s="778"/>
      <c r="AF35" s="778"/>
      <c r="AG35" s="778"/>
      <c r="AH35" s="778"/>
      <c r="AI35" s="778"/>
      <c r="AJ35" s="778"/>
      <c r="AK35" s="778"/>
      <c r="AL35" s="778"/>
      <c r="AM35" s="778"/>
      <c r="AN35" s="778"/>
      <c r="AO35" s="778"/>
      <c r="AP35" s="778"/>
      <c r="AQ35" s="778"/>
      <c r="AR35" s="778"/>
      <c r="AS35" s="778"/>
      <c r="AT35" s="778"/>
      <c r="AU35" s="598"/>
      <c r="AV35" s="598"/>
      <c r="AW35" s="598"/>
      <c r="AX35" s="595"/>
      <c r="AY35" s="595"/>
      <c r="AZ35" s="197"/>
      <c r="BA35" s="478" t="str">
        <f t="shared" si="0"/>
        <v>SUM_CO2</v>
      </c>
      <c r="BB35" s="573" t="str">
        <f t="shared" si="1"/>
        <v>SUM_EnergyIN</v>
      </c>
      <c r="BC35" s="600"/>
      <c r="BD35" s="5"/>
    </row>
    <row r="36" spans="1:56" x14ac:dyDescent="0.2">
      <c r="A36" s="600"/>
      <c r="B36" s="197"/>
      <c r="C36" s="534">
        <v>13</v>
      </c>
      <c r="D36" s="594"/>
      <c r="E36" s="594"/>
      <c r="F36" s="595"/>
      <c r="G36" s="596"/>
      <c r="H36" s="595"/>
      <c r="I36" s="596"/>
      <c r="J36" s="595"/>
      <c r="K36" s="596"/>
      <c r="L36" s="596"/>
      <c r="M36" s="596"/>
      <c r="N36" s="595"/>
      <c r="O36" s="597"/>
      <c r="P36" s="595"/>
      <c r="Q36" s="597"/>
      <c r="R36" s="595"/>
      <c r="S36" s="597"/>
      <c r="T36" s="595"/>
      <c r="U36" s="597"/>
      <c r="V36" s="778"/>
      <c r="W36" s="778"/>
      <c r="X36" s="778"/>
      <c r="Y36" s="778"/>
      <c r="Z36" s="778"/>
      <c r="AA36" s="778"/>
      <c r="AB36" s="778"/>
      <c r="AC36" s="778"/>
      <c r="AD36" s="778"/>
      <c r="AE36" s="778"/>
      <c r="AF36" s="778"/>
      <c r="AG36" s="778"/>
      <c r="AH36" s="778"/>
      <c r="AI36" s="778"/>
      <c r="AJ36" s="778"/>
      <c r="AK36" s="778"/>
      <c r="AL36" s="778"/>
      <c r="AM36" s="778"/>
      <c r="AN36" s="778"/>
      <c r="AO36" s="778"/>
      <c r="AP36" s="778"/>
      <c r="AQ36" s="778"/>
      <c r="AR36" s="778"/>
      <c r="AS36" s="778"/>
      <c r="AT36" s="778"/>
      <c r="AU36" s="598"/>
      <c r="AV36" s="598"/>
      <c r="AW36" s="598"/>
      <c r="AX36" s="595"/>
      <c r="AY36" s="595"/>
      <c r="AZ36" s="197"/>
      <c r="BA36" s="478" t="str">
        <f t="shared" si="0"/>
        <v>SUM_CO2</v>
      </c>
      <c r="BB36" s="573" t="str">
        <f t="shared" si="1"/>
        <v>SUM_EnergyIN</v>
      </c>
      <c r="BC36" s="600"/>
      <c r="BD36" s="5"/>
    </row>
    <row r="37" spans="1:56" x14ac:dyDescent="0.2">
      <c r="A37" s="600"/>
      <c r="B37" s="197"/>
      <c r="C37" s="534">
        <v>14</v>
      </c>
      <c r="D37" s="594"/>
      <c r="E37" s="594"/>
      <c r="F37" s="595"/>
      <c r="G37" s="596"/>
      <c r="H37" s="595"/>
      <c r="I37" s="596"/>
      <c r="J37" s="595"/>
      <c r="K37" s="596"/>
      <c r="L37" s="596"/>
      <c r="M37" s="596"/>
      <c r="N37" s="595"/>
      <c r="O37" s="597"/>
      <c r="P37" s="595"/>
      <c r="Q37" s="597"/>
      <c r="R37" s="595"/>
      <c r="S37" s="597"/>
      <c r="T37" s="595"/>
      <c r="U37" s="597"/>
      <c r="V37" s="778"/>
      <c r="W37" s="778"/>
      <c r="X37" s="778"/>
      <c r="Y37" s="778"/>
      <c r="Z37" s="778"/>
      <c r="AA37" s="778"/>
      <c r="AB37" s="778"/>
      <c r="AC37" s="778"/>
      <c r="AD37" s="778"/>
      <c r="AE37" s="778"/>
      <c r="AF37" s="778"/>
      <c r="AG37" s="778"/>
      <c r="AH37" s="778"/>
      <c r="AI37" s="778"/>
      <c r="AJ37" s="778"/>
      <c r="AK37" s="778"/>
      <c r="AL37" s="778"/>
      <c r="AM37" s="778"/>
      <c r="AN37" s="778"/>
      <c r="AO37" s="778"/>
      <c r="AP37" s="778"/>
      <c r="AQ37" s="778"/>
      <c r="AR37" s="778"/>
      <c r="AS37" s="778"/>
      <c r="AT37" s="778"/>
      <c r="AU37" s="598"/>
      <c r="AV37" s="598"/>
      <c r="AW37" s="598"/>
      <c r="AX37" s="595"/>
      <c r="AY37" s="595"/>
      <c r="AZ37" s="197"/>
      <c r="BA37" s="478" t="str">
        <f t="shared" si="0"/>
        <v>SUM_CO2</v>
      </c>
      <c r="BB37" s="573" t="str">
        <f t="shared" si="1"/>
        <v>SUM_EnergyIN</v>
      </c>
      <c r="BC37" s="600"/>
      <c r="BD37" s="5"/>
    </row>
    <row r="38" spans="1:56" x14ac:dyDescent="0.2">
      <c r="A38" s="600"/>
      <c r="B38" s="197"/>
      <c r="C38" s="534">
        <v>15</v>
      </c>
      <c r="D38" s="594"/>
      <c r="E38" s="594"/>
      <c r="F38" s="595"/>
      <c r="G38" s="596"/>
      <c r="H38" s="595"/>
      <c r="I38" s="596"/>
      <c r="J38" s="595"/>
      <c r="K38" s="596"/>
      <c r="L38" s="596"/>
      <c r="M38" s="596"/>
      <c r="N38" s="595"/>
      <c r="O38" s="597"/>
      <c r="P38" s="595"/>
      <c r="Q38" s="597"/>
      <c r="R38" s="595"/>
      <c r="S38" s="597"/>
      <c r="T38" s="595"/>
      <c r="U38" s="597"/>
      <c r="V38" s="778"/>
      <c r="W38" s="778"/>
      <c r="X38" s="778"/>
      <c r="Y38" s="778"/>
      <c r="Z38" s="778"/>
      <c r="AA38" s="778"/>
      <c r="AB38" s="778"/>
      <c r="AC38" s="778"/>
      <c r="AD38" s="778"/>
      <c r="AE38" s="778"/>
      <c r="AF38" s="778"/>
      <c r="AG38" s="778"/>
      <c r="AH38" s="778"/>
      <c r="AI38" s="778"/>
      <c r="AJ38" s="778"/>
      <c r="AK38" s="778"/>
      <c r="AL38" s="778"/>
      <c r="AM38" s="778"/>
      <c r="AN38" s="778"/>
      <c r="AO38" s="778"/>
      <c r="AP38" s="778"/>
      <c r="AQ38" s="778"/>
      <c r="AR38" s="778"/>
      <c r="AS38" s="778"/>
      <c r="AT38" s="778"/>
      <c r="AU38" s="598"/>
      <c r="AV38" s="598"/>
      <c r="AW38" s="598"/>
      <c r="AX38" s="595"/>
      <c r="AY38" s="595"/>
      <c r="AZ38" s="197"/>
      <c r="BA38" s="478" t="str">
        <f t="shared" si="0"/>
        <v>SUM_CO2</v>
      </c>
      <c r="BB38" s="573" t="str">
        <f t="shared" si="1"/>
        <v>SUM_EnergyIN</v>
      </c>
      <c r="BC38" s="600"/>
      <c r="BD38" s="5"/>
    </row>
    <row r="39" spans="1:56" x14ac:dyDescent="0.2">
      <c r="A39" s="600"/>
      <c r="B39" s="197"/>
      <c r="C39" s="534">
        <v>16</v>
      </c>
      <c r="D39" s="594"/>
      <c r="E39" s="594"/>
      <c r="F39" s="595"/>
      <c r="G39" s="596"/>
      <c r="H39" s="595"/>
      <c r="I39" s="596"/>
      <c r="J39" s="595"/>
      <c r="K39" s="596"/>
      <c r="L39" s="596"/>
      <c r="M39" s="596"/>
      <c r="N39" s="595"/>
      <c r="O39" s="597"/>
      <c r="P39" s="595"/>
      <c r="Q39" s="597"/>
      <c r="R39" s="595"/>
      <c r="S39" s="597"/>
      <c r="T39" s="595"/>
      <c r="U39" s="597"/>
      <c r="V39" s="778"/>
      <c r="W39" s="778"/>
      <c r="X39" s="778"/>
      <c r="Y39" s="778"/>
      <c r="Z39" s="778"/>
      <c r="AA39" s="778"/>
      <c r="AB39" s="778"/>
      <c r="AC39" s="778"/>
      <c r="AD39" s="778"/>
      <c r="AE39" s="778"/>
      <c r="AF39" s="778"/>
      <c r="AG39" s="778"/>
      <c r="AH39" s="778"/>
      <c r="AI39" s="778"/>
      <c r="AJ39" s="778"/>
      <c r="AK39" s="778"/>
      <c r="AL39" s="778"/>
      <c r="AM39" s="778"/>
      <c r="AN39" s="778"/>
      <c r="AO39" s="778"/>
      <c r="AP39" s="778"/>
      <c r="AQ39" s="778"/>
      <c r="AR39" s="778"/>
      <c r="AS39" s="778"/>
      <c r="AT39" s="778"/>
      <c r="AU39" s="598"/>
      <c r="AV39" s="598"/>
      <c r="AW39" s="598"/>
      <c r="AX39" s="595"/>
      <c r="AY39" s="595"/>
      <c r="AZ39" s="197"/>
      <c r="BA39" s="478" t="str">
        <f t="shared" si="0"/>
        <v>SUM_CO2</v>
      </c>
      <c r="BB39" s="573" t="str">
        <f t="shared" si="1"/>
        <v>SUM_EnergyIN</v>
      </c>
      <c r="BC39" s="600"/>
      <c r="BD39" s="5"/>
    </row>
    <row r="40" spans="1:56" x14ac:dyDescent="0.2">
      <c r="A40" s="600"/>
      <c r="B40" s="197"/>
      <c r="C40" s="534">
        <v>17</v>
      </c>
      <c r="D40" s="594"/>
      <c r="E40" s="594"/>
      <c r="F40" s="595"/>
      <c r="G40" s="596"/>
      <c r="H40" s="595"/>
      <c r="I40" s="596"/>
      <c r="J40" s="595"/>
      <c r="K40" s="596"/>
      <c r="L40" s="596"/>
      <c r="M40" s="596"/>
      <c r="N40" s="595"/>
      <c r="O40" s="597"/>
      <c r="P40" s="595"/>
      <c r="Q40" s="597"/>
      <c r="R40" s="595"/>
      <c r="S40" s="597"/>
      <c r="T40" s="595"/>
      <c r="U40" s="597"/>
      <c r="V40" s="778"/>
      <c r="W40" s="778"/>
      <c r="X40" s="778"/>
      <c r="Y40" s="778"/>
      <c r="Z40" s="778"/>
      <c r="AA40" s="778"/>
      <c r="AB40" s="778"/>
      <c r="AC40" s="778"/>
      <c r="AD40" s="778"/>
      <c r="AE40" s="778"/>
      <c r="AF40" s="778"/>
      <c r="AG40" s="778"/>
      <c r="AH40" s="778"/>
      <c r="AI40" s="778"/>
      <c r="AJ40" s="778"/>
      <c r="AK40" s="778"/>
      <c r="AL40" s="778"/>
      <c r="AM40" s="778"/>
      <c r="AN40" s="778"/>
      <c r="AO40" s="778"/>
      <c r="AP40" s="778"/>
      <c r="AQ40" s="778"/>
      <c r="AR40" s="778"/>
      <c r="AS40" s="778"/>
      <c r="AT40" s="778"/>
      <c r="AU40" s="598"/>
      <c r="AV40" s="598"/>
      <c r="AW40" s="598"/>
      <c r="AX40" s="595"/>
      <c r="AY40" s="595"/>
      <c r="AZ40" s="197"/>
      <c r="BA40" s="478" t="str">
        <f t="shared" si="0"/>
        <v>SUM_CO2</v>
      </c>
      <c r="BB40" s="573" t="str">
        <f t="shared" si="1"/>
        <v>SUM_EnergyIN</v>
      </c>
      <c r="BC40" s="600"/>
      <c r="BD40" s="5"/>
    </row>
    <row r="41" spans="1:56" x14ac:dyDescent="0.2">
      <c r="A41" s="600"/>
      <c r="B41" s="197"/>
      <c r="C41" s="534">
        <v>18</v>
      </c>
      <c r="D41" s="594"/>
      <c r="E41" s="594"/>
      <c r="F41" s="595"/>
      <c r="G41" s="596"/>
      <c r="H41" s="595"/>
      <c r="I41" s="596"/>
      <c r="J41" s="595"/>
      <c r="K41" s="596"/>
      <c r="L41" s="596"/>
      <c r="M41" s="596"/>
      <c r="N41" s="595"/>
      <c r="O41" s="597"/>
      <c r="P41" s="595"/>
      <c r="Q41" s="597"/>
      <c r="R41" s="595"/>
      <c r="S41" s="597"/>
      <c r="T41" s="595"/>
      <c r="U41" s="597"/>
      <c r="V41" s="778"/>
      <c r="W41" s="778"/>
      <c r="X41" s="778"/>
      <c r="Y41" s="778"/>
      <c r="Z41" s="778"/>
      <c r="AA41" s="778"/>
      <c r="AB41" s="778"/>
      <c r="AC41" s="778"/>
      <c r="AD41" s="778"/>
      <c r="AE41" s="778"/>
      <c r="AF41" s="778"/>
      <c r="AG41" s="778"/>
      <c r="AH41" s="778"/>
      <c r="AI41" s="778"/>
      <c r="AJ41" s="778"/>
      <c r="AK41" s="778"/>
      <c r="AL41" s="778"/>
      <c r="AM41" s="778"/>
      <c r="AN41" s="778"/>
      <c r="AO41" s="778"/>
      <c r="AP41" s="778"/>
      <c r="AQ41" s="778"/>
      <c r="AR41" s="778"/>
      <c r="AS41" s="778"/>
      <c r="AT41" s="778"/>
      <c r="AU41" s="598"/>
      <c r="AV41" s="598"/>
      <c r="AW41" s="598"/>
      <c r="AX41" s="595"/>
      <c r="AY41" s="595"/>
      <c r="AZ41" s="197"/>
      <c r="BA41" s="478" t="str">
        <f t="shared" si="0"/>
        <v>SUM_CO2</v>
      </c>
      <c r="BB41" s="573" t="str">
        <f t="shared" si="1"/>
        <v>SUM_EnergyIN</v>
      </c>
      <c r="BC41" s="600"/>
      <c r="BD41" s="5"/>
    </row>
    <row r="42" spans="1:56" x14ac:dyDescent="0.2">
      <c r="A42" s="600"/>
      <c r="B42" s="197"/>
      <c r="C42" s="534">
        <v>19</v>
      </c>
      <c r="D42" s="594"/>
      <c r="E42" s="594"/>
      <c r="F42" s="595"/>
      <c r="G42" s="596"/>
      <c r="H42" s="595"/>
      <c r="I42" s="596"/>
      <c r="J42" s="595"/>
      <c r="K42" s="596"/>
      <c r="L42" s="596"/>
      <c r="M42" s="596"/>
      <c r="N42" s="595"/>
      <c r="O42" s="597"/>
      <c r="P42" s="595"/>
      <c r="Q42" s="597"/>
      <c r="R42" s="595"/>
      <c r="S42" s="597"/>
      <c r="T42" s="595"/>
      <c r="U42" s="597"/>
      <c r="V42" s="778"/>
      <c r="W42" s="778"/>
      <c r="X42" s="778"/>
      <c r="Y42" s="778"/>
      <c r="Z42" s="778"/>
      <c r="AA42" s="778"/>
      <c r="AB42" s="778"/>
      <c r="AC42" s="778"/>
      <c r="AD42" s="778"/>
      <c r="AE42" s="778"/>
      <c r="AF42" s="778"/>
      <c r="AG42" s="778"/>
      <c r="AH42" s="778"/>
      <c r="AI42" s="778"/>
      <c r="AJ42" s="778"/>
      <c r="AK42" s="778"/>
      <c r="AL42" s="778"/>
      <c r="AM42" s="778"/>
      <c r="AN42" s="778"/>
      <c r="AO42" s="778"/>
      <c r="AP42" s="778"/>
      <c r="AQ42" s="778"/>
      <c r="AR42" s="778"/>
      <c r="AS42" s="778"/>
      <c r="AT42" s="778"/>
      <c r="AU42" s="598"/>
      <c r="AV42" s="598"/>
      <c r="AW42" s="598"/>
      <c r="AX42" s="595"/>
      <c r="AY42" s="595"/>
      <c r="AZ42" s="197"/>
      <c r="BA42" s="478" t="str">
        <f t="shared" si="0"/>
        <v>SUM_CO2</v>
      </c>
      <c r="BB42" s="573" t="str">
        <f t="shared" si="1"/>
        <v>SUM_EnergyIN</v>
      </c>
      <c r="BC42" s="600"/>
      <c r="BD42" s="5"/>
    </row>
    <row r="43" spans="1:56" x14ac:dyDescent="0.2">
      <c r="A43" s="600"/>
      <c r="B43" s="197"/>
      <c r="C43" s="534">
        <v>20</v>
      </c>
      <c r="D43" s="594"/>
      <c r="E43" s="594"/>
      <c r="F43" s="595"/>
      <c r="G43" s="596"/>
      <c r="H43" s="595"/>
      <c r="I43" s="596"/>
      <c r="J43" s="595"/>
      <c r="K43" s="596"/>
      <c r="L43" s="596"/>
      <c r="M43" s="596"/>
      <c r="N43" s="595"/>
      <c r="O43" s="597"/>
      <c r="P43" s="595"/>
      <c r="Q43" s="597"/>
      <c r="R43" s="595"/>
      <c r="S43" s="597"/>
      <c r="T43" s="595"/>
      <c r="U43" s="597"/>
      <c r="V43" s="778"/>
      <c r="W43" s="778"/>
      <c r="X43" s="778"/>
      <c r="Y43" s="778"/>
      <c r="Z43" s="778"/>
      <c r="AA43" s="778"/>
      <c r="AB43" s="778"/>
      <c r="AC43" s="778"/>
      <c r="AD43" s="778"/>
      <c r="AE43" s="778"/>
      <c r="AF43" s="778"/>
      <c r="AG43" s="778"/>
      <c r="AH43" s="778"/>
      <c r="AI43" s="778"/>
      <c r="AJ43" s="778"/>
      <c r="AK43" s="778"/>
      <c r="AL43" s="778"/>
      <c r="AM43" s="778"/>
      <c r="AN43" s="778"/>
      <c r="AO43" s="778"/>
      <c r="AP43" s="778"/>
      <c r="AQ43" s="778"/>
      <c r="AR43" s="778"/>
      <c r="AS43" s="778"/>
      <c r="AT43" s="778"/>
      <c r="AU43" s="598"/>
      <c r="AV43" s="598"/>
      <c r="AW43" s="598"/>
      <c r="AX43" s="595"/>
      <c r="AY43" s="595"/>
      <c r="AZ43" s="197"/>
      <c r="BA43" s="478" t="str">
        <f t="shared" si="0"/>
        <v>SUM_CO2</v>
      </c>
      <c r="BB43" s="573" t="str">
        <f t="shared" si="1"/>
        <v>SUM_EnergyIN</v>
      </c>
      <c r="BC43" s="600"/>
      <c r="BD43" s="5"/>
    </row>
    <row r="44" spans="1:56" x14ac:dyDescent="0.2">
      <c r="A44" s="600"/>
      <c r="B44" s="197"/>
      <c r="C44" s="534">
        <v>21</v>
      </c>
      <c r="D44" s="594"/>
      <c r="E44" s="594"/>
      <c r="F44" s="595"/>
      <c r="G44" s="596"/>
      <c r="H44" s="595"/>
      <c r="I44" s="596"/>
      <c r="J44" s="595"/>
      <c r="K44" s="596"/>
      <c r="L44" s="596"/>
      <c r="M44" s="596"/>
      <c r="N44" s="595"/>
      <c r="O44" s="597"/>
      <c r="P44" s="595"/>
      <c r="Q44" s="597"/>
      <c r="R44" s="595"/>
      <c r="S44" s="597"/>
      <c r="T44" s="595"/>
      <c r="U44" s="597"/>
      <c r="V44" s="778"/>
      <c r="W44" s="778"/>
      <c r="X44" s="778"/>
      <c r="Y44" s="778"/>
      <c r="Z44" s="778"/>
      <c r="AA44" s="778"/>
      <c r="AB44" s="778"/>
      <c r="AC44" s="778"/>
      <c r="AD44" s="778"/>
      <c r="AE44" s="778"/>
      <c r="AF44" s="778"/>
      <c r="AG44" s="778"/>
      <c r="AH44" s="778"/>
      <c r="AI44" s="778"/>
      <c r="AJ44" s="778"/>
      <c r="AK44" s="778"/>
      <c r="AL44" s="778"/>
      <c r="AM44" s="778"/>
      <c r="AN44" s="778"/>
      <c r="AO44" s="778"/>
      <c r="AP44" s="778"/>
      <c r="AQ44" s="778"/>
      <c r="AR44" s="778"/>
      <c r="AS44" s="778"/>
      <c r="AT44" s="778"/>
      <c r="AU44" s="598"/>
      <c r="AV44" s="598"/>
      <c r="AW44" s="598"/>
      <c r="AX44" s="595"/>
      <c r="AY44" s="595"/>
      <c r="AZ44" s="197"/>
      <c r="BA44" s="478" t="str">
        <f t="shared" si="0"/>
        <v>SUM_CO2</v>
      </c>
      <c r="BB44" s="573" t="str">
        <f t="shared" si="1"/>
        <v>SUM_EnergyIN</v>
      </c>
      <c r="BC44" s="600"/>
      <c r="BD44" s="5"/>
    </row>
    <row r="45" spans="1:56" x14ac:dyDescent="0.2">
      <c r="A45" s="600"/>
      <c r="B45" s="197"/>
      <c r="C45" s="534">
        <v>22</v>
      </c>
      <c r="D45" s="594"/>
      <c r="E45" s="594"/>
      <c r="F45" s="595"/>
      <c r="G45" s="596"/>
      <c r="H45" s="595"/>
      <c r="I45" s="596"/>
      <c r="J45" s="595"/>
      <c r="K45" s="596"/>
      <c r="L45" s="596"/>
      <c r="M45" s="596"/>
      <c r="N45" s="595"/>
      <c r="O45" s="597"/>
      <c r="P45" s="595"/>
      <c r="Q45" s="597"/>
      <c r="R45" s="595"/>
      <c r="S45" s="597"/>
      <c r="T45" s="595"/>
      <c r="U45" s="597"/>
      <c r="V45" s="778"/>
      <c r="W45" s="778"/>
      <c r="X45" s="778"/>
      <c r="Y45" s="778"/>
      <c r="Z45" s="778"/>
      <c r="AA45" s="778"/>
      <c r="AB45" s="778"/>
      <c r="AC45" s="778"/>
      <c r="AD45" s="778"/>
      <c r="AE45" s="778"/>
      <c r="AF45" s="778"/>
      <c r="AG45" s="778"/>
      <c r="AH45" s="778"/>
      <c r="AI45" s="778"/>
      <c r="AJ45" s="778"/>
      <c r="AK45" s="778"/>
      <c r="AL45" s="778"/>
      <c r="AM45" s="778"/>
      <c r="AN45" s="778"/>
      <c r="AO45" s="778"/>
      <c r="AP45" s="778"/>
      <c r="AQ45" s="778"/>
      <c r="AR45" s="778"/>
      <c r="AS45" s="778"/>
      <c r="AT45" s="778"/>
      <c r="AU45" s="598"/>
      <c r="AV45" s="598"/>
      <c r="AW45" s="598"/>
      <c r="AX45" s="595"/>
      <c r="AY45" s="595"/>
      <c r="AZ45" s="197"/>
      <c r="BA45" s="478" t="str">
        <f t="shared" si="0"/>
        <v>SUM_CO2</v>
      </c>
      <c r="BB45" s="573" t="str">
        <f t="shared" si="1"/>
        <v>SUM_EnergyIN</v>
      </c>
      <c r="BC45" s="600"/>
      <c r="BD45" s="5"/>
    </row>
    <row r="46" spans="1:56" x14ac:dyDescent="0.2">
      <c r="A46" s="600"/>
      <c r="B46" s="197"/>
      <c r="C46" s="534">
        <v>23</v>
      </c>
      <c r="D46" s="594"/>
      <c r="E46" s="594"/>
      <c r="F46" s="595"/>
      <c r="G46" s="596"/>
      <c r="H46" s="595"/>
      <c r="I46" s="596"/>
      <c r="J46" s="595"/>
      <c r="K46" s="596"/>
      <c r="L46" s="596"/>
      <c r="M46" s="596"/>
      <c r="N46" s="595"/>
      <c r="O46" s="597"/>
      <c r="P46" s="595"/>
      <c r="Q46" s="597"/>
      <c r="R46" s="595"/>
      <c r="S46" s="597"/>
      <c r="T46" s="595"/>
      <c r="U46" s="597"/>
      <c r="V46" s="778"/>
      <c r="W46" s="778"/>
      <c r="X46" s="778"/>
      <c r="Y46" s="778"/>
      <c r="Z46" s="778"/>
      <c r="AA46" s="778"/>
      <c r="AB46" s="778"/>
      <c r="AC46" s="778"/>
      <c r="AD46" s="778"/>
      <c r="AE46" s="778"/>
      <c r="AF46" s="778"/>
      <c r="AG46" s="778"/>
      <c r="AH46" s="778"/>
      <c r="AI46" s="778"/>
      <c r="AJ46" s="778"/>
      <c r="AK46" s="778"/>
      <c r="AL46" s="778"/>
      <c r="AM46" s="778"/>
      <c r="AN46" s="778"/>
      <c r="AO46" s="778"/>
      <c r="AP46" s="778"/>
      <c r="AQ46" s="778"/>
      <c r="AR46" s="778"/>
      <c r="AS46" s="778"/>
      <c r="AT46" s="778"/>
      <c r="AU46" s="598"/>
      <c r="AV46" s="598"/>
      <c r="AW46" s="598"/>
      <c r="AX46" s="595"/>
      <c r="AY46" s="595"/>
      <c r="AZ46" s="197"/>
      <c r="BA46" s="478" t="str">
        <f t="shared" si="0"/>
        <v>SUM_CO2</v>
      </c>
      <c r="BB46" s="573" t="str">
        <f t="shared" si="1"/>
        <v>SUM_EnergyIN</v>
      </c>
      <c r="BC46" s="600"/>
      <c r="BD46" s="5"/>
    </row>
    <row r="47" spans="1:56" x14ac:dyDescent="0.2">
      <c r="A47" s="600"/>
      <c r="B47" s="197"/>
      <c r="C47" s="534">
        <v>24</v>
      </c>
      <c r="D47" s="594"/>
      <c r="E47" s="594"/>
      <c r="F47" s="595"/>
      <c r="G47" s="596"/>
      <c r="H47" s="595"/>
      <c r="I47" s="596"/>
      <c r="J47" s="595"/>
      <c r="K47" s="596"/>
      <c r="L47" s="596"/>
      <c r="M47" s="596"/>
      <c r="N47" s="595"/>
      <c r="O47" s="597"/>
      <c r="P47" s="595"/>
      <c r="Q47" s="597"/>
      <c r="R47" s="595"/>
      <c r="S47" s="597"/>
      <c r="T47" s="595"/>
      <c r="U47" s="597"/>
      <c r="V47" s="778"/>
      <c r="W47" s="778"/>
      <c r="X47" s="778"/>
      <c r="Y47" s="778"/>
      <c r="Z47" s="778"/>
      <c r="AA47" s="778"/>
      <c r="AB47" s="778"/>
      <c r="AC47" s="778"/>
      <c r="AD47" s="778"/>
      <c r="AE47" s="778"/>
      <c r="AF47" s="778"/>
      <c r="AG47" s="778"/>
      <c r="AH47" s="778"/>
      <c r="AI47" s="778"/>
      <c r="AJ47" s="778"/>
      <c r="AK47" s="778"/>
      <c r="AL47" s="778"/>
      <c r="AM47" s="778"/>
      <c r="AN47" s="778"/>
      <c r="AO47" s="778"/>
      <c r="AP47" s="778"/>
      <c r="AQ47" s="778"/>
      <c r="AR47" s="778"/>
      <c r="AS47" s="778"/>
      <c r="AT47" s="778"/>
      <c r="AU47" s="598"/>
      <c r="AV47" s="598"/>
      <c r="AW47" s="598"/>
      <c r="AX47" s="595"/>
      <c r="AY47" s="595"/>
      <c r="AZ47" s="197"/>
      <c r="BA47" s="478" t="str">
        <f t="shared" si="0"/>
        <v>SUM_CO2</v>
      </c>
      <c r="BB47" s="573" t="str">
        <f t="shared" si="1"/>
        <v>SUM_EnergyIN</v>
      </c>
      <c r="BC47" s="600"/>
      <c r="BD47" s="5"/>
    </row>
    <row r="48" spans="1:56" x14ac:dyDescent="0.2">
      <c r="A48" s="600"/>
      <c r="B48" s="197"/>
      <c r="C48" s="534">
        <v>25</v>
      </c>
      <c r="D48" s="594"/>
      <c r="E48" s="594"/>
      <c r="F48" s="595"/>
      <c r="G48" s="596"/>
      <c r="H48" s="595"/>
      <c r="I48" s="596"/>
      <c r="J48" s="595"/>
      <c r="K48" s="596"/>
      <c r="L48" s="596"/>
      <c r="M48" s="596"/>
      <c r="N48" s="595"/>
      <c r="O48" s="597"/>
      <c r="P48" s="595"/>
      <c r="Q48" s="597"/>
      <c r="R48" s="595"/>
      <c r="S48" s="597"/>
      <c r="T48" s="595"/>
      <c r="U48" s="597"/>
      <c r="V48" s="778"/>
      <c r="W48" s="778"/>
      <c r="X48" s="778"/>
      <c r="Y48" s="778"/>
      <c r="Z48" s="778"/>
      <c r="AA48" s="778"/>
      <c r="AB48" s="778"/>
      <c r="AC48" s="778"/>
      <c r="AD48" s="778"/>
      <c r="AE48" s="778"/>
      <c r="AF48" s="778"/>
      <c r="AG48" s="778"/>
      <c r="AH48" s="778"/>
      <c r="AI48" s="778"/>
      <c r="AJ48" s="778"/>
      <c r="AK48" s="778"/>
      <c r="AL48" s="778"/>
      <c r="AM48" s="778"/>
      <c r="AN48" s="778"/>
      <c r="AO48" s="778"/>
      <c r="AP48" s="778"/>
      <c r="AQ48" s="778"/>
      <c r="AR48" s="778"/>
      <c r="AS48" s="778"/>
      <c r="AT48" s="778"/>
      <c r="AU48" s="598"/>
      <c r="AV48" s="598"/>
      <c r="AW48" s="598"/>
      <c r="AX48" s="595"/>
      <c r="AY48" s="595"/>
      <c r="AZ48" s="197"/>
      <c r="BA48" s="478" t="str">
        <f t="shared" si="0"/>
        <v>SUM_CO2</v>
      </c>
      <c r="BB48" s="573" t="str">
        <f t="shared" si="1"/>
        <v>SUM_EnergyIN</v>
      </c>
      <c r="BC48" s="600"/>
      <c r="BD48" s="5"/>
    </row>
    <row r="49" spans="1:56" x14ac:dyDescent="0.2">
      <c r="A49" s="600"/>
      <c r="B49" s="197"/>
      <c r="C49" s="534">
        <v>26</v>
      </c>
      <c r="D49" s="594"/>
      <c r="E49" s="594"/>
      <c r="F49" s="595"/>
      <c r="G49" s="596"/>
      <c r="H49" s="595"/>
      <c r="I49" s="596"/>
      <c r="J49" s="595"/>
      <c r="K49" s="596"/>
      <c r="L49" s="596"/>
      <c r="M49" s="596"/>
      <c r="N49" s="595"/>
      <c r="O49" s="597"/>
      <c r="P49" s="595"/>
      <c r="Q49" s="597"/>
      <c r="R49" s="595"/>
      <c r="S49" s="597"/>
      <c r="T49" s="595"/>
      <c r="U49" s="597"/>
      <c r="V49" s="778"/>
      <c r="W49" s="778"/>
      <c r="X49" s="778"/>
      <c r="Y49" s="778"/>
      <c r="Z49" s="778"/>
      <c r="AA49" s="778"/>
      <c r="AB49" s="778"/>
      <c r="AC49" s="778"/>
      <c r="AD49" s="778"/>
      <c r="AE49" s="778"/>
      <c r="AF49" s="778"/>
      <c r="AG49" s="778"/>
      <c r="AH49" s="778"/>
      <c r="AI49" s="778"/>
      <c r="AJ49" s="778"/>
      <c r="AK49" s="778"/>
      <c r="AL49" s="778"/>
      <c r="AM49" s="778"/>
      <c r="AN49" s="778"/>
      <c r="AO49" s="778"/>
      <c r="AP49" s="778"/>
      <c r="AQ49" s="778"/>
      <c r="AR49" s="778"/>
      <c r="AS49" s="778"/>
      <c r="AT49" s="778"/>
      <c r="AU49" s="598"/>
      <c r="AV49" s="598"/>
      <c r="AW49" s="598"/>
      <c r="AX49" s="595"/>
      <c r="AY49" s="595"/>
      <c r="AZ49" s="197"/>
      <c r="BA49" s="478" t="str">
        <f t="shared" si="0"/>
        <v>SUM_CO2</v>
      </c>
      <c r="BB49" s="573" t="str">
        <f t="shared" si="1"/>
        <v>SUM_EnergyIN</v>
      </c>
      <c r="BC49" s="600"/>
      <c r="BD49" s="5"/>
    </row>
    <row r="50" spans="1:56" x14ac:dyDescent="0.2">
      <c r="A50" s="600"/>
      <c r="B50" s="197"/>
      <c r="C50" s="534">
        <v>27</v>
      </c>
      <c r="D50" s="594"/>
      <c r="E50" s="594"/>
      <c r="F50" s="595"/>
      <c r="G50" s="596"/>
      <c r="H50" s="595"/>
      <c r="I50" s="596"/>
      <c r="J50" s="595"/>
      <c r="K50" s="596"/>
      <c r="L50" s="596"/>
      <c r="M50" s="596"/>
      <c r="N50" s="595"/>
      <c r="O50" s="597"/>
      <c r="P50" s="595"/>
      <c r="Q50" s="597"/>
      <c r="R50" s="595"/>
      <c r="S50" s="597"/>
      <c r="T50" s="595"/>
      <c r="U50" s="597"/>
      <c r="V50" s="778"/>
      <c r="W50" s="778"/>
      <c r="X50" s="778"/>
      <c r="Y50" s="778"/>
      <c r="Z50" s="778"/>
      <c r="AA50" s="778"/>
      <c r="AB50" s="778"/>
      <c r="AC50" s="778"/>
      <c r="AD50" s="778"/>
      <c r="AE50" s="778"/>
      <c r="AF50" s="778"/>
      <c r="AG50" s="778"/>
      <c r="AH50" s="778"/>
      <c r="AI50" s="778"/>
      <c r="AJ50" s="778"/>
      <c r="AK50" s="778"/>
      <c r="AL50" s="778"/>
      <c r="AM50" s="778"/>
      <c r="AN50" s="778"/>
      <c r="AO50" s="778"/>
      <c r="AP50" s="778"/>
      <c r="AQ50" s="778"/>
      <c r="AR50" s="778"/>
      <c r="AS50" s="778"/>
      <c r="AT50" s="778"/>
      <c r="AU50" s="598"/>
      <c r="AV50" s="598"/>
      <c r="AW50" s="598"/>
      <c r="AX50" s="595"/>
      <c r="AY50" s="595"/>
      <c r="AZ50" s="197"/>
      <c r="BA50" s="478" t="str">
        <f t="shared" si="0"/>
        <v>SUM_CO2</v>
      </c>
      <c r="BB50" s="573" t="str">
        <f t="shared" si="1"/>
        <v>SUM_EnergyIN</v>
      </c>
      <c r="BC50" s="600"/>
      <c r="BD50" s="5"/>
    </row>
    <row r="51" spans="1:56" x14ac:dyDescent="0.2">
      <c r="A51" s="600"/>
      <c r="B51" s="197"/>
      <c r="C51" s="534">
        <v>28</v>
      </c>
      <c r="D51" s="594"/>
      <c r="E51" s="594"/>
      <c r="F51" s="595"/>
      <c r="G51" s="596"/>
      <c r="H51" s="595"/>
      <c r="I51" s="596"/>
      <c r="J51" s="595"/>
      <c r="K51" s="596"/>
      <c r="L51" s="596"/>
      <c r="M51" s="596"/>
      <c r="N51" s="595"/>
      <c r="O51" s="597"/>
      <c r="P51" s="595"/>
      <c r="Q51" s="597"/>
      <c r="R51" s="595"/>
      <c r="S51" s="597"/>
      <c r="T51" s="595"/>
      <c r="U51" s="597"/>
      <c r="V51" s="778"/>
      <c r="W51" s="778"/>
      <c r="X51" s="778"/>
      <c r="Y51" s="778"/>
      <c r="Z51" s="778"/>
      <c r="AA51" s="778"/>
      <c r="AB51" s="778"/>
      <c r="AC51" s="778"/>
      <c r="AD51" s="778"/>
      <c r="AE51" s="778"/>
      <c r="AF51" s="778"/>
      <c r="AG51" s="778"/>
      <c r="AH51" s="778"/>
      <c r="AI51" s="778"/>
      <c r="AJ51" s="778"/>
      <c r="AK51" s="778"/>
      <c r="AL51" s="778"/>
      <c r="AM51" s="778"/>
      <c r="AN51" s="778"/>
      <c r="AO51" s="778"/>
      <c r="AP51" s="778"/>
      <c r="AQ51" s="778"/>
      <c r="AR51" s="778"/>
      <c r="AS51" s="778"/>
      <c r="AT51" s="778"/>
      <c r="AU51" s="598"/>
      <c r="AV51" s="598"/>
      <c r="AW51" s="598"/>
      <c r="AX51" s="595"/>
      <c r="AY51" s="595"/>
      <c r="AZ51" s="197"/>
      <c r="BA51" s="478" t="str">
        <f t="shared" si="0"/>
        <v>SUM_CO2</v>
      </c>
      <c r="BB51" s="573" t="str">
        <f t="shared" si="1"/>
        <v>SUM_EnergyIN</v>
      </c>
      <c r="BC51" s="600"/>
      <c r="BD51" s="5"/>
    </row>
    <row r="52" spans="1:56" x14ac:dyDescent="0.2">
      <c r="A52" s="600"/>
      <c r="B52" s="197"/>
      <c r="C52" s="534">
        <v>29</v>
      </c>
      <c r="D52" s="594"/>
      <c r="E52" s="594"/>
      <c r="F52" s="595"/>
      <c r="G52" s="596"/>
      <c r="H52" s="595"/>
      <c r="I52" s="596"/>
      <c r="J52" s="595"/>
      <c r="K52" s="596"/>
      <c r="L52" s="596"/>
      <c r="M52" s="596"/>
      <c r="N52" s="595"/>
      <c r="O52" s="597"/>
      <c r="P52" s="595"/>
      <c r="Q52" s="597"/>
      <c r="R52" s="595"/>
      <c r="S52" s="597"/>
      <c r="T52" s="595"/>
      <c r="U52" s="597"/>
      <c r="V52" s="778"/>
      <c r="W52" s="778"/>
      <c r="X52" s="778"/>
      <c r="Y52" s="778"/>
      <c r="Z52" s="778"/>
      <c r="AA52" s="778"/>
      <c r="AB52" s="778"/>
      <c r="AC52" s="778"/>
      <c r="AD52" s="778"/>
      <c r="AE52" s="778"/>
      <c r="AF52" s="778"/>
      <c r="AG52" s="778"/>
      <c r="AH52" s="778"/>
      <c r="AI52" s="778"/>
      <c r="AJ52" s="778"/>
      <c r="AK52" s="778"/>
      <c r="AL52" s="778"/>
      <c r="AM52" s="778"/>
      <c r="AN52" s="778"/>
      <c r="AO52" s="778"/>
      <c r="AP52" s="778"/>
      <c r="AQ52" s="778"/>
      <c r="AR52" s="778"/>
      <c r="AS52" s="778"/>
      <c r="AT52" s="778"/>
      <c r="AU52" s="598"/>
      <c r="AV52" s="598"/>
      <c r="AW52" s="598"/>
      <c r="AX52" s="595"/>
      <c r="AY52" s="595"/>
      <c r="AZ52" s="197"/>
      <c r="BA52" s="478" t="str">
        <f t="shared" si="0"/>
        <v>SUM_CO2</v>
      </c>
      <c r="BB52" s="573" t="str">
        <f t="shared" si="1"/>
        <v>SUM_EnergyIN</v>
      </c>
      <c r="BC52" s="600"/>
      <c r="BD52" s="5"/>
    </row>
    <row r="53" spans="1:56" x14ac:dyDescent="0.2">
      <c r="A53" s="600"/>
      <c r="B53" s="197"/>
      <c r="C53" s="534">
        <v>30</v>
      </c>
      <c r="D53" s="594"/>
      <c r="E53" s="594"/>
      <c r="F53" s="595"/>
      <c r="G53" s="596"/>
      <c r="H53" s="595"/>
      <c r="I53" s="596"/>
      <c r="J53" s="595"/>
      <c r="K53" s="596"/>
      <c r="L53" s="596"/>
      <c r="M53" s="596"/>
      <c r="N53" s="595"/>
      <c r="O53" s="597"/>
      <c r="P53" s="595"/>
      <c r="Q53" s="597"/>
      <c r="R53" s="595"/>
      <c r="S53" s="597"/>
      <c r="T53" s="595"/>
      <c r="U53" s="597"/>
      <c r="V53" s="778"/>
      <c r="W53" s="778"/>
      <c r="X53" s="778"/>
      <c r="Y53" s="778"/>
      <c r="Z53" s="778"/>
      <c r="AA53" s="778"/>
      <c r="AB53" s="778"/>
      <c r="AC53" s="778"/>
      <c r="AD53" s="778"/>
      <c r="AE53" s="778"/>
      <c r="AF53" s="778"/>
      <c r="AG53" s="778"/>
      <c r="AH53" s="778"/>
      <c r="AI53" s="778"/>
      <c r="AJ53" s="778"/>
      <c r="AK53" s="778"/>
      <c r="AL53" s="778"/>
      <c r="AM53" s="778"/>
      <c r="AN53" s="778"/>
      <c r="AO53" s="778"/>
      <c r="AP53" s="778"/>
      <c r="AQ53" s="778"/>
      <c r="AR53" s="778"/>
      <c r="AS53" s="778"/>
      <c r="AT53" s="778"/>
      <c r="AU53" s="598"/>
      <c r="AV53" s="598"/>
      <c r="AW53" s="598"/>
      <c r="AX53" s="595"/>
      <c r="AY53" s="595"/>
      <c r="AZ53" s="197"/>
      <c r="BA53" s="478" t="str">
        <f t="shared" si="0"/>
        <v>SUM_CO2</v>
      </c>
      <c r="BB53" s="573" t="str">
        <f t="shared" si="1"/>
        <v>SUM_EnergyIN</v>
      </c>
      <c r="BC53" s="600"/>
      <c r="BD53" s="5"/>
    </row>
    <row r="54" spans="1:56" x14ac:dyDescent="0.2">
      <c r="A54" s="600"/>
      <c r="B54" s="197"/>
      <c r="C54" s="534">
        <v>31</v>
      </c>
      <c r="D54" s="594"/>
      <c r="E54" s="594"/>
      <c r="F54" s="595"/>
      <c r="G54" s="596"/>
      <c r="H54" s="595"/>
      <c r="I54" s="596"/>
      <c r="J54" s="595"/>
      <c r="K54" s="596"/>
      <c r="L54" s="596"/>
      <c r="M54" s="596"/>
      <c r="N54" s="595"/>
      <c r="O54" s="597"/>
      <c r="P54" s="595"/>
      <c r="Q54" s="597"/>
      <c r="R54" s="595"/>
      <c r="S54" s="597"/>
      <c r="T54" s="595"/>
      <c r="U54" s="597"/>
      <c r="V54" s="778"/>
      <c r="W54" s="778"/>
      <c r="X54" s="778"/>
      <c r="Y54" s="778"/>
      <c r="Z54" s="778"/>
      <c r="AA54" s="778"/>
      <c r="AB54" s="778"/>
      <c r="AC54" s="778"/>
      <c r="AD54" s="778"/>
      <c r="AE54" s="778"/>
      <c r="AF54" s="778"/>
      <c r="AG54" s="778"/>
      <c r="AH54" s="778"/>
      <c r="AI54" s="778"/>
      <c r="AJ54" s="778"/>
      <c r="AK54" s="778"/>
      <c r="AL54" s="778"/>
      <c r="AM54" s="778"/>
      <c r="AN54" s="778"/>
      <c r="AO54" s="778"/>
      <c r="AP54" s="778"/>
      <c r="AQ54" s="778"/>
      <c r="AR54" s="778"/>
      <c r="AS54" s="778"/>
      <c r="AT54" s="778"/>
      <c r="AU54" s="598"/>
      <c r="AV54" s="598"/>
      <c r="AW54" s="598"/>
      <c r="AX54" s="595"/>
      <c r="AY54" s="595"/>
      <c r="AZ54" s="197"/>
      <c r="BA54" s="478" t="str">
        <f t="shared" si="0"/>
        <v>SUM_CO2</v>
      </c>
      <c r="BB54" s="573" t="str">
        <f t="shared" si="1"/>
        <v>SUM_EnergyIN</v>
      </c>
      <c r="BC54" s="600"/>
      <c r="BD54" s="5"/>
    </row>
    <row r="55" spans="1:56" x14ac:dyDescent="0.2">
      <c r="A55" s="600"/>
      <c r="B55" s="197"/>
      <c r="C55" s="534">
        <v>32</v>
      </c>
      <c r="D55" s="594"/>
      <c r="E55" s="594"/>
      <c r="F55" s="595"/>
      <c r="G55" s="596"/>
      <c r="H55" s="595"/>
      <c r="I55" s="596"/>
      <c r="J55" s="595"/>
      <c r="K55" s="596"/>
      <c r="L55" s="596"/>
      <c r="M55" s="596"/>
      <c r="N55" s="595"/>
      <c r="O55" s="597"/>
      <c r="P55" s="595"/>
      <c r="Q55" s="597"/>
      <c r="R55" s="595"/>
      <c r="S55" s="597"/>
      <c r="T55" s="595"/>
      <c r="U55" s="597"/>
      <c r="V55" s="778"/>
      <c r="W55" s="778"/>
      <c r="X55" s="778"/>
      <c r="Y55" s="778"/>
      <c r="Z55" s="778"/>
      <c r="AA55" s="778"/>
      <c r="AB55" s="778"/>
      <c r="AC55" s="778"/>
      <c r="AD55" s="778"/>
      <c r="AE55" s="778"/>
      <c r="AF55" s="778"/>
      <c r="AG55" s="778"/>
      <c r="AH55" s="778"/>
      <c r="AI55" s="778"/>
      <c r="AJ55" s="778"/>
      <c r="AK55" s="778"/>
      <c r="AL55" s="778"/>
      <c r="AM55" s="778"/>
      <c r="AN55" s="778"/>
      <c r="AO55" s="778"/>
      <c r="AP55" s="778"/>
      <c r="AQ55" s="778"/>
      <c r="AR55" s="778"/>
      <c r="AS55" s="778"/>
      <c r="AT55" s="778"/>
      <c r="AU55" s="598"/>
      <c r="AV55" s="598"/>
      <c r="AW55" s="598"/>
      <c r="AX55" s="595"/>
      <c r="AY55" s="595"/>
      <c r="AZ55" s="197"/>
      <c r="BA55" s="478" t="str">
        <f t="shared" si="0"/>
        <v>SUM_CO2</v>
      </c>
      <c r="BB55" s="573" t="str">
        <f t="shared" si="1"/>
        <v>SUM_EnergyIN</v>
      </c>
      <c r="BC55" s="600"/>
      <c r="BD55" s="5"/>
    </row>
    <row r="56" spans="1:56" x14ac:dyDescent="0.2">
      <c r="A56" s="600"/>
      <c r="B56" s="197"/>
      <c r="C56" s="534">
        <v>33</v>
      </c>
      <c r="D56" s="594"/>
      <c r="E56" s="594"/>
      <c r="F56" s="595"/>
      <c r="G56" s="596"/>
      <c r="H56" s="595"/>
      <c r="I56" s="596"/>
      <c r="J56" s="595"/>
      <c r="K56" s="596"/>
      <c r="L56" s="596"/>
      <c r="M56" s="596"/>
      <c r="N56" s="595"/>
      <c r="O56" s="597"/>
      <c r="P56" s="595"/>
      <c r="Q56" s="597"/>
      <c r="R56" s="595"/>
      <c r="S56" s="597"/>
      <c r="T56" s="595"/>
      <c r="U56" s="597"/>
      <c r="V56" s="778"/>
      <c r="W56" s="778"/>
      <c r="X56" s="778"/>
      <c r="Y56" s="778"/>
      <c r="Z56" s="778"/>
      <c r="AA56" s="778"/>
      <c r="AB56" s="778"/>
      <c r="AC56" s="778"/>
      <c r="AD56" s="778"/>
      <c r="AE56" s="778"/>
      <c r="AF56" s="778"/>
      <c r="AG56" s="778"/>
      <c r="AH56" s="778"/>
      <c r="AI56" s="778"/>
      <c r="AJ56" s="778"/>
      <c r="AK56" s="778"/>
      <c r="AL56" s="778"/>
      <c r="AM56" s="778"/>
      <c r="AN56" s="778"/>
      <c r="AO56" s="778"/>
      <c r="AP56" s="778"/>
      <c r="AQ56" s="778"/>
      <c r="AR56" s="778"/>
      <c r="AS56" s="778"/>
      <c r="AT56" s="778"/>
      <c r="AU56" s="598"/>
      <c r="AV56" s="598"/>
      <c r="AW56" s="598"/>
      <c r="AX56" s="595"/>
      <c r="AY56" s="595"/>
      <c r="AZ56" s="197"/>
      <c r="BA56" s="478" t="str">
        <f t="shared" si="0"/>
        <v>SUM_CO2</v>
      </c>
      <c r="BB56" s="573" t="str">
        <f t="shared" si="1"/>
        <v>SUM_EnergyIN</v>
      </c>
      <c r="BC56" s="600"/>
      <c r="BD56" s="5"/>
    </row>
    <row r="57" spans="1:56" x14ac:dyDescent="0.2">
      <c r="A57" s="600"/>
      <c r="B57" s="197"/>
      <c r="C57" s="534">
        <v>34</v>
      </c>
      <c r="D57" s="594"/>
      <c r="E57" s="594"/>
      <c r="F57" s="595"/>
      <c r="G57" s="596"/>
      <c r="H57" s="595"/>
      <c r="I57" s="596"/>
      <c r="J57" s="595"/>
      <c r="K57" s="596"/>
      <c r="L57" s="596"/>
      <c r="M57" s="596"/>
      <c r="N57" s="595"/>
      <c r="O57" s="597"/>
      <c r="P57" s="595"/>
      <c r="Q57" s="597"/>
      <c r="R57" s="595"/>
      <c r="S57" s="597"/>
      <c r="T57" s="595"/>
      <c r="U57" s="597"/>
      <c r="V57" s="778"/>
      <c r="W57" s="778"/>
      <c r="X57" s="778"/>
      <c r="Y57" s="778"/>
      <c r="Z57" s="778"/>
      <c r="AA57" s="778"/>
      <c r="AB57" s="778"/>
      <c r="AC57" s="778"/>
      <c r="AD57" s="778"/>
      <c r="AE57" s="778"/>
      <c r="AF57" s="778"/>
      <c r="AG57" s="778"/>
      <c r="AH57" s="778"/>
      <c r="AI57" s="778"/>
      <c r="AJ57" s="778"/>
      <c r="AK57" s="778"/>
      <c r="AL57" s="778"/>
      <c r="AM57" s="778"/>
      <c r="AN57" s="778"/>
      <c r="AO57" s="778"/>
      <c r="AP57" s="778"/>
      <c r="AQ57" s="778"/>
      <c r="AR57" s="778"/>
      <c r="AS57" s="778"/>
      <c r="AT57" s="778"/>
      <c r="AU57" s="598"/>
      <c r="AV57" s="598"/>
      <c r="AW57" s="598"/>
      <c r="AX57" s="595"/>
      <c r="AY57" s="595"/>
      <c r="AZ57" s="197"/>
      <c r="BA57" s="478" t="str">
        <f t="shared" si="0"/>
        <v>SUM_CO2</v>
      </c>
      <c r="BB57" s="573" t="str">
        <f t="shared" si="1"/>
        <v>SUM_EnergyIN</v>
      </c>
      <c r="BC57" s="600"/>
      <c r="BD57" s="5"/>
    </row>
    <row r="58" spans="1:56" x14ac:dyDescent="0.2">
      <c r="A58" s="600"/>
      <c r="B58" s="197"/>
      <c r="C58" s="534">
        <v>35</v>
      </c>
      <c r="D58" s="594"/>
      <c r="E58" s="594"/>
      <c r="F58" s="595"/>
      <c r="G58" s="596"/>
      <c r="H58" s="595"/>
      <c r="I58" s="596"/>
      <c r="J58" s="595"/>
      <c r="K58" s="596"/>
      <c r="L58" s="596"/>
      <c r="M58" s="596"/>
      <c r="N58" s="595"/>
      <c r="O58" s="597"/>
      <c r="P58" s="595"/>
      <c r="Q58" s="597"/>
      <c r="R58" s="595"/>
      <c r="S58" s="597"/>
      <c r="T58" s="595"/>
      <c r="U58" s="597"/>
      <c r="V58" s="778"/>
      <c r="W58" s="778"/>
      <c r="X58" s="778"/>
      <c r="Y58" s="778"/>
      <c r="Z58" s="778"/>
      <c r="AA58" s="778"/>
      <c r="AB58" s="778"/>
      <c r="AC58" s="778"/>
      <c r="AD58" s="778"/>
      <c r="AE58" s="778"/>
      <c r="AF58" s="778"/>
      <c r="AG58" s="778"/>
      <c r="AH58" s="778"/>
      <c r="AI58" s="778"/>
      <c r="AJ58" s="778"/>
      <c r="AK58" s="778"/>
      <c r="AL58" s="778"/>
      <c r="AM58" s="778"/>
      <c r="AN58" s="778"/>
      <c r="AO58" s="778"/>
      <c r="AP58" s="778"/>
      <c r="AQ58" s="778"/>
      <c r="AR58" s="778"/>
      <c r="AS58" s="778"/>
      <c r="AT58" s="778"/>
      <c r="AU58" s="598"/>
      <c r="AV58" s="598"/>
      <c r="AW58" s="598"/>
      <c r="AX58" s="595"/>
      <c r="AY58" s="595"/>
      <c r="AZ58" s="197"/>
      <c r="BA58" s="478" t="str">
        <f t="shared" si="0"/>
        <v>SUM_CO2</v>
      </c>
      <c r="BB58" s="573" t="str">
        <f t="shared" si="1"/>
        <v>SUM_EnergyIN</v>
      </c>
      <c r="BC58" s="600"/>
      <c r="BD58" s="5"/>
    </row>
    <row r="59" spans="1:56" x14ac:dyDescent="0.2">
      <c r="A59" s="600"/>
      <c r="B59" s="197"/>
      <c r="C59" s="534">
        <v>36</v>
      </c>
      <c r="D59" s="594"/>
      <c r="E59" s="594"/>
      <c r="F59" s="595"/>
      <c r="G59" s="596"/>
      <c r="H59" s="595"/>
      <c r="I59" s="596"/>
      <c r="J59" s="595"/>
      <c r="K59" s="596"/>
      <c r="L59" s="596"/>
      <c r="M59" s="596"/>
      <c r="N59" s="595"/>
      <c r="O59" s="597"/>
      <c r="P59" s="595"/>
      <c r="Q59" s="597"/>
      <c r="R59" s="595"/>
      <c r="S59" s="597"/>
      <c r="T59" s="595"/>
      <c r="U59" s="597"/>
      <c r="V59" s="778"/>
      <c r="W59" s="778"/>
      <c r="X59" s="778"/>
      <c r="Y59" s="778"/>
      <c r="Z59" s="778"/>
      <c r="AA59" s="778"/>
      <c r="AB59" s="778"/>
      <c r="AC59" s="778"/>
      <c r="AD59" s="778"/>
      <c r="AE59" s="778"/>
      <c r="AF59" s="778"/>
      <c r="AG59" s="778"/>
      <c r="AH59" s="778"/>
      <c r="AI59" s="778"/>
      <c r="AJ59" s="778"/>
      <c r="AK59" s="778"/>
      <c r="AL59" s="778"/>
      <c r="AM59" s="778"/>
      <c r="AN59" s="778"/>
      <c r="AO59" s="778"/>
      <c r="AP59" s="778"/>
      <c r="AQ59" s="778"/>
      <c r="AR59" s="778"/>
      <c r="AS59" s="778"/>
      <c r="AT59" s="778"/>
      <c r="AU59" s="598"/>
      <c r="AV59" s="598"/>
      <c r="AW59" s="598"/>
      <c r="AX59" s="595"/>
      <c r="AY59" s="595"/>
      <c r="AZ59" s="197"/>
      <c r="BA59" s="478" t="str">
        <f t="shared" si="0"/>
        <v>SUM_CO2</v>
      </c>
      <c r="BB59" s="573" t="str">
        <f t="shared" si="1"/>
        <v>SUM_EnergyIN</v>
      </c>
      <c r="BC59" s="600"/>
      <c r="BD59" s="5"/>
    </row>
    <row r="60" spans="1:56" x14ac:dyDescent="0.2">
      <c r="A60" s="600"/>
      <c r="B60" s="197"/>
      <c r="C60" s="534">
        <v>37</v>
      </c>
      <c r="D60" s="594"/>
      <c r="E60" s="594"/>
      <c r="F60" s="595"/>
      <c r="G60" s="596"/>
      <c r="H60" s="595"/>
      <c r="I60" s="596"/>
      <c r="J60" s="595"/>
      <c r="K60" s="596"/>
      <c r="L60" s="596"/>
      <c r="M60" s="596"/>
      <c r="N60" s="595"/>
      <c r="O60" s="597"/>
      <c r="P60" s="595"/>
      <c r="Q60" s="597"/>
      <c r="R60" s="595"/>
      <c r="S60" s="597"/>
      <c r="T60" s="595"/>
      <c r="U60" s="597"/>
      <c r="V60" s="778"/>
      <c r="W60" s="778"/>
      <c r="X60" s="778"/>
      <c r="Y60" s="778"/>
      <c r="Z60" s="778"/>
      <c r="AA60" s="778"/>
      <c r="AB60" s="778"/>
      <c r="AC60" s="778"/>
      <c r="AD60" s="778"/>
      <c r="AE60" s="778"/>
      <c r="AF60" s="778"/>
      <c r="AG60" s="778"/>
      <c r="AH60" s="778"/>
      <c r="AI60" s="778"/>
      <c r="AJ60" s="778"/>
      <c r="AK60" s="778"/>
      <c r="AL60" s="778"/>
      <c r="AM60" s="778"/>
      <c r="AN60" s="778"/>
      <c r="AO60" s="778"/>
      <c r="AP60" s="778"/>
      <c r="AQ60" s="778"/>
      <c r="AR60" s="778"/>
      <c r="AS60" s="778"/>
      <c r="AT60" s="778"/>
      <c r="AU60" s="598"/>
      <c r="AV60" s="598"/>
      <c r="AW60" s="598"/>
      <c r="AX60" s="595"/>
      <c r="AY60" s="595"/>
      <c r="AZ60" s="197"/>
      <c r="BA60" s="478" t="str">
        <f t="shared" si="0"/>
        <v>SUM_CO2</v>
      </c>
      <c r="BB60" s="573" t="str">
        <f t="shared" si="1"/>
        <v>SUM_EnergyIN</v>
      </c>
      <c r="BC60" s="600"/>
      <c r="BD60" s="5"/>
    </row>
    <row r="61" spans="1:56" x14ac:dyDescent="0.2">
      <c r="A61" s="600"/>
      <c r="B61" s="197"/>
      <c r="C61" s="534">
        <v>38</v>
      </c>
      <c r="D61" s="594"/>
      <c r="E61" s="594"/>
      <c r="F61" s="595"/>
      <c r="G61" s="596"/>
      <c r="H61" s="595"/>
      <c r="I61" s="596"/>
      <c r="J61" s="595"/>
      <c r="K61" s="596"/>
      <c r="L61" s="596"/>
      <c r="M61" s="596"/>
      <c r="N61" s="595"/>
      <c r="O61" s="597"/>
      <c r="P61" s="595"/>
      <c r="Q61" s="597"/>
      <c r="R61" s="595"/>
      <c r="S61" s="597"/>
      <c r="T61" s="595"/>
      <c r="U61" s="597"/>
      <c r="V61" s="778"/>
      <c r="W61" s="778"/>
      <c r="X61" s="778"/>
      <c r="Y61" s="778"/>
      <c r="Z61" s="778"/>
      <c r="AA61" s="778"/>
      <c r="AB61" s="778"/>
      <c r="AC61" s="778"/>
      <c r="AD61" s="778"/>
      <c r="AE61" s="778"/>
      <c r="AF61" s="778"/>
      <c r="AG61" s="778"/>
      <c r="AH61" s="778"/>
      <c r="AI61" s="778"/>
      <c r="AJ61" s="778"/>
      <c r="AK61" s="778"/>
      <c r="AL61" s="778"/>
      <c r="AM61" s="778"/>
      <c r="AN61" s="778"/>
      <c r="AO61" s="778"/>
      <c r="AP61" s="778"/>
      <c r="AQ61" s="778"/>
      <c r="AR61" s="778"/>
      <c r="AS61" s="778"/>
      <c r="AT61" s="778"/>
      <c r="AU61" s="598"/>
      <c r="AV61" s="598"/>
      <c r="AW61" s="598"/>
      <c r="AX61" s="595"/>
      <c r="AY61" s="595"/>
      <c r="AZ61" s="197"/>
      <c r="BA61" s="478" t="str">
        <f t="shared" si="0"/>
        <v>SUM_CO2</v>
      </c>
      <c r="BB61" s="573" t="str">
        <f t="shared" si="1"/>
        <v>SUM_EnergyIN</v>
      </c>
      <c r="BC61" s="600"/>
      <c r="BD61" s="5"/>
    </row>
    <row r="62" spans="1:56" x14ac:dyDescent="0.2">
      <c r="A62" s="600"/>
      <c r="B62" s="197"/>
      <c r="C62" s="534">
        <v>39</v>
      </c>
      <c r="D62" s="594"/>
      <c r="E62" s="594"/>
      <c r="F62" s="595"/>
      <c r="G62" s="596"/>
      <c r="H62" s="595"/>
      <c r="I62" s="596"/>
      <c r="J62" s="595"/>
      <c r="K62" s="596"/>
      <c r="L62" s="596"/>
      <c r="M62" s="596"/>
      <c r="N62" s="595"/>
      <c r="O62" s="597"/>
      <c r="P62" s="595"/>
      <c r="Q62" s="597"/>
      <c r="R62" s="595"/>
      <c r="S62" s="597"/>
      <c r="T62" s="595"/>
      <c r="U62" s="597"/>
      <c r="V62" s="778"/>
      <c r="W62" s="778"/>
      <c r="X62" s="778"/>
      <c r="Y62" s="778"/>
      <c r="Z62" s="778"/>
      <c r="AA62" s="778"/>
      <c r="AB62" s="778"/>
      <c r="AC62" s="778"/>
      <c r="AD62" s="778"/>
      <c r="AE62" s="778"/>
      <c r="AF62" s="778"/>
      <c r="AG62" s="778"/>
      <c r="AH62" s="778"/>
      <c r="AI62" s="778"/>
      <c r="AJ62" s="778"/>
      <c r="AK62" s="778"/>
      <c r="AL62" s="778"/>
      <c r="AM62" s="778"/>
      <c r="AN62" s="778"/>
      <c r="AO62" s="778"/>
      <c r="AP62" s="778"/>
      <c r="AQ62" s="778"/>
      <c r="AR62" s="778"/>
      <c r="AS62" s="778"/>
      <c r="AT62" s="778"/>
      <c r="AU62" s="598"/>
      <c r="AV62" s="598"/>
      <c r="AW62" s="598"/>
      <c r="AX62" s="595"/>
      <c r="AY62" s="595"/>
      <c r="AZ62" s="197"/>
      <c r="BA62" s="478" t="str">
        <f t="shared" si="0"/>
        <v>SUM_CO2</v>
      </c>
      <c r="BB62" s="573" t="str">
        <f t="shared" si="1"/>
        <v>SUM_EnergyIN</v>
      </c>
      <c r="BC62" s="600"/>
      <c r="BD62" s="5"/>
    </row>
    <row r="63" spans="1:56" x14ac:dyDescent="0.2">
      <c r="A63" s="600"/>
      <c r="B63" s="197"/>
      <c r="C63" s="534">
        <v>40</v>
      </c>
      <c r="D63" s="594"/>
      <c r="E63" s="594"/>
      <c r="F63" s="595"/>
      <c r="G63" s="596"/>
      <c r="H63" s="595"/>
      <c r="I63" s="596"/>
      <c r="J63" s="595"/>
      <c r="K63" s="596"/>
      <c r="L63" s="596"/>
      <c r="M63" s="596"/>
      <c r="N63" s="595"/>
      <c r="O63" s="597"/>
      <c r="P63" s="595"/>
      <c r="Q63" s="597"/>
      <c r="R63" s="595"/>
      <c r="S63" s="597"/>
      <c r="T63" s="595"/>
      <c r="U63" s="597"/>
      <c r="V63" s="778"/>
      <c r="W63" s="778"/>
      <c r="X63" s="778"/>
      <c r="Y63" s="778"/>
      <c r="Z63" s="778"/>
      <c r="AA63" s="778"/>
      <c r="AB63" s="778"/>
      <c r="AC63" s="778"/>
      <c r="AD63" s="778"/>
      <c r="AE63" s="778"/>
      <c r="AF63" s="778"/>
      <c r="AG63" s="778"/>
      <c r="AH63" s="778"/>
      <c r="AI63" s="778"/>
      <c r="AJ63" s="778"/>
      <c r="AK63" s="778"/>
      <c r="AL63" s="778"/>
      <c r="AM63" s="778"/>
      <c r="AN63" s="778"/>
      <c r="AO63" s="778"/>
      <c r="AP63" s="778"/>
      <c r="AQ63" s="778"/>
      <c r="AR63" s="778"/>
      <c r="AS63" s="778"/>
      <c r="AT63" s="778"/>
      <c r="AU63" s="598"/>
      <c r="AV63" s="598"/>
      <c r="AW63" s="598"/>
      <c r="AX63" s="595"/>
      <c r="AY63" s="595"/>
      <c r="AZ63" s="197"/>
      <c r="BA63" s="478" t="str">
        <f t="shared" si="0"/>
        <v>SUM_CO2</v>
      </c>
      <c r="BB63" s="573" t="str">
        <f t="shared" si="1"/>
        <v>SUM_EnergyIN</v>
      </c>
      <c r="BC63" s="600"/>
      <c r="BD63" s="5"/>
    </row>
    <row r="64" spans="1:56" x14ac:dyDescent="0.2">
      <c r="A64" s="600"/>
      <c r="B64" s="197"/>
      <c r="C64" s="534">
        <v>41</v>
      </c>
      <c r="D64" s="594"/>
      <c r="E64" s="594"/>
      <c r="F64" s="595"/>
      <c r="G64" s="596"/>
      <c r="H64" s="595"/>
      <c r="I64" s="596"/>
      <c r="J64" s="595"/>
      <c r="K64" s="596"/>
      <c r="L64" s="596"/>
      <c r="M64" s="596"/>
      <c r="N64" s="595"/>
      <c r="O64" s="597"/>
      <c r="P64" s="595"/>
      <c r="Q64" s="597"/>
      <c r="R64" s="595"/>
      <c r="S64" s="597"/>
      <c r="T64" s="595"/>
      <c r="U64" s="597"/>
      <c r="V64" s="778"/>
      <c r="W64" s="778"/>
      <c r="X64" s="778"/>
      <c r="Y64" s="778"/>
      <c r="Z64" s="778"/>
      <c r="AA64" s="778"/>
      <c r="AB64" s="778"/>
      <c r="AC64" s="778"/>
      <c r="AD64" s="778"/>
      <c r="AE64" s="778"/>
      <c r="AF64" s="778"/>
      <c r="AG64" s="778"/>
      <c r="AH64" s="778"/>
      <c r="AI64" s="778"/>
      <c r="AJ64" s="778"/>
      <c r="AK64" s="778"/>
      <c r="AL64" s="778"/>
      <c r="AM64" s="778"/>
      <c r="AN64" s="778"/>
      <c r="AO64" s="778"/>
      <c r="AP64" s="778"/>
      <c r="AQ64" s="778"/>
      <c r="AR64" s="778"/>
      <c r="AS64" s="778"/>
      <c r="AT64" s="778"/>
      <c r="AU64" s="598"/>
      <c r="AV64" s="598"/>
      <c r="AW64" s="598"/>
      <c r="AX64" s="595"/>
      <c r="AY64" s="595"/>
      <c r="AZ64" s="197"/>
      <c r="BA64" s="478" t="str">
        <f t="shared" si="0"/>
        <v>SUM_CO2</v>
      </c>
      <c r="BB64" s="573" t="str">
        <f t="shared" si="1"/>
        <v>SUM_EnergyIN</v>
      </c>
      <c r="BC64" s="600"/>
      <c r="BD64" s="5"/>
    </row>
    <row r="65" spans="1:56" x14ac:dyDescent="0.2">
      <c r="A65" s="600"/>
      <c r="B65" s="197"/>
      <c r="C65" s="534">
        <v>42</v>
      </c>
      <c r="D65" s="594"/>
      <c r="E65" s="594"/>
      <c r="F65" s="595"/>
      <c r="G65" s="596"/>
      <c r="H65" s="595"/>
      <c r="I65" s="596"/>
      <c r="J65" s="595"/>
      <c r="K65" s="596"/>
      <c r="L65" s="596"/>
      <c r="M65" s="596"/>
      <c r="N65" s="595"/>
      <c r="O65" s="597"/>
      <c r="P65" s="595"/>
      <c r="Q65" s="597"/>
      <c r="R65" s="595"/>
      <c r="S65" s="597"/>
      <c r="T65" s="595"/>
      <c r="U65" s="597"/>
      <c r="V65" s="778"/>
      <c r="W65" s="778"/>
      <c r="X65" s="778"/>
      <c r="Y65" s="778"/>
      <c r="Z65" s="778"/>
      <c r="AA65" s="778"/>
      <c r="AB65" s="778"/>
      <c r="AC65" s="778"/>
      <c r="AD65" s="778"/>
      <c r="AE65" s="778"/>
      <c r="AF65" s="778"/>
      <c r="AG65" s="778"/>
      <c r="AH65" s="778"/>
      <c r="AI65" s="778"/>
      <c r="AJ65" s="778"/>
      <c r="AK65" s="778"/>
      <c r="AL65" s="778"/>
      <c r="AM65" s="778"/>
      <c r="AN65" s="778"/>
      <c r="AO65" s="778"/>
      <c r="AP65" s="778"/>
      <c r="AQ65" s="778"/>
      <c r="AR65" s="778"/>
      <c r="AS65" s="778"/>
      <c r="AT65" s="778"/>
      <c r="AU65" s="598"/>
      <c r="AV65" s="598"/>
      <c r="AW65" s="598"/>
      <c r="AX65" s="595"/>
      <c r="AY65" s="595"/>
      <c r="AZ65" s="197"/>
      <c r="BA65" s="478" t="str">
        <f t="shared" si="0"/>
        <v>SUM_CO2</v>
      </c>
      <c r="BB65" s="573" t="str">
        <f t="shared" si="1"/>
        <v>SUM_EnergyIN</v>
      </c>
      <c r="BC65" s="600"/>
      <c r="BD65" s="5"/>
    </row>
    <row r="66" spans="1:56" x14ac:dyDescent="0.2">
      <c r="A66" s="600"/>
      <c r="B66" s="197"/>
      <c r="C66" s="534">
        <v>43</v>
      </c>
      <c r="D66" s="594"/>
      <c r="E66" s="594"/>
      <c r="F66" s="595"/>
      <c r="G66" s="596"/>
      <c r="H66" s="595"/>
      <c r="I66" s="596"/>
      <c r="J66" s="595"/>
      <c r="K66" s="596"/>
      <c r="L66" s="596"/>
      <c r="M66" s="596"/>
      <c r="N66" s="595"/>
      <c r="O66" s="597"/>
      <c r="P66" s="595"/>
      <c r="Q66" s="597"/>
      <c r="R66" s="595"/>
      <c r="S66" s="597"/>
      <c r="T66" s="595"/>
      <c r="U66" s="597"/>
      <c r="V66" s="778"/>
      <c r="W66" s="778"/>
      <c r="X66" s="778"/>
      <c r="Y66" s="778"/>
      <c r="Z66" s="778"/>
      <c r="AA66" s="778"/>
      <c r="AB66" s="778"/>
      <c r="AC66" s="778"/>
      <c r="AD66" s="778"/>
      <c r="AE66" s="778"/>
      <c r="AF66" s="778"/>
      <c r="AG66" s="778"/>
      <c r="AH66" s="778"/>
      <c r="AI66" s="778"/>
      <c r="AJ66" s="778"/>
      <c r="AK66" s="778"/>
      <c r="AL66" s="778"/>
      <c r="AM66" s="778"/>
      <c r="AN66" s="778"/>
      <c r="AO66" s="778"/>
      <c r="AP66" s="778"/>
      <c r="AQ66" s="778"/>
      <c r="AR66" s="778"/>
      <c r="AS66" s="778"/>
      <c r="AT66" s="778"/>
      <c r="AU66" s="598"/>
      <c r="AV66" s="598"/>
      <c r="AW66" s="598"/>
      <c r="AX66" s="595"/>
      <c r="AY66" s="595"/>
      <c r="AZ66" s="197"/>
      <c r="BA66" s="478" t="str">
        <f t="shared" si="0"/>
        <v>SUM_CO2</v>
      </c>
      <c r="BB66" s="573" t="str">
        <f t="shared" si="1"/>
        <v>SUM_EnergyIN</v>
      </c>
      <c r="BC66" s="600"/>
      <c r="BD66" s="5"/>
    </row>
    <row r="67" spans="1:56" x14ac:dyDescent="0.2">
      <c r="A67" s="600"/>
      <c r="B67" s="197"/>
      <c r="C67" s="534">
        <v>44</v>
      </c>
      <c r="D67" s="594"/>
      <c r="E67" s="594"/>
      <c r="F67" s="595"/>
      <c r="G67" s="596"/>
      <c r="H67" s="595"/>
      <c r="I67" s="596"/>
      <c r="J67" s="595"/>
      <c r="K67" s="596"/>
      <c r="L67" s="596"/>
      <c r="M67" s="596"/>
      <c r="N67" s="595"/>
      <c r="O67" s="597"/>
      <c r="P67" s="595"/>
      <c r="Q67" s="597"/>
      <c r="R67" s="595"/>
      <c r="S67" s="597"/>
      <c r="T67" s="595"/>
      <c r="U67" s="597"/>
      <c r="V67" s="778"/>
      <c r="W67" s="778"/>
      <c r="X67" s="778"/>
      <c r="Y67" s="778"/>
      <c r="Z67" s="778"/>
      <c r="AA67" s="778"/>
      <c r="AB67" s="778"/>
      <c r="AC67" s="778"/>
      <c r="AD67" s="778"/>
      <c r="AE67" s="778"/>
      <c r="AF67" s="778"/>
      <c r="AG67" s="778"/>
      <c r="AH67" s="778"/>
      <c r="AI67" s="778"/>
      <c r="AJ67" s="778"/>
      <c r="AK67" s="778"/>
      <c r="AL67" s="778"/>
      <c r="AM67" s="778"/>
      <c r="AN67" s="778"/>
      <c r="AO67" s="778"/>
      <c r="AP67" s="778"/>
      <c r="AQ67" s="778"/>
      <c r="AR67" s="778"/>
      <c r="AS67" s="778"/>
      <c r="AT67" s="778"/>
      <c r="AU67" s="598"/>
      <c r="AV67" s="598"/>
      <c r="AW67" s="598"/>
      <c r="AX67" s="595"/>
      <c r="AY67" s="595"/>
      <c r="AZ67" s="197"/>
      <c r="BA67" s="478" t="str">
        <f t="shared" si="0"/>
        <v>SUM_CO2</v>
      </c>
      <c r="BB67" s="573" t="str">
        <f t="shared" si="1"/>
        <v>SUM_EnergyIN</v>
      </c>
      <c r="BC67" s="600"/>
      <c r="BD67" s="5"/>
    </row>
    <row r="68" spans="1:56" x14ac:dyDescent="0.2">
      <c r="A68" s="600"/>
      <c r="B68" s="197"/>
      <c r="C68" s="534">
        <v>45</v>
      </c>
      <c r="D68" s="594"/>
      <c r="E68" s="594"/>
      <c r="F68" s="595"/>
      <c r="G68" s="596"/>
      <c r="H68" s="595"/>
      <c r="I68" s="596"/>
      <c r="J68" s="595"/>
      <c r="K68" s="596"/>
      <c r="L68" s="596"/>
      <c r="M68" s="596"/>
      <c r="N68" s="595"/>
      <c r="O68" s="597"/>
      <c r="P68" s="595"/>
      <c r="Q68" s="597"/>
      <c r="R68" s="595"/>
      <c r="S68" s="597"/>
      <c r="T68" s="595"/>
      <c r="U68" s="597"/>
      <c r="V68" s="778"/>
      <c r="W68" s="778"/>
      <c r="X68" s="778"/>
      <c r="Y68" s="778"/>
      <c r="Z68" s="778"/>
      <c r="AA68" s="778"/>
      <c r="AB68" s="778"/>
      <c r="AC68" s="778"/>
      <c r="AD68" s="778"/>
      <c r="AE68" s="778"/>
      <c r="AF68" s="778"/>
      <c r="AG68" s="778"/>
      <c r="AH68" s="778"/>
      <c r="AI68" s="778"/>
      <c r="AJ68" s="778"/>
      <c r="AK68" s="778"/>
      <c r="AL68" s="778"/>
      <c r="AM68" s="778"/>
      <c r="AN68" s="778"/>
      <c r="AO68" s="778"/>
      <c r="AP68" s="778"/>
      <c r="AQ68" s="778"/>
      <c r="AR68" s="778"/>
      <c r="AS68" s="778"/>
      <c r="AT68" s="778"/>
      <c r="AU68" s="598"/>
      <c r="AV68" s="598"/>
      <c r="AW68" s="598"/>
      <c r="AX68" s="595"/>
      <c r="AY68" s="595"/>
      <c r="AZ68" s="197"/>
      <c r="BA68" s="478" t="str">
        <f t="shared" si="0"/>
        <v>SUM_CO2</v>
      </c>
      <c r="BB68" s="573" t="str">
        <f t="shared" si="1"/>
        <v>SUM_EnergyIN</v>
      </c>
      <c r="BC68" s="600"/>
      <c r="BD68" s="5"/>
    </row>
    <row r="69" spans="1:56" x14ac:dyDescent="0.2">
      <c r="A69" s="600"/>
      <c r="B69" s="197"/>
      <c r="C69" s="534">
        <v>46</v>
      </c>
      <c r="D69" s="594"/>
      <c r="E69" s="594"/>
      <c r="F69" s="595"/>
      <c r="G69" s="596"/>
      <c r="H69" s="595"/>
      <c r="I69" s="596"/>
      <c r="J69" s="595"/>
      <c r="K69" s="596"/>
      <c r="L69" s="596"/>
      <c r="M69" s="596"/>
      <c r="N69" s="595"/>
      <c r="O69" s="597"/>
      <c r="P69" s="595"/>
      <c r="Q69" s="597"/>
      <c r="R69" s="595"/>
      <c r="S69" s="597"/>
      <c r="T69" s="595"/>
      <c r="U69" s="597"/>
      <c r="V69" s="778"/>
      <c r="W69" s="778"/>
      <c r="X69" s="778"/>
      <c r="Y69" s="778"/>
      <c r="Z69" s="778"/>
      <c r="AA69" s="778"/>
      <c r="AB69" s="778"/>
      <c r="AC69" s="778"/>
      <c r="AD69" s="778"/>
      <c r="AE69" s="778"/>
      <c r="AF69" s="778"/>
      <c r="AG69" s="778"/>
      <c r="AH69" s="778"/>
      <c r="AI69" s="778"/>
      <c r="AJ69" s="778"/>
      <c r="AK69" s="778"/>
      <c r="AL69" s="778"/>
      <c r="AM69" s="778"/>
      <c r="AN69" s="778"/>
      <c r="AO69" s="778"/>
      <c r="AP69" s="778"/>
      <c r="AQ69" s="778"/>
      <c r="AR69" s="778"/>
      <c r="AS69" s="778"/>
      <c r="AT69" s="778"/>
      <c r="AU69" s="598"/>
      <c r="AV69" s="598"/>
      <c r="AW69" s="598"/>
      <c r="AX69" s="595"/>
      <c r="AY69" s="595"/>
      <c r="AZ69" s="197"/>
      <c r="BA69" s="478" t="str">
        <f t="shared" si="0"/>
        <v>SUM_CO2</v>
      </c>
      <c r="BB69" s="573" t="str">
        <f t="shared" si="1"/>
        <v>SUM_EnergyIN</v>
      </c>
      <c r="BC69" s="600"/>
      <c r="BD69" s="5"/>
    </row>
    <row r="70" spans="1:56" x14ac:dyDescent="0.2">
      <c r="A70" s="600"/>
      <c r="B70" s="197"/>
      <c r="C70" s="534">
        <v>47</v>
      </c>
      <c r="D70" s="594"/>
      <c r="E70" s="594"/>
      <c r="F70" s="595"/>
      <c r="G70" s="596"/>
      <c r="H70" s="595"/>
      <c r="I70" s="596"/>
      <c r="J70" s="595"/>
      <c r="K70" s="596"/>
      <c r="L70" s="596"/>
      <c r="M70" s="596"/>
      <c r="N70" s="595"/>
      <c r="O70" s="597"/>
      <c r="P70" s="595"/>
      <c r="Q70" s="597"/>
      <c r="R70" s="595"/>
      <c r="S70" s="597"/>
      <c r="T70" s="595"/>
      <c r="U70" s="597"/>
      <c r="V70" s="778"/>
      <c r="W70" s="778"/>
      <c r="X70" s="778"/>
      <c r="Y70" s="778"/>
      <c r="Z70" s="778"/>
      <c r="AA70" s="778"/>
      <c r="AB70" s="778"/>
      <c r="AC70" s="778"/>
      <c r="AD70" s="778"/>
      <c r="AE70" s="778"/>
      <c r="AF70" s="778"/>
      <c r="AG70" s="778"/>
      <c r="AH70" s="778"/>
      <c r="AI70" s="778"/>
      <c r="AJ70" s="778"/>
      <c r="AK70" s="778"/>
      <c r="AL70" s="778"/>
      <c r="AM70" s="778"/>
      <c r="AN70" s="778"/>
      <c r="AO70" s="778"/>
      <c r="AP70" s="778"/>
      <c r="AQ70" s="778"/>
      <c r="AR70" s="778"/>
      <c r="AS70" s="778"/>
      <c r="AT70" s="778"/>
      <c r="AU70" s="598"/>
      <c r="AV70" s="598"/>
      <c r="AW70" s="598"/>
      <c r="AX70" s="595"/>
      <c r="AY70" s="595"/>
      <c r="AZ70" s="197"/>
      <c r="BA70" s="478" t="str">
        <f t="shared" si="0"/>
        <v>SUM_CO2</v>
      </c>
      <c r="BB70" s="573" t="str">
        <f t="shared" si="1"/>
        <v>SUM_EnergyIN</v>
      </c>
      <c r="BC70" s="600"/>
      <c r="BD70" s="5"/>
    </row>
    <row r="71" spans="1:56" x14ac:dyDescent="0.2">
      <c r="A71" s="600"/>
      <c r="B71" s="197"/>
      <c r="C71" s="534">
        <v>48</v>
      </c>
      <c r="D71" s="594"/>
      <c r="E71" s="594"/>
      <c r="F71" s="595"/>
      <c r="G71" s="596"/>
      <c r="H71" s="595"/>
      <c r="I71" s="596"/>
      <c r="J71" s="595"/>
      <c r="K71" s="596"/>
      <c r="L71" s="596"/>
      <c r="M71" s="596"/>
      <c r="N71" s="595"/>
      <c r="O71" s="597"/>
      <c r="P71" s="595"/>
      <c r="Q71" s="597"/>
      <c r="R71" s="595"/>
      <c r="S71" s="597"/>
      <c r="T71" s="595"/>
      <c r="U71" s="597"/>
      <c r="V71" s="778"/>
      <c r="W71" s="778"/>
      <c r="X71" s="778"/>
      <c r="Y71" s="778"/>
      <c r="Z71" s="778"/>
      <c r="AA71" s="778"/>
      <c r="AB71" s="778"/>
      <c r="AC71" s="778"/>
      <c r="AD71" s="778"/>
      <c r="AE71" s="778"/>
      <c r="AF71" s="778"/>
      <c r="AG71" s="778"/>
      <c r="AH71" s="778"/>
      <c r="AI71" s="778"/>
      <c r="AJ71" s="778"/>
      <c r="AK71" s="778"/>
      <c r="AL71" s="778"/>
      <c r="AM71" s="778"/>
      <c r="AN71" s="778"/>
      <c r="AO71" s="778"/>
      <c r="AP71" s="778"/>
      <c r="AQ71" s="778"/>
      <c r="AR71" s="778"/>
      <c r="AS71" s="778"/>
      <c r="AT71" s="778"/>
      <c r="AU71" s="598"/>
      <c r="AV71" s="598"/>
      <c r="AW71" s="598"/>
      <c r="AX71" s="595"/>
      <c r="AY71" s="595"/>
      <c r="AZ71" s="197"/>
      <c r="BA71" s="478" t="str">
        <f t="shared" si="0"/>
        <v>SUM_CO2</v>
      </c>
      <c r="BB71" s="573" t="str">
        <f t="shared" si="1"/>
        <v>SUM_EnergyIN</v>
      </c>
      <c r="BC71" s="600"/>
      <c r="BD71" s="5"/>
    </row>
    <row r="72" spans="1:56" x14ac:dyDescent="0.2">
      <c r="A72" s="600"/>
      <c r="B72" s="197"/>
      <c r="C72" s="534">
        <v>49</v>
      </c>
      <c r="D72" s="594"/>
      <c r="E72" s="594"/>
      <c r="F72" s="595"/>
      <c r="G72" s="596"/>
      <c r="H72" s="595"/>
      <c r="I72" s="596"/>
      <c r="J72" s="595"/>
      <c r="K72" s="596"/>
      <c r="L72" s="596"/>
      <c r="M72" s="596"/>
      <c r="N72" s="595"/>
      <c r="O72" s="597"/>
      <c r="P72" s="595"/>
      <c r="Q72" s="597"/>
      <c r="R72" s="595"/>
      <c r="S72" s="597"/>
      <c r="T72" s="595"/>
      <c r="U72" s="597"/>
      <c r="V72" s="778"/>
      <c r="W72" s="778"/>
      <c r="X72" s="778"/>
      <c r="Y72" s="778"/>
      <c r="Z72" s="778"/>
      <c r="AA72" s="778"/>
      <c r="AB72" s="778"/>
      <c r="AC72" s="778"/>
      <c r="AD72" s="778"/>
      <c r="AE72" s="778"/>
      <c r="AF72" s="778"/>
      <c r="AG72" s="778"/>
      <c r="AH72" s="778"/>
      <c r="AI72" s="778"/>
      <c r="AJ72" s="778"/>
      <c r="AK72" s="778"/>
      <c r="AL72" s="778"/>
      <c r="AM72" s="778"/>
      <c r="AN72" s="778"/>
      <c r="AO72" s="778"/>
      <c r="AP72" s="778"/>
      <c r="AQ72" s="778"/>
      <c r="AR72" s="778"/>
      <c r="AS72" s="778"/>
      <c r="AT72" s="778"/>
      <c r="AU72" s="598"/>
      <c r="AV72" s="598"/>
      <c r="AW72" s="598"/>
      <c r="AX72" s="595"/>
      <c r="AY72" s="595"/>
      <c r="AZ72" s="197"/>
      <c r="BA72" s="478" t="str">
        <f t="shared" si="0"/>
        <v>SUM_CO2</v>
      </c>
      <c r="BB72" s="573" t="str">
        <f t="shared" si="1"/>
        <v>SUM_EnergyIN</v>
      </c>
      <c r="BC72" s="600"/>
      <c r="BD72" s="5"/>
    </row>
    <row r="73" spans="1:56" x14ac:dyDescent="0.2">
      <c r="A73" s="600"/>
      <c r="B73" s="197"/>
      <c r="C73" s="534">
        <v>50</v>
      </c>
      <c r="D73" s="594"/>
      <c r="E73" s="594"/>
      <c r="F73" s="595"/>
      <c r="G73" s="596"/>
      <c r="H73" s="595"/>
      <c r="I73" s="596"/>
      <c r="J73" s="595"/>
      <c r="K73" s="596"/>
      <c r="L73" s="596"/>
      <c r="M73" s="596"/>
      <c r="N73" s="595"/>
      <c r="O73" s="597"/>
      <c r="P73" s="595"/>
      <c r="Q73" s="597"/>
      <c r="R73" s="595"/>
      <c r="S73" s="597"/>
      <c r="T73" s="595"/>
      <c r="U73" s="597"/>
      <c r="V73" s="778"/>
      <c r="W73" s="778"/>
      <c r="X73" s="778"/>
      <c r="Y73" s="778"/>
      <c r="Z73" s="778"/>
      <c r="AA73" s="778"/>
      <c r="AB73" s="778"/>
      <c r="AC73" s="778"/>
      <c r="AD73" s="778"/>
      <c r="AE73" s="778"/>
      <c r="AF73" s="778"/>
      <c r="AG73" s="778"/>
      <c r="AH73" s="778"/>
      <c r="AI73" s="778"/>
      <c r="AJ73" s="778"/>
      <c r="AK73" s="778"/>
      <c r="AL73" s="778"/>
      <c r="AM73" s="778"/>
      <c r="AN73" s="778"/>
      <c r="AO73" s="778"/>
      <c r="AP73" s="778"/>
      <c r="AQ73" s="778"/>
      <c r="AR73" s="778"/>
      <c r="AS73" s="778"/>
      <c r="AT73" s="778"/>
      <c r="AU73" s="598"/>
      <c r="AV73" s="598"/>
      <c r="AW73" s="598"/>
      <c r="AX73" s="595"/>
      <c r="AY73" s="595"/>
      <c r="AZ73" s="197"/>
      <c r="BA73" s="478" t="str">
        <f t="shared" si="0"/>
        <v>SUM_CO2</v>
      </c>
      <c r="BB73" s="573" t="str">
        <f t="shared" si="1"/>
        <v>SUM_EnergyIN</v>
      </c>
      <c r="BC73" s="600"/>
      <c r="BD73" s="5"/>
    </row>
    <row r="74" spans="1:56" x14ac:dyDescent="0.2">
      <c r="A74" s="600"/>
      <c r="B74" s="197"/>
      <c r="C74" s="534">
        <v>51</v>
      </c>
      <c r="D74" s="594"/>
      <c r="E74" s="594"/>
      <c r="F74" s="595"/>
      <c r="G74" s="596"/>
      <c r="H74" s="595"/>
      <c r="I74" s="596"/>
      <c r="J74" s="595"/>
      <c r="K74" s="596"/>
      <c r="L74" s="596"/>
      <c r="M74" s="596"/>
      <c r="N74" s="595"/>
      <c r="O74" s="597"/>
      <c r="P74" s="595"/>
      <c r="Q74" s="597"/>
      <c r="R74" s="595"/>
      <c r="S74" s="597"/>
      <c r="T74" s="595"/>
      <c r="U74" s="597"/>
      <c r="V74" s="778"/>
      <c r="W74" s="778"/>
      <c r="X74" s="778"/>
      <c r="Y74" s="778"/>
      <c r="Z74" s="778"/>
      <c r="AA74" s="778"/>
      <c r="AB74" s="778"/>
      <c r="AC74" s="778"/>
      <c r="AD74" s="778"/>
      <c r="AE74" s="778"/>
      <c r="AF74" s="778"/>
      <c r="AG74" s="778"/>
      <c r="AH74" s="778"/>
      <c r="AI74" s="778"/>
      <c r="AJ74" s="778"/>
      <c r="AK74" s="778"/>
      <c r="AL74" s="778"/>
      <c r="AM74" s="778"/>
      <c r="AN74" s="778"/>
      <c r="AO74" s="778"/>
      <c r="AP74" s="778"/>
      <c r="AQ74" s="778"/>
      <c r="AR74" s="778"/>
      <c r="AS74" s="778"/>
      <c r="AT74" s="778"/>
      <c r="AU74" s="598"/>
      <c r="AV74" s="598"/>
      <c r="AW74" s="598"/>
      <c r="AX74" s="595"/>
      <c r="AY74" s="595"/>
      <c r="AZ74" s="197"/>
      <c r="BA74" s="478" t="str">
        <f t="shared" si="0"/>
        <v>SUM_CO2</v>
      </c>
      <c r="BB74" s="573" t="str">
        <f t="shared" si="1"/>
        <v>SUM_EnergyIN</v>
      </c>
      <c r="BC74" s="600"/>
      <c r="BD74" s="5"/>
    </row>
    <row r="75" spans="1:56" x14ac:dyDescent="0.2">
      <c r="A75" s="600"/>
      <c r="B75" s="197"/>
      <c r="C75" s="534">
        <v>52</v>
      </c>
      <c r="D75" s="594"/>
      <c r="E75" s="594"/>
      <c r="F75" s="595"/>
      <c r="G75" s="596"/>
      <c r="H75" s="595"/>
      <c r="I75" s="596"/>
      <c r="J75" s="595"/>
      <c r="K75" s="596"/>
      <c r="L75" s="596"/>
      <c r="M75" s="596"/>
      <c r="N75" s="595"/>
      <c r="O75" s="597"/>
      <c r="P75" s="595"/>
      <c r="Q75" s="597"/>
      <c r="R75" s="595"/>
      <c r="S75" s="597"/>
      <c r="T75" s="595"/>
      <c r="U75" s="597"/>
      <c r="V75" s="778"/>
      <c r="W75" s="778"/>
      <c r="X75" s="778"/>
      <c r="Y75" s="778"/>
      <c r="Z75" s="778"/>
      <c r="AA75" s="778"/>
      <c r="AB75" s="778"/>
      <c r="AC75" s="778"/>
      <c r="AD75" s="778"/>
      <c r="AE75" s="778"/>
      <c r="AF75" s="778"/>
      <c r="AG75" s="778"/>
      <c r="AH75" s="778"/>
      <c r="AI75" s="778"/>
      <c r="AJ75" s="778"/>
      <c r="AK75" s="778"/>
      <c r="AL75" s="778"/>
      <c r="AM75" s="778"/>
      <c r="AN75" s="778"/>
      <c r="AO75" s="778"/>
      <c r="AP75" s="778"/>
      <c r="AQ75" s="778"/>
      <c r="AR75" s="778"/>
      <c r="AS75" s="778"/>
      <c r="AT75" s="778"/>
      <c r="AU75" s="598"/>
      <c r="AV75" s="598"/>
      <c r="AW75" s="598"/>
      <c r="AX75" s="595"/>
      <c r="AY75" s="595"/>
      <c r="AZ75" s="197"/>
      <c r="BA75" s="478" t="str">
        <f t="shared" si="0"/>
        <v>SUM_CO2</v>
      </c>
      <c r="BB75" s="573" t="str">
        <f t="shared" si="1"/>
        <v>SUM_EnergyIN</v>
      </c>
      <c r="BC75" s="600"/>
      <c r="BD75" s="5"/>
    </row>
    <row r="76" spans="1:56" x14ac:dyDescent="0.2">
      <c r="A76" s="600"/>
      <c r="B76" s="197"/>
      <c r="C76" s="534">
        <v>53</v>
      </c>
      <c r="D76" s="594"/>
      <c r="E76" s="594"/>
      <c r="F76" s="595"/>
      <c r="G76" s="596"/>
      <c r="H76" s="595"/>
      <c r="I76" s="596"/>
      <c r="J76" s="595"/>
      <c r="K76" s="596"/>
      <c r="L76" s="596"/>
      <c r="M76" s="596"/>
      <c r="N76" s="595"/>
      <c r="O76" s="597"/>
      <c r="P76" s="595"/>
      <c r="Q76" s="597"/>
      <c r="R76" s="595"/>
      <c r="S76" s="597"/>
      <c r="T76" s="595"/>
      <c r="U76" s="597"/>
      <c r="V76" s="778"/>
      <c r="W76" s="778"/>
      <c r="X76" s="778"/>
      <c r="Y76" s="778"/>
      <c r="Z76" s="778"/>
      <c r="AA76" s="778"/>
      <c r="AB76" s="778"/>
      <c r="AC76" s="778"/>
      <c r="AD76" s="778"/>
      <c r="AE76" s="778"/>
      <c r="AF76" s="778"/>
      <c r="AG76" s="778"/>
      <c r="AH76" s="778"/>
      <c r="AI76" s="778"/>
      <c r="AJ76" s="778"/>
      <c r="AK76" s="778"/>
      <c r="AL76" s="778"/>
      <c r="AM76" s="778"/>
      <c r="AN76" s="778"/>
      <c r="AO76" s="778"/>
      <c r="AP76" s="778"/>
      <c r="AQ76" s="778"/>
      <c r="AR76" s="778"/>
      <c r="AS76" s="778"/>
      <c r="AT76" s="778"/>
      <c r="AU76" s="598"/>
      <c r="AV76" s="598"/>
      <c r="AW76" s="598"/>
      <c r="AX76" s="595"/>
      <c r="AY76" s="595"/>
      <c r="AZ76" s="197"/>
      <c r="BA76" s="478" t="str">
        <f t="shared" si="0"/>
        <v>SUM_CO2</v>
      </c>
      <c r="BB76" s="573" t="str">
        <f t="shared" si="1"/>
        <v>SUM_EnergyIN</v>
      </c>
      <c r="BC76" s="600"/>
      <c r="BD76" s="5"/>
    </row>
    <row r="77" spans="1:56" x14ac:dyDescent="0.2">
      <c r="A77" s="600"/>
      <c r="B77" s="197"/>
      <c r="C77" s="534">
        <v>54</v>
      </c>
      <c r="D77" s="594"/>
      <c r="E77" s="594"/>
      <c r="F77" s="595"/>
      <c r="G77" s="596"/>
      <c r="H77" s="595"/>
      <c r="I77" s="596"/>
      <c r="J77" s="595"/>
      <c r="K77" s="596"/>
      <c r="L77" s="596"/>
      <c r="M77" s="596"/>
      <c r="N77" s="595"/>
      <c r="O77" s="597"/>
      <c r="P77" s="595"/>
      <c r="Q77" s="597"/>
      <c r="R77" s="595"/>
      <c r="S77" s="597"/>
      <c r="T77" s="595"/>
      <c r="U77" s="597"/>
      <c r="V77" s="778"/>
      <c r="W77" s="778"/>
      <c r="X77" s="778"/>
      <c r="Y77" s="778"/>
      <c r="Z77" s="778"/>
      <c r="AA77" s="778"/>
      <c r="AB77" s="778"/>
      <c r="AC77" s="778"/>
      <c r="AD77" s="778"/>
      <c r="AE77" s="778"/>
      <c r="AF77" s="778"/>
      <c r="AG77" s="778"/>
      <c r="AH77" s="778"/>
      <c r="AI77" s="778"/>
      <c r="AJ77" s="778"/>
      <c r="AK77" s="778"/>
      <c r="AL77" s="778"/>
      <c r="AM77" s="778"/>
      <c r="AN77" s="778"/>
      <c r="AO77" s="778"/>
      <c r="AP77" s="778"/>
      <c r="AQ77" s="778"/>
      <c r="AR77" s="778"/>
      <c r="AS77" s="778"/>
      <c r="AT77" s="778"/>
      <c r="AU77" s="598"/>
      <c r="AV77" s="598"/>
      <c r="AW77" s="598"/>
      <c r="AX77" s="595"/>
      <c r="AY77" s="595"/>
      <c r="AZ77" s="197"/>
      <c r="BA77" s="478" t="str">
        <f t="shared" si="0"/>
        <v>SUM_CO2</v>
      </c>
      <c r="BB77" s="573" t="str">
        <f t="shared" si="1"/>
        <v>SUM_EnergyIN</v>
      </c>
      <c r="BC77" s="600"/>
      <c r="BD77" s="5"/>
    </row>
    <row r="78" spans="1:56" x14ac:dyDescent="0.2">
      <c r="A78" s="600"/>
      <c r="B78" s="197"/>
      <c r="C78" s="534">
        <v>55</v>
      </c>
      <c r="D78" s="594"/>
      <c r="E78" s="594"/>
      <c r="F78" s="595"/>
      <c r="G78" s="596"/>
      <c r="H78" s="595"/>
      <c r="I78" s="596"/>
      <c r="J78" s="595"/>
      <c r="K78" s="596"/>
      <c r="L78" s="596"/>
      <c r="M78" s="596"/>
      <c r="N78" s="595"/>
      <c r="O78" s="597"/>
      <c r="P78" s="595"/>
      <c r="Q78" s="597"/>
      <c r="R78" s="595"/>
      <c r="S78" s="597"/>
      <c r="T78" s="595"/>
      <c r="U78" s="597"/>
      <c r="V78" s="778"/>
      <c r="W78" s="778"/>
      <c r="X78" s="778"/>
      <c r="Y78" s="778"/>
      <c r="Z78" s="778"/>
      <c r="AA78" s="778"/>
      <c r="AB78" s="778"/>
      <c r="AC78" s="778"/>
      <c r="AD78" s="778"/>
      <c r="AE78" s="778"/>
      <c r="AF78" s="778"/>
      <c r="AG78" s="778"/>
      <c r="AH78" s="778"/>
      <c r="AI78" s="778"/>
      <c r="AJ78" s="778"/>
      <c r="AK78" s="778"/>
      <c r="AL78" s="778"/>
      <c r="AM78" s="778"/>
      <c r="AN78" s="778"/>
      <c r="AO78" s="778"/>
      <c r="AP78" s="778"/>
      <c r="AQ78" s="778"/>
      <c r="AR78" s="778"/>
      <c r="AS78" s="778"/>
      <c r="AT78" s="778"/>
      <c r="AU78" s="598"/>
      <c r="AV78" s="598"/>
      <c r="AW78" s="598"/>
      <c r="AX78" s="595"/>
      <c r="AY78" s="595"/>
      <c r="AZ78" s="197"/>
      <c r="BA78" s="478" t="str">
        <f t="shared" si="0"/>
        <v>SUM_CO2</v>
      </c>
      <c r="BB78" s="573" t="str">
        <f t="shared" si="1"/>
        <v>SUM_EnergyIN</v>
      </c>
      <c r="BC78" s="600"/>
      <c r="BD78" s="5"/>
    </row>
    <row r="79" spans="1:56" x14ac:dyDescent="0.2">
      <c r="A79" s="600"/>
      <c r="B79" s="197"/>
      <c r="C79" s="534">
        <v>56</v>
      </c>
      <c r="D79" s="594"/>
      <c r="E79" s="594"/>
      <c r="F79" s="595"/>
      <c r="G79" s="596"/>
      <c r="H79" s="595"/>
      <c r="I79" s="596"/>
      <c r="J79" s="595"/>
      <c r="K79" s="596"/>
      <c r="L79" s="596"/>
      <c r="M79" s="596"/>
      <c r="N79" s="595"/>
      <c r="O79" s="597"/>
      <c r="P79" s="595"/>
      <c r="Q79" s="597"/>
      <c r="R79" s="595"/>
      <c r="S79" s="597"/>
      <c r="T79" s="595"/>
      <c r="U79" s="597"/>
      <c r="V79" s="778"/>
      <c r="W79" s="778"/>
      <c r="X79" s="778"/>
      <c r="Y79" s="778"/>
      <c r="Z79" s="778"/>
      <c r="AA79" s="778"/>
      <c r="AB79" s="778"/>
      <c r="AC79" s="778"/>
      <c r="AD79" s="778"/>
      <c r="AE79" s="778"/>
      <c r="AF79" s="778"/>
      <c r="AG79" s="778"/>
      <c r="AH79" s="778"/>
      <c r="AI79" s="778"/>
      <c r="AJ79" s="778"/>
      <c r="AK79" s="778"/>
      <c r="AL79" s="778"/>
      <c r="AM79" s="778"/>
      <c r="AN79" s="778"/>
      <c r="AO79" s="778"/>
      <c r="AP79" s="778"/>
      <c r="AQ79" s="778"/>
      <c r="AR79" s="778"/>
      <c r="AS79" s="778"/>
      <c r="AT79" s="778"/>
      <c r="AU79" s="598"/>
      <c r="AV79" s="598"/>
      <c r="AW79" s="598"/>
      <c r="AX79" s="595"/>
      <c r="AY79" s="595"/>
      <c r="AZ79" s="197"/>
      <c r="BA79" s="478" t="str">
        <f t="shared" si="0"/>
        <v>SUM_CO2</v>
      </c>
      <c r="BB79" s="573" t="str">
        <f t="shared" si="1"/>
        <v>SUM_EnergyIN</v>
      </c>
      <c r="BC79" s="600"/>
      <c r="BD79" s="5"/>
    </row>
    <row r="80" spans="1:56" x14ac:dyDescent="0.2">
      <c r="A80" s="600"/>
      <c r="B80" s="197"/>
      <c r="C80" s="534">
        <v>57</v>
      </c>
      <c r="D80" s="594"/>
      <c r="E80" s="594"/>
      <c r="F80" s="595"/>
      <c r="G80" s="596"/>
      <c r="H80" s="595"/>
      <c r="I80" s="596"/>
      <c r="J80" s="595"/>
      <c r="K80" s="596"/>
      <c r="L80" s="596"/>
      <c r="M80" s="596"/>
      <c r="N80" s="595"/>
      <c r="O80" s="597"/>
      <c r="P80" s="595"/>
      <c r="Q80" s="597"/>
      <c r="R80" s="595"/>
      <c r="S80" s="597"/>
      <c r="T80" s="595"/>
      <c r="U80" s="597"/>
      <c r="V80" s="778"/>
      <c r="W80" s="778"/>
      <c r="X80" s="778"/>
      <c r="Y80" s="778"/>
      <c r="Z80" s="778"/>
      <c r="AA80" s="778"/>
      <c r="AB80" s="778"/>
      <c r="AC80" s="778"/>
      <c r="AD80" s="778"/>
      <c r="AE80" s="778"/>
      <c r="AF80" s="778"/>
      <c r="AG80" s="778"/>
      <c r="AH80" s="778"/>
      <c r="AI80" s="778"/>
      <c r="AJ80" s="778"/>
      <c r="AK80" s="778"/>
      <c r="AL80" s="778"/>
      <c r="AM80" s="778"/>
      <c r="AN80" s="778"/>
      <c r="AO80" s="778"/>
      <c r="AP80" s="778"/>
      <c r="AQ80" s="778"/>
      <c r="AR80" s="778"/>
      <c r="AS80" s="778"/>
      <c r="AT80" s="778"/>
      <c r="AU80" s="598"/>
      <c r="AV80" s="598"/>
      <c r="AW80" s="598"/>
      <c r="AX80" s="595"/>
      <c r="AY80" s="595"/>
      <c r="AZ80" s="197"/>
      <c r="BA80" s="478" t="str">
        <f t="shared" si="0"/>
        <v>SUM_CO2</v>
      </c>
      <c r="BB80" s="573" t="str">
        <f t="shared" si="1"/>
        <v>SUM_EnergyIN</v>
      </c>
      <c r="BC80" s="600"/>
      <c r="BD80" s="5"/>
    </row>
    <row r="81" spans="1:56" x14ac:dyDescent="0.2">
      <c r="A81" s="600"/>
      <c r="B81" s="197"/>
      <c r="C81" s="534">
        <v>58</v>
      </c>
      <c r="D81" s="594"/>
      <c r="E81" s="594"/>
      <c r="F81" s="595"/>
      <c r="G81" s="596"/>
      <c r="H81" s="595"/>
      <c r="I81" s="596"/>
      <c r="J81" s="595"/>
      <c r="K81" s="596"/>
      <c r="L81" s="596"/>
      <c r="M81" s="596"/>
      <c r="N81" s="595"/>
      <c r="O81" s="597"/>
      <c r="P81" s="595"/>
      <c r="Q81" s="597"/>
      <c r="R81" s="595"/>
      <c r="S81" s="597"/>
      <c r="T81" s="595"/>
      <c r="U81" s="597"/>
      <c r="V81" s="778"/>
      <c r="W81" s="778"/>
      <c r="X81" s="778"/>
      <c r="Y81" s="778"/>
      <c r="Z81" s="778"/>
      <c r="AA81" s="778"/>
      <c r="AB81" s="778"/>
      <c r="AC81" s="778"/>
      <c r="AD81" s="778"/>
      <c r="AE81" s="778"/>
      <c r="AF81" s="778"/>
      <c r="AG81" s="778"/>
      <c r="AH81" s="778"/>
      <c r="AI81" s="778"/>
      <c r="AJ81" s="778"/>
      <c r="AK81" s="778"/>
      <c r="AL81" s="778"/>
      <c r="AM81" s="778"/>
      <c r="AN81" s="778"/>
      <c r="AO81" s="778"/>
      <c r="AP81" s="778"/>
      <c r="AQ81" s="778"/>
      <c r="AR81" s="778"/>
      <c r="AS81" s="778"/>
      <c r="AT81" s="778"/>
      <c r="AU81" s="598"/>
      <c r="AV81" s="598"/>
      <c r="AW81" s="598"/>
      <c r="AX81" s="595"/>
      <c r="AY81" s="595"/>
      <c r="AZ81" s="197"/>
      <c r="BA81" s="478" t="str">
        <f t="shared" si="0"/>
        <v>SUM_CO2</v>
      </c>
      <c r="BB81" s="573" t="str">
        <f t="shared" si="1"/>
        <v>SUM_EnergyIN</v>
      </c>
      <c r="BC81" s="600"/>
      <c r="BD81" s="5"/>
    </row>
    <row r="82" spans="1:56" x14ac:dyDescent="0.2">
      <c r="A82" s="600"/>
      <c r="B82" s="197"/>
      <c r="C82" s="534">
        <v>59</v>
      </c>
      <c r="D82" s="594"/>
      <c r="E82" s="594"/>
      <c r="F82" s="595"/>
      <c r="G82" s="596"/>
      <c r="H82" s="595"/>
      <c r="I82" s="596"/>
      <c r="J82" s="595"/>
      <c r="K82" s="596"/>
      <c r="L82" s="596"/>
      <c r="M82" s="596"/>
      <c r="N82" s="595"/>
      <c r="O82" s="597"/>
      <c r="P82" s="595"/>
      <c r="Q82" s="597"/>
      <c r="R82" s="595"/>
      <c r="S82" s="597"/>
      <c r="T82" s="595"/>
      <c r="U82" s="597"/>
      <c r="V82" s="778"/>
      <c r="W82" s="778"/>
      <c r="X82" s="778"/>
      <c r="Y82" s="778"/>
      <c r="Z82" s="778"/>
      <c r="AA82" s="778"/>
      <c r="AB82" s="778"/>
      <c r="AC82" s="778"/>
      <c r="AD82" s="778"/>
      <c r="AE82" s="778"/>
      <c r="AF82" s="778"/>
      <c r="AG82" s="778"/>
      <c r="AH82" s="778"/>
      <c r="AI82" s="778"/>
      <c r="AJ82" s="778"/>
      <c r="AK82" s="778"/>
      <c r="AL82" s="778"/>
      <c r="AM82" s="778"/>
      <c r="AN82" s="778"/>
      <c r="AO82" s="778"/>
      <c r="AP82" s="778"/>
      <c r="AQ82" s="778"/>
      <c r="AR82" s="778"/>
      <c r="AS82" s="778"/>
      <c r="AT82" s="778"/>
      <c r="AU82" s="598"/>
      <c r="AV82" s="598"/>
      <c r="AW82" s="598"/>
      <c r="AX82" s="595"/>
      <c r="AY82" s="595"/>
      <c r="AZ82" s="197"/>
      <c r="BA82" s="478" t="str">
        <f t="shared" si="0"/>
        <v>SUM_CO2</v>
      </c>
      <c r="BB82" s="573" t="str">
        <f t="shared" si="1"/>
        <v>SUM_EnergyIN</v>
      </c>
      <c r="BC82" s="600"/>
      <c r="BD82" s="5"/>
    </row>
    <row r="83" spans="1:56" x14ac:dyDescent="0.2">
      <c r="A83" s="600"/>
      <c r="B83" s="197"/>
      <c r="C83" s="534">
        <v>60</v>
      </c>
      <c r="D83" s="594"/>
      <c r="E83" s="594"/>
      <c r="F83" s="595"/>
      <c r="G83" s="596"/>
      <c r="H83" s="595"/>
      <c r="I83" s="596"/>
      <c r="J83" s="595"/>
      <c r="K83" s="596"/>
      <c r="L83" s="596"/>
      <c r="M83" s="596"/>
      <c r="N83" s="595"/>
      <c r="O83" s="597"/>
      <c r="P83" s="595"/>
      <c r="Q83" s="597"/>
      <c r="R83" s="595"/>
      <c r="S83" s="597"/>
      <c r="T83" s="595"/>
      <c r="U83" s="597"/>
      <c r="V83" s="778"/>
      <c r="W83" s="778"/>
      <c r="X83" s="778"/>
      <c r="Y83" s="778"/>
      <c r="Z83" s="778"/>
      <c r="AA83" s="778"/>
      <c r="AB83" s="778"/>
      <c r="AC83" s="778"/>
      <c r="AD83" s="778"/>
      <c r="AE83" s="778"/>
      <c r="AF83" s="778"/>
      <c r="AG83" s="778"/>
      <c r="AH83" s="778"/>
      <c r="AI83" s="778"/>
      <c r="AJ83" s="778"/>
      <c r="AK83" s="778"/>
      <c r="AL83" s="778"/>
      <c r="AM83" s="778"/>
      <c r="AN83" s="778"/>
      <c r="AO83" s="778"/>
      <c r="AP83" s="778"/>
      <c r="AQ83" s="778"/>
      <c r="AR83" s="778"/>
      <c r="AS83" s="778"/>
      <c r="AT83" s="778"/>
      <c r="AU83" s="598"/>
      <c r="AV83" s="598"/>
      <c r="AW83" s="598"/>
      <c r="AX83" s="595"/>
      <c r="AY83" s="595"/>
      <c r="AZ83" s="197"/>
      <c r="BA83" s="478" t="str">
        <f t="shared" si="0"/>
        <v>SUM_CO2</v>
      </c>
      <c r="BB83" s="573" t="str">
        <f t="shared" si="1"/>
        <v>SUM_EnergyIN</v>
      </c>
      <c r="BC83" s="600"/>
      <c r="BD83" s="5"/>
    </row>
    <row r="84" spans="1:56" x14ac:dyDescent="0.2">
      <c r="A84" s="600"/>
      <c r="B84" s="197"/>
      <c r="C84" s="534">
        <v>61</v>
      </c>
      <c r="D84" s="594"/>
      <c r="E84" s="594"/>
      <c r="F84" s="595"/>
      <c r="G84" s="596"/>
      <c r="H84" s="595"/>
      <c r="I84" s="596"/>
      <c r="J84" s="595"/>
      <c r="K84" s="596"/>
      <c r="L84" s="596"/>
      <c r="M84" s="596"/>
      <c r="N84" s="595"/>
      <c r="O84" s="597"/>
      <c r="P84" s="595"/>
      <c r="Q84" s="597"/>
      <c r="R84" s="595"/>
      <c r="S84" s="597"/>
      <c r="T84" s="595"/>
      <c r="U84" s="597"/>
      <c r="V84" s="778"/>
      <c r="W84" s="778"/>
      <c r="X84" s="778"/>
      <c r="Y84" s="778"/>
      <c r="Z84" s="778"/>
      <c r="AA84" s="778"/>
      <c r="AB84" s="778"/>
      <c r="AC84" s="778"/>
      <c r="AD84" s="778"/>
      <c r="AE84" s="778"/>
      <c r="AF84" s="778"/>
      <c r="AG84" s="778"/>
      <c r="AH84" s="778"/>
      <c r="AI84" s="778"/>
      <c r="AJ84" s="778"/>
      <c r="AK84" s="778"/>
      <c r="AL84" s="778"/>
      <c r="AM84" s="778"/>
      <c r="AN84" s="778"/>
      <c r="AO84" s="778"/>
      <c r="AP84" s="778"/>
      <c r="AQ84" s="778"/>
      <c r="AR84" s="778"/>
      <c r="AS84" s="778"/>
      <c r="AT84" s="778"/>
      <c r="AU84" s="598"/>
      <c r="AV84" s="598"/>
      <c r="AW84" s="598"/>
      <c r="AX84" s="595"/>
      <c r="AY84" s="595"/>
      <c r="AZ84" s="197"/>
      <c r="BA84" s="478" t="str">
        <f t="shared" si="0"/>
        <v>SUM_CO2</v>
      </c>
      <c r="BB84" s="573" t="str">
        <f t="shared" si="1"/>
        <v>SUM_EnergyIN</v>
      </c>
      <c r="BC84" s="600"/>
      <c r="BD84" s="5"/>
    </row>
    <row r="85" spans="1:56" x14ac:dyDescent="0.2">
      <c r="A85" s="600"/>
      <c r="B85" s="197"/>
      <c r="C85" s="534">
        <v>62</v>
      </c>
      <c r="D85" s="594"/>
      <c r="E85" s="594"/>
      <c r="F85" s="595"/>
      <c r="G85" s="596"/>
      <c r="H85" s="595"/>
      <c r="I85" s="596"/>
      <c r="J85" s="595"/>
      <c r="K85" s="596"/>
      <c r="L85" s="596"/>
      <c r="M85" s="596"/>
      <c r="N85" s="595"/>
      <c r="O85" s="597"/>
      <c r="P85" s="595"/>
      <c r="Q85" s="597"/>
      <c r="R85" s="595"/>
      <c r="S85" s="597"/>
      <c r="T85" s="595"/>
      <c r="U85" s="597"/>
      <c r="V85" s="778"/>
      <c r="W85" s="778"/>
      <c r="X85" s="778"/>
      <c r="Y85" s="778"/>
      <c r="Z85" s="778"/>
      <c r="AA85" s="778"/>
      <c r="AB85" s="778"/>
      <c r="AC85" s="778"/>
      <c r="AD85" s="778"/>
      <c r="AE85" s="778"/>
      <c r="AF85" s="778"/>
      <c r="AG85" s="778"/>
      <c r="AH85" s="778"/>
      <c r="AI85" s="778"/>
      <c r="AJ85" s="778"/>
      <c r="AK85" s="778"/>
      <c r="AL85" s="778"/>
      <c r="AM85" s="778"/>
      <c r="AN85" s="778"/>
      <c r="AO85" s="778"/>
      <c r="AP85" s="778"/>
      <c r="AQ85" s="778"/>
      <c r="AR85" s="778"/>
      <c r="AS85" s="778"/>
      <c r="AT85" s="778"/>
      <c r="AU85" s="598"/>
      <c r="AV85" s="598"/>
      <c r="AW85" s="598"/>
      <c r="AX85" s="595"/>
      <c r="AY85" s="595"/>
      <c r="AZ85" s="197"/>
      <c r="BA85" s="478" t="str">
        <f t="shared" si="0"/>
        <v>SUM_CO2</v>
      </c>
      <c r="BB85" s="573" t="str">
        <f t="shared" si="1"/>
        <v>SUM_EnergyIN</v>
      </c>
      <c r="BC85" s="600"/>
      <c r="BD85" s="5"/>
    </row>
    <row r="86" spans="1:56" x14ac:dyDescent="0.2">
      <c r="A86" s="600"/>
      <c r="B86" s="197"/>
      <c r="C86" s="534">
        <v>63</v>
      </c>
      <c r="D86" s="594"/>
      <c r="E86" s="594"/>
      <c r="F86" s="595"/>
      <c r="G86" s="596"/>
      <c r="H86" s="595"/>
      <c r="I86" s="596"/>
      <c r="J86" s="595"/>
      <c r="K86" s="596"/>
      <c r="L86" s="596"/>
      <c r="M86" s="596"/>
      <c r="N86" s="595"/>
      <c r="O86" s="597"/>
      <c r="P86" s="595"/>
      <c r="Q86" s="597"/>
      <c r="R86" s="595"/>
      <c r="S86" s="597"/>
      <c r="T86" s="595"/>
      <c r="U86" s="597"/>
      <c r="V86" s="778"/>
      <c r="W86" s="778"/>
      <c r="X86" s="778"/>
      <c r="Y86" s="778"/>
      <c r="Z86" s="778"/>
      <c r="AA86" s="778"/>
      <c r="AB86" s="778"/>
      <c r="AC86" s="778"/>
      <c r="AD86" s="778"/>
      <c r="AE86" s="778"/>
      <c r="AF86" s="778"/>
      <c r="AG86" s="778"/>
      <c r="AH86" s="778"/>
      <c r="AI86" s="778"/>
      <c r="AJ86" s="778"/>
      <c r="AK86" s="778"/>
      <c r="AL86" s="778"/>
      <c r="AM86" s="778"/>
      <c r="AN86" s="778"/>
      <c r="AO86" s="778"/>
      <c r="AP86" s="778"/>
      <c r="AQ86" s="778"/>
      <c r="AR86" s="778"/>
      <c r="AS86" s="778"/>
      <c r="AT86" s="778"/>
      <c r="AU86" s="598"/>
      <c r="AV86" s="598"/>
      <c r="AW86" s="598"/>
      <c r="AX86" s="595"/>
      <c r="AY86" s="595"/>
      <c r="AZ86" s="197"/>
      <c r="BA86" s="478" t="str">
        <f t="shared" si="0"/>
        <v>SUM_CO2</v>
      </c>
      <c r="BB86" s="573" t="str">
        <f t="shared" si="1"/>
        <v>SUM_EnergyIN</v>
      </c>
      <c r="BC86" s="600"/>
      <c r="BD86" s="5"/>
    </row>
    <row r="87" spans="1:56" x14ac:dyDescent="0.2">
      <c r="A87" s="600"/>
      <c r="B87" s="197"/>
      <c r="C87" s="534">
        <v>64</v>
      </c>
      <c r="D87" s="594"/>
      <c r="E87" s="594"/>
      <c r="F87" s="595"/>
      <c r="G87" s="596"/>
      <c r="H87" s="595"/>
      <c r="I87" s="596"/>
      <c r="J87" s="595"/>
      <c r="K87" s="596"/>
      <c r="L87" s="596"/>
      <c r="M87" s="596"/>
      <c r="N87" s="595"/>
      <c r="O87" s="597"/>
      <c r="P87" s="595"/>
      <c r="Q87" s="597"/>
      <c r="R87" s="595"/>
      <c r="S87" s="597"/>
      <c r="T87" s="595"/>
      <c r="U87" s="597"/>
      <c r="V87" s="778"/>
      <c r="W87" s="778"/>
      <c r="X87" s="778"/>
      <c r="Y87" s="778"/>
      <c r="Z87" s="778"/>
      <c r="AA87" s="778"/>
      <c r="AB87" s="778"/>
      <c r="AC87" s="778"/>
      <c r="AD87" s="778"/>
      <c r="AE87" s="778"/>
      <c r="AF87" s="778"/>
      <c r="AG87" s="778"/>
      <c r="AH87" s="778"/>
      <c r="AI87" s="778"/>
      <c r="AJ87" s="778"/>
      <c r="AK87" s="778"/>
      <c r="AL87" s="778"/>
      <c r="AM87" s="778"/>
      <c r="AN87" s="778"/>
      <c r="AO87" s="778"/>
      <c r="AP87" s="778"/>
      <c r="AQ87" s="778"/>
      <c r="AR87" s="778"/>
      <c r="AS87" s="778"/>
      <c r="AT87" s="778"/>
      <c r="AU87" s="598"/>
      <c r="AV87" s="598"/>
      <c r="AW87" s="598"/>
      <c r="AX87" s="595"/>
      <c r="AY87" s="595"/>
      <c r="AZ87" s="197"/>
      <c r="BA87" s="478" t="str">
        <f t="shared" si="0"/>
        <v>SUM_CO2</v>
      </c>
      <c r="BB87" s="573" t="str">
        <f t="shared" si="1"/>
        <v>SUM_EnergyIN</v>
      </c>
      <c r="BC87" s="600"/>
      <c r="BD87" s="5"/>
    </row>
    <row r="88" spans="1:56" x14ac:dyDescent="0.2">
      <c r="A88" s="600"/>
      <c r="B88" s="197"/>
      <c r="C88" s="534">
        <v>65</v>
      </c>
      <c r="D88" s="594"/>
      <c r="E88" s="594"/>
      <c r="F88" s="595"/>
      <c r="G88" s="596"/>
      <c r="H88" s="595"/>
      <c r="I88" s="596"/>
      <c r="J88" s="595"/>
      <c r="K88" s="596"/>
      <c r="L88" s="596"/>
      <c r="M88" s="596"/>
      <c r="N88" s="595"/>
      <c r="O88" s="597"/>
      <c r="P88" s="595"/>
      <c r="Q88" s="597"/>
      <c r="R88" s="595"/>
      <c r="S88" s="597"/>
      <c r="T88" s="595"/>
      <c r="U88" s="597"/>
      <c r="V88" s="778"/>
      <c r="W88" s="778"/>
      <c r="X88" s="778"/>
      <c r="Y88" s="778"/>
      <c r="Z88" s="778"/>
      <c r="AA88" s="778"/>
      <c r="AB88" s="778"/>
      <c r="AC88" s="778"/>
      <c r="AD88" s="778"/>
      <c r="AE88" s="778"/>
      <c r="AF88" s="778"/>
      <c r="AG88" s="778"/>
      <c r="AH88" s="778"/>
      <c r="AI88" s="778"/>
      <c r="AJ88" s="778"/>
      <c r="AK88" s="778"/>
      <c r="AL88" s="778"/>
      <c r="AM88" s="778"/>
      <c r="AN88" s="778"/>
      <c r="AO88" s="778"/>
      <c r="AP88" s="778"/>
      <c r="AQ88" s="778"/>
      <c r="AR88" s="778"/>
      <c r="AS88" s="778"/>
      <c r="AT88" s="778"/>
      <c r="AU88" s="598"/>
      <c r="AV88" s="598"/>
      <c r="AW88" s="598"/>
      <c r="AX88" s="595"/>
      <c r="AY88" s="595"/>
      <c r="AZ88" s="197"/>
      <c r="BA88" s="478" t="str">
        <f t="shared" ref="BA88:BA98" si="2">EUconst_SumCO2</f>
        <v>SUM_CO2</v>
      </c>
      <c r="BB88" s="573" t="str">
        <f t="shared" ref="BB88:BB98" si="3">EUconst_SumEnergyIN</f>
        <v>SUM_EnergyIN</v>
      </c>
      <c r="BC88" s="600"/>
      <c r="BD88" s="5"/>
    </row>
    <row r="89" spans="1:56" x14ac:dyDescent="0.2">
      <c r="A89" s="600"/>
      <c r="B89" s="197"/>
      <c r="C89" s="534">
        <v>66</v>
      </c>
      <c r="D89" s="594"/>
      <c r="E89" s="594"/>
      <c r="F89" s="595"/>
      <c r="G89" s="596"/>
      <c r="H89" s="595"/>
      <c r="I89" s="596"/>
      <c r="J89" s="595"/>
      <c r="K89" s="596"/>
      <c r="L89" s="596"/>
      <c r="M89" s="596"/>
      <c r="N89" s="595"/>
      <c r="O89" s="597"/>
      <c r="P89" s="595"/>
      <c r="Q89" s="597"/>
      <c r="R89" s="595"/>
      <c r="S89" s="597"/>
      <c r="T89" s="595"/>
      <c r="U89" s="597"/>
      <c r="V89" s="778"/>
      <c r="W89" s="778"/>
      <c r="X89" s="778"/>
      <c r="Y89" s="778"/>
      <c r="Z89" s="778"/>
      <c r="AA89" s="778"/>
      <c r="AB89" s="778"/>
      <c r="AC89" s="778"/>
      <c r="AD89" s="778"/>
      <c r="AE89" s="778"/>
      <c r="AF89" s="778"/>
      <c r="AG89" s="778"/>
      <c r="AH89" s="778"/>
      <c r="AI89" s="778"/>
      <c r="AJ89" s="778"/>
      <c r="AK89" s="778"/>
      <c r="AL89" s="778"/>
      <c r="AM89" s="778"/>
      <c r="AN89" s="778"/>
      <c r="AO89" s="778"/>
      <c r="AP89" s="778"/>
      <c r="AQ89" s="778"/>
      <c r="AR89" s="778"/>
      <c r="AS89" s="778"/>
      <c r="AT89" s="778"/>
      <c r="AU89" s="598"/>
      <c r="AV89" s="598"/>
      <c r="AW89" s="598"/>
      <c r="AX89" s="595"/>
      <c r="AY89" s="595"/>
      <c r="AZ89" s="197"/>
      <c r="BA89" s="478" t="str">
        <f t="shared" si="2"/>
        <v>SUM_CO2</v>
      </c>
      <c r="BB89" s="573" t="str">
        <f t="shared" si="3"/>
        <v>SUM_EnergyIN</v>
      </c>
      <c r="BC89" s="600"/>
      <c r="BD89" s="5"/>
    </row>
    <row r="90" spans="1:56" x14ac:dyDescent="0.2">
      <c r="A90" s="600"/>
      <c r="B90" s="197"/>
      <c r="C90" s="534">
        <v>67</v>
      </c>
      <c r="D90" s="594"/>
      <c r="E90" s="594"/>
      <c r="F90" s="595"/>
      <c r="G90" s="596"/>
      <c r="H90" s="595"/>
      <c r="I90" s="596"/>
      <c r="J90" s="595"/>
      <c r="K90" s="596"/>
      <c r="L90" s="596"/>
      <c r="M90" s="596"/>
      <c r="N90" s="595"/>
      <c r="O90" s="597"/>
      <c r="P90" s="595"/>
      <c r="Q90" s="597"/>
      <c r="R90" s="595"/>
      <c r="S90" s="597"/>
      <c r="T90" s="595"/>
      <c r="U90" s="597"/>
      <c r="V90" s="778"/>
      <c r="W90" s="778"/>
      <c r="X90" s="778"/>
      <c r="Y90" s="778"/>
      <c r="Z90" s="778"/>
      <c r="AA90" s="778"/>
      <c r="AB90" s="778"/>
      <c r="AC90" s="778"/>
      <c r="AD90" s="778"/>
      <c r="AE90" s="778"/>
      <c r="AF90" s="778"/>
      <c r="AG90" s="778"/>
      <c r="AH90" s="778"/>
      <c r="AI90" s="778"/>
      <c r="AJ90" s="778"/>
      <c r="AK90" s="778"/>
      <c r="AL90" s="778"/>
      <c r="AM90" s="778"/>
      <c r="AN90" s="778"/>
      <c r="AO90" s="778"/>
      <c r="AP90" s="778"/>
      <c r="AQ90" s="778"/>
      <c r="AR90" s="778"/>
      <c r="AS90" s="778"/>
      <c r="AT90" s="778"/>
      <c r="AU90" s="598"/>
      <c r="AV90" s="598"/>
      <c r="AW90" s="598"/>
      <c r="AX90" s="595"/>
      <c r="AY90" s="595"/>
      <c r="AZ90" s="197"/>
      <c r="BA90" s="478" t="str">
        <f t="shared" si="2"/>
        <v>SUM_CO2</v>
      </c>
      <c r="BB90" s="573" t="str">
        <f t="shared" si="3"/>
        <v>SUM_EnergyIN</v>
      </c>
      <c r="BC90" s="600"/>
      <c r="BD90" s="5"/>
    </row>
    <row r="91" spans="1:56" x14ac:dyDescent="0.2">
      <c r="A91" s="600"/>
      <c r="B91" s="197"/>
      <c r="C91" s="534">
        <v>68</v>
      </c>
      <c r="D91" s="594"/>
      <c r="E91" s="594"/>
      <c r="F91" s="595"/>
      <c r="G91" s="596"/>
      <c r="H91" s="595"/>
      <c r="I91" s="596"/>
      <c r="J91" s="595"/>
      <c r="K91" s="596"/>
      <c r="L91" s="596"/>
      <c r="M91" s="596"/>
      <c r="N91" s="595"/>
      <c r="O91" s="597"/>
      <c r="P91" s="595"/>
      <c r="Q91" s="597"/>
      <c r="R91" s="595"/>
      <c r="S91" s="597"/>
      <c r="T91" s="595"/>
      <c r="U91" s="597"/>
      <c r="V91" s="778"/>
      <c r="W91" s="778"/>
      <c r="X91" s="778"/>
      <c r="Y91" s="778"/>
      <c r="Z91" s="778"/>
      <c r="AA91" s="778"/>
      <c r="AB91" s="778"/>
      <c r="AC91" s="778"/>
      <c r="AD91" s="778"/>
      <c r="AE91" s="778"/>
      <c r="AF91" s="778"/>
      <c r="AG91" s="778"/>
      <c r="AH91" s="778"/>
      <c r="AI91" s="778"/>
      <c r="AJ91" s="778"/>
      <c r="AK91" s="778"/>
      <c r="AL91" s="778"/>
      <c r="AM91" s="778"/>
      <c r="AN91" s="778"/>
      <c r="AO91" s="778"/>
      <c r="AP91" s="778"/>
      <c r="AQ91" s="778"/>
      <c r="AR91" s="778"/>
      <c r="AS91" s="778"/>
      <c r="AT91" s="778"/>
      <c r="AU91" s="598"/>
      <c r="AV91" s="598"/>
      <c r="AW91" s="598"/>
      <c r="AX91" s="595"/>
      <c r="AY91" s="595"/>
      <c r="AZ91" s="197"/>
      <c r="BA91" s="478" t="str">
        <f t="shared" si="2"/>
        <v>SUM_CO2</v>
      </c>
      <c r="BB91" s="573" t="str">
        <f t="shared" si="3"/>
        <v>SUM_EnergyIN</v>
      </c>
      <c r="BC91" s="600"/>
      <c r="BD91" s="5"/>
    </row>
    <row r="92" spans="1:56" x14ac:dyDescent="0.2">
      <c r="A92" s="600"/>
      <c r="B92" s="197"/>
      <c r="C92" s="534">
        <v>69</v>
      </c>
      <c r="D92" s="594"/>
      <c r="E92" s="594"/>
      <c r="F92" s="595"/>
      <c r="G92" s="596"/>
      <c r="H92" s="595"/>
      <c r="I92" s="596"/>
      <c r="J92" s="595"/>
      <c r="K92" s="596"/>
      <c r="L92" s="596"/>
      <c r="M92" s="596"/>
      <c r="N92" s="595"/>
      <c r="O92" s="597"/>
      <c r="P92" s="595"/>
      <c r="Q92" s="597"/>
      <c r="R92" s="595"/>
      <c r="S92" s="597"/>
      <c r="T92" s="595"/>
      <c r="U92" s="597"/>
      <c r="V92" s="778"/>
      <c r="W92" s="778"/>
      <c r="X92" s="778"/>
      <c r="Y92" s="778"/>
      <c r="Z92" s="778"/>
      <c r="AA92" s="778"/>
      <c r="AB92" s="778"/>
      <c r="AC92" s="778"/>
      <c r="AD92" s="778"/>
      <c r="AE92" s="778"/>
      <c r="AF92" s="778"/>
      <c r="AG92" s="778"/>
      <c r="AH92" s="778"/>
      <c r="AI92" s="778"/>
      <c r="AJ92" s="778"/>
      <c r="AK92" s="778"/>
      <c r="AL92" s="778"/>
      <c r="AM92" s="778"/>
      <c r="AN92" s="778"/>
      <c r="AO92" s="778"/>
      <c r="AP92" s="778"/>
      <c r="AQ92" s="778"/>
      <c r="AR92" s="778"/>
      <c r="AS92" s="778"/>
      <c r="AT92" s="778"/>
      <c r="AU92" s="598"/>
      <c r="AV92" s="598"/>
      <c r="AW92" s="598"/>
      <c r="AX92" s="595"/>
      <c r="AY92" s="595"/>
      <c r="AZ92" s="197"/>
      <c r="BA92" s="478" t="str">
        <f t="shared" si="2"/>
        <v>SUM_CO2</v>
      </c>
      <c r="BB92" s="573" t="str">
        <f t="shared" si="3"/>
        <v>SUM_EnergyIN</v>
      </c>
      <c r="BC92" s="600"/>
      <c r="BD92" s="5"/>
    </row>
    <row r="93" spans="1:56" x14ac:dyDescent="0.2">
      <c r="A93" s="600"/>
      <c r="B93" s="197"/>
      <c r="C93" s="534">
        <v>70</v>
      </c>
      <c r="D93" s="594"/>
      <c r="E93" s="594"/>
      <c r="F93" s="595"/>
      <c r="G93" s="596"/>
      <c r="H93" s="595"/>
      <c r="I93" s="596"/>
      <c r="J93" s="595"/>
      <c r="K93" s="596"/>
      <c r="L93" s="596"/>
      <c r="M93" s="596"/>
      <c r="N93" s="595"/>
      <c r="O93" s="597"/>
      <c r="P93" s="595"/>
      <c r="Q93" s="597"/>
      <c r="R93" s="595"/>
      <c r="S93" s="597"/>
      <c r="T93" s="595"/>
      <c r="U93" s="597"/>
      <c r="V93" s="778"/>
      <c r="W93" s="778"/>
      <c r="X93" s="778"/>
      <c r="Y93" s="778"/>
      <c r="Z93" s="778"/>
      <c r="AA93" s="778"/>
      <c r="AB93" s="778"/>
      <c r="AC93" s="778"/>
      <c r="AD93" s="778"/>
      <c r="AE93" s="778"/>
      <c r="AF93" s="778"/>
      <c r="AG93" s="778"/>
      <c r="AH93" s="778"/>
      <c r="AI93" s="778"/>
      <c r="AJ93" s="778"/>
      <c r="AK93" s="778"/>
      <c r="AL93" s="778"/>
      <c r="AM93" s="778"/>
      <c r="AN93" s="778"/>
      <c r="AO93" s="778"/>
      <c r="AP93" s="778"/>
      <c r="AQ93" s="778"/>
      <c r="AR93" s="778"/>
      <c r="AS93" s="778"/>
      <c r="AT93" s="778"/>
      <c r="AU93" s="598"/>
      <c r="AV93" s="598"/>
      <c r="AW93" s="598"/>
      <c r="AX93" s="595"/>
      <c r="AY93" s="595"/>
      <c r="AZ93" s="197"/>
      <c r="BA93" s="478" t="str">
        <f t="shared" si="2"/>
        <v>SUM_CO2</v>
      </c>
      <c r="BB93" s="573" t="str">
        <f t="shared" si="3"/>
        <v>SUM_EnergyIN</v>
      </c>
      <c r="BC93" s="600"/>
      <c r="BD93" s="5"/>
    </row>
    <row r="94" spans="1:56" x14ac:dyDescent="0.2">
      <c r="A94" s="600"/>
      <c r="B94" s="197"/>
      <c r="C94" s="534">
        <v>71</v>
      </c>
      <c r="D94" s="594"/>
      <c r="E94" s="594"/>
      <c r="F94" s="595"/>
      <c r="G94" s="596"/>
      <c r="H94" s="595"/>
      <c r="I94" s="596"/>
      <c r="J94" s="595"/>
      <c r="K94" s="596"/>
      <c r="L94" s="596"/>
      <c r="M94" s="596"/>
      <c r="N94" s="595"/>
      <c r="O94" s="597"/>
      <c r="P94" s="595"/>
      <c r="Q94" s="597"/>
      <c r="R94" s="595"/>
      <c r="S94" s="597"/>
      <c r="T94" s="595"/>
      <c r="U94" s="597"/>
      <c r="V94" s="778"/>
      <c r="W94" s="778"/>
      <c r="X94" s="778"/>
      <c r="Y94" s="778"/>
      <c r="Z94" s="778"/>
      <c r="AA94" s="778"/>
      <c r="AB94" s="778"/>
      <c r="AC94" s="778"/>
      <c r="AD94" s="778"/>
      <c r="AE94" s="778"/>
      <c r="AF94" s="778"/>
      <c r="AG94" s="778"/>
      <c r="AH94" s="778"/>
      <c r="AI94" s="778"/>
      <c r="AJ94" s="778"/>
      <c r="AK94" s="778"/>
      <c r="AL94" s="778"/>
      <c r="AM94" s="778"/>
      <c r="AN94" s="778"/>
      <c r="AO94" s="778"/>
      <c r="AP94" s="778"/>
      <c r="AQ94" s="778"/>
      <c r="AR94" s="778"/>
      <c r="AS94" s="778"/>
      <c r="AT94" s="778"/>
      <c r="AU94" s="598"/>
      <c r="AV94" s="598"/>
      <c r="AW94" s="598"/>
      <c r="AX94" s="595"/>
      <c r="AY94" s="595"/>
      <c r="AZ94" s="197"/>
      <c r="BA94" s="478" t="str">
        <f t="shared" si="2"/>
        <v>SUM_CO2</v>
      </c>
      <c r="BB94" s="573" t="str">
        <f t="shared" si="3"/>
        <v>SUM_EnergyIN</v>
      </c>
      <c r="BC94" s="600"/>
      <c r="BD94" s="5"/>
    </row>
    <row r="95" spans="1:56" x14ac:dyDescent="0.2">
      <c r="A95" s="600"/>
      <c r="B95" s="197"/>
      <c r="C95" s="534">
        <v>72</v>
      </c>
      <c r="D95" s="594"/>
      <c r="E95" s="594"/>
      <c r="F95" s="595"/>
      <c r="G95" s="596"/>
      <c r="H95" s="595"/>
      <c r="I95" s="596"/>
      <c r="J95" s="595"/>
      <c r="K95" s="596"/>
      <c r="L95" s="596"/>
      <c r="M95" s="596"/>
      <c r="N95" s="595"/>
      <c r="O95" s="597"/>
      <c r="P95" s="595"/>
      <c r="Q95" s="597"/>
      <c r="R95" s="595"/>
      <c r="S95" s="597"/>
      <c r="T95" s="595"/>
      <c r="U95" s="597"/>
      <c r="V95" s="778"/>
      <c r="W95" s="778"/>
      <c r="X95" s="778"/>
      <c r="Y95" s="778"/>
      <c r="Z95" s="778"/>
      <c r="AA95" s="778"/>
      <c r="AB95" s="778"/>
      <c r="AC95" s="778"/>
      <c r="AD95" s="778"/>
      <c r="AE95" s="778"/>
      <c r="AF95" s="778"/>
      <c r="AG95" s="778"/>
      <c r="AH95" s="778"/>
      <c r="AI95" s="778"/>
      <c r="AJ95" s="778"/>
      <c r="AK95" s="778"/>
      <c r="AL95" s="778"/>
      <c r="AM95" s="778"/>
      <c r="AN95" s="778"/>
      <c r="AO95" s="778"/>
      <c r="AP95" s="778"/>
      <c r="AQ95" s="778"/>
      <c r="AR95" s="778"/>
      <c r="AS95" s="778"/>
      <c r="AT95" s="778"/>
      <c r="AU95" s="598"/>
      <c r="AV95" s="598"/>
      <c r="AW95" s="598"/>
      <c r="AX95" s="595"/>
      <c r="AY95" s="595"/>
      <c r="AZ95" s="197"/>
      <c r="BA95" s="478" t="str">
        <f t="shared" si="2"/>
        <v>SUM_CO2</v>
      </c>
      <c r="BB95" s="573" t="str">
        <f t="shared" si="3"/>
        <v>SUM_EnergyIN</v>
      </c>
      <c r="BC95" s="600"/>
      <c r="BD95" s="5"/>
    </row>
    <row r="96" spans="1:56" x14ac:dyDescent="0.2">
      <c r="A96" s="600"/>
      <c r="B96" s="197"/>
      <c r="C96" s="534">
        <v>73</v>
      </c>
      <c r="D96" s="594"/>
      <c r="E96" s="594"/>
      <c r="F96" s="595"/>
      <c r="G96" s="596"/>
      <c r="H96" s="595"/>
      <c r="I96" s="596"/>
      <c r="J96" s="595"/>
      <c r="K96" s="596"/>
      <c r="L96" s="596"/>
      <c r="M96" s="596"/>
      <c r="N96" s="595"/>
      <c r="O96" s="597"/>
      <c r="P96" s="595"/>
      <c r="Q96" s="597"/>
      <c r="R96" s="595"/>
      <c r="S96" s="597"/>
      <c r="T96" s="595"/>
      <c r="U96" s="597"/>
      <c r="V96" s="778"/>
      <c r="W96" s="778"/>
      <c r="X96" s="778"/>
      <c r="Y96" s="778"/>
      <c r="Z96" s="778"/>
      <c r="AA96" s="778"/>
      <c r="AB96" s="778"/>
      <c r="AC96" s="778"/>
      <c r="AD96" s="778"/>
      <c r="AE96" s="778"/>
      <c r="AF96" s="778"/>
      <c r="AG96" s="778"/>
      <c r="AH96" s="778"/>
      <c r="AI96" s="778"/>
      <c r="AJ96" s="778"/>
      <c r="AK96" s="778"/>
      <c r="AL96" s="778"/>
      <c r="AM96" s="778"/>
      <c r="AN96" s="778"/>
      <c r="AO96" s="778"/>
      <c r="AP96" s="778"/>
      <c r="AQ96" s="778"/>
      <c r="AR96" s="778"/>
      <c r="AS96" s="778"/>
      <c r="AT96" s="778"/>
      <c r="AU96" s="598"/>
      <c r="AV96" s="598"/>
      <c r="AW96" s="598"/>
      <c r="AX96" s="595"/>
      <c r="AY96" s="595"/>
      <c r="AZ96" s="197"/>
      <c r="BA96" s="478" t="str">
        <f t="shared" si="2"/>
        <v>SUM_CO2</v>
      </c>
      <c r="BB96" s="573" t="str">
        <f t="shared" si="3"/>
        <v>SUM_EnergyIN</v>
      </c>
      <c r="BC96" s="600"/>
      <c r="BD96" s="5"/>
    </row>
    <row r="97" spans="1:56" x14ac:dyDescent="0.2">
      <c r="A97" s="600"/>
      <c r="B97" s="197"/>
      <c r="C97" s="534">
        <v>74</v>
      </c>
      <c r="D97" s="594"/>
      <c r="E97" s="594"/>
      <c r="F97" s="595"/>
      <c r="G97" s="596"/>
      <c r="H97" s="595"/>
      <c r="I97" s="596"/>
      <c r="J97" s="595"/>
      <c r="K97" s="596"/>
      <c r="L97" s="596"/>
      <c r="M97" s="596"/>
      <c r="N97" s="595"/>
      <c r="O97" s="597"/>
      <c r="P97" s="595"/>
      <c r="Q97" s="597"/>
      <c r="R97" s="595"/>
      <c r="S97" s="597"/>
      <c r="T97" s="595"/>
      <c r="U97" s="597"/>
      <c r="V97" s="778"/>
      <c r="W97" s="778"/>
      <c r="X97" s="778"/>
      <c r="Y97" s="778"/>
      <c r="Z97" s="778"/>
      <c r="AA97" s="778"/>
      <c r="AB97" s="778"/>
      <c r="AC97" s="778"/>
      <c r="AD97" s="778"/>
      <c r="AE97" s="778"/>
      <c r="AF97" s="778"/>
      <c r="AG97" s="778"/>
      <c r="AH97" s="778"/>
      <c r="AI97" s="778"/>
      <c r="AJ97" s="778"/>
      <c r="AK97" s="778"/>
      <c r="AL97" s="778"/>
      <c r="AM97" s="778"/>
      <c r="AN97" s="778"/>
      <c r="AO97" s="778"/>
      <c r="AP97" s="778"/>
      <c r="AQ97" s="778"/>
      <c r="AR97" s="778"/>
      <c r="AS97" s="778"/>
      <c r="AT97" s="778"/>
      <c r="AU97" s="598"/>
      <c r="AV97" s="598"/>
      <c r="AW97" s="598"/>
      <c r="AX97" s="595"/>
      <c r="AY97" s="595"/>
      <c r="AZ97" s="197"/>
      <c r="BA97" s="478" t="str">
        <f t="shared" si="2"/>
        <v>SUM_CO2</v>
      </c>
      <c r="BB97" s="573" t="str">
        <f t="shared" si="3"/>
        <v>SUM_EnergyIN</v>
      </c>
      <c r="BC97" s="600"/>
      <c r="BD97" s="5"/>
    </row>
    <row r="98" spans="1:56" x14ac:dyDescent="0.2">
      <c r="A98" s="600"/>
      <c r="B98" s="197"/>
      <c r="C98" s="534">
        <v>75</v>
      </c>
      <c r="D98" s="594"/>
      <c r="E98" s="594"/>
      <c r="F98" s="595"/>
      <c r="G98" s="596"/>
      <c r="H98" s="595"/>
      <c r="I98" s="596"/>
      <c r="J98" s="595"/>
      <c r="K98" s="596"/>
      <c r="L98" s="596"/>
      <c r="M98" s="596"/>
      <c r="N98" s="595"/>
      <c r="O98" s="597"/>
      <c r="P98" s="595"/>
      <c r="Q98" s="597"/>
      <c r="R98" s="595"/>
      <c r="S98" s="597"/>
      <c r="T98" s="595"/>
      <c r="U98" s="597"/>
      <c r="V98" s="778"/>
      <c r="W98" s="778"/>
      <c r="X98" s="778"/>
      <c r="Y98" s="778"/>
      <c r="Z98" s="778"/>
      <c r="AA98" s="778"/>
      <c r="AB98" s="778"/>
      <c r="AC98" s="778"/>
      <c r="AD98" s="778"/>
      <c r="AE98" s="778"/>
      <c r="AF98" s="778"/>
      <c r="AG98" s="778"/>
      <c r="AH98" s="778"/>
      <c r="AI98" s="778"/>
      <c r="AJ98" s="778"/>
      <c r="AK98" s="778"/>
      <c r="AL98" s="778"/>
      <c r="AM98" s="778"/>
      <c r="AN98" s="778"/>
      <c r="AO98" s="778"/>
      <c r="AP98" s="778"/>
      <c r="AQ98" s="778"/>
      <c r="AR98" s="778"/>
      <c r="AS98" s="778"/>
      <c r="AT98" s="778"/>
      <c r="AU98" s="598"/>
      <c r="AV98" s="598"/>
      <c r="AW98" s="598"/>
      <c r="AX98" s="595"/>
      <c r="AY98" s="595"/>
      <c r="AZ98" s="197"/>
      <c r="BA98" s="478" t="str">
        <f t="shared" si="2"/>
        <v>SUM_CO2</v>
      </c>
      <c r="BB98" s="573" t="str">
        <f t="shared" si="3"/>
        <v>SUM_EnergyIN</v>
      </c>
      <c r="BC98" s="600"/>
      <c r="BD98" s="5"/>
    </row>
    <row r="99" spans="1:56" x14ac:dyDescent="0.2">
      <c r="A99" s="600"/>
      <c r="B99" s="197"/>
      <c r="C99" s="77"/>
      <c r="D99" s="197"/>
      <c r="E99" s="197"/>
      <c r="F99" s="197"/>
      <c r="G99" s="197"/>
      <c r="H99" s="197"/>
      <c r="I99" s="197"/>
      <c r="J99" s="197"/>
      <c r="K99" s="197"/>
      <c r="L99" s="197"/>
      <c r="N99" s="197"/>
      <c r="O99" s="197"/>
      <c r="P99" s="197"/>
      <c r="Q99" s="197"/>
      <c r="R99" s="197"/>
      <c r="S99" s="197"/>
      <c r="T99" s="197"/>
      <c r="U99" s="197"/>
      <c r="V99" s="197"/>
      <c r="W99" s="197"/>
      <c r="X99" s="197"/>
      <c r="Y99" s="197"/>
      <c r="Z99" s="197"/>
      <c r="AA99" s="197"/>
      <c r="AB99" s="197"/>
      <c r="AC99" s="197"/>
      <c r="AD99" s="197"/>
      <c r="AE99" s="197"/>
      <c r="AF99" s="197"/>
      <c r="AG99" s="197"/>
      <c r="AH99" s="197"/>
      <c r="AI99" s="197"/>
      <c r="AJ99" s="197"/>
      <c r="AK99" s="197"/>
      <c r="AL99" s="197"/>
      <c r="AM99" s="197"/>
      <c r="AN99" s="197"/>
      <c r="AO99" s="197"/>
      <c r="AP99" s="197"/>
      <c r="AQ99" s="197"/>
      <c r="AR99" s="197"/>
      <c r="AS99" s="197"/>
      <c r="AT99" s="197"/>
      <c r="AU99" s="197"/>
      <c r="AV99" s="197"/>
      <c r="AW99" s="197"/>
      <c r="AX99" s="197"/>
      <c r="AY99" s="197"/>
      <c r="AZ99" s="197"/>
      <c r="BA99" s="600"/>
      <c r="BB99" s="600"/>
      <c r="BC99" s="600"/>
      <c r="BD99" s="5"/>
    </row>
    <row r="100" spans="1:56" ht="50.1" customHeight="1" thickBot="1" x14ac:dyDescent="0.45">
      <c r="A100" s="600"/>
      <c r="B100" s="197"/>
      <c r="C100" s="77"/>
      <c r="D100" s="522" t="str">
        <f>Translations!$B$339</f>
        <v>Strumienie materiałów wsadowych w przypadku PFC</v>
      </c>
      <c r="E100" s="197"/>
      <c r="F100" s="197"/>
      <c r="G100" s="197"/>
      <c r="H100" s="197"/>
      <c r="I100" s="197"/>
      <c r="J100" s="197"/>
      <c r="K100" s="197"/>
      <c r="L100" s="197"/>
      <c r="N100" s="197"/>
      <c r="O100" s="197"/>
      <c r="P100" s="197"/>
      <c r="Q100" s="197"/>
      <c r="R100" s="197"/>
      <c r="S100" s="197"/>
      <c r="T100" s="197"/>
      <c r="U100" s="197"/>
      <c r="V100" s="197"/>
      <c r="W100" s="197"/>
      <c r="X100" s="197"/>
      <c r="Y100" s="197"/>
      <c r="Z100" s="197"/>
      <c r="AA100" s="197"/>
      <c r="AB100" s="197"/>
      <c r="AC100" s="197"/>
      <c r="AD100" s="197"/>
      <c r="AE100" s="197"/>
      <c r="AF100" s="197"/>
      <c r="AG100" s="197"/>
      <c r="AH100" s="197"/>
      <c r="AI100" s="197"/>
      <c r="AJ100" s="197"/>
      <c r="AK100" s="197"/>
      <c r="AL100" s="197"/>
      <c r="AM100" s="197"/>
      <c r="AN100" s="197"/>
      <c r="AO100" s="197"/>
      <c r="AP100" s="197"/>
      <c r="AQ100" s="197"/>
      <c r="AR100" s="197"/>
      <c r="AS100" s="197"/>
      <c r="AT100" s="197"/>
      <c r="AU100" s="197"/>
      <c r="AV100" s="197"/>
      <c r="AW100" s="197"/>
      <c r="AX100" s="197"/>
      <c r="AY100" s="197"/>
      <c r="AZ100" s="197"/>
      <c r="BA100" s="600"/>
      <c r="BB100" s="600"/>
      <c r="BC100" s="600"/>
      <c r="BD100" s="5"/>
    </row>
    <row r="101" spans="1:56" ht="50.1" customHeight="1" thickBot="1" x14ac:dyDescent="0.25">
      <c r="A101" s="600"/>
      <c r="B101" s="197"/>
      <c r="C101" s="523" t="s">
        <v>482</v>
      </c>
      <c r="D101" s="524" t="str">
        <f>Translations!$B$282</f>
        <v>Metoda</v>
      </c>
      <c r="E101" s="524" t="str">
        <f>Translations!$B$340</f>
        <v>Nazwa</v>
      </c>
      <c r="F101" s="525" t="str">
        <f>Translations!$B$284</f>
        <v>Dane dotyczące działalności (AD)</v>
      </c>
      <c r="G101" s="525" t="str">
        <f>Translations!$B$285</f>
        <v>Jednostka AD</v>
      </c>
      <c r="H101" s="525" t="str">
        <f>Translations!$B$286</f>
        <v>Wartość opałowa (NCV)</v>
      </c>
      <c r="I101" s="525" t="str">
        <f>Translations!$B$287</f>
        <v>Jednostka NCV</v>
      </c>
      <c r="J101" s="525" t="str">
        <f>Translations!$B$288</f>
        <v>Współczynnik emisji (EF)</v>
      </c>
      <c r="K101" s="525" t="str">
        <f>Translations!$B$289</f>
        <v>Jednostka EF</v>
      </c>
      <c r="L101" s="525" t="str">
        <f>Translations!$B$290</f>
        <v>Zawartość węgla</v>
      </c>
      <c r="M101" s="525" t="str">
        <f>Translations!$B$291</f>
        <v>Jednostka zawartości węgla</v>
      </c>
      <c r="N101" s="525" t="str">
        <f>Translations!$B$292</f>
        <v>Współczynnik utleniania (OxF)</v>
      </c>
      <c r="O101" s="525" t="str">
        <f>Translations!$B$293</f>
        <v>Jednostka OxF</v>
      </c>
      <c r="P101" s="525" t="str">
        <f>Translations!$B$294</f>
        <v>Współczynnik konwersji</v>
      </c>
      <c r="Q101" s="525" t="str">
        <f>Translations!$B$295</f>
        <v>Jednostka współczynnika konwersji</v>
      </c>
      <c r="R101" s="525" t="str">
        <f>Translations!$B$296</f>
        <v>Zawartość biomasy (BioC)</v>
      </c>
      <c r="S101" s="525" t="str">
        <f>Translations!$B$297</f>
        <v>Jednostka BioC</v>
      </c>
      <c r="T101" s="525" t="str">
        <f>Translations!$B$298</f>
        <v>BioC niezrówn.</v>
      </c>
      <c r="U101" s="525" t="str">
        <f>Translations!$B$299</f>
        <v>Jednostka BioC niezrówn.</v>
      </c>
      <c r="V101" s="525" t="str">
        <f>Translations!$B$300</f>
        <v>Średnie godzinowe stężenie gazów cieplarnianych (GHG)</v>
      </c>
      <c r="W101" s="525" t="str">
        <f>Translations!$B$301</f>
        <v>Jednostka godzinowego stężenia GHG</v>
      </c>
      <c r="X101" s="525" t="str">
        <f>Translations!$B$302</f>
        <v>Godziny działania</v>
      </c>
      <c r="Y101" s="525" t="str">
        <f>Translations!$B$303</f>
        <v>Jednostka godzin działania</v>
      </c>
      <c r="Z101" s="525" t="str">
        <f>Translations!$B$304</f>
        <v>Przepływ spalin (średnia)</v>
      </c>
      <c r="AA101" s="525" t="str">
        <f>Translations!$B$305</f>
        <v>Jednostka przepływu spalin (średnia)</v>
      </c>
      <c r="AB101" s="525" t="str">
        <f>Translations!$B$306</f>
        <v>Przepływ spalin (łącznie)</v>
      </c>
      <c r="AC101" s="525" t="str">
        <f>Translations!$B$307</f>
        <v>Jednostka przepływu spalin (łącznie)</v>
      </c>
      <c r="AD101" s="525" t="str">
        <f>Translations!$B$308</f>
        <v>Roczna ilość GHG</v>
      </c>
      <c r="AE101" s="525" t="str">
        <f>Translations!$B$309</f>
        <v>Jednostka rocznej ilości GHG</v>
      </c>
      <c r="AF101" s="525" t="str">
        <f>Translations!$B$310</f>
        <v>Współczynnik ocieplenia globalnego GWP (tCO2e/t)</v>
      </c>
      <c r="AG101" s="525" t="str">
        <f>Translations!$B$311</f>
        <v>A: Częstotliwość</v>
      </c>
      <c r="AH101" s="525" t="str">
        <f>Translations!$B$312</f>
        <v>A: Czas trwania</v>
      </c>
      <c r="AI101" s="525" t="str">
        <f>Translations!$B$313</f>
        <v>A: SEF (CF4)</v>
      </c>
      <c r="AJ101" s="525" t="str">
        <f>Translations!$B$314</f>
        <v>B: AEO</v>
      </c>
      <c r="AK101" s="525" t="str">
        <f>Translations!$B$315</f>
        <v>B: CE</v>
      </c>
      <c r="AL101" s="525" t="str">
        <f>Translations!$B$316</f>
        <v>B: OVC</v>
      </c>
      <c r="AM101" s="525" t="str">
        <f>Translations!$B$317</f>
        <v>F(C2F6)</v>
      </c>
      <c r="AN101" s="525" t="str">
        <f>Translations!$B$318</f>
        <v>Emisje CF4 (t CF4)</v>
      </c>
      <c r="AO101" s="525" t="str">
        <f>Translations!$B$319</f>
        <v>Emisje C2F6 (t C2F6)</v>
      </c>
      <c r="AP101" s="525" t="str">
        <f>Translations!$B$320</f>
        <v>GWP (CF4) (tCO2e/t)</v>
      </c>
      <c r="AQ101" s="525" t="str">
        <f>Translations!$B$321</f>
        <v>GWP (C2F6) (tCO2e/t)</v>
      </c>
      <c r="AR101" s="525" t="str">
        <f>Translations!$B$322</f>
        <v>Emisje CF4 (t CO2e)</v>
      </c>
      <c r="AS101" s="525" t="str">
        <f>Translations!$B$323</f>
        <v>Emisje C2F6 (t CO2e)</v>
      </c>
      <c r="AT101" s="525" t="str">
        <f>Translations!$B$324</f>
        <v>Całkowita wydajność, %</v>
      </c>
      <c r="AU101" s="525" t="str">
        <f>Translations!$B$325</f>
        <v>Kopalne CO2e (t)</v>
      </c>
      <c r="AV101" s="525" t="str">
        <f>Translations!$B$326</f>
        <v>CO2e z biomasy (t)</v>
      </c>
      <c r="AW101" s="525" t="str">
        <f>Translations!$B$327</f>
        <v>CO2e z biomasy niezrówn. (t)</v>
      </c>
      <c r="AX101" s="526" t="str">
        <f>Translations!$B$328</f>
        <v>Zawartość energii (kopalne), TJ</v>
      </c>
      <c r="AY101" s="527" t="str">
        <f>Translations!$B$329</f>
        <v>Zawartość energii (biomasa), TJ</v>
      </c>
      <c r="AZ101" s="197"/>
      <c r="BA101" s="600"/>
      <c r="BB101" s="600"/>
      <c r="BC101" s="600"/>
      <c r="BD101" s="5"/>
    </row>
    <row r="102" spans="1:56" ht="12.75" customHeight="1" x14ac:dyDescent="0.2">
      <c r="A102" s="600"/>
      <c r="B102" s="197"/>
      <c r="C102" s="533" t="str">
        <f>Translations!$B$341</f>
        <v>Przykł.</v>
      </c>
      <c r="D102" s="690" t="str">
        <f>Translations!$B$342</f>
        <v>Emisje PFC</v>
      </c>
      <c r="E102" s="690" t="str">
        <f>Translations!$B$343</f>
        <v>Elektrolizer Prebake (CWPB); Anoda typu A</v>
      </c>
      <c r="F102" s="691">
        <v>5000</v>
      </c>
      <c r="G102" s="528" t="s">
        <v>212</v>
      </c>
      <c r="H102" s="779"/>
      <c r="I102" s="780"/>
      <c r="J102" s="779"/>
      <c r="K102" s="780"/>
      <c r="L102" s="780"/>
      <c r="M102" s="780"/>
      <c r="N102" s="779"/>
      <c r="O102" s="778"/>
      <c r="P102" s="779"/>
      <c r="Q102" s="778"/>
      <c r="R102" s="779"/>
      <c r="S102" s="778"/>
      <c r="T102" s="779"/>
      <c r="U102" s="778"/>
      <c r="V102" s="778"/>
      <c r="W102" s="778"/>
      <c r="X102" s="778"/>
      <c r="Y102" s="778"/>
      <c r="Z102" s="778"/>
      <c r="AA102" s="778"/>
      <c r="AB102" s="778"/>
      <c r="AC102" s="778"/>
      <c r="AD102" s="778"/>
      <c r="AE102" s="778"/>
      <c r="AF102" s="778"/>
      <c r="AG102" s="691">
        <v>300</v>
      </c>
      <c r="AH102" s="691">
        <v>2</v>
      </c>
      <c r="AI102" s="691">
        <v>0.14599999999999999</v>
      </c>
      <c r="AJ102" s="691">
        <v>0</v>
      </c>
      <c r="AK102" s="691">
        <v>0</v>
      </c>
      <c r="AL102" s="691">
        <v>0</v>
      </c>
      <c r="AM102" s="691">
        <v>0.122</v>
      </c>
      <c r="AN102" s="691">
        <v>4.38</v>
      </c>
      <c r="AO102" s="691">
        <v>0.53435999999999995</v>
      </c>
      <c r="AP102" s="695">
        <v>7390</v>
      </c>
      <c r="AQ102" s="695">
        <v>12200</v>
      </c>
      <c r="AR102" s="695">
        <v>32368.2</v>
      </c>
      <c r="AS102" s="695">
        <v>6519.1919999999991</v>
      </c>
      <c r="AT102" s="691">
        <v>98</v>
      </c>
      <c r="AU102" s="693">
        <v>39681.01224489796</v>
      </c>
      <c r="AV102" s="693"/>
      <c r="AW102" s="693"/>
      <c r="AX102" s="691"/>
      <c r="AY102" s="691"/>
      <c r="AZ102" s="197"/>
      <c r="BA102" s="600"/>
      <c r="BB102" s="600"/>
      <c r="BC102" s="600"/>
      <c r="BD102" s="5"/>
    </row>
    <row r="103" spans="1:56" x14ac:dyDescent="0.2">
      <c r="A103" s="600"/>
      <c r="B103" s="197"/>
      <c r="C103" s="528">
        <v>1</v>
      </c>
      <c r="D103" s="675"/>
      <c r="E103" s="594"/>
      <c r="F103" s="595"/>
      <c r="G103" s="596"/>
      <c r="H103" s="779"/>
      <c r="I103" s="780"/>
      <c r="J103" s="779"/>
      <c r="K103" s="780"/>
      <c r="L103" s="780"/>
      <c r="M103" s="780"/>
      <c r="N103" s="779"/>
      <c r="O103" s="778"/>
      <c r="P103" s="779"/>
      <c r="Q103" s="778"/>
      <c r="R103" s="779"/>
      <c r="S103" s="778"/>
      <c r="T103" s="779"/>
      <c r="U103" s="778"/>
      <c r="V103" s="778"/>
      <c r="W103" s="778"/>
      <c r="X103" s="778"/>
      <c r="Y103" s="778"/>
      <c r="Z103" s="778"/>
      <c r="AA103" s="778"/>
      <c r="AB103" s="778"/>
      <c r="AC103" s="778"/>
      <c r="AD103" s="778"/>
      <c r="AE103" s="778"/>
      <c r="AF103" s="778"/>
      <c r="AG103" s="595"/>
      <c r="AH103" s="595"/>
      <c r="AI103" s="595"/>
      <c r="AJ103" s="595"/>
      <c r="AK103" s="595"/>
      <c r="AL103" s="595"/>
      <c r="AM103" s="595"/>
      <c r="AN103" s="595"/>
      <c r="AO103" s="595"/>
      <c r="AP103" s="599"/>
      <c r="AQ103" s="599"/>
      <c r="AR103" s="599"/>
      <c r="AS103" s="599"/>
      <c r="AT103" s="595"/>
      <c r="AU103" s="598"/>
      <c r="AV103" s="598"/>
      <c r="AW103" s="598"/>
      <c r="AX103" s="595"/>
      <c r="AY103" s="595"/>
      <c r="AZ103" s="197"/>
      <c r="BA103" s="478" t="str">
        <f t="shared" ref="BA103:BA112" si="4">EUconst_SumPFC</f>
        <v>SUM_PFC</v>
      </c>
      <c r="BB103" s="573" t="str">
        <f t="shared" ref="BB103:BB112" si="5">EUconst_SumEnergyIN</f>
        <v>SUM_EnergyIN</v>
      </c>
      <c r="BC103" s="600"/>
      <c r="BD103" s="5"/>
    </row>
    <row r="104" spans="1:56" x14ac:dyDescent="0.2">
      <c r="A104" s="600"/>
      <c r="B104" s="197"/>
      <c r="C104" s="529">
        <v>2</v>
      </c>
      <c r="D104" s="675"/>
      <c r="E104" s="594"/>
      <c r="F104" s="595"/>
      <c r="G104" s="596"/>
      <c r="H104" s="779"/>
      <c r="I104" s="780"/>
      <c r="J104" s="779"/>
      <c r="K104" s="780"/>
      <c r="L104" s="780"/>
      <c r="M104" s="780"/>
      <c r="N104" s="779"/>
      <c r="O104" s="778"/>
      <c r="P104" s="779"/>
      <c r="Q104" s="778"/>
      <c r="R104" s="779"/>
      <c r="S104" s="778"/>
      <c r="T104" s="779"/>
      <c r="U104" s="778"/>
      <c r="V104" s="778"/>
      <c r="W104" s="778"/>
      <c r="X104" s="778"/>
      <c r="Y104" s="778"/>
      <c r="Z104" s="778"/>
      <c r="AA104" s="778"/>
      <c r="AB104" s="778"/>
      <c r="AC104" s="778"/>
      <c r="AD104" s="778"/>
      <c r="AE104" s="778"/>
      <c r="AF104" s="778"/>
      <c r="AG104" s="595"/>
      <c r="AH104" s="595"/>
      <c r="AI104" s="595"/>
      <c r="AJ104" s="595"/>
      <c r="AK104" s="595"/>
      <c r="AL104" s="595"/>
      <c r="AM104" s="595"/>
      <c r="AN104" s="595"/>
      <c r="AO104" s="595"/>
      <c r="AP104" s="599"/>
      <c r="AQ104" s="599"/>
      <c r="AR104" s="599"/>
      <c r="AS104" s="599"/>
      <c r="AT104" s="595"/>
      <c r="AU104" s="598"/>
      <c r="AV104" s="598"/>
      <c r="AW104" s="598"/>
      <c r="AX104" s="595"/>
      <c r="AY104" s="595"/>
      <c r="AZ104" s="197"/>
      <c r="BA104" s="478" t="str">
        <f t="shared" si="4"/>
        <v>SUM_PFC</v>
      </c>
      <c r="BB104" s="573" t="str">
        <f t="shared" si="5"/>
        <v>SUM_EnergyIN</v>
      </c>
      <c r="BC104" s="600"/>
      <c r="BD104" s="5"/>
    </row>
    <row r="105" spans="1:56" x14ac:dyDescent="0.2">
      <c r="A105" s="600"/>
      <c r="B105" s="197"/>
      <c r="C105" s="529">
        <v>3</v>
      </c>
      <c r="D105" s="675"/>
      <c r="E105" s="594"/>
      <c r="F105" s="595"/>
      <c r="G105" s="596"/>
      <c r="H105" s="779"/>
      <c r="I105" s="780"/>
      <c r="J105" s="779"/>
      <c r="K105" s="780"/>
      <c r="L105" s="780"/>
      <c r="M105" s="780"/>
      <c r="N105" s="779"/>
      <c r="O105" s="778"/>
      <c r="P105" s="779"/>
      <c r="Q105" s="778"/>
      <c r="R105" s="779"/>
      <c r="S105" s="778"/>
      <c r="T105" s="779"/>
      <c r="U105" s="778"/>
      <c r="V105" s="778"/>
      <c r="W105" s="778"/>
      <c r="X105" s="778"/>
      <c r="Y105" s="778"/>
      <c r="Z105" s="778"/>
      <c r="AA105" s="778"/>
      <c r="AB105" s="778"/>
      <c r="AC105" s="778"/>
      <c r="AD105" s="778"/>
      <c r="AE105" s="778"/>
      <c r="AF105" s="778"/>
      <c r="AG105" s="595"/>
      <c r="AH105" s="595"/>
      <c r="AI105" s="595"/>
      <c r="AJ105" s="595"/>
      <c r="AK105" s="595"/>
      <c r="AL105" s="595"/>
      <c r="AM105" s="595"/>
      <c r="AN105" s="595"/>
      <c r="AO105" s="595"/>
      <c r="AP105" s="599"/>
      <c r="AQ105" s="599"/>
      <c r="AR105" s="599"/>
      <c r="AS105" s="599"/>
      <c r="AT105" s="595"/>
      <c r="AU105" s="598"/>
      <c r="AV105" s="598"/>
      <c r="AW105" s="598"/>
      <c r="AX105" s="595"/>
      <c r="AY105" s="595"/>
      <c r="AZ105" s="197"/>
      <c r="BA105" s="478" t="str">
        <f t="shared" si="4"/>
        <v>SUM_PFC</v>
      </c>
      <c r="BB105" s="573" t="str">
        <f t="shared" si="5"/>
        <v>SUM_EnergyIN</v>
      </c>
      <c r="BC105" s="600"/>
      <c r="BD105" s="5"/>
    </row>
    <row r="106" spans="1:56" x14ac:dyDescent="0.2">
      <c r="A106" s="600"/>
      <c r="B106" s="197"/>
      <c r="C106" s="529">
        <v>4</v>
      </c>
      <c r="D106" s="675"/>
      <c r="E106" s="594"/>
      <c r="F106" s="595"/>
      <c r="G106" s="596"/>
      <c r="H106" s="779"/>
      <c r="I106" s="780"/>
      <c r="J106" s="779"/>
      <c r="K106" s="780"/>
      <c r="L106" s="780"/>
      <c r="M106" s="780"/>
      <c r="N106" s="779"/>
      <c r="O106" s="778"/>
      <c r="P106" s="779"/>
      <c r="Q106" s="778"/>
      <c r="R106" s="779"/>
      <c r="S106" s="778"/>
      <c r="T106" s="779"/>
      <c r="U106" s="778"/>
      <c r="V106" s="778"/>
      <c r="W106" s="778"/>
      <c r="X106" s="778"/>
      <c r="Y106" s="778"/>
      <c r="Z106" s="778"/>
      <c r="AA106" s="778"/>
      <c r="AB106" s="778"/>
      <c r="AC106" s="778"/>
      <c r="AD106" s="778"/>
      <c r="AE106" s="778"/>
      <c r="AF106" s="778"/>
      <c r="AG106" s="595"/>
      <c r="AH106" s="595"/>
      <c r="AI106" s="595"/>
      <c r="AJ106" s="595"/>
      <c r="AK106" s="595"/>
      <c r="AL106" s="595"/>
      <c r="AM106" s="595"/>
      <c r="AN106" s="595"/>
      <c r="AO106" s="595"/>
      <c r="AP106" s="599"/>
      <c r="AQ106" s="599"/>
      <c r="AR106" s="599"/>
      <c r="AS106" s="599"/>
      <c r="AT106" s="595"/>
      <c r="AU106" s="598"/>
      <c r="AV106" s="598"/>
      <c r="AW106" s="598"/>
      <c r="AX106" s="595"/>
      <c r="AY106" s="595"/>
      <c r="AZ106" s="197"/>
      <c r="BA106" s="478" t="str">
        <f t="shared" si="4"/>
        <v>SUM_PFC</v>
      </c>
      <c r="BB106" s="573" t="str">
        <f t="shared" si="5"/>
        <v>SUM_EnergyIN</v>
      </c>
      <c r="BC106" s="600"/>
      <c r="BD106" s="5"/>
    </row>
    <row r="107" spans="1:56" x14ac:dyDescent="0.2">
      <c r="A107" s="600"/>
      <c r="B107" s="197"/>
      <c r="C107" s="529">
        <v>5</v>
      </c>
      <c r="D107" s="675"/>
      <c r="E107" s="594"/>
      <c r="F107" s="595"/>
      <c r="G107" s="596"/>
      <c r="H107" s="779"/>
      <c r="I107" s="780"/>
      <c r="J107" s="779"/>
      <c r="K107" s="780"/>
      <c r="L107" s="780"/>
      <c r="M107" s="780"/>
      <c r="N107" s="779"/>
      <c r="O107" s="778"/>
      <c r="P107" s="779"/>
      <c r="Q107" s="778"/>
      <c r="R107" s="779"/>
      <c r="S107" s="778"/>
      <c r="T107" s="779"/>
      <c r="U107" s="778"/>
      <c r="V107" s="778"/>
      <c r="W107" s="778"/>
      <c r="X107" s="778"/>
      <c r="Y107" s="778"/>
      <c r="Z107" s="778"/>
      <c r="AA107" s="778"/>
      <c r="AB107" s="778"/>
      <c r="AC107" s="778"/>
      <c r="AD107" s="778"/>
      <c r="AE107" s="778"/>
      <c r="AF107" s="778"/>
      <c r="AG107" s="595"/>
      <c r="AH107" s="595"/>
      <c r="AI107" s="595"/>
      <c r="AJ107" s="595"/>
      <c r="AK107" s="595"/>
      <c r="AL107" s="595"/>
      <c r="AM107" s="595"/>
      <c r="AN107" s="595"/>
      <c r="AO107" s="595"/>
      <c r="AP107" s="599"/>
      <c r="AQ107" s="599"/>
      <c r="AR107" s="599"/>
      <c r="AS107" s="599"/>
      <c r="AT107" s="595"/>
      <c r="AU107" s="598"/>
      <c r="AV107" s="598"/>
      <c r="AW107" s="598"/>
      <c r="AX107" s="595"/>
      <c r="AY107" s="595"/>
      <c r="AZ107" s="197"/>
      <c r="BA107" s="478" t="str">
        <f t="shared" si="4"/>
        <v>SUM_PFC</v>
      </c>
      <c r="BB107" s="573" t="str">
        <f t="shared" si="5"/>
        <v>SUM_EnergyIN</v>
      </c>
      <c r="BC107" s="600"/>
      <c r="BD107" s="5"/>
    </row>
    <row r="108" spans="1:56" x14ac:dyDescent="0.2">
      <c r="A108" s="600"/>
      <c r="B108" s="197"/>
      <c r="C108" s="529">
        <v>6</v>
      </c>
      <c r="D108" s="675"/>
      <c r="E108" s="594"/>
      <c r="F108" s="595"/>
      <c r="G108" s="596"/>
      <c r="H108" s="779"/>
      <c r="I108" s="780"/>
      <c r="J108" s="779"/>
      <c r="K108" s="780"/>
      <c r="L108" s="780"/>
      <c r="M108" s="780"/>
      <c r="N108" s="779"/>
      <c r="O108" s="778"/>
      <c r="P108" s="779"/>
      <c r="Q108" s="778"/>
      <c r="R108" s="779"/>
      <c r="S108" s="778"/>
      <c r="T108" s="779"/>
      <c r="U108" s="778"/>
      <c r="V108" s="778"/>
      <c r="W108" s="778"/>
      <c r="X108" s="778"/>
      <c r="Y108" s="778"/>
      <c r="Z108" s="778"/>
      <c r="AA108" s="778"/>
      <c r="AB108" s="778"/>
      <c r="AC108" s="778"/>
      <c r="AD108" s="778"/>
      <c r="AE108" s="778"/>
      <c r="AF108" s="778"/>
      <c r="AG108" s="595"/>
      <c r="AH108" s="595"/>
      <c r="AI108" s="595"/>
      <c r="AJ108" s="595"/>
      <c r="AK108" s="595"/>
      <c r="AL108" s="595"/>
      <c r="AM108" s="595"/>
      <c r="AN108" s="595"/>
      <c r="AO108" s="595"/>
      <c r="AP108" s="599"/>
      <c r="AQ108" s="599"/>
      <c r="AR108" s="599"/>
      <c r="AS108" s="599"/>
      <c r="AT108" s="595"/>
      <c r="AU108" s="598"/>
      <c r="AV108" s="598"/>
      <c r="AW108" s="598"/>
      <c r="AX108" s="595"/>
      <c r="AY108" s="595"/>
      <c r="AZ108" s="197"/>
      <c r="BA108" s="478" t="str">
        <f t="shared" si="4"/>
        <v>SUM_PFC</v>
      </c>
      <c r="BB108" s="573" t="str">
        <f t="shared" si="5"/>
        <v>SUM_EnergyIN</v>
      </c>
      <c r="BC108" s="600"/>
      <c r="BD108" s="5"/>
    </row>
    <row r="109" spans="1:56" x14ac:dyDescent="0.2">
      <c r="A109" s="600"/>
      <c r="B109" s="197"/>
      <c r="C109" s="529">
        <v>7</v>
      </c>
      <c r="D109" s="675"/>
      <c r="E109" s="594"/>
      <c r="F109" s="595"/>
      <c r="G109" s="596"/>
      <c r="H109" s="779"/>
      <c r="I109" s="780"/>
      <c r="J109" s="779"/>
      <c r="K109" s="780"/>
      <c r="L109" s="780"/>
      <c r="M109" s="780"/>
      <c r="N109" s="779"/>
      <c r="O109" s="778"/>
      <c r="P109" s="779"/>
      <c r="Q109" s="778"/>
      <c r="R109" s="779"/>
      <c r="S109" s="778"/>
      <c r="T109" s="779"/>
      <c r="U109" s="778"/>
      <c r="V109" s="778"/>
      <c r="W109" s="778"/>
      <c r="X109" s="778"/>
      <c r="Y109" s="778"/>
      <c r="Z109" s="778"/>
      <c r="AA109" s="778"/>
      <c r="AB109" s="778"/>
      <c r="AC109" s="778"/>
      <c r="AD109" s="778"/>
      <c r="AE109" s="778"/>
      <c r="AF109" s="778"/>
      <c r="AG109" s="595"/>
      <c r="AH109" s="595"/>
      <c r="AI109" s="595"/>
      <c r="AJ109" s="595"/>
      <c r="AK109" s="595"/>
      <c r="AL109" s="595"/>
      <c r="AM109" s="595"/>
      <c r="AN109" s="595"/>
      <c r="AO109" s="595"/>
      <c r="AP109" s="599"/>
      <c r="AQ109" s="599"/>
      <c r="AR109" s="599"/>
      <c r="AS109" s="599"/>
      <c r="AT109" s="595"/>
      <c r="AU109" s="598"/>
      <c r="AV109" s="598"/>
      <c r="AW109" s="598"/>
      <c r="AX109" s="595"/>
      <c r="AY109" s="595"/>
      <c r="AZ109" s="197"/>
      <c r="BA109" s="478" t="str">
        <f t="shared" si="4"/>
        <v>SUM_PFC</v>
      </c>
      <c r="BB109" s="573" t="str">
        <f t="shared" si="5"/>
        <v>SUM_EnergyIN</v>
      </c>
      <c r="BC109" s="600"/>
      <c r="BD109" s="5"/>
    </row>
    <row r="110" spans="1:56" x14ac:dyDescent="0.2">
      <c r="A110" s="600"/>
      <c r="B110" s="197"/>
      <c r="C110" s="529">
        <v>8</v>
      </c>
      <c r="D110" s="675"/>
      <c r="E110" s="594"/>
      <c r="F110" s="595"/>
      <c r="G110" s="596"/>
      <c r="H110" s="779"/>
      <c r="I110" s="780"/>
      <c r="J110" s="779"/>
      <c r="K110" s="780"/>
      <c r="L110" s="780"/>
      <c r="M110" s="780"/>
      <c r="N110" s="779"/>
      <c r="O110" s="778"/>
      <c r="P110" s="779"/>
      <c r="Q110" s="778"/>
      <c r="R110" s="779"/>
      <c r="S110" s="778"/>
      <c r="T110" s="779"/>
      <c r="U110" s="778"/>
      <c r="V110" s="778"/>
      <c r="W110" s="778"/>
      <c r="X110" s="778"/>
      <c r="Y110" s="778"/>
      <c r="Z110" s="778"/>
      <c r="AA110" s="778"/>
      <c r="AB110" s="778"/>
      <c r="AC110" s="778"/>
      <c r="AD110" s="778"/>
      <c r="AE110" s="778"/>
      <c r="AF110" s="778"/>
      <c r="AG110" s="595"/>
      <c r="AH110" s="595"/>
      <c r="AI110" s="595"/>
      <c r="AJ110" s="595"/>
      <c r="AK110" s="595"/>
      <c r="AL110" s="595"/>
      <c r="AM110" s="595"/>
      <c r="AN110" s="595"/>
      <c r="AO110" s="595"/>
      <c r="AP110" s="599"/>
      <c r="AQ110" s="599"/>
      <c r="AR110" s="599"/>
      <c r="AS110" s="599"/>
      <c r="AT110" s="595"/>
      <c r="AU110" s="598"/>
      <c r="AV110" s="598"/>
      <c r="AW110" s="598"/>
      <c r="AX110" s="595"/>
      <c r="AY110" s="595"/>
      <c r="AZ110" s="197"/>
      <c r="BA110" s="478" t="str">
        <f t="shared" si="4"/>
        <v>SUM_PFC</v>
      </c>
      <c r="BB110" s="573" t="str">
        <f t="shared" si="5"/>
        <v>SUM_EnergyIN</v>
      </c>
      <c r="BC110" s="600"/>
      <c r="BD110" s="5"/>
    </row>
    <row r="111" spans="1:56" x14ac:dyDescent="0.2">
      <c r="A111" s="600"/>
      <c r="B111" s="197"/>
      <c r="C111" s="529">
        <v>9</v>
      </c>
      <c r="D111" s="675"/>
      <c r="E111" s="594"/>
      <c r="F111" s="595"/>
      <c r="G111" s="596"/>
      <c r="H111" s="779"/>
      <c r="I111" s="780"/>
      <c r="J111" s="779"/>
      <c r="K111" s="780"/>
      <c r="L111" s="780"/>
      <c r="M111" s="780"/>
      <c r="N111" s="779"/>
      <c r="O111" s="778"/>
      <c r="P111" s="779"/>
      <c r="Q111" s="778"/>
      <c r="R111" s="779"/>
      <c r="S111" s="778"/>
      <c r="T111" s="779"/>
      <c r="U111" s="778"/>
      <c r="V111" s="778"/>
      <c r="W111" s="778"/>
      <c r="X111" s="778"/>
      <c r="Y111" s="778"/>
      <c r="Z111" s="778"/>
      <c r="AA111" s="778"/>
      <c r="AB111" s="778"/>
      <c r="AC111" s="778"/>
      <c r="AD111" s="778"/>
      <c r="AE111" s="778"/>
      <c r="AF111" s="778"/>
      <c r="AG111" s="595"/>
      <c r="AH111" s="595"/>
      <c r="AI111" s="595"/>
      <c r="AJ111" s="595"/>
      <c r="AK111" s="595"/>
      <c r="AL111" s="595"/>
      <c r="AM111" s="595"/>
      <c r="AN111" s="595"/>
      <c r="AO111" s="595"/>
      <c r="AP111" s="599"/>
      <c r="AQ111" s="599"/>
      <c r="AR111" s="599"/>
      <c r="AS111" s="599"/>
      <c r="AT111" s="595"/>
      <c r="AU111" s="598"/>
      <c r="AV111" s="598"/>
      <c r="AW111" s="598"/>
      <c r="AX111" s="595"/>
      <c r="AY111" s="595"/>
      <c r="AZ111" s="197"/>
      <c r="BA111" s="478" t="str">
        <f t="shared" si="4"/>
        <v>SUM_PFC</v>
      </c>
      <c r="BB111" s="573" t="str">
        <f t="shared" si="5"/>
        <v>SUM_EnergyIN</v>
      </c>
      <c r="BC111" s="600"/>
      <c r="BD111" s="5"/>
    </row>
    <row r="112" spans="1:56" x14ac:dyDescent="0.2">
      <c r="A112" s="600"/>
      <c r="B112" s="197"/>
      <c r="C112" s="529">
        <v>10</v>
      </c>
      <c r="D112" s="675"/>
      <c r="E112" s="594"/>
      <c r="F112" s="595"/>
      <c r="G112" s="596"/>
      <c r="H112" s="779"/>
      <c r="I112" s="780"/>
      <c r="J112" s="779"/>
      <c r="K112" s="780"/>
      <c r="L112" s="780"/>
      <c r="M112" s="780"/>
      <c r="N112" s="779"/>
      <c r="O112" s="778"/>
      <c r="P112" s="779"/>
      <c r="Q112" s="778"/>
      <c r="R112" s="779"/>
      <c r="S112" s="778"/>
      <c r="T112" s="779"/>
      <c r="U112" s="778"/>
      <c r="V112" s="778"/>
      <c r="W112" s="778"/>
      <c r="X112" s="778"/>
      <c r="Y112" s="778"/>
      <c r="Z112" s="778"/>
      <c r="AA112" s="778"/>
      <c r="AB112" s="778"/>
      <c r="AC112" s="778"/>
      <c r="AD112" s="778"/>
      <c r="AE112" s="778"/>
      <c r="AF112" s="778"/>
      <c r="AG112" s="595"/>
      <c r="AH112" s="595"/>
      <c r="AI112" s="595"/>
      <c r="AJ112" s="595"/>
      <c r="AK112" s="595"/>
      <c r="AL112" s="595"/>
      <c r="AM112" s="595"/>
      <c r="AN112" s="595"/>
      <c r="AO112" s="595"/>
      <c r="AP112" s="599"/>
      <c r="AQ112" s="599"/>
      <c r="AR112" s="599"/>
      <c r="AS112" s="599"/>
      <c r="AT112" s="595"/>
      <c r="AU112" s="598"/>
      <c r="AV112" s="598"/>
      <c r="AW112" s="598"/>
      <c r="AX112" s="595"/>
      <c r="AY112" s="595"/>
      <c r="AZ112" s="197"/>
      <c r="BA112" s="478" t="str">
        <f t="shared" si="4"/>
        <v>SUM_PFC</v>
      </c>
      <c r="BB112" s="573" t="str">
        <f t="shared" si="5"/>
        <v>SUM_EnergyIN</v>
      </c>
      <c r="BC112" s="600"/>
      <c r="BD112" s="5"/>
    </row>
    <row r="113" spans="1:56" x14ac:dyDescent="0.2">
      <c r="A113" s="600"/>
      <c r="B113" s="197"/>
      <c r="F113" s="530"/>
      <c r="G113" s="6"/>
      <c r="H113" s="530"/>
      <c r="I113" s="6"/>
      <c r="J113" s="530"/>
      <c r="K113" s="6"/>
      <c r="L113" s="6"/>
      <c r="M113" s="6"/>
      <c r="N113" s="530"/>
      <c r="O113" s="531"/>
      <c r="P113" s="530"/>
      <c r="Q113" s="531"/>
      <c r="R113" s="530"/>
      <c r="S113" s="531"/>
      <c r="T113" s="530"/>
      <c r="U113" s="531"/>
      <c r="V113" s="531"/>
      <c r="W113" s="531"/>
      <c r="X113" s="531"/>
      <c r="Y113" s="531"/>
      <c r="Z113" s="531"/>
      <c r="AA113" s="531"/>
      <c r="AB113" s="531"/>
      <c r="AC113" s="531"/>
      <c r="AD113" s="531"/>
      <c r="AE113" s="531"/>
      <c r="AF113" s="531"/>
      <c r="AG113" s="531"/>
      <c r="AH113" s="531"/>
      <c r="AI113" s="531"/>
      <c r="AJ113" s="531"/>
      <c r="AK113" s="531"/>
      <c r="AL113" s="531"/>
      <c r="AM113" s="531"/>
      <c r="AN113" s="531"/>
      <c r="AO113" s="531"/>
      <c r="AP113" s="531"/>
      <c r="AQ113" s="531"/>
      <c r="AR113" s="531"/>
      <c r="AS113" s="531"/>
      <c r="AT113" s="531"/>
      <c r="AU113" s="532"/>
      <c r="AV113" s="532"/>
      <c r="AW113" s="532"/>
      <c r="AX113" s="530"/>
      <c r="AY113" s="530"/>
      <c r="AZ113" s="197"/>
      <c r="BA113" s="600"/>
      <c r="BB113" s="600"/>
      <c r="BC113" s="600"/>
      <c r="BD113" s="5"/>
    </row>
    <row r="114" spans="1:56" ht="50.1" customHeight="1" thickBot="1" x14ac:dyDescent="0.45">
      <c r="A114" s="600"/>
      <c r="B114" s="197"/>
      <c r="C114" s="77"/>
      <c r="D114" s="522" t="str">
        <f>Translations!$B$344</f>
        <v>Źródła emisji (metody oparte na pomiarach)</v>
      </c>
      <c r="E114" s="197"/>
      <c r="F114" s="197"/>
      <c r="G114" s="197"/>
      <c r="H114" s="197"/>
      <c r="I114" s="197"/>
      <c r="J114" s="197"/>
      <c r="K114" s="197"/>
      <c r="L114" s="197"/>
      <c r="N114" s="197"/>
      <c r="O114" s="197"/>
      <c r="P114" s="197"/>
      <c r="Q114" s="197"/>
      <c r="R114" s="197"/>
      <c r="S114" s="197"/>
      <c r="T114" s="197"/>
      <c r="U114" s="197"/>
      <c r="V114" s="197"/>
      <c r="W114" s="197"/>
      <c r="X114" s="197"/>
      <c r="Y114" s="197"/>
      <c r="Z114" s="197"/>
      <c r="AA114" s="197"/>
      <c r="AB114" s="197"/>
      <c r="AC114" s="197"/>
      <c r="AD114" s="197"/>
      <c r="AE114" s="197"/>
      <c r="AF114" s="677"/>
      <c r="AG114" s="197"/>
      <c r="AH114" s="197"/>
      <c r="AI114" s="197"/>
      <c r="AJ114" s="197"/>
      <c r="AK114" s="197"/>
      <c r="AL114" s="197"/>
      <c r="AM114" s="197"/>
      <c r="AN114" s="197"/>
      <c r="AO114" s="197"/>
      <c r="AP114" s="197"/>
      <c r="AQ114" s="197"/>
      <c r="AR114" s="197"/>
      <c r="AS114" s="197"/>
      <c r="AT114" s="197"/>
      <c r="AU114" s="197"/>
      <c r="AV114" s="197"/>
      <c r="AW114" s="197"/>
      <c r="AX114" s="197"/>
      <c r="AY114" s="197"/>
      <c r="AZ114" s="197"/>
      <c r="BA114" s="600"/>
      <c r="BB114" s="600"/>
      <c r="BC114" s="600"/>
      <c r="BD114" s="5"/>
    </row>
    <row r="115" spans="1:56" ht="50.1" customHeight="1" thickBot="1" x14ac:dyDescent="0.25">
      <c r="A115" s="600"/>
      <c r="B115" s="197"/>
      <c r="C115" s="523" t="s">
        <v>482</v>
      </c>
      <c r="D115" s="524" t="str">
        <f>Translations!$B$282</f>
        <v>Metoda</v>
      </c>
      <c r="E115" s="524" t="str">
        <f>Translations!$B$340</f>
        <v>Nazwa</v>
      </c>
      <c r="F115" s="525" t="str">
        <f>Translations!$B$284</f>
        <v>Dane dotyczące działalności (AD)</v>
      </c>
      <c r="G115" s="525" t="str">
        <f>Translations!$B$285</f>
        <v>Jednostka AD</v>
      </c>
      <c r="H115" s="525" t="str">
        <f>Translations!$B$286</f>
        <v>Wartość opałowa (NCV)</v>
      </c>
      <c r="I115" s="525" t="str">
        <f>Translations!$B$287</f>
        <v>Jednostka NCV</v>
      </c>
      <c r="J115" s="525" t="str">
        <f>Translations!$B$288</f>
        <v>Współczynnik emisji (EF)</v>
      </c>
      <c r="K115" s="525" t="str">
        <f>Translations!$B$289</f>
        <v>Jednostka EF</v>
      </c>
      <c r="L115" s="525" t="str">
        <f>Translations!$B$290</f>
        <v>Zawartość węgla</v>
      </c>
      <c r="M115" s="525" t="str">
        <f>Translations!$B$291</f>
        <v>Jednostka zawartości węgla</v>
      </c>
      <c r="N115" s="525" t="str">
        <f>Translations!$B$292</f>
        <v>Współczynnik utleniania (OxF)</v>
      </c>
      <c r="O115" s="525" t="str">
        <f>Translations!$B$293</f>
        <v>Jednostka OxF</v>
      </c>
      <c r="P115" s="525" t="str">
        <f>Translations!$B$294</f>
        <v>Współczynnik konwersji</v>
      </c>
      <c r="Q115" s="525" t="str">
        <f>Translations!$B$295</f>
        <v>Jednostka współczynnika konwersji</v>
      </c>
      <c r="R115" s="525" t="str">
        <f>Translations!$B$296</f>
        <v>Zawartość biomasy (BioC)</v>
      </c>
      <c r="S115" s="525" t="str">
        <f>Translations!$B$297</f>
        <v>Jednostka BioC</v>
      </c>
      <c r="T115" s="525" t="str">
        <f>Translations!$B$298</f>
        <v>BioC niezrówn.</v>
      </c>
      <c r="U115" s="525" t="str">
        <f>Translations!$B$299</f>
        <v>Jednostka BioC niezrówn.</v>
      </c>
      <c r="V115" s="525" t="str">
        <f>Translations!$B$300</f>
        <v>Średnie godzinowe stężenie gazów cieplarnianych (GHG)</v>
      </c>
      <c r="W115" s="525" t="str">
        <f>Translations!$B$301</f>
        <v>Jednostka godzinowego stężenia GHG</v>
      </c>
      <c r="X115" s="525" t="str">
        <f>Translations!$B$302</f>
        <v>Godziny działania</v>
      </c>
      <c r="Y115" s="525" t="str">
        <f>Translations!$B$303</f>
        <v>Jednostka godzin działania</v>
      </c>
      <c r="Z115" s="525" t="str">
        <f>Translations!$B$304</f>
        <v>Przepływ spalin (średnia)</v>
      </c>
      <c r="AA115" s="525" t="str">
        <f>Translations!$B$305</f>
        <v>Jednostka przepływu spalin (średnia)</v>
      </c>
      <c r="AB115" s="525" t="str">
        <f>Translations!$B$306</f>
        <v>Przepływ spalin (łącznie)</v>
      </c>
      <c r="AC115" s="525" t="str">
        <f>Translations!$B$307</f>
        <v>Jednostka przepływu spalin (łącznie)</v>
      </c>
      <c r="AD115" s="525" t="str">
        <f>Translations!$B$308</f>
        <v>Roczna ilość GHG</v>
      </c>
      <c r="AE115" s="525" t="str">
        <f>Translations!$B$309</f>
        <v>Jednostka rocznej ilości GHG</v>
      </c>
      <c r="AF115" s="525" t="str">
        <f>Translations!$B$310</f>
        <v>Współczynnik ocieplenia globalnego GWP (tCO2e/t)</v>
      </c>
      <c r="AG115" s="525" t="str">
        <f>Translations!$B$311</f>
        <v>A: Częstotliwość</v>
      </c>
      <c r="AH115" s="525" t="str">
        <f>Translations!$B$312</f>
        <v>A: Czas trwania</v>
      </c>
      <c r="AI115" s="525" t="str">
        <f>Translations!$B$313</f>
        <v>A: SEF (CF4)</v>
      </c>
      <c r="AJ115" s="525" t="str">
        <f>Translations!$B$314</f>
        <v>B: AEO</v>
      </c>
      <c r="AK115" s="525" t="str">
        <f>Translations!$B$315</f>
        <v>B: CE</v>
      </c>
      <c r="AL115" s="525" t="str">
        <f>Translations!$B$316</f>
        <v>B: OVC</v>
      </c>
      <c r="AM115" s="525" t="str">
        <f>Translations!$B$317</f>
        <v>F(C2F6)</v>
      </c>
      <c r="AN115" s="525" t="str">
        <f>Translations!$B$318</f>
        <v>Emisje CF4 (t CF4)</v>
      </c>
      <c r="AO115" s="525" t="str">
        <f>Translations!$B$319</f>
        <v>Emisje C2F6 (t C2F6)</v>
      </c>
      <c r="AP115" s="525" t="str">
        <f>Translations!$B$320</f>
        <v>GWP (CF4) (tCO2e/t)</v>
      </c>
      <c r="AQ115" s="525" t="str">
        <f>Translations!$B$321</f>
        <v>GWP (C2F6) (tCO2e/t)</v>
      </c>
      <c r="AR115" s="525" t="str">
        <f>Translations!$B$322</f>
        <v>Emisje CF4 (t CO2e)</v>
      </c>
      <c r="AS115" s="525" t="str">
        <f>Translations!$B$323</f>
        <v>Emisje C2F6 (t CO2e)</v>
      </c>
      <c r="AT115" s="525" t="str">
        <f>Translations!$B$324</f>
        <v>Całkowita wydajność, %</v>
      </c>
      <c r="AU115" s="525" t="str">
        <f>Translations!$B$325</f>
        <v>Kopalne CO2e (t)</v>
      </c>
      <c r="AV115" s="525" t="str">
        <f>Translations!$B$326</f>
        <v>CO2e z biomasy (t)</v>
      </c>
      <c r="AW115" s="525" t="str">
        <f>Translations!$B$327</f>
        <v>CO2e z biomasy niezrówn. (t)</v>
      </c>
      <c r="AX115" s="526" t="str">
        <f>Translations!$B$328</f>
        <v>Zawartość energii (kopalne), TJ</v>
      </c>
      <c r="AY115" s="527" t="str">
        <f>Translations!$B$329</f>
        <v>Zawartość energii (biomasa), TJ</v>
      </c>
      <c r="AZ115" s="197"/>
      <c r="BA115" s="600"/>
      <c r="BB115" s="600"/>
      <c r="BC115" s="600"/>
      <c r="BD115" s="5"/>
    </row>
    <row r="116" spans="1:56" ht="12.75" customHeight="1" x14ac:dyDescent="0.2">
      <c r="A116" s="600"/>
      <c r="B116" s="197"/>
      <c r="C116" s="533" t="str">
        <f>Translations!$B$330</f>
        <v>Przykł. 1</v>
      </c>
      <c r="D116" s="690" t="s">
        <v>388</v>
      </c>
      <c r="E116" s="690" t="str">
        <f>Translations!$B$345</f>
        <v>Kwas azotowy, linia 1</v>
      </c>
      <c r="F116" s="779"/>
      <c r="G116" s="780"/>
      <c r="H116" s="779"/>
      <c r="I116" s="780"/>
      <c r="J116" s="779"/>
      <c r="K116" s="780"/>
      <c r="L116" s="780"/>
      <c r="M116" s="780"/>
      <c r="N116" s="779"/>
      <c r="O116" s="778"/>
      <c r="P116" s="779"/>
      <c r="Q116" s="778"/>
      <c r="R116" s="695">
        <v>0</v>
      </c>
      <c r="S116" s="692" t="s">
        <v>409</v>
      </c>
      <c r="T116" s="695">
        <v>0</v>
      </c>
      <c r="U116" s="692" t="s">
        <v>409</v>
      </c>
      <c r="V116" s="695">
        <v>64.292500000000004</v>
      </c>
      <c r="W116" s="692" t="s">
        <v>533</v>
      </c>
      <c r="X116" s="695">
        <v>4</v>
      </c>
      <c r="Y116" s="692" t="str">
        <f>Translations!$B$346</f>
        <v>h/rok</v>
      </c>
      <c r="Z116" s="695">
        <v>265</v>
      </c>
      <c r="AA116" s="692" t="str">
        <f>Translations!$B$347</f>
        <v>1000Nm3/h</v>
      </c>
      <c r="AB116" s="695">
        <v>1060</v>
      </c>
      <c r="AC116" s="692" t="str">
        <f>Translations!$B$348</f>
        <v>1000Nm3/rok</v>
      </c>
      <c r="AD116" s="695">
        <v>68</v>
      </c>
      <c r="AE116" s="692" t="s">
        <v>212</v>
      </c>
      <c r="AF116" s="695">
        <v>298</v>
      </c>
      <c r="AG116" s="781"/>
      <c r="AH116" s="781"/>
      <c r="AI116" s="781"/>
      <c r="AJ116" s="781"/>
      <c r="AK116" s="781"/>
      <c r="AL116" s="781"/>
      <c r="AM116" s="781"/>
      <c r="AN116" s="781"/>
      <c r="AO116" s="781"/>
      <c r="AP116" s="781"/>
      <c r="AQ116" s="781"/>
      <c r="AR116" s="781"/>
      <c r="AS116" s="781"/>
      <c r="AT116" s="781"/>
      <c r="AU116" s="693">
        <v>20308.714900000003</v>
      </c>
      <c r="AV116" s="693">
        <v>0</v>
      </c>
      <c r="AW116" s="693">
        <v>0</v>
      </c>
      <c r="AX116" s="695">
        <v>0</v>
      </c>
      <c r="AY116" s="695">
        <v>0</v>
      </c>
      <c r="AZ116" s="197"/>
      <c r="BA116" s="600"/>
      <c r="BB116" s="600"/>
      <c r="BC116" s="600"/>
      <c r="BD116" s="5"/>
    </row>
    <row r="117" spans="1:56" ht="12.75" customHeight="1" x14ac:dyDescent="0.2">
      <c r="A117" s="600"/>
      <c r="B117" s="197"/>
      <c r="C117" s="533" t="str">
        <f>Translations!$B$333</f>
        <v>Przykł. 2</v>
      </c>
      <c r="D117" s="690" t="str">
        <f>Translations!$B$349</f>
        <v>Przenoszenie CO2</v>
      </c>
      <c r="E117" s="690" t="str">
        <f>Translations!$B$350</f>
        <v>Przenoszenie do instalacji objętej EU ETS X</v>
      </c>
      <c r="F117" s="779"/>
      <c r="G117" s="780"/>
      <c r="H117" s="779"/>
      <c r="I117" s="780"/>
      <c r="J117" s="779"/>
      <c r="K117" s="780"/>
      <c r="L117" s="780"/>
      <c r="M117" s="780"/>
      <c r="N117" s="779"/>
      <c r="O117" s="778"/>
      <c r="P117" s="779"/>
      <c r="Q117" s="778"/>
      <c r="R117" s="695">
        <v>0</v>
      </c>
      <c r="S117" s="692" t="s">
        <v>409</v>
      </c>
      <c r="T117" s="695">
        <v>0</v>
      </c>
      <c r="U117" s="692" t="s">
        <v>409</v>
      </c>
      <c r="V117" s="695">
        <v>1820</v>
      </c>
      <c r="W117" s="692" t="s">
        <v>533</v>
      </c>
      <c r="X117" s="695">
        <v>5000</v>
      </c>
      <c r="Y117" s="692" t="str">
        <f>Translations!$B$346</f>
        <v>h/rok</v>
      </c>
      <c r="Z117" s="695">
        <v>50</v>
      </c>
      <c r="AA117" s="692" t="str">
        <f>Translations!$B$347</f>
        <v>1000Nm3/h</v>
      </c>
      <c r="AB117" s="695">
        <v>250000</v>
      </c>
      <c r="AC117" s="692" t="str">
        <f>Translations!$B$348</f>
        <v>1000Nm3/rok</v>
      </c>
      <c r="AD117" s="695">
        <v>455000</v>
      </c>
      <c r="AE117" s="692" t="s">
        <v>212</v>
      </c>
      <c r="AF117" s="695">
        <v>1</v>
      </c>
      <c r="AG117" s="781"/>
      <c r="AH117" s="781"/>
      <c r="AI117" s="781"/>
      <c r="AJ117" s="781"/>
      <c r="AK117" s="781"/>
      <c r="AL117" s="781"/>
      <c r="AM117" s="781"/>
      <c r="AN117" s="781"/>
      <c r="AO117" s="781"/>
      <c r="AP117" s="781"/>
      <c r="AQ117" s="781"/>
      <c r="AR117" s="781"/>
      <c r="AS117" s="781"/>
      <c r="AT117" s="781"/>
      <c r="AU117" s="693">
        <v>-455000</v>
      </c>
      <c r="AV117" s="693">
        <v>0</v>
      </c>
      <c r="AW117" s="693">
        <v>0</v>
      </c>
      <c r="AX117" s="695">
        <v>0</v>
      </c>
      <c r="AY117" s="695">
        <v>0</v>
      </c>
      <c r="AZ117" s="197"/>
      <c r="BA117" s="600"/>
      <c r="BB117" s="600"/>
      <c r="BC117" s="600"/>
      <c r="BD117" s="5"/>
    </row>
    <row r="118" spans="1:56" x14ac:dyDescent="0.2">
      <c r="A118" s="600"/>
      <c r="B118" s="197"/>
      <c r="C118" s="529">
        <v>1</v>
      </c>
      <c r="D118" s="675"/>
      <c r="E118" s="594"/>
      <c r="F118" s="779"/>
      <c r="G118" s="780"/>
      <c r="H118" s="779"/>
      <c r="I118" s="780"/>
      <c r="J118" s="779"/>
      <c r="K118" s="780"/>
      <c r="L118" s="780"/>
      <c r="M118" s="780"/>
      <c r="N118" s="779"/>
      <c r="O118" s="778"/>
      <c r="P118" s="779"/>
      <c r="Q118" s="778"/>
      <c r="R118" s="599"/>
      <c r="S118" s="597"/>
      <c r="T118" s="599"/>
      <c r="U118" s="597"/>
      <c r="V118" s="599"/>
      <c r="W118" s="597"/>
      <c r="X118" s="599"/>
      <c r="Y118" s="597"/>
      <c r="Z118" s="599"/>
      <c r="AA118" s="597"/>
      <c r="AB118" s="599"/>
      <c r="AC118" s="597"/>
      <c r="AD118" s="599"/>
      <c r="AE118" s="597"/>
      <c r="AF118" s="599"/>
      <c r="AG118" s="781"/>
      <c r="AH118" s="781"/>
      <c r="AI118" s="781"/>
      <c r="AJ118" s="781"/>
      <c r="AK118" s="781"/>
      <c r="AL118" s="781"/>
      <c r="AM118" s="781"/>
      <c r="AN118" s="781"/>
      <c r="AO118" s="781"/>
      <c r="AP118" s="781"/>
      <c r="AQ118" s="781"/>
      <c r="AR118" s="781"/>
      <c r="AS118" s="781"/>
      <c r="AT118" s="781"/>
      <c r="AU118" s="598"/>
      <c r="AV118" s="598"/>
      <c r="AW118" s="598"/>
      <c r="AX118" s="599"/>
      <c r="AY118" s="599"/>
      <c r="AZ118" s="197"/>
      <c r="BA118" s="478" t="str">
        <f>IF(SUM(AF118)&gt;1,EUconst_SumN2O,IF(SUM(AU118:AV118)&lt;0,EUconst_SumTransferCO2,EUconst_SumCO2))</f>
        <v>SUM_CO2</v>
      </c>
      <c r="BB118" s="573" t="str">
        <f t="shared" ref="BB118:BB127" si="6">EUconst_SumEnergyIN</f>
        <v>SUM_EnergyIN</v>
      </c>
      <c r="BC118" s="600"/>
      <c r="BD118" s="5"/>
    </row>
    <row r="119" spans="1:56" x14ac:dyDescent="0.2">
      <c r="A119" s="600"/>
      <c r="B119" s="197"/>
      <c r="C119" s="529">
        <v>2</v>
      </c>
      <c r="D119" s="675"/>
      <c r="E119" s="594"/>
      <c r="F119" s="779"/>
      <c r="G119" s="780"/>
      <c r="H119" s="779"/>
      <c r="I119" s="780"/>
      <c r="J119" s="779"/>
      <c r="K119" s="780"/>
      <c r="L119" s="780"/>
      <c r="M119" s="780"/>
      <c r="N119" s="779"/>
      <c r="O119" s="778"/>
      <c r="P119" s="779"/>
      <c r="Q119" s="778"/>
      <c r="R119" s="599"/>
      <c r="S119" s="597"/>
      <c r="T119" s="599"/>
      <c r="U119" s="597"/>
      <c r="V119" s="599"/>
      <c r="W119" s="597"/>
      <c r="X119" s="599"/>
      <c r="Y119" s="597"/>
      <c r="Z119" s="599"/>
      <c r="AA119" s="597"/>
      <c r="AB119" s="599"/>
      <c r="AC119" s="597"/>
      <c r="AD119" s="599"/>
      <c r="AE119" s="597"/>
      <c r="AF119" s="599"/>
      <c r="AG119" s="781"/>
      <c r="AH119" s="781"/>
      <c r="AI119" s="781"/>
      <c r="AJ119" s="781"/>
      <c r="AK119" s="781"/>
      <c r="AL119" s="781"/>
      <c r="AM119" s="781"/>
      <c r="AN119" s="781"/>
      <c r="AO119" s="781"/>
      <c r="AP119" s="781"/>
      <c r="AQ119" s="781"/>
      <c r="AR119" s="781"/>
      <c r="AS119" s="781"/>
      <c r="AT119" s="781"/>
      <c r="AU119" s="598"/>
      <c r="AV119" s="598"/>
      <c r="AW119" s="598"/>
      <c r="AX119" s="599"/>
      <c r="AY119" s="599"/>
      <c r="AZ119" s="197"/>
      <c r="BA119" s="478" t="str">
        <f t="shared" ref="BA119:BA127" si="7">IF(SUM(AF119)&gt;1,EUconst_SumN2O,IF(SUM(AU119:AV119)&lt;0,EUconst_SumTransferCO2,EUconst_SumCO2))</f>
        <v>SUM_CO2</v>
      </c>
      <c r="BB119" s="573" t="str">
        <f t="shared" si="6"/>
        <v>SUM_EnergyIN</v>
      </c>
      <c r="BC119" s="600"/>
      <c r="BD119" s="5"/>
    </row>
    <row r="120" spans="1:56" x14ac:dyDescent="0.2">
      <c r="A120" s="600"/>
      <c r="B120" s="197"/>
      <c r="C120" s="529">
        <v>3</v>
      </c>
      <c r="D120" s="675"/>
      <c r="E120" s="594"/>
      <c r="F120" s="779"/>
      <c r="G120" s="780"/>
      <c r="H120" s="779"/>
      <c r="I120" s="780"/>
      <c r="J120" s="779"/>
      <c r="K120" s="780"/>
      <c r="L120" s="780"/>
      <c r="M120" s="780"/>
      <c r="N120" s="779"/>
      <c r="O120" s="778"/>
      <c r="P120" s="779"/>
      <c r="Q120" s="778"/>
      <c r="R120" s="599"/>
      <c r="S120" s="597"/>
      <c r="T120" s="599"/>
      <c r="U120" s="597"/>
      <c r="V120" s="599"/>
      <c r="W120" s="597"/>
      <c r="X120" s="599"/>
      <c r="Y120" s="597"/>
      <c r="Z120" s="599"/>
      <c r="AA120" s="597"/>
      <c r="AB120" s="599"/>
      <c r="AC120" s="597"/>
      <c r="AD120" s="599"/>
      <c r="AE120" s="597"/>
      <c r="AF120" s="599"/>
      <c r="AG120" s="781"/>
      <c r="AH120" s="781"/>
      <c r="AI120" s="781"/>
      <c r="AJ120" s="781"/>
      <c r="AK120" s="781"/>
      <c r="AL120" s="781"/>
      <c r="AM120" s="781"/>
      <c r="AN120" s="781"/>
      <c r="AO120" s="781"/>
      <c r="AP120" s="781"/>
      <c r="AQ120" s="781"/>
      <c r="AR120" s="781"/>
      <c r="AS120" s="781"/>
      <c r="AT120" s="781"/>
      <c r="AU120" s="598"/>
      <c r="AV120" s="598"/>
      <c r="AW120" s="598"/>
      <c r="AX120" s="599"/>
      <c r="AY120" s="599"/>
      <c r="AZ120" s="197"/>
      <c r="BA120" s="478" t="str">
        <f t="shared" si="7"/>
        <v>SUM_CO2</v>
      </c>
      <c r="BB120" s="573" t="str">
        <f t="shared" si="6"/>
        <v>SUM_EnergyIN</v>
      </c>
      <c r="BC120" s="600"/>
      <c r="BD120" s="5"/>
    </row>
    <row r="121" spans="1:56" x14ac:dyDescent="0.2">
      <c r="A121" s="600"/>
      <c r="B121" s="197"/>
      <c r="C121" s="529">
        <v>4</v>
      </c>
      <c r="D121" s="675"/>
      <c r="E121" s="594"/>
      <c r="F121" s="779"/>
      <c r="G121" s="780"/>
      <c r="H121" s="779"/>
      <c r="I121" s="780"/>
      <c r="J121" s="779"/>
      <c r="K121" s="780"/>
      <c r="L121" s="780"/>
      <c r="M121" s="780"/>
      <c r="N121" s="779"/>
      <c r="O121" s="778"/>
      <c r="P121" s="779"/>
      <c r="Q121" s="778"/>
      <c r="R121" s="599"/>
      <c r="S121" s="597"/>
      <c r="T121" s="599"/>
      <c r="U121" s="597"/>
      <c r="V121" s="599"/>
      <c r="W121" s="597"/>
      <c r="X121" s="599"/>
      <c r="Y121" s="597"/>
      <c r="Z121" s="599"/>
      <c r="AA121" s="597"/>
      <c r="AB121" s="599"/>
      <c r="AC121" s="597"/>
      <c r="AD121" s="599"/>
      <c r="AE121" s="597"/>
      <c r="AF121" s="599"/>
      <c r="AG121" s="781"/>
      <c r="AH121" s="781"/>
      <c r="AI121" s="781"/>
      <c r="AJ121" s="781"/>
      <c r="AK121" s="781"/>
      <c r="AL121" s="781"/>
      <c r="AM121" s="781"/>
      <c r="AN121" s="781"/>
      <c r="AO121" s="781"/>
      <c r="AP121" s="781"/>
      <c r="AQ121" s="781"/>
      <c r="AR121" s="781"/>
      <c r="AS121" s="781"/>
      <c r="AT121" s="781"/>
      <c r="AU121" s="598"/>
      <c r="AV121" s="598"/>
      <c r="AW121" s="598"/>
      <c r="AX121" s="599"/>
      <c r="AY121" s="599"/>
      <c r="AZ121" s="197"/>
      <c r="BA121" s="478" t="str">
        <f t="shared" si="7"/>
        <v>SUM_CO2</v>
      </c>
      <c r="BB121" s="573" t="str">
        <f t="shared" si="6"/>
        <v>SUM_EnergyIN</v>
      </c>
      <c r="BC121" s="600"/>
      <c r="BD121" s="5"/>
    </row>
    <row r="122" spans="1:56" x14ac:dyDescent="0.2">
      <c r="A122" s="600"/>
      <c r="B122" s="197"/>
      <c r="C122" s="529">
        <v>5</v>
      </c>
      <c r="D122" s="675"/>
      <c r="E122" s="594"/>
      <c r="F122" s="779"/>
      <c r="G122" s="780"/>
      <c r="H122" s="779"/>
      <c r="I122" s="780"/>
      <c r="J122" s="779"/>
      <c r="K122" s="780"/>
      <c r="L122" s="780"/>
      <c r="M122" s="780"/>
      <c r="N122" s="779"/>
      <c r="O122" s="778"/>
      <c r="P122" s="779"/>
      <c r="Q122" s="778"/>
      <c r="R122" s="599"/>
      <c r="S122" s="597"/>
      <c r="T122" s="599"/>
      <c r="U122" s="597"/>
      <c r="V122" s="599"/>
      <c r="W122" s="597"/>
      <c r="X122" s="599"/>
      <c r="Y122" s="597"/>
      <c r="Z122" s="599"/>
      <c r="AA122" s="597"/>
      <c r="AB122" s="599"/>
      <c r="AC122" s="597"/>
      <c r="AD122" s="599"/>
      <c r="AE122" s="597"/>
      <c r="AF122" s="599"/>
      <c r="AG122" s="781"/>
      <c r="AH122" s="781"/>
      <c r="AI122" s="781"/>
      <c r="AJ122" s="781"/>
      <c r="AK122" s="781"/>
      <c r="AL122" s="781"/>
      <c r="AM122" s="781"/>
      <c r="AN122" s="781"/>
      <c r="AO122" s="781"/>
      <c r="AP122" s="781"/>
      <c r="AQ122" s="781"/>
      <c r="AR122" s="781"/>
      <c r="AS122" s="781"/>
      <c r="AT122" s="781"/>
      <c r="AU122" s="598"/>
      <c r="AV122" s="598"/>
      <c r="AW122" s="598"/>
      <c r="AX122" s="599"/>
      <c r="AY122" s="599"/>
      <c r="AZ122" s="197"/>
      <c r="BA122" s="478" t="str">
        <f t="shared" si="7"/>
        <v>SUM_CO2</v>
      </c>
      <c r="BB122" s="573" t="str">
        <f t="shared" si="6"/>
        <v>SUM_EnergyIN</v>
      </c>
      <c r="BC122" s="600"/>
      <c r="BD122" s="5"/>
    </row>
    <row r="123" spans="1:56" x14ac:dyDescent="0.2">
      <c r="A123" s="600"/>
      <c r="B123" s="197"/>
      <c r="C123" s="529">
        <v>6</v>
      </c>
      <c r="D123" s="675"/>
      <c r="E123" s="594"/>
      <c r="F123" s="779"/>
      <c r="G123" s="780"/>
      <c r="H123" s="779"/>
      <c r="I123" s="780"/>
      <c r="J123" s="779"/>
      <c r="K123" s="780"/>
      <c r="L123" s="780"/>
      <c r="M123" s="780"/>
      <c r="N123" s="779"/>
      <c r="O123" s="778"/>
      <c r="P123" s="779"/>
      <c r="Q123" s="778"/>
      <c r="R123" s="599"/>
      <c r="S123" s="597"/>
      <c r="T123" s="599"/>
      <c r="U123" s="597"/>
      <c r="V123" s="599"/>
      <c r="W123" s="597"/>
      <c r="X123" s="599"/>
      <c r="Y123" s="597"/>
      <c r="Z123" s="599"/>
      <c r="AA123" s="597"/>
      <c r="AB123" s="599"/>
      <c r="AC123" s="597"/>
      <c r="AD123" s="599"/>
      <c r="AE123" s="597"/>
      <c r="AF123" s="599"/>
      <c r="AG123" s="781"/>
      <c r="AH123" s="781"/>
      <c r="AI123" s="781"/>
      <c r="AJ123" s="781"/>
      <c r="AK123" s="781"/>
      <c r="AL123" s="781"/>
      <c r="AM123" s="781"/>
      <c r="AN123" s="781"/>
      <c r="AO123" s="781"/>
      <c r="AP123" s="781"/>
      <c r="AQ123" s="781"/>
      <c r="AR123" s="781"/>
      <c r="AS123" s="781"/>
      <c r="AT123" s="781"/>
      <c r="AU123" s="598"/>
      <c r="AV123" s="598"/>
      <c r="AW123" s="598"/>
      <c r="AX123" s="599"/>
      <c r="AY123" s="599"/>
      <c r="AZ123" s="197"/>
      <c r="BA123" s="478" t="str">
        <f t="shared" si="7"/>
        <v>SUM_CO2</v>
      </c>
      <c r="BB123" s="573" t="str">
        <f t="shared" si="6"/>
        <v>SUM_EnergyIN</v>
      </c>
      <c r="BC123" s="600"/>
      <c r="BD123" s="5"/>
    </row>
    <row r="124" spans="1:56" x14ac:dyDescent="0.2">
      <c r="A124" s="600"/>
      <c r="B124" s="197"/>
      <c r="C124" s="529">
        <v>7</v>
      </c>
      <c r="D124" s="675"/>
      <c r="E124" s="594"/>
      <c r="F124" s="779"/>
      <c r="G124" s="780"/>
      <c r="H124" s="779"/>
      <c r="I124" s="780"/>
      <c r="J124" s="779"/>
      <c r="K124" s="780"/>
      <c r="L124" s="780"/>
      <c r="M124" s="780"/>
      <c r="N124" s="779"/>
      <c r="O124" s="778"/>
      <c r="P124" s="779"/>
      <c r="Q124" s="778"/>
      <c r="R124" s="599"/>
      <c r="S124" s="597"/>
      <c r="T124" s="599"/>
      <c r="U124" s="597"/>
      <c r="V124" s="599"/>
      <c r="W124" s="597"/>
      <c r="X124" s="599"/>
      <c r="Y124" s="597"/>
      <c r="Z124" s="599"/>
      <c r="AA124" s="597"/>
      <c r="AB124" s="599"/>
      <c r="AC124" s="597"/>
      <c r="AD124" s="599"/>
      <c r="AE124" s="597"/>
      <c r="AF124" s="599"/>
      <c r="AG124" s="781"/>
      <c r="AH124" s="781"/>
      <c r="AI124" s="781"/>
      <c r="AJ124" s="781"/>
      <c r="AK124" s="781"/>
      <c r="AL124" s="781"/>
      <c r="AM124" s="781"/>
      <c r="AN124" s="781"/>
      <c r="AO124" s="781"/>
      <c r="AP124" s="781"/>
      <c r="AQ124" s="781"/>
      <c r="AR124" s="781"/>
      <c r="AS124" s="781"/>
      <c r="AT124" s="781"/>
      <c r="AU124" s="598"/>
      <c r="AV124" s="598"/>
      <c r="AW124" s="598"/>
      <c r="AX124" s="599"/>
      <c r="AY124" s="599"/>
      <c r="AZ124" s="197"/>
      <c r="BA124" s="478" t="str">
        <f t="shared" si="7"/>
        <v>SUM_CO2</v>
      </c>
      <c r="BB124" s="573" t="str">
        <f t="shared" si="6"/>
        <v>SUM_EnergyIN</v>
      </c>
      <c r="BC124" s="600"/>
      <c r="BD124" s="5"/>
    </row>
    <row r="125" spans="1:56" x14ac:dyDescent="0.2">
      <c r="A125" s="600"/>
      <c r="B125" s="197"/>
      <c r="C125" s="529">
        <v>8</v>
      </c>
      <c r="D125" s="675"/>
      <c r="E125" s="594"/>
      <c r="F125" s="779"/>
      <c r="G125" s="780"/>
      <c r="H125" s="779"/>
      <c r="I125" s="780"/>
      <c r="J125" s="779"/>
      <c r="K125" s="780"/>
      <c r="L125" s="780"/>
      <c r="M125" s="780"/>
      <c r="N125" s="779"/>
      <c r="O125" s="778"/>
      <c r="P125" s="779"/>
      <c r="Q125" s="778"/>
      <c r="R125" s="599"/>
      <c r="S125" s="597"/>
      <c r="T125" s="599"/>
      <c r="U125" s="597"/>
      <c r="V125" s="599"/>
      <c r="W125" s="597"/>
      <c r="X125" s="599"/>
      <c r="Y125" s="597"/>
      <c r="Z125" s="599"/>
      <c r="AA125" s="597"/>
      <c r="AB125" s="599"/>
      <c r="AC125" s="597"/>
      <c r="AD125" s="599"/>
      <c r="AE125" s="597"/>
      <c r="AF125" s="599"/>
      <c r="AG125" s="781"/>
      <c r="AH125" s="781"/>
      <c r="AI125" s="781"/>
      <c r="AJ125" s="781"/>
      <c r="AK125" s="781"/>
      <c r="AL125" s="781"/>
      <c r="AM125" s="781"/>
      <c r="AN125" s="781"/>
      <c r="AO125" s="781"/>
      <c r="AP125" s="781"/>
      <c r="AQ125" s="781"/>
      <c r="AR125" s="781"/>
      <c r="AS125" s="781"/>
      <c r="AT125" s="781"/>
      <c r="AU125" s="598"/>
      <c r="AV125" s="598"/>
      <c r="AW125" s="598"/>
      <c r="AX125" s="599"/>
      <c r="AY125" s="599"/>
      <c r="AZ125" s="197"/>
      <c r="BA125" s="478" t="str">
        <f t="shared" si="7"/>
        <v>SUM_CO2</v>
      </c>
      <c r="BB125" s="573" t="str">
        <f t="shared" si="6"/>
        <v>SUM_EnergyIN</v>
      </c>
      <c r="BC125" s="600"/>
      <c r="BD125" s="5"/>
    </row>
    <row r="126" spans="1:56" x14ac:dyDescent="0.2">
      <c r="A126" s="600"/>
      <c r="B126" s="197"/>
      <c r="C126" s="529">
        <v>9</v>
      </c>
      <c r="D126" s="675"/>
      <c r="E126" s="594"/>
      <c r="F126" s="779"/>
      <c r="G126" s="780"/>
      <c r="H126" s="779"/>
      <c r="I126" s="780"/>
      <c r="J126" s="779"/>
      <c r="K126" s="780"/>
      <c r="L126" s="780"/>
      <c r="M126" s="780"/>
      <c r="N126" s="779"/>
      <c r="O126" s="778"/>
      <c r="P126" s="779"/>
      <c r="Q126" s="778"/>
      <c r="R126" s="599"/>
      <c r="S126" s="597"/>
      <c r="T126" s="599"/>
      <c r="U126" s="597"/>
      <c r="V126" s="599"/>
      <c r="W126" s="597"/>
      <c r="X126" s="599"/>
      <c r="Y126" s="597"/>
      <c r="Z126" s="599"/>
      <c r="AA126" s="597"/>
      <c r="AB126" s="599"/>
      <c r="AC126" s="597"/>
      <c r="AD126" s="599"/>
      <c r="AE126" s="597"/>
      <c r="AF126" s="599"/>
      <c r="AG126" s="781"/>
      <c r="AH126" s="781"/>
      <c r="AI126" s="781"/>
      <c r="AJ126" s="781"/>
      <c r="AK126" s="781"/>
      <c r="AL126" s="781"/>
      <c r="AM126" s="781"/>
      <c r="AN126" s="781"/>
      <c r="AO126" s="781"/>
      <c r="AP126" s="781"/>
      <c r="AQ126" s="781"/>
      <c r="AR126" s="781"/>
      <c r="AS126" s="781"/>
      <c r="AT126" s="781"/>
      <c r="AU126" s="598"/>
      <c r="AV126" s="598"/>
      <c r="AW126" s="598"/>
      <c r="AX126" s="599"/>
      <c r="AY126" s="599"/>
      <c r="AZ126" s="197"/>
      <c r="BA126" s="478" t="str">
        <f t="shared" si="7"/>
        <v>SUM_CO2</v>
      </c>
      <c r="BB126" s="573" t="str">
        <f t="shared" si="6"/>
        <v>SUM_EnergyIN</v>
      </c>
      <c r="BC126" s="600"/>
      <c r="BD126" s="5"/>
    </row>
    <row r="127" spans="1:56" x14ac:dyDescent="0.2">
      <c r="A127" s="600"/>
      <c r="B127" s="197"/>
      <c r="C127" s="529">
        <v>10</v>
      </c>
      <c r="D127" s="675"/>
      <c r="E127" s="594"/>
      <c r="F127" s="779"/>
      <c r="G127" s="780"/>
      <c r="H127" s="779"/>
      <c r="I127" s="780"/>
      <c r="J127" s="779"/>
      <c r="K127" s="780"/>
      <c r="L127" s="780"/>
      <c r="M127" s="780"/>
      <c r="N127" s="779"/>
      <c r="O127" s="778"/>
      <c r="P127" s="779"/>
      <c r="Q127" s="778"/>
      <c r="R127" s="599"/>
      <c r="S127" s="597"/>
      <c r="T127" s="599"/>
      <c r="U127" s="597"/>
      <c r="V127" s="599"/>
      <c r="W127" s="597"/>
      <c r="X127" s="599"/>
      <c r="Y127" s="597"/>
      <c r="Z127" s="599"/>
      <c r="AA127" s="597"/>
      <c r="AB127" s="599"/>
      <c r="AC127" s="597"/>
      <c r="AD127" s="599"/>
      <c r="AE127" s="597"/>
      <c r="AF127" s="599"/>
      <c r="AG127" s="781"/>
      <c r="AH127" s="781"/>
      <c r="AI127" s="781"/>
      <c r="AJ127" s="781"/>
      <c r="AK127" s="781"/>
      <c r="AL127" s="781"/>
      <c r="AM127" s="781"/>
      <c r="AN127" s="781"/>
      <c r="AO127" s="781"/>
      <c r="AP127" s="781"/>
      <c r="AQ127" s="781"/>
      <c r="AR127" s="781"/>
      <c r="AS127" s="781"/>
      <c r="AT127" s="781"/>
      <c r="AU127" s="598"/>
      <c r="AV127" s="598"/>
      <c r="AW127" s="598"/>
      <c r="AX127" s="599"/>
      <c r="AY127" s="599"/>
      <c r="AZ127" s="197"/>
      <c r="BA127" s="478" t="str">
        <f t="shared" si="7"/>
        <v>SUM_CO2</v>
      </c>
      <c r="BB127" s="573" t="str">
        <f t="shared" si="6"/>
        <v>SUM_EnergyIN</v>
      </c>
      <c r="BC127" s="600"/>
      <c r="BD127" s="5"/>
    </row>
    <row r="128" spans="1:56" x14ac:dyDescent="0.2">
      <c r="A128" s="600"/>
      <c r="B128" s="197"/>
      <c r="C128" s="77"/>
      <c r="D128" s="197"/>
      <c r="E128" s="197"/>
      <c r="F128" s="197"/>
      <c r="G128" s="197"/>
      <c r="H128" s="197"/>
      <c r="I128" s="197"/>
      <c r="J128" s="197"/>
      <c r="K128" s="197"/>
      <c r="L128" s="197"/>
      <c r="N128" s="197"/>
      <c r="O128" s="197"/>
      <c r="P128" s="197"/>
      <c r="Q128" s="197"/>
      <c r="R128" s="197"/>
      <c r="S128" s="197"/>
      <c r="T128" s="197"/>
      <c r="U128" s="197"/>
      <c r="V128" s="197"/>
      <c r="W128" s="197"/>
      <c r="X128" s="197"/>
      <c r="Y128" s="197"/>
      <c r="Z128" s="197"/>
      <c r="AA128" s="197"/>
      <c r="AB128" s="197"/>
      <c r="AC128" s="197"/>
      <c r="AD128" s="197"/>
      <c r="AE128" s="197"/>
      <c r="AF128" s="197"/>
      <c r="AG128" s="197"/>
      <c r="AH128" s="197"/>
      <c r="AI128" s="197"/>
      <c r="AJ128" s="197"/>
      <c r="AK128" s="197"/>
      <c r="AL128" s="197"/>
      <c r="AM128" s="197"/>
      <c r="AN128" s="197"/>
      <c r="AO128" s="197"/>
      <c r="AP128" s="197"/>
      <c r="AQ128" s="197"/>
      <c r="AR128" s="197"/>
      <c r="AS128" s="197"/>
      <c r="AT128" s="197"/>
      <c r="AU128" s="197"/>
      <c r="AV128" s="197"/>
      <c r="AW128" s="197"/>
      <c r="AX128" s="197"/>
      <c r="AY128" s="197"/>
      <c r="AZ128" s="197"/>
      <c r="BA128" s="600"/>
      <c r="BB128" s="600"/>
      <c r="BC128" s="600"/>
      <c r="BD128" s="5"/>
    </row>
    <row r="129" spans="1:56" ht="50.1" customHeight="1" thickBot="1" x14ac:dyDescent="0.45">
      <c r="A129" s="600"/>
      <c r="B129" s="197"/>
      <c r="C129" s="77"/>
      <c r="D129" s="522" t="str">
        <f>Translations!$B$271</f>
        <v>Rozwiązania rezerwowe (fall-back)</v>
      </c>
      <c r="E129" s="197"/>
      <c r="F129" s="197"/>
      <c r="G129" s="197"/>
      <c r="H129" s="197"/>
      <c r="I129" s="197"/>
      <c r="J129" s="197"/>
      <c r="K129" s="197"/>
      <c r="L129" s="197"/>
      <c r="N129" s="197"/>
      <c r="O129" s="197"/>
      <c r="P129" s="197"/>
      <c r="Q129" s="197"/>
      <c r="R129" s="197"/>
      <c r="S129" s="197"/>
      <c r="T129" s="197"/>
      <c r="U129" s="197"/>
      <c r="V129" s="197"/>
      <c r="W129" s="197"/>
      <c r="X129" s="197"/>
      <c r="Y129" s="197"/>
      <c r="Z129" s="197"/>
      <c r="AA129" s="197"/>
      <c r="AB129" s="197"/>
      <c r="AC129" s="197"/>
      <c r="AD129" s="197"/>
      <c r="AE129" s="197"/>
      <c r="AF129" s="197"/>
      <c r="AG129" s="197"/>
      <c r="AH129" s="197"/>
      <c r="AI129" s="197"/>
      <c r="AJ129" s="197"/>
      <c r="AK129" s="197"/>
      <c r="AL129" s="197"/>
      <c r="AM129" s="197"/>
      <c r="AN129" s="197"/>
      <c r="AO129" s="197"/>
      <c r="AP129" s="197"/>
      <c r="AQ129" s="197"/>
      <c r="AR129" s="197"/>
      <c r="AS129" s="197"/>
      <c r="AT129" s="197"/>
      <c r="AU129" s="197"/>
      <c r="AV129" s="197"/>
      <c r="AW129" s="197"/>
      <c r="AX129" s="197"/>
      <c r="AY129" s="197"/>
      <c r="AZ129" s="197"/>
      <c r="BA129" s="600"/>
      <c r="BB129" s="600"/>
      <c r="BC129" s="600"/>
      <c r="BD129" s="5"/>
    </row>
    <row r="130" spans="1:56" ht="50.1" customHeight="1" thickBot="1" x14ac:dyDescent="0.25">
      <c r="A130" s="600"/>
      <c r="B130" s="197"/>
      <c r="C130" s="523" t="s">
        <v>482</v>
      </c>
      <c r="D130" s="524" t="str">
        <f>Translations!$B$282</f>
        <v>Metoda</v>
      </c>
      <c r="E130" s="524" t="str">
        <f>Translations!$B$340</f>
        <v>Nazwa</v>
      </c>
      <c r="F130" s="525" t="str">
        <f>Translations!$B$284</f>
        <v>Dane dotyczące działalności (AD)</v>
      </c>
      <c r="G130" s="525" t="str">
        <f>Translations!$B$285</f>
        <v>Jednostka AD</v>
      </c>
      <c r="H130" s="525" t="str">
        <f>Translations!$B$286</f>
        <v>Wartość opałowa (NCV)</v>
      </c>
      <c r="I130" s="525" t="str">
        <f>Translations!$B$287</f>
        <v>Jednostka NCV</v>
      </c>
      <c r="J130" s="525" t="str">
        <f>Translations!$B$288</f>
        <v>Współczynnik emisji (EF)</v>
      </c>
      <c r="K130" s="525" t="str">
        <f>Translations!$B$289</f>
        <v>Jednostka EF</v>
      </c>
      <c r="L130" s="525" t="str">
        <f>Translations!$B$290</f>
        <v>Zawartość węgla</v>
      </c>
      <c r="M130" s="525" t="str">
        <f>Translations!$B$291</f>
        <v>Jednostka zawartości węgla</v>
      </c>
      <c r="N130" s="525" t="str">
        <f>Translations!$B$292</f>
        <v>Współczynnik utleniania (OxF)</v>
      </c>
      <c r="O130" s="525" t="str">
        <f>Translations!$B$293</f>
        <v>Jednostka OxF</v>
      </c>
      <c r="P130" s="525" t="str">
        <f>Translations!$B$294</f>
        <v>Współczynnik konwersji</v>
      </c>
      <c r="Q130" s="525" t="str">
        <f>Translations!$B$295</f>
        <v>Jednostka współczynnika konwersji</v>
      </c>
      <c r="R130" s="525" t="str">
        <f>Translations!$B$296</f>
        <v>Zawartość biomasy (BioC)</v>
      </c>
      <c r="S130" s="525" t="str">
        <f>Translations!$B$297</f>
        <v>Jednostka BioC</v>
      </c>
      <c r="T130" s="525" t="str">
        <f>Translations!$B$298</f>
        <v>BioC niezrówn.</v>
      </c>
      <c r="U130" s="525" t="str">
        <f>Translations!$B$299</f>
        <v>Jednostka BioC niezrówn.</v>
      </c>
      <c r="V130" s="525" t="str">
        <f>Translations!$B$300</f>
        <v>Średnie godzinowe stężenie gazów cieplarnianych (GHG)</v>
      </c>
      <c r="W130" s="525" t="str">
        <f>Translations!$B$301</f>
        <v>Jednostka godzinowego stężenia GHG</v>
      </c>
      <c r="X130" s="525" t="str">
        <f>Translations!$B$302</f>
        <v>Godziny działania</v>
      </c>
      <c r="Y130" s="525" t="str">
        <f>Translations!$B$303</f>
        <v>Jednostka godzin działania</v>
      </c>
      <c r="Z130" s="525" t="str">
        <f>Translations!$B$304</f>
        <v>Przepływ spalin (średnia)</v>
      </c>
      <c r="AA130" s="525" t="str">
        <f>Translations!$B$305</f>
        <v>Jednostka przepływu spalin (średnia)</v>
      </c>
      <c r="AB130" s="525" t="str">
        <f>Translations!$B$306</f>
        <v>Przepływ spalin (łącznie)</v>
      </c>
      <c r="AC130" s="525" t="str">
        <f>Translations!$B$307</f>
        <v>Jednostka przepływu spalin (łącznie)</v>
      </c>
      <c r="AD130" s="525" t="str">
        <f>Translations!$B$308</f>
        <v>Roczna ilość GHG</v>
      </c>
      <c r="AE130" s="525" t="str">
        <f>Translations!$B$309</f>
        <v>Jednostka rocznej ilości GHG</v>
      </c>
      <c r="AF130" s="525" t="str">
        <f>Translations!$B$310</f>
        <v>Współczynnik ocieplenia globalnego GWP (tCO2e/t)</v>
      </c>
      <c r="AG130" s="525" t="str">
        <f>Translations!$B$311</f>
        <v>A: Częstotliwość</v>
      </c>
      <c r="AH130" s="525" t="str">
        <f>Translations!$B$312</f>
        <v>A: Czas trwania</v>
      </c>
      <c r="AI130" s="525" t="str">
        <f>Translations!$B$313</f>
        <v>A: SEF (CF4)</v>
      </c>
      <c r="AJ130" s="525" t="str">
        <f>Translations!$B$314</f>
        <v>B: AEO</v>
      </c>
      <c r="AK130" s="525" t="str">
        <f>Translations!$B$315</f>
        <v>B: CE</v>
      </c>
      <c r="AL130" s="525" t="str">
        <f>Translations!$B$316</f>
        <v>B: OVC</v>
      </c>
      <c r="AM130" s="525" t="str">
        <f>Translations!$B$317</f>
        <v>F(C2F6)</v>
      </c>
      <c r="AN130" s="525" t="str">
        <f>Translations!$B$318</f>
        <v>Emisje CF4 (t CF4)</v>
      </c>
      <c r="AO130" s="525" t="str">
        <f>Translations!$B$319</f>
        <v>Emisje C2F6 (t C2F6)</v>
      </c>
      <c r="AP130" s="525" t="str">
        <f>Translations!$B$320</f>
        <v>GWP (CF4) (tCO2e/t)</v>
      </c>
      <c r="AQ130" s="525" t="str">
        <f>Translations!$B$321</f>
        <v>GWP (C2F6) (tCO2e/t)</v>
      </c>
      <c r="AR130" s="525" t="str">
        <f>Translations!$B$322</f>
        <v>Emisje CF4 (t CO2e)</v>
      </c>
      <c r="AS130" s="525" t="str">
        <f>Translations!$B$323</f>
        <v>Emisje C2F6 (t CO2e)</v>
      </c>
      <c r="AT130" s="525" t="str">
        <f>Translations!$B$324</f>
        <v>Całkowita wydajność, %</v>
      </c>
      <c r="AU130" s="525" t="str">
        <f>Translations!$B$325</f>
        <v>Kopalne CO2e (t)</v>
      </c>
      <c r="AV130" s="525" t="str">
        <f>Translations!$B$326</f>
        <v>CO2e z biomasy (t)</v>
      </c>
      <c r="AW130" s="525" t="str">
        <f>Translations!$B$327</f>
        <v>CO2e z biomasy niezrówn. (t)</v>
      </c>
      <c r="AX130" s="526" t="str">
        <f>Translations!$B$328</f>
        <v>Zawartość energii (kopalne), TJ</v>
      </c>
      <c r="AY130" s="527" t="str">
        <f>Translations!$B$329</f>
        <v>Zawartość energii (biomasa), TJ</v>
      </c>
      <c r="AZ130" s="197"/>
      <c r="BA130" s="600"/>
      <c r="BB130" s="600"/>
      <c r="BC130" s="600"/>
      <c r="BD130" s="5"/>
    </row>
    <row r="131" spans="1:56" ht="12.75" customHeight="1" x14ac:dyDescent="0.2">
      <c r="A131" s="600"/>
      <c r="B131" s="197"/>
      <c r="C131" s="696" t="str">
        <f>Translations!$B$341</f>
        <v>Przykł.</v>
      </c>
      <c r="D131" s="673" t="str">
        <f>Translations!$B$271</f>
        <v>Rozwiązania rezerwowe (fall-back)</v>
      </c>
      <c r="E131" s="782"/>
      <c r="F131" s="783"/>
      <c r="G131" s="784"/>
      <c r="H131" s="783"/>
      <c r="I131" s="784"/>
      <c r="J131" s="783"/>
      <c r="K131" s="784"/>
      <c r="L131" s="784"/>
      <c r="M131" s="784"/>
      <c r="N131" s="783"/>
      <c r="O131" s="785"/>
      <c r="P131" s="783"/>
      <c r="Q131" s="785"/>
      <c r="R131" s="783"/>
      <c r="S131" s="785"/>
      <c r="T131" s="783"/>
      <c r="U131" s="785"/>
      <c r="V131" s="785"/>
      <c r="W131" s="785"/>
      <c r="X131" s="785"/>
      <c r="Y131" s="785"/>
      <c r="Z131" s="785"/>
      <c r="AA131" s="785"/>
      <c r="AB131" s="785"/>
      <c r="AC131" s="785"/>
      <c r="AD131" s="785"/>
      <c r="AE131" s="785"/>
      <c r="AF131" s="785"/>
      <c r="AG131" s="785"/>
      <c r="AH131" s="785"/>
      <c r="AI131" s="785"/>
      <c r="AJ131" s="785"/>
      <c r="AK131" s="785"/>
      <c r="AL131" s="785"/>
      <c r="AM131" s="785"/>
      <c r="AN131" s="785"/>
      <c r="AO131" s="785"/>
      <c r="AP131" s="785"/>
      <c r="AQ131" s="785"/>
      <c r="AR131" s="785"/>
      <c r="AS131" s="785"/>
      <c r="AT131" s="785"/>
      <c r="AU131" s="697">
        <v>2850</v>
      </c>
      <c r="AV131" s="697">
        <v>340</v>
      </c>
      <c r="AW131" s="697">
        <v>0</v>
      </c>
      <c r="AX131" s="698">
        <v>45</v>
      </c>
      <c r="AY131" s="698">
        <v>5</v>
      </c>
      <c r="AZ131" s="197"/>
      <c r="BA131" s="600"/>
      <c r="BB131" s="600"/>
      <c r="BC131" s="600"/>
      <c r="BD131" s="5"/>
    </row>
    <row r="132" spans="1:56" x14ac:dyDescent="0.2">
      <c r="A132" s="600"/>
      <c r="B132" s="197"/>
      <c r="C132" s="528">
        <v>1</v>
      </c>
      <c r="D132" s="690" t="str">
        <f>Translations!$B$271</f>
        <v>Rozwiązania rezerwowe (fall-back)</v>
      </c>
      <c r="E132" s="786"/>
      <c r="F132" s="779"/>
      <c r="G132" s="780"/>
      <c r="H132" s="779"/>
      <c r="I132" s="780"/>
      <c r="J132" s="779"/>
      <c r="K132" s="780"/>
      <c r="L132" s="780"/>
      <c r="M132" s="780"/>
      <c r="N132" s="779"/>
      <c r="O132" s="778"/>
      <c r="P132" s="779"/>
      <c r="Q132" s="778"/>
      <c r="R132" s="779"/>
      <c r="S132" s="778"/>
      <c r="T132" s="779"/>
      <c r="U132" s="778"/>
      <c r="V132" s="778"/>
      <c r="W132" s="778"/>
      <c r="X132" s="778"/>
      <c r="Y132" s="778"/>
      <c r="Z132" s="778"/>
      <c r="AA132" s="778"/>
      <c r="AB132" s="778"/>
      <c r="AC132" s="778"/>
      <c r="AD132" s="778"/>
      <c r="AE132" s="778"/>
      <c r="AF132" s="778"/>
      <c r="AG132" s="778"/>
      <c r="AH132" s="778"/>
      <c r="AI132" s="778"/>
      <c r="AJ132" s="778"/>
      <c r="AK132" s="778"/>
      <c r="AL132" s="778"/>
      <c r="AM132" s="778"/>
      <c r="AN132" s="778"/>
      <c r="AO132" s="778"/>
      <c r="AP132" s="778"/>
      <c r="AQ132" s="778"/>
      <c r="AR132" s="778"/>
      <c r="AS132" s="778"/>
      <c r="AT132" s="778"/>
      <c r="AU132" s="598"/>
      <c r="AV132" s="598"/>
      <c r="AW132" s="598"/>
      <c r="AX132" s="599"/>
      <c r="AY132" s="599"/>
      <c r="AZ132" s="197"/>
      <c r="BA132" s="478" t="str">
        <f>EUconst_SumCO2</f>
        <v>SUM_CO2</v>
      </c>
      <c r="BB132" s="573" t="str">
        <f>EUconst_SumEnergyIN</f>
        <v>SUM_EnergyIN</v>
      </c>
      <c r="BC132" s="600"/>
      <c r="BD132" s="5"/>
    </row>
    <row r="133" spans="1:56" x14ac:dyDescent="0.2">
      <c r="AZ133" s="672"/>
      <c r="BC133" s="674"/>
      <c r="BD133" s="5"/>
    </row>
    <row r="134" spans="1:56" s="2" customFormat="1" hidden="1" x14ac:dyDescent="0.2">
      <c r="A134" s="2" t="s">
        <v>101</v>
      </c>
      <c r="B134" s="2" t="s">
        <v>350</v>
      </c>
      <c r="C134" s="2" t="s">
        <v>350</v>
      </c>
      <c r="D134" s="2" t="s">
        <v>350</v>
      </c>
      <c r="E134" s="2" t="s">
        <v>350</v>
      </c>
      <c r="F134" s="2" t="s">
        <v>350</v>
      </c>
      <c r="G134" s="2" t="s">
        <v>350</v>
      </c>
      <c r="H134" s="2" t="s">
        <v>350</v>
      </c>
      <c r="I134" s="2" t="s">
        <v>350</v>
      </c>
      <c r="J134" s="2" t="s">
        <v>350</v>
      </c>
      <c r="K134" s="2" t="s">
        <v>350</v>
      </c>
      <c r="L134" s="2" t="s">
        <v>350</v>
      </c>
      <c r="M134" s="2" t="s">
        <v>350</v>
      </c>
      <c r="N134" s="2" t="s">
        <v>350</v>
      </c>
      <c r="O134" s="2" t="s">
        <v>350</v>
      </c>
      <c r="P134" s="2" t="s">
        <v>350</v>
      </c>
      <c r="Q134" s="2" t="s">
        <v>350</v>
      </c>
      <c r="R134" s="2" t="s">
        <v>350</v>
      </c>
      <c r="S134" s="2" t="s">
        <v>350</v>
      </c>
      <c r="T134" s="2" t="s">
        <v>350</v>
      </c>
      <c r="U134" s="2" t="s">
        <v>350</v>
      </c>
      <c r="V134" s="2" t="s">
        <v>350</v>
      </c>
      <c r="W134" s="2" t="s">
        <v>350</v>
      </c>
      <c r="X134" s="2" t="s">
        <v>350</v>
      </c>
      <c r="Y134" s="2" t="s">
        <v>350</v>
      </c>
      <c r="Z134" s="2" t="s">
        <v>350</v>
      </c>
      <c r="AA134" s="2" t="s">
        <v>350</v>
      </c>
      <c r="AB134" s="2" t="s">
        <v>350</v>
      </c>
      <c r="AC134" s="2" t="s">
        <v>350</v>
      </c>
      <c r="AD134" s="2" t="s">
        <v>350</v>
      </c>
      <c r="AE134" s="2" t="s">
        <v>350</v>
      </c>
      <c r="AF134" s="2" t="s">
        <v>350</v>
      </c>
      <c r="AG134" s="2" t="s">
        <v>350</v>
      </c>
      <c r="AH134" s="2" t="s">
        <v>350</v>
      </c>
      <c r="AI134" s="2" t="s">
        <v>350</v>
      </c>
      <c r="AJ134" s="2" t="s">
        <v>350</v>
      </c>
      <c r="AK134" s="2" t="s">
        <v>350</v>
      </c>
      <c r="AL134" s="2" t="s">
        <v>350</v>
      </c>
      <c r="AM134" s="2" t="s">
        <v>350</v>
      </c>
      <c r="AN134" s="2" t="s">
        <v>350</v>
      </c>
      <c r="AO134" s="2" t="s">
        <v>350</v>
      </c>
      <c r="AP134" s="2" t="s">
        <v>350</v>
      </c>
      <c r="AQ134" s="2" t="s">
        <v>350</v>
      </c>
      <c r="AR134" s="2" t="s">
        <v>350</v>
      </c>
      <c r="AS134" s="2" t="s">
        <v>350</v>
      </c>
      <c r="AT134" s="2" t="s">
        <v>350</v>
      </c>
      <c r="AU134" s="2" t="s">
        <v>350</v>
      </c>
      <c r="AV134" s="2" t="s">
        <v>350</v>
      </c>
      <c r="AW134" s="2" t="s">
        <v>350</v>
      </c>
      <c r="AX134" s="2" t="s">
        <v>350</v>
      </c>
      <c r="AY134" s="2" t="s">
        <v>350</v>
      </c>
      <c r="AZ134" s="2" t="s">
        <v>350</v>
      </c>
      <c r="BA134" s="2" t="s">
        <v>350</v>
      </c>
      <c r="BB134" s="2" t="s">
        <v>350</v>
      </c>
      <c r="BC134" s="430"/>
    </row>
    <row r="135" spans="1:56" x14ac:dyDescent="0.2">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674"/>
      <c r="BB135" s="674"/>
      <c r="BC135" s="674"/>
      <c r="BD135" s="5"/>
    </row>
    <row r="136" spans="1:56" x14ac:dyDescent="0.2">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674"/>
      <c r="BB136" s="674"/>
      <c r="BC136" s="674"/>
      <c r="BD136" s="5"/>
    </row>
  </sheetData>
  <sheetProtection formatCells="0" formatColumns="0" formatRows="0"/>
  <mergeCells count="26">
    <mergeCell ref="L2:M2"/>
    <mergeCell ref="F3:G3"/>
    <mergeCell ref="H3:I3"/>
    <mergeCell ref="J3:K3"/>
    <mergeCell ref="L3:M3"/>
    <mergeCell ref="B2:D3"/>
    <mergeCell ref="F2:G2"/>
    <mergeCell ref="H2:I2"/>
    <mergeCell ref="J2:K2"/>
    <mergeCell ref="B4:D4"/>
    <mergeCell ref="F4:G4"/>
    <mergeCell ref="H4:I4"/>
    <mergeCell ref="J4:K4"/>
    <mergeCell ref="L4:M4"/>
    <mergeCell ref="D15:K15"/>
    <mergeCell ref="D16:K16"/>
    <mergeCell ref="D17:K17"/>
    <mergeCell ref="D18:K18"/>
    <mergeCell ref="D8:N8"/>
    <mergeCell ref="D10:I10"/>
    <mergeCell ref="J10:K10"/>
    <mergeCell ref="D11:K11"/>
    <mergeCell ref="D12:K12"/>
    <mergeCell ref="D14:N14"/>
    <mergeCell ref="D6:I6"/>
    <mergeCell ref="J6:K6"/>
  </mergeCells>
  <conditionalFormatting sqref="D24:G24 AV24:AW24 AG103:AY112 D103:G112 D118:E127 R118:AF127 AU118:AY127 AU132:AY132 AU27:AY98 D27:U98 AY24 K24:U24">
    <cfRule type="expression" dxfId="345" priority="13" stopIfTrue="1">
      <formula>MSconst_AllowInstEmmisionTotals</formula>
    </cfRule>
  </conditionalFormatting>
  <conditionalFormatting sqref="D26:G26 AU26 AW26:AX26 K26:U26">
    <cfRule type="expression" dxfId="344" priority="12" stopIfTrue="1">
      <formula>MSconst_AllowInstEmmisionTotals</formula>
    </cfRule>
  </conditionalFormatting>
  <conditionalFormatting sqref="AU24">
    <cfRule type="expression" dxfId="343" priority="11" stopIfTrue="1">
      <formula>MSconst_AllowInstEmmisionTotals</formula>
    </cfRule>
  </conditionalFormatting>
  <conditionalFormatting sqref="AX24">
    <cfRule type="expression" dxfId="342" priority="10" stopIfTrue="1">
      <formula>MSconst_AllowInstEmmisionTotals</formula>
    </cfRule>
  </conditionalFormatting>
  <conditionalFormatting sqref="AV26">
    <cfRule type="expression" dxfId="341" priority="9" stopIfTrue="1">
      <formula>MSconst_AllowInstEmmisionTotals</formula>
    </cfRule>
  </conditionalFormatting>
  <conditionalFormatting sqref="AY26">
    <cfRule type="expression" dxfId="340" priority="8" stopIfTrue="1">
      <formula>MSconst_AllowInstEmmisionTotals</formula>
    </cfRule>
  </conditionalFormatting>
  <conditionalFormatting sqref="H24:J24">
    <cfRule type="expression" dxfId="339" priority="7" stopIfTrue="1">
      <formula>MSconst_AllowInstEmmisionTotals</formula>
    </cfRule>
  </conditionalFormatting>
  <conditionalFormatting sqref="H26:J26">
    <cfRule type="expression" dxfId="338" priority="6" stopIfTrue="1">
      <formula>MSconst_AllowInstEmmisionTotals</formula>
    </cfRule>
  </conditionalFormatting>
  <conditionalFormatting sqref="D25:G25 AU25 AW25:AX25 K25:U25">
    <cfRule type="expression" dxfId="337" priority="4" stopIfTrue="1">
      <formula>MSconst_AllowInstEmmisionTotals</formula>
    </cfRule>
  </conditionalFormatting>
  <conditionalFormatting sqref="AV25">
    <cfRule type="expression" dxfId="336" priority="3" stopIfTrue="1">
      <formula>MSconst_AllowInstEmmisionTotals</formula>
    </cfRule>
  </conditionalFormatting>
  <conditionalFormatting sqref="AY25">
    <cfRule type="expression" dxfId="335" priority="2" stopIfTrue="1">
      <formula>MSconst_AllowInstEmmisionTotals</formula>
    </cfRule>
  </conditionalFormatting>
  <conditionalFormatting sqref="H25:J25">
    <cfRule type="expression" dxfId="334" priority="1" stopIfTrue="1">
      <formula>MSconst_AllowInstEmmisionTotals</formula>
    </cfRule>
  </conditionalFormatting>
  <hyperlinks>
    <hyperlink ref="F2:G2" location="JUMP_TOC_Home" display="Table of contents"/>
    <hyperlink ref="L2:M2" location="JUMP_K_I" display="Summary"/>
    <hyperlink ref="J2:K2" location="JUMP_BY5_Top" display="JUMP_BY5_Top"/>
    <hyperlink ref="E3" location="JUMP_BY4_Top" display="JUMP_BY4_Top"/>
    <hyperlink ref="H2:I2" location="JUMP_BY3_Top" display="JUMP_BY3_Top"/>
    <hyperlink ref="F3:G3" location="JUMP_BY4_Source" display="Source streams (excl. PFC)"/>
    <hyperlink ref="H3:I3" location="JUMP_BY4_PFC" display="PFC source streams"/>
    <hyperlink ref="J3:K3" location="JUMP_BY4_Emissions" display="Emission Sources (CEMS)"/>
    <hyperlink ref="L3:M3" location="JUMP_BY4_Fallback" display="Fall-back"/>
  </hyperlinks>
  <pageMargins left="0.70866141732283472" right="0.70866141732283472" top="0.78740157480314965" bottom="0.78740157480314965" header="0.31496062992125984" footer="0.31496062992125984"/>
  <pageSetup paperSize="9" scale="37" fitToWidth="10" orientation="portrait" r:id="rId1"/>
  <headerFooter>
    <oddFooter>&amp;L&amp;F; &amp;A&amp;C&amp;P / &amp;N&amp;R&amp;D; &amp;T</oddFooter>
  </headerFooter>
  <colBreaks count="1" manualBreakCount="1">
    <brk id="51" min="4" max="131"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CCFFCC"/>
  </sheetPr>
  <dimension ref="A1:BD136"/>
  <sheetViews>
    <sheetView topLeftCell="B1" zoomScaleNormal="100" workbookViewId="0">
      <pane ySplit="4" topLeftCell="A5" activePane="bottomLeft" state="frozen"/>
      <selection activeCell="C2" sqref="C2"/>
      <selection pane="bottomLeft" activeCell="B24" sqref="A24:XFD25"/>
    </sheetView>
  </sheetViews>
  <sheetFormatPr defaultColWidth="11.42578125" defaultRowHeight="12.75" x14ac:dyDescent="0.2"/>
  <cols>
    <col min="1" max="1" width="3.42578125" style="671" hidden="1" customWidth="1"/>
    <col min="2" max="2" width="3.42578125" style="199" customWidth="1"/>
    <col min="3" max="3" width="8.42578125" style="6" bestFit="1" customWidth="1"/>
    <col min="4" max="4" width="21.5703125" style="199" bestFit="1" customWidth="1"/>
    <col min="5" max="5" width="35.7109375" style="199" customWidth="1"/>
    <col min="6" max="6" width="15.7109375" style="199" customWidth="1"/>
    <col min="7" max="51" width="12.7109375" style="199" customWidth="1"/>
    <col min="52" max="52" width="9.140625" style="199" customWidth="1"/>
    <col min="53" max="55" width="11.42578125" style="671" hidden="1" customWidth="1"/>
    <col min="56" max="16384" width="11.42578125" style="672"/>
  </cols>
  <sheetData>
    <row r="1" spans="1:56" ht="13.5" hidden="1" thickBot="1" x14ac:dyDescent="0.25">
      <c r="A1" s="509" t="s">
        <v>101</v>
      </c>
      <c r="B1" s="519"/>
      <c r="C1" s="520"/>
      <c r="D1" s="519"/>
      <c r="E1" s="519"/>
      <c r="F1" s="519"/>
      <c r="G1" s="519"/>
      <c r="H1" s="519"/>
      <c r="I1" s="519"/>
      <c r="J1" s="519"/>
      <c r="K1" s="519"/>
      <c r="L1" s="521"/>
      <c r="M1" s="519"/>
      <c r="N1" s="519"/>
      <c r="O1" s="519"/>
      <c r="P1" s="519"/>
      <c r="Q1" s="519"/>
      <c r="R1" s="519"/>
      <c r="S1" s="519"/>
      <c r="T1" s="519"/>
      <c r="U1" s="519"/>
      <c r="V1" s="519"/>
      <c r="W1" s="519"/>
      <c r="X1" s="519"/>
      <c r="Y1" s="519"/>
      <c r="Z1" s="519"/>
      <c r="AA1" s="519"/>
      <c r="AB1" s="519"/>
      <c r="AC1" s="519"/>
      <c r="AD1" s="519"/>
      <c r="AE1" s="519"/>
      <c r="AF1" s="519"/>
      <c r="AG1" s="519"/>
      <c r="AH1" s="519"/>
      <c r="AI1" s="519"/>
      <c r="AJ1" s="519"/>
      <c r="AK1" s="519"/>
      <c r="AL1" s="519"/>
      <c r="AM1" s="519"/>
      <c r="AN1" s="519"/>
      <c r="AO1" s="519"/>
      <c r="AP1" s="519"/>
      <c r="AQ1" s="519"/>
      <c r="AR1" s="519"/>
      <c r="AS1" s="519"/>
      <c r="AT1" s="519"/>
      <c r="AU1" s="519"/>
      <c r="AV1" s="519"/>
      <c r="AW1" s="519"/>
      <c r="AX1" s="519"/>
      <c r="AY1" s="519"/>
      <c r="AZ1" s="519"/>
      <c r="BA1" s="600" t="s">
        <v>101</v>
      </c>
      <c r="BB1" s="600" t="s">
        <v>101</v>
      </c>
      <c r="BC1" s="600" t="s">
        <v>101</v>
      </c>
      <c r="BD1" s="5"/>
    </row>
    <row r="2" spans="1:56" ht="13.5" customHeight="1" thickBot="1" x14ac:dyDescent="0.25">
      <c r="A2" s="600"/>
      <c r="B2" s="1548" t="str">
        <f>Translations!$B$267</f>
        <v>Dane roczne dotyczące emisji B+C</v>
      </c>
      <c r="C2" s="1584"/>
      <c r="D2" s="1585"/>
      <c r="E2" s="793" t="str">
        <f>Translations!$B$2</f>
        <v>Obszar nawigacji:</v>
      </c>
      <c r="F2" s="1558" t="str">
        <f>Translations!$B$18</f>
        <v>Spis treści</v>
      </c>
      <c r="G2" s="1339"/>
      <c r="H2" s="1339" t="str">
        <f>Translations!$B$19</f>
        <v>Poprzedni arkusz</v>
      </c>
      <c r="I2" s="1607"/>
      <c r="J2" s="1339" t="str">
        <f>Translations!$B$3</f>
        <v>Następny arkusz</v>
      </c>
      <c r="K2" s="1607"/>
      <c r="L2" s="1339" t="str">
        <f>Translations!$B$4</f>
        <v>Podsumowanie</v>
      </c>
      <c r="M2" s="160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602" t="s">
        <v>512</v>
      </c>
      <c r="BB2" s="601">
        <v>5</v>
      </c>
      <c r="BC2" s="689"/>
      <c r="BD2" s="5"/>
    </row>
    <row r="3" spans="1:56" ht="13.5" thickBot="1" x14ac:dyDescent="0.25">
      <c r="A3" s="600"/>
      <c r="B3" s="1586"/>
      <c r="C3" s="1587"/>
      <c r="D3" s="1588"/>
      <c r="E3" s="1090" t="str">
        <f>Translations!$B$5</f>
        <v>Początek arkusza</v>
      </c>
      <c r="F3" s="1597" t="str">
        <f>Translations!$B$268</f>
        <v>Strumienie materiałów wsadowych (z wyłączeniem PFC)</v>
      </c>
      <c r="G3" s="1544"/>
      <c r="H3" s="1544" t="str">
        <f>Translations!$B$269</f>
        <v>Strumienie materiałów wsadowych w przypadku PFC</v>
      </c>
      <c r="I3" s="1544"/>
      <c r="J3" s="1544" t="str">
        <f>Translations!$B$270</f>
        <v>Źródła emisji (CEMS)</v>
      </c>
      <c r="K3" s="1544"/>
      <c r="L3" s="1544" t="str">
        <f>Translations!$B$271</f>
        <v>Rozwiązania rezerwowe (fall-back)</v>
      </c>
      <c r="M3" s="1598"/>
      <c r="N3" s="197"/>
      <c r="O3" s="197"/>
      <c r="P3" s="197"/>
      <c r="Q3" s="197"/>
      <c r="R3" s="197"/>
      <c r="S3" s="197"/>
      <c r="T3" s="197"/>
      <c r="U3" s="197"/>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602" t="s">
        <v>511</v>
      </c>
      <c r="BB3" s="604">
        <f>INDEX(EUconst_ReportingYears,BB2)+(IF(CNTR_BaselinePeriod=EUconst_NA,0,CNTR_BaselinePeriod-1)*5)</f>
        <v>2018</v>
      </c>
      <c r="BC3" s="689"/>
      <c r="BD3" s="5"/>
    </row>
    <row r="4" spans="1:56" ht="13.5" thickBot="1" x14ac:dyDescent="0.25">
      <c r="A4" s="600"/>
      <c r="B4" s="1589">
        <f>BB3</f>
        <v>2018</v>
      </c>
      <c r="C4" s="1590"/>
      <c r="D4" s="1591"/>
      <c r="E4" s="794"/>
      <c r="F4" s="1593"/>
      <c r="G4" s="1608"/>
      <c r="H4" s="1595"/>
      <c r="I4" s="1595"/>
      <c r="J4" s="1595"/>
      <c r="K4" s="1595"/>
      <c r="L4" s="1595"/>
      <c r="M4" s="1601"/>
      <c r="N4" s="77">
        <f>$B$4</f>
        <v>2018</v>
      </c>
      <c r="O4" s="197"/>
      <c r="P4" s="77">
        <f>$B$4</f>
        <v>2018</v>
      </c>
      <c r="Q4" s="197"/>
      <c r="R4" s="77">
        <f>$B$4</f>
        <v>2018</v>
      </c>
      <c r="S4" s="197"/>
      <c r="T4" s="77">
        <f>$B$4</f>
        <v>2018</v>
      </c>
      <c r="U4" s="197"/>
      <c r="V4" s="77">
        <f>$B$4</f>
        <v>2018</v>
      </c>
      <c r="W4" s="197"/>
      <c r="X4" s="77">
        <f>$B$4</f>
        <v>2018</v>
      </c>
      <c r="Y4" s="197"/>
      <c r="Z4" s="77">
        <f>$B$4</f>
        <v>2018</v>
      </c>
      <c r="AA4" s="197"/>
      <c r="AB4" s="77">
        <f>$B$4</f>
        <v>2018</v>
      </c>
      <c r="AC4" s="197"/>
      <c r="AD4" s="77">
        <f>$B$4</f>
        <v>2018</v>
      </c>
      <c r="AE4" s="197"/>
      <c r="AF4" s="77">
        <f>$B$4</f>
        <v>2018</v>
      </c>
      <c r="AG4" s="197"/>
      <c r="AH4" s="77">
        <f>$B$4</f>
        <v>2018</v>
      </c>
      <c r="AI4" s="197"/>
      <c r="AJ4" s="77">
        <f>$B$4</f>
        <v>2018</v>
      </c>
      <c r="AK4" s="197"/>
      <c r="AL4" s="77">
        <f>$B$4</f>
        <v>2018</v>
      </c>
      <c r="AM4" s="197"/>
      <c r="AN4" s="77">
        <f>$B$4</f>
        <v>2018</v>
      </c>
      <c r="AO4" s="197"/>
      <c r="AP4" s="77">
        <f>$B$4</f>
        <v>2018</v>
      </c>
      <c r="AQ4" s="197"/>
      <c r="AR4" s="77">
        <f>$B$4</f>
        <v>2018</v>
      </c>
      <c r="AS4" s="197"/>
      <c r="AT4" s="77">
        <f>$B$4</f>
        <v>2018</v>
      </c>
      <c r="AU4" s="197"/>
      <c r="AV4" s="77">
        <f>$B$4</f>
        <v>2018</v>
      </c>
      <c r="AW4" s="197"/>
      <c r="AX4" s="77">
        <f>$B$4</f>
        <v>2018</v>
      </c>
      <c r="AY4" s="197"/>
      <c r="AZ4" s="197"/>
      <c r="BA4" s="600"/>
      <c r="BB4" s="603"/>
      <c r="BC4" s="689"/>
      <c r="BD4" s="5"/>
    </row>
    <row r="5" spans="1:56" x14ac:dyDescent="0.2">
      <c r="A5" s="600"/>
      <c r="B5" s="3"/>
      <c r="C5" s="4"/>
      <c r="D5" s="5"/>
      <c r="E5" s="5"/>
      <c r="F5" s="6"/>
      <c r="G5" s="6"/>
      <c r="H5" s="6"/>
      <c r="I5" s="3"/>
      <c r="J5" s="3"/>
      <c r="K5" s="3"/>
      <c r="L5" s="3"/>
      <c r="M5" s="7"/>
      <c r="N5" s="7"/>
      <c r="O5" s="197"/>
      <c r="P5" s="197"/>
      <c r="Q5" s="197"/>
      <c r="R5" s="197"/>
      <c r="S5" s="197"/>
      <c r="T5" s="197"/>
      <c r="U5" s="197"/>
      <c r="V5" s="197"/>
      <c r="W5" s="197"/>
      <c r="X5" s="197"/>
      <c r="Y5" s="197"/>
      <c r="Z5" s="197"/>
      <c r="AA5" s="197"/>
      <c r="AB5" s="197"/>
      <c r="AC5" s="197"/>
      <c r="AD5" s="197"/>
      <c r="AE5" s="197"/>
      <c r="AF5" s="197"/>
      <c r="AG5" s="197"/>
      <c r="AH5" s="197"/>
      <c r="AI5" s="197"/>
      <c r="AJ5" s="197"/>
      <c r="AK5" s="197"/>
      <c r="AL5" s="197"/>
      <c r="AM5" s="197"/>
      <c r="AN5" s="197"/>
      <c r="AO5" s="197"/>
      <c r="AP5" s="197"/>
      <c r="AQ5" s="197"/>
      <c r="AR5" s="197"/>
      <c r="AS5" s="197"/>
      <c r="AT5" s="197"/>
      <c r="AU5" s="197"/>
      <c r="AV5" s="197"/>
      <c r="AW5" s="197"/>
      <c r="AX5" s="197"/>
      <c r="AY5" s="197"/>
      <c r="AZ5" s="197"/>
      <c r="BA5" s="600"/>
      <c r="BB5" s="603"/>
      <c r="BC5" s="689"/>
      <c r="BD5" s="5"/>
    </row>
    <row r="6" spans="1:56" ht="38.25" customHeight="1" x14ac:dyDescent="0.2">
      <c r="A6" s="600"/>
      <c r="B6" s="3"/>
      <c r="C6" s="9" t="s">
        <v>642</v>
      </c>
      <c r="D6" s="1599" t="str">
        <f>Translations!$B$272</f>
        <v>Arkusz „Annual Emissions Data” (Dane roczne dotyczące emisji) w odniesieniu do roku:</v>
      </c>
      <c r="E6" s="1599"/>
      <c r="F6" s="1599"/>
      <c r="G6" s="1599"/>
      <c r="H6" s="1599"/>
      <c r="I6" s="1600"/>
      <c r="J6" s="1592">
        <f>B4</f>
        <v>2018</v>
      </c>
      <c r="K6" s="1592"/>
      <c r="L6" s="197"/>
      <c r="N6" s="445"/>
      <c r="O6" s="197"/>
      <c r="P6" s="197"/>
      <c r="Q6" s="197"/>
      <c r="R6" s="197"/>
      <c r="S6" s="197"/>
      <c r="T6" s="197"/>
      <c r="U6" s="197"/>
      <c r="V6" s="197"/>
      <c r="W6" s="197"/>
      <c r="X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0" t="s">
        <v>75</v>
      </c>
      <c r="BB6" s="10" t="s">
        <v>75</v>
      </c>
      <c r="BC6" s="689"/>
      <c r="BD6" s="5"/>
    </row>
    <row r="7" spans="1:56" x14ac:dyDescent="0.2">
      <c r="A7" s="600"/>
      <c r="B7" s="197"/>
      <c r="C7" s="197"/>
      <c r="D7" s="197"/>
      <c r="E7" s="197"/>
      <c r="F7" s="197"/>
      <c r="G7" s="197"/>
      <c r="H7" s="197"/>
      <c r="I7" s="197"/>
      <c r="J7" s="197"/>
      <c r="K7" s="197"/>
      <c r="L7" s="197"/>
      <c r="M7" s="197"/>
      <c r="N7" s="197"/>
      <c r="O7" s="197"/>
      <c r="P7" s="197"/>
      <c r="Q7" s="197"/>
      <c r="R7" s="197"/>
      <c r="S7" s="197"/>
      <c r="T7" s="197"/>
      <c r="U7" s="197"/>
      <c r="V7" s="197"/>
      <c r="W7" s="197"/>
      <c r="X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1" t="s">
        <v>274</v>
      </c>
      <c r="BB7" s="11" t="s">
        <v>274</v>
      </c>
      <c r="BC7" s="689"/>
      <c r="BD7" s="5"/>
    </row>
    <row r="8" spans="1:56" s="670" customFormat="1" ht="15.75" x14ac:dyDescent="0.25">
      <c r="A8" s="667"/>
      <c r="B8" s="3"/>
      <c r="C8" s="12" t="s">
        <v>407</v>
      </c>
      <c r="D8" s="1596" t="str">
        <f>Translations!$B$273</f>
        <v>Ogólne wytyczne na temat danych dotyczących strumienia materiałów wsadowych</v>
      </c>
      <c r="E8" s="1596"/>
      <c r="F8" s="1596"/>
      <c r="G8" s="1596"/>
      <c r="H8" s="1596"/>
      <c r="I8" s="1596"/>
      <c r="J8" s="1596"/>
      <c r="K8" s="1596"/>
      <c r="L8" s="1596"/>
      <c r="M8" s="1596"/>
      <c r="N8" s="1596"/>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600"/>
      <c r="BB8" s="600"/>
      <c r="BC8" s="689"/>
      <c r="BD8" s="5"/>
    </row>
    <row r="9" spans="1:56" s="670" customFormat="1" x14ac:dyDescent="0.2">
      <c r="A9" s="667"/>
      <c r="B9" s="668"/>
      <c r="C9" s="124"/>
      <c r="D9" s="124"/>
      <c r="E9" s="124"/>
      <c r="F9" s="124"/>
      <c r="G9" s="124"/>
      <c r="H9" s="124"/>
      <c r="I9" s="124"/>
      <c r="J9" s="124"/>
      <c r="K9" s="124"/>
      <c r="L9" s="124"/>
      <c r="M9" s="124"/>
      <c r="N9" s="124"/>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600"/>
      <c r="BB9" s="600"/>
      <c r="BC9" s="689"/>
      <c r="BD9" s="5"/>
    </row>
    <row r="10" spans="1:56" s="670" customFormat="1" ht="25.5" customHeight="1" x14ac:dyDescent="0.2">
      <c r="A10" s="667"/>
      <c r="B10" s="3"/>
      <c r="C10" s="14"/>
      <c r="D10" s="1466" t="str">
        <f>Translations!$B$274</f>
        <v>Państwo członkowskie zwykle wymaga obowiązkowego podania szczegółowych danych dotyczących strumienia materiałów wsadowych:</v>
      </c>
      <c r="E10" s="1466"/>
      <c r="F10" s="1466"/>
      <c r="G10" s="1466"/>
      <c r="H10" s="1466"/>
      <c r="I10" s="1603"/>
      <c r="J10" s="1604" t="b">
        <f>NOT(MSconst_AllowInstEmmisionTotals)</f>
        <v>1</v>
      </c>
      <c r="K10" s="1604"/>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600"/>
      <c r="BB10" s="600"/>
      <c r="BC10" s="689"/>
      <c r="BD10" s="5"/>
    </row>
    <row r="11" spans="1:56" s="670" customFormat="1" ht="12.75" customHeight="1" x14ac:dyDescent="0.2">
      <c r="A11" s="667"/>
      <c r="B11" s="668"/>
      <c r="C11" s="668"/>
      <c r="D11" s="1416" t="str">
        <f>Translations!$B$275</f>
        <v>Jeżeli wartość tej komórki to „Fałsz”, wpisy w tym miejscu nie są obowiązkowe i przedstawiają jedynie całkowite roczne emisje w części D.I.</v>
      </c>
      <c r="E11" s="1416"/>
      <c r="F11" s="1416"/>
      <c r="G11" s="1416"/>
      <c r="H11" s="1416"/>
      <c r="I11" s="1416"/>
      <c r="J11" s="1416"/>
      <c r="K11" s="1416"/>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600"/>
      <c r="BB11" s="600"/>
      <c r="BC11" s="689"/>
      <c r="BD11" s="5"/>
    </row>
    <row r="12" spans="1:56" s="670" customFormat="1" ht="12.75" customHeight="1" x14ac:dyDescent="0.2">
      <c r="A12" s="667"/>
      <c r="B12" s="668"/>
      <c r="C12" s="668"/>
      <c r="D12" s="1606" t="str">
        <f>IF(MSconst_AllowInstEmmisionTotals,HYPERLINK(BB12,EUconst_ERR_Goto_DI2),"")</f>
        <v/>
      </c>
      <c r="E12" s="1606"/>
      <c r="F12" s="1606"/>
      <c r="G12" s="1606"/>
      <c r="H12" s="1606"/>
      <c r="I12" s="1606"/>
      <c r="J12" s="1606"/>
      <c r="K12" s="1606"/>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2" t="s">
        <v>199</v>
      </c>
      <c r="BB12" s="346" t="str">
        <f>"#JUMP_D_I"</f>
        <v>#JUMP_D_I</v>
      </c>
      <c r="BC12" s="689"/>
      <c r="BD12" s="5"/>
    </row>
    <row r="13" spans="1:56" s="670" customFormat="1" x14ac:dyDescent="0.2">
      <c r="A13" s="667"/>
      <c r="B13" s="3"/>
      <c r="C13" s="3"/>
      <c r="D13" s="3"/>
      <c r="E13" s="669"/>
      <c r="F13" s="3"/>
      <c r="G13" s="3"/>
      <c r="H13" s="3"/>
      <c r="I13" s="3"/>
      <c r="J13" s="3"/>
      <c r="K13" s="3"/>
      <c r="L13" s="3"/>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600"/>
      <c r="BB13" s="600"/>
      <c r="BC13" s="600"/>
      <c r="BD13" s="5"/>
    </row>
    <row r="14" spans="1:56" s="670" customFormat="1" ht="15.75" x14ac:dyDescent="0.25">
      <c r="A14" s="667"/>
      <c r="B14" s="3"/>
      <c r="C14" s="12" t="s">
        <v>352</v>
      </c>
      <c r="D14" s="1384" t="str">
        <f>Translations!$B$276</f>
        <v>Strumienie materiałów wsadowych i źródła emisji</v>
      </c>
      <c r="E14" s="1384"/>
      <c r="F14" s="1384"/>
      <c r="G14" s="1384"/>
      <c r="H14" s="1384"/>
      <c r="I14" s="1384"/>
      <c r="J14" s="1384"/>
      <c r="K14" s="1384"/>
      <c r="L14" s="1384"/>
      <c r="M14" s="1384"/>
      <c r="N14" s="1384"/>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600"/>
      <c r="BB14" s="600"/>
      <c r="BC14" s="600"/>
      <c r="BD14" s="5"/>
    </row>
    <row r="15" spans="1:56" s="670" customFormat="1" ht="12.75" customHeight="1" x14ac:dyDescent="0.2">
      <c r="A15" s="667"/>
      <c r="B15" s="668"/>
      <c r="C15" s="694"/>
      <c r="D15" s="1416" t="str">
        <f>Translations!$B$277</f>
        <v>Poniższe tabele są identyczne jak w arkuszu „Accounting” (Rachunkowość) w przedstawionym przez Komisję formularzu rocznego raportu na temat wielkości emisji.</v>
      </c>
      <c r="E15" s="1416"/>
      <c r="F15" s="1416"/>
      <c r="G15" s="1416"/>
      <c r="H15" s="1416"/>
      <c r="I15" s="1416"/>
      <c r="J15" s="1416"/>
      <c r="K15" s="1416"/>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600"/>
      <c r="BB15" s="600"/>
      <c r="BC15" s="689"/>
      <c r="BD15" s="5"/>
    </row>
    <row r="16" spans="1:56" s="670" customFormat="1" ht="12.75" customHeight="1" x14ac:dyDescent="0.2">
      <c r="A16" s="667"/>
      <c r="B16" s="668"/>
      <c r="C16" s="694"/>
      <c r="D16" s="1416" t="str">
        <f>Translations!$B$278</f>
        <v>W związku z tym dane do każdej tabeli można skopiować z formularza rocznego raportu na temat wielkości emisji bez późniejszych wpisów, a także znaleźć tam dodatkowe wskazówki.</v>
      </c>
      <c r="E16" s="1416"/>
      <c r="F16" s="1416"/>
      <c r="G16" s="1416"/>
      <c r="H16" s="1416"/>
      <c r="I16" s="1416"/>
      <c r="J16" s="1416"/>
      <c r="K16" s="1416"/>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600"/>
      <c r="BB16" s="600"/>
      <c r="BC16" s="689"/>
      <c r="BD16" s="5"/>
    </row>
    <row r="17" spans="1:56" s="670" customFormat="1" ht="12.75" customHeight="1" x14ac:dyDescent="0.2">
      <c r="A17" s="667"/>
      <c r="B17" s="668"/>
      <c r="C17" s="694"/>
      <c r="D17" s="1416" t="str">
        <f>Translations!$B$279</f>
        <v>Jeżeli formularz Komisji nie jest stosowany w danym państwie członkowskim lub woleliby Państwo wprowadzić dane ręcznie, każda tabela zawiera przykładowe dane na górze (białe pola).</v>
      </c>
      <c r="E17" s="1416"/>
      <c r="F17" s="1416"/>
      <c r="G17" s="1416"/>
      <c r="H17" s="1416"/>
      <c r="I17" s="1416"/>
      <c r="J17" s="1416"/>
      <c r="K17" s="1416"/>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600"/>
      <c r="BB17" s="600"/>
      <c r="BC17" s="689"/>
      <c r="BD17" s="5"/>
    </row>
    <row r="18" spans="1:56" s="670" customFormat="1" ht="25.5" customHeight="1" x14ac:dyDescent="0.2">
      <c r="A18" s="667"/>
      <c r="B18" s="668"/>
      <c r="C18" s="694"/>
      <c r="D18" s="1414" t="str">
        <f>Translations!$B$280</f>
        <v>Proszę zwrócić uwagę, że w tym arkuszu nie są dokonywane żadne obliczenia. W związku z tym należy poprawnie wpisywać sumy w kolumnach AU do AY, ponieważ dane te będą wykorzystywane w kolejnych polach niniejszego formularza!</v>
      </c>
      <c r="E18" s="1414"/>
      <c r="F18" s="1414"/>
      <c r="G18" s="1414"/>
      <c r="H18" s="1414"/>
      <c r="I18" s="1414"/>
      <c r="J18" s="1414"/>
      <c r="K18" s="1414"/>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600"/>
      <c r="BB18" s="600"/>
      <c r="BC18" s="689"/>
      <c r="BD18" s="5"/>
    </row>
    <row r="19" spans="1:56" ht="50.1" customHeight="1" thickBot="1" x14ac:dyDescent="0.45">
      <c r="A19" s="600"/>
      <c r="B19" s="197"/>
      <c r="C19" s="77"/>
      <c r="D19" s="522" t="str">
        <f>Translations!$B$281</f>
        <v>Strumienie materiałów wsadowych (z wyłączeniem emisji PFC)</v>
      </c>
      <c r="E19" s="197"/>
      <c r="F19" s="197"/>
      <c r="G19" s="197"/>
      <c r="H19" s="197"/>
      <c r="I19" s="197"/>
      <c r="J19" s="197"/>
      <c r="K19" s="197"/>
      <c r="L19" s="197"/>
      <c r="N19" s="197"/>
      <c r="O19" s="197"/>
      <c r="P19" s="197"/>
      <c r="Q19" s="197"/>
      <c r="R19" s="197"/>
      <c r="S19" s="197"/>
      <c r="T19" s="197"/>
      <c r="U19" s="197"/>
      <c r="V19" s="197"/>
      <c r="W19" s="197"/>
      <c r="X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600"/>
      <c r="BB19" s="600"/>
      <c r="BC19" s="689"/>
      <c r="BD19" s="5"/>
    </row>
    <row r="20" spans="1:56" ht="50.1" customHeight="1" thickBot="1" x14ac:dyDescent="0.25">
      <c r="A20" s="600"/>
      <c r="B20" s="197"/>
      <c r="C20" s="523" t="s">
        <v>482</v>
      </c>
      <c r="D20" s="524" t="str">
        <f>Translations!$B$282</f>
        <v>Metoda</v>
      </c>
      <c r="E20" s="524" t="str">
        <f>Translations!$B$283</f>
        <v>Nazwa strumienia materiałów wsadowych</v>
      </c>
      <c r="F20" s="525" t="str">
        <f>Translations!$B$284</f>
        <v>Dane dotyczące działalności (AD)</v>
      </c>
      <c r="G20" s="525" t="str">
        <f>Translations!$B$285</f>
        <v>Jednostka AD</v>
      </c>
      <c r="H20" s="525" t="str">
        <f>Translations!$B$286</f>
        <v>Wartość opałowa (NCV)</v>
      </c>
      <c r="I20" s="525" t="str">
        <f>Translations!$B$287</f>
        <v>Jednostka NCV</v>
      </c>
      <c r="J20" s="525" t="str">
        <f>Translations!$B$288</f>
        <v>Współczynnik emisji (EF)</v>
      </c>
      <c r="K20" s="525" t="str">
        <f>Translations!$B$289</f>
        <v>Jednostka EF</v>
      </c>
      <c r="L20" s="525" t="str">
        <f>Translations!$B$290</f>
        <v>Zawartość węgla</v>
      </c>
      <c r="M20" s="525" t="str">
        <f>Translations!$B$291</f>
        <v>Jednostka zawartości węgla</v>
      </c>
      <c r="N20" s="525" t="str">
        <f>Translations!$B$292</f>
        <v>Współczynnik utleniania (OxF)</v>
      </c>
      <c r="O20" s="525" t="str">
        <f>Translations!$B$293</f>
        <v>Jednostka OxF</v>
      </c>
      <c r="P20" s="525" t="str">
        <f>Translations!$B$294</f>
        <v>Współczynnik konwersji</v>
      </c>
      <c r="Q20" s="525" t="str">
        <f>Translations!$B$295</f>
        <v>Jednostka współczynnika konwersji</v>
      </c>
      <c r="R20" s="525" t="str">
        <f>Translations!$B$296</f>
        <v>Zawartość biomasy (BioC)</v>
      </c>
      <c r="S20" s="525" t="str">
        <f>Translations!$B$297</f>
        <v>Jednostka BioC</v>
      </c>
      <c r="T20" s="525" t="str">
        <f>Translations!$B$298</f>
        <v>BioC niezrówn.</v>
      </c>
      <c r="U20" s="525" t="str">
        <f>Translations!$B$299</f>
        <v>Jednostka BioC niezrówn.</v>
      </c>
      <c r="V20" s="525" t="str">
        <f>Translations!$B$300</f>
        <v>Średnie godzinowe stężenie gazów cieplarnianych (GHG)</v>
      </c>
      <c r="W20" s="525" t="str">
        <f>Translations!$B$301</f>
        <v>Jednostka godzinowego stężenia GHG</v>
      </c>
      <c r="X20" s="525" t="str">
        <f>Translations!$B$302</f>
        <v>Godziny działania</v>
      </c>
      <c r="Y20" s="525" t="str">
        <f>Translations!$B$303</f>
        <v>Jednostka godzin działania</v>
      </c>
      <c r="Z20" s="525" t="str">
        <f>Translations!$B$304</f>
        <v>Przepływ spalin (średnia)</v>
      </c>
      <c r="AA20" s="525" t="str">
        <f>Translations!$B$305</f>
        <v>Jednostka przepływu spalin (średnia)</v>
      </c>
      <c r="AB20" s="525" t="str">
        <f>Translations!$B$306</f>
        <v>Przepływ spalin (łącznie)</v>
      </c>
      <c r="AC20" s="525" t="str">
        <f>Translations!$B$307</f>
        <v>Jednostka przepływu spalin (łącznie)</v>
      </c>
      <c r="AD20" s="525" t="str">
        <f>Translations!$B$308</f>
        <v>Roczna ilość GHG</v>
      </c>
      <c r="AE20" s="525" t="str">
        <f>Translations!$B$309</f>
        <v>Jednostka rocznej ilości GHG</v>
      </c>
      <c r="AF20" s="525" t="str">
        <f>Translations!$B$310</f>
        <v>Współczynnik ocieplenia globalnego GWP (tCO2e/t)</v>
      </c>
      <c r="AG20" s="525" t="str">
        <f>Translations!$B$311</f>
        <v>A: Częstotliwość</v>
      </c>
      <c r="AH20" s="525" t="str">
        <f>Translations!$B$312</f>
        <v>A: Czas trwania</v>
      </c>
      <c r="AI20" s="525" t="str">
        <f>Translations!$B$313</f>
        <v>A: SEF (CF4)</v>
      </c>
      <c r="AJ20" s="525" t="str">
        <f>Translations!$B$314</f>
        <v>B: AEO</v>
      </c>
      <c r="AK20" s="525" t="str">
        <f>Translations!$B$315</f>
        <v>B: CE</v>
      </c>
      <c r="AL20" s="525" t="str">
        <f>Translations!$B$316</f>
        <v>B: OVC</v>
      </c>
      <c r="AM20" s="525" t="str">
        <f>Translations!$B$317</f>
        <v>F(C2F6)</v>
      </c>
      <c r="AN20" s="525" t="str">
        <f>Translations!$B$318</f>
        <v>Emisje CF4 (t CF4)</v>
      </c>
      <c r="AO20" s="525" t="str">
        <f>Translations!$B$319</f>
        <v>Emisje C2F6 (t C2F6)</v>
      </c>
      <c r="AP20" s="525" t="str">
        <f>Translations!$B$320</f>
        <v>GWP (CF4) (tCO2e/t)</v>
      </c>
      <c r="AQ20" s="525" t="str">
        <f>Translations!$B$321</f>
        <v>GWP (C2F6) (tCO2e/t)</v>
      </c>
      <c r="AR20" s="525" t="str">
        <f>Translations!$B$322</f>
        <v>Emisje CF4 (t CO2e)</v>
      </c>
      <c r="AS20" s="525" t="str">
        <f>Translations!$B$323</f>
        <v>Emisje C2F6 (t CO2e)</v>
      </c>
      <c r="AT20" s="525" t="str">
        <f>Translations!$B$324</f>
        <v>Całkowita wydajność, %</v>
      </c>
      <c r="AU20" s="525" t="str">
        <f>Translations!$B$325</f>
        <v>Kopalne CO2e (t)</v>
      </c>
      <c r="AV20" s="525" t="str">
        <f>Translations!$B$326</f>
        <v>CO2e z biomasy (t)</v>
      </c>
      <c r="AW20" s="525" t="str">
        <f>Translations!$B$327</f>
        <v>CO2e z biomasy niezrówn. (t)</v>
      </c>
      <c r="AX20" s="526" t="str">
        <f>Translations!$B$328</f>
        <v>Zawartość energii (kopalne), TJ</v>
      </c>
      <c r="AY20" s="527" t="str">
        <f>Translations!$B$329</f>
        <v>Zawartość energii (biomasa), TJ</v>
      </c>
      <c r="AZ20" s="197"/>
      <c r="BA20" s="600"/>
      <c r="BB20" s="600"/>
      <c r="BC20" s="689"/>
      <c r="BD20" s="5"/>
    </row>
    <row r="21" spans="1:56" ht="12.75" customHeight="1" x14ac:dyDescent="0.2">
      <c r="A21" s="600"/>
      <c r="B21" s="197"/>
      <c r="C21" s="533" t="str">
        <f>Translations!$B$330</f>
        <v>Przykł. 1</v>
      </c>
      <c r="D21" s="690" t="str">
        <f>Translations!$B$331</f>
        <v>Spalanie</v>
      </c>
      <c r="E21" s="690" t="str">
        <f>Translations!$B$332</f>
        <v>Ciężki olej opałowy</v>
      </c>
      <c r="F21" s="691">
        <v>252000</v>
      </c>
      <c r="G21" s="528" t="s">
        <v>212</v>
      </c>
      <c r="H21" s="691">
        <v>45</v>
      </c>
      <c r="I21" s="528" t="s">
        <v>529</v>
      </c>
      <c r="J21" s="691">
        <v>73</v>
      </c>
      <c r="K21" s="528" t="s">
        <v>530</v>
      </c>
      <c r="L21" s="528"/>
      <c r="M21" s="528" t="s">
        <v>489</v>
      </c>
      <c r="N21" s="691">
        <v>100</v>
      </c>
      <c r="O21" s="692" t="s">
        <v>409</v>
      </c>
      <c r="P21" s="691"/>
      <c r="Q21" s="692" t="s">
        <v>409</v>
      </c>
      <c r="R21" s="691">
        <v>0</v>
      </c>
      <c r="S21" s="692" t="s">
        <v>409</v>
      </c>
      <c r="T21" s="691">
        <v>0</v>
      </c>
      <c r="U21" s="692" t="s">
        <v>409</v>
      </c>
      <c r="V21" s="778"/>
      <c r="W21" s="778"/>
      <c r="X21" s="778"/>
      <c r="Y21" s="778"/>
      <c r="Z21" s="778"/>
      <c r="AA21" s="778"/>
      <c r="AB21" s="778"/>
      <c r="AC21" s="778"/>
      <c r="AD21" s="778"/>
      <c r="AE21" s="778"/>
      <c r="AF21" s="778"/>
      <c r="AG21" s="778"/>
      <c r="AH21" s="778"/>
      <c r="AI21" s="778"/>
      <c r="AJ21" s="778"/>
      <c r="AK21" s="778"/>
      <c r="AL21" s="778"/>
      <c r="AM21" s="778"/>
      <c r="AN21" s="778"/>
      <c r="AO21" s="778"/>
      <c r="AP21" s="778"/>
      <c r="AQ21" s="778"/>
      <c r="AR21" s="778"/>
      <c r="AS21" s="778"/>
      <c r="AT21" s="778"/>
      <c r="AU21" s="693">
        <v>827820</v>
      </c>
      <c r="AV21" s="693">
        <v>0</v>
      </c>
      <c r="AW21" s="693">
        <v>0</v>
      </c>
      <c r="AX21" s="691">
        <v>11340</v>
      </c>
      <c r="AY21" s="691">
        <v>0</v>
      </c>
      <c r="AZ21" s="197"/>
      <c r="BA21" s="600"/>
      <c r="BB21" s="600"/>
      <c r="BC21" s="689"/>
      <c r="BD21" s="5"/>
    </row>
    <row r="22" spans="1:56" ht="12.75" customHeight="1" x14ac:dyDescent="0.2">
      <c r="A22" s="600"/>
      <c r="B22" s="197"/>
      <c r="C22" s="533" t="str">
        <f>Translations!$B$333</f>
        <v>Przykł. 2</v>
      </c>
      <c r="D22" s="690" t="str">
        <f>Translations!$B$334</f>
        <v>Emisje procesowe</v>
      </c>
      <c r="E22" s="690" t="str">
        <f>Translations!$B$335</f>
        <v>Glina</v>
      </c>
      <c r="F22" s="691">
        <v>121000</v>
      </c>
      <c r="G22" s="528" t="s">
        <v>212</v>
      </c>
      <c r="H22" s="691"/>
      <c r="I22" s="528" t="s">
        <v>489</v>
      </c>
      <c r="J22" s="691">
        <v>8.7940000000000004E-2</v>
      </c>
      <c r="K22" s="528" t="s">
        <v>531</v>
      </c>
      <c r="L22" s="528"/>
      <c r="M22" s="528" t="s">
        <v>489</v>
      </c>
      <c r="N22" s="691"/>
      <c r="O22" s="692" t="s">
        <v>409</v>
      </c>
      <c r="P22" s="691"/>
      <c r="Q22" s="692" t="s">
        <v>409</v>
      </c>
      <c r="R22" s="691">
        <v>0</v>
      </c>
      <c r="S22" s="692" t="s">
        <v>409</v>
      </c>
      <c r="T22" s="691">
        <v>0</v>
      </c>
      <c r="U22" s="692" t="s">
        <v>409</v>
      </c>
      <c r="V22" s="778"/>
      <c r="W22" s="778"/>
      <c r="X22" s="778"/>
      <c r="Y22" s="778"/>
      <c r="Z22" s="778"/>
      <c r="AA22" s="778"/>
      <c r="AB22" s="778"/>
      <c r="AC22" s="778"/>
      <c r="AD22" s="778"/>
      <c r="AE22" s="778"/>
      <c r="AF22" s="778"/>
      <c r="AG22" s="778"/>
      <c r="AH22" s="778"/>
      <c r="AI22" s="778"/>
      <c r="AJ22" s="778"/>
      <c r="AK22" s="778"/>
      <c r="AL22" s="778"/>
      <c r="AM22" s="778"/>
      <c r="AN22" s="778"/>
      <c r="AO22" s="778"/>
      <c r="AP22" s="778"/>
      <c r="AQ22" s="778"/>
      <c r="AR22" s="778"/>
      <c r="AS22" s="778"/>
      <c r="AT22" s="778"/>
      <c r="AU22" s="693">
        <v>10640.74</v>
      </c>
      <c r="AV22" s="693">
        <v>0</v>
      </c>
      <c r="AW22" s="693">
        <v>0</v>
      </c>
      <c r="AX22" s="691">
        <v>0</v>
      </c>
      <c r="AY22" s="691">
        <v>0</v>
      </c>
      <c r="AZ22" s="197"/>
      <c r="BA22" s="600"/>
      <c r="BB22" s="600"/>
      <c r="BC22" s="689"/>
      <c r="BD22" s="5"/>
    </row>
    <row r="23" spans="1:56" ht="12.75" customHeight="1" x14ac:dyDescent="0.2">
      <c r="A23" s="600"/>
      <c r="B23" s="197"/>
      <c r="C23" s="533" t="str">
        <f>Translations!$B$336</f>
        <v>Przykł. 3</v>
      </c>
      <c r="D23" s="690" t="str">
        <f>Translations!$B$337</f>
        <v>Bilans masowy</v>
      </c>
      <c r="E23" s="690" t="str">
        <f>Translations!$B$338</f>
        <v>Stal</v>
      </c>
      <c r="F23" s="691">
        <v>-1808226</v>
      </c>
      <c r="G23" s="528" t="s">
        <v>212</v>
      </c>
      <c r="H23" s="691"/>
      <c r="I23" s="528" t="s">
        <v>489</v>
      </c>
      <c r="J23" s="691">
        <v>0</v>
      </c>
      <c r="K23" s="528" t="s">
        <v>489</v>
      </c>
      <c r="L23" s="528">
        <v>0.38779999999999998</v>
      </c>
      <c r="M23" s="528" t="s">
        <v>532</v>
      </c>
      <c r="N23" s="691"/>
      <c r="O23" s="692" t="s">
        <v>409</v>
      </c>
      <c r="P23" s="691">
        <v>100</v>
      </c>
      <c r="Q23" s="692" t="s">
        <v>409</v>
      </c>
      <c r="R23" s="691">
        <v>0</v>
      </c>
      <c r="S23" s="692" t="s">
        <v>409</v>
      </c>
      <c r="T23" s="691">
        <v>0</v>
      </c>
      <c r="U23" s="692" t="s">
        <v>409</v>
      </c>
      <c r="V23" s="778"/>
      <c r="W23" s="778"/>
      <c r="X23" s="778"/>
      <c r="Y23" s="778"/>
      <c r="Z23" s="778"/>
      <c r="AA23" s="778"/>
      <c r="AB23" s="778"/>
      <c r="AC23" s="778"/>
      <c r="AD23" s="778"/>
      <c r="AE23" s="778"/>
      <c r="AF23" s="778"/>
      <c r="AG23" s="778"/>
      <c r="AH23" s="778"/>
      <c r="AI23" s="778"/>
      <c r="AJ23" s="778"/>
      <c r="AK23" s="778"/>
      <c r="AL23" s="778"/>
      <c r="AM23" s="778"/>
      <c r="AN23" s="778"/>
      <c r="AO23" s="778"/>
      <c r="AP23" s="778"/>
      <c r="AQ23" s="778"/>
      <c r="AR23" s="778"/>
      <c r="AS23" s="778"/>
      <c r="AT23" s="778"/>
      <c r="AU23" s="693">
        <v>-2569306.8768191999</v>
      </c>
      <c r="AV23" s="693">
        <v>0</v>
      </c>
      <c r="AW23" s="693">
        <v>0</v>
      </c>
      <c r="AX23" s="691">
        <v>0</v>
      </c>
      <c r="AY23" s="691">
        <v>0</v>
      </c>
      <c r="AZ23" s="197"/>
      <c r="BA23" s="600"/>
      <c r="BB23" s="600"/>
      <c r="BC23" s="689"/>
      <c r="BD23" s="5"/>
    </row>
    <row r="24" spans="1:56" x14ac:dyDescent="0.2">
      <c r="A24" s="600"/>
      <c r="B24" s="197"/>
      <c r="C24" s="533">
        <v>1</v>
      </c>
      <c r="D24" s="594" t="s">
        <v>2507</v>
      </c>
      <c r="E24" s="594" t="s">
        <v>3674</v>
      </c>
      <c r="F24" s="595">
        <v>81000</v>
      </c>
      <c r="G24" s="596" t="s">
        <v>212</v>
      </c>
      <c r="H24" s="595">
        <v>19</v>
      </c>
      <c r="I24" s="596" t="s">
        <v>529</v>
      </c>
      <c r="J24" s="595">
        <v>98.013999999999996</v>
      </c>
      <c r="K24" s="596" t="s">
        <v>530</v>
      </c>
      <c r="L24" s="596">
        <v>0</v>
      </c>
      <c r="M24" s="596" t="s">
        <v>489</v>
      </c>
      <c r="N24" s="595">
        <v>99.5</v>
      </c>
      <c r="O24" s="597" t="s">
        <v>409</v>
      </c>
      <c r="P24" s="595">
        <v>100</v>
      </c>
      <c r="Q24" s="597" t="s">
        <v>409</v>
      </c>
      <c r="R24" s="595">
        <v>0</v>
      </c>
      <c r="S24" s="597" t="s">
        <v>409</v>
      </c>
      <c r="T24" s="595">
        <v>0</v>
      </c>
      <c r="U24" s="597" t="s">
        <v>409</v>
      </c>
      <c r="V24" s="778"/>
      <c r="W24" s="778"/>
      <c r="X24" s="778"/>
      <c r="Y24" s="778"/>
      <c r="Z24" s="778"/>
      <c r="AA24" s="778"/>
      <c r="AB24" s="778"/>
      <c r="AC24" s="778"/>
      <c r="AD24" s="778"/>
      <c r="AE24" s="778"/>
      <c r="AF24" s="778"/>
      <c r="AG24" s="778"/>
      <c r="AH24" s="778"/>
      <c r="AI24" s="778"/>
      <c r="AJ24" s="778"/>
      <c r="AK24" s="778"/>
      <c r="AL24" s="778"/>
      <c r="AM24" s="778"/>
      <c r="AN24" s="778"/>
      <c r="AO24" s="778"/>
      <c r="AP24" s="778"/>
      <c r="AQ24" s="778"/>
      <c r="AR24" s="778"/>
      <c r="AS24" s="778"/>
      <c r="AT24" s="778"/>
      <c r="AU24" s="598">
        <v>150089.32827</v>
      </c>
      <c r="AV24" s="598">
        <v>0</v>
      </c>
      <c r="AW24" s="598">
        <v>0</v>
      </c>
      <c r="AX24" s="595">
        <v>1539</v>
      </c>
      <c r="AY24" s="595">
        <v>0</v>
      </c>
      <c r="AZ24" s="197"/>
      <c r="BA24" s="478" t="s">
        <v>157</v>
      </c>
      <c r="BB24" s="573" t="s">
        <v>159</v>
      </c>
      <c r="BC24" s="600"/>
      <c r="BD24" s="5"/>
    </row>
    <row r="25" spans="1:56" x14ac:dyDescent="0.2">
      <c r="A25" s="600"/>
      <c r="B25" s="197"/>
      <c r="C25" s="534">
        <v>2</v>
      </c>
      <c r="D25" s="594" t="s">
        <v>2507</v>
      </c>
      <c r="E25" s="594" t="s">
        <v>3675</v>
      </c>
      <c r="F25" s="595">
        <v>81000</v>
      </c>
      <c r="G25" s="596" t="s">
        <v>212</v>
      </c>
      <c r="H25" s="595">
        <v>16</v>
      </c>
      <c r="I25" s="596" t="s">
        <v>529</v>
      </c>
      <c r="J25" s="595">
        <v>112</v>
      </c>
      <c r="K25" s="596" t="s">
        <v>530</v>
      </c>
      <c r="L25" s="596">
        <v>0</v>
      </c>
      <c r="M25" s="596" t="s">
        <v>489</v>
      </c>
      <c r="N25" s="595">
        <v>100</v>
      </c>
      <c r="O25" s="597" t="s">
        <v>409</v>
      </c>
      <c r="P25" s="595">
        <v>100</v>
      </c>
      <c r="Q25" s="597" t="s">
        <v>409</v>
      </c>
      <c r="R25" s="595">
        <v>100</v>
      </c>
      <c r="S25" s="597" t="s">
        <v>409</v>
      </c>
      <c r="T25" s="595">
        <v>0</v>
      </c>
      <c r="U25" s="597" t="s">
        <v>409</v>
      </c>
      <c r="V25" s="778"/>
      <c r="W25" s="778"/>
      <c r="X25" s="778"/>
      <c r="Y25" s="778"/>
      <c r="Z25" s="778"/>
      <c r="AA25" s="778"/>
      <c r="AB25" s="778"/>
      <c r="AC25" s="778"/>
      <c r="AD25" s="778"/>
      <c r="AE25" s="778"/>
      <c r="AF25" s="778"/>
      <c r="AG25" s="778"/>
      <c r="AH25" s="778"/>
      <c r="AI25" s="778"/>
      <c r="AJ25" s="778"/>
      <c r="AK25" s="778"/>
      <c r="AL25" s="778"/>
      <c r="AM25" s="778"/>
      <c r="AN25" s="778"/>
      <c r="AO25" s="778"/>
      <c r="AP25" s="778"/>
      <c r="AQ25" s="778"/>
      <c r="AR25" s="778"/>
      <c r="AS25" s="778"/>
      <c r="AT25" s="778"/>
      <c r="AU25" s="598">
        <v>0</v>
      </c>
      <c r="AV25" s="598">
        <v>145152</v>
      </c>
      <c r="AW25" s="598">
        <v>0</v>
      </c>
      <c r="AX25" s="595">
        <v>0</v>
      </c>
      <c r="AY25" s="595">
        <v>1296</v>
      </c>
      <c r="AZ25" s="197"/>
      <c r="BA25" s="478" t="s">
        <v>157</v>
      </c>
      <c r="BB25" s="573" t="s">
        <v>159</v>
      </c>
      <c r="BC25" s="600"/>
      <c r="BD25" s="5"/>
    </row>
    <row r="26" spans="1:56" x14ac:dyDescent="0.2">
      <c r="A26" s="600"/>
      <c r="B26" s="197"/>
      <c r="C26" s="534">
        <v>3</v>
      </c>
      <c r="D26" s="594"/>
      <c r="E26" s="594"/>
      <c r="F26" s="595"/>
      <c r="G26" s="596"/>
      <c r="H26" s="595"/>
      <c r="I26" s="596"/>
      <c r="J26" s="595"/>
      <c r="K26" s="596"/>
      <c r="L26" s="596"/>
      <c r="M26" s="596"/>
      <c r="N26" s="595"/>
      <c r="O26" s="597"/>
      <c r="P26" s="595"/>
      <c r="Q26" s="597"/>
      <c r="R26" s="595"/>
      <c r="S26" s="597"/>
      <c r="T26" s="595"/>
      <c r="U26" s="597"/>
      <c r="V26" s="778"/>
      <c r="W26" s="778"/>
      <c r="X26" s="778"/>
      <c r="Y26" s="778"/>
      <c r="Z26" s="778"/>
      <c r="AA26" s="778"/>
      <c r="AB26" s="778"/>
      <c r="AC26" s="778"/>
      <c r="AD26" s="778"/>
      <c r="AE26" s="778"/>
      <c r="AF26" s="778"/>
      <c r="AG26" s="778"/>
      <c r="AH26" s="778"/>
      <c r="AI26" s="778"/>
      <c r="AJ26" s="778"/>
      <c r="AK26" s="778"/>
      <c r="AL26" s="778"/>
      <c r="AM26" s="778"/>
      <c r="AN26" s="778"/>
      <c r="AO26" s="778"/>
      <c r="AP26" s="778"/>
      <c r="AQ26" s="778"/>
      <c r="AR26" s="778"/>
      <c r="AS26" s="778"/>
      <c r="AT26" s="778"/>
      <c r="AU26" s="598"/>
      <c r="AV26" s="598"/>
      <c r="AW26" s="598"/>
      <c r="AX26" s="595"/>
      <c r="AY26" s="595"/>
      <c r="AZ26" s="197"/>
      <c r="BA26" s="478"/>
      <c r="BB26" s="573"/>
      <c r="BC26" s="600"/>
      <c r="BD26" s="5"/>
    </row>
    <row r="27" spans="1:56" x14ac:dyDescent="0.2">
      <c r="A27" s="600"/>
      <c r="B27" s="197"/>
      <c r="C27" s="534">
        <v>4</v>
      </c>
      <c r="D27" s="594"/>
      <c r="E27" s="594"/>
      <c r="F27" s="595"/>
      <c r="G27" s="596"/>
      <c r="H27" s="595"/>
      <c r="I27" s="596"/>
      <c r="J27" s="595"/>
      <c r="K27" s="596"/>
      <c r="L27" s="596"/>
      <c r="M27" s="596"/>
      <c r="N27" s="595"/>
      <c r="O27" s="597"/>
      <c r="P27" s="595"/>
      <c r="Q27" s="597"/>
      <c r="R27" s="595"/>
      <c r="S27" s="597"/>
      <c r="T27" s="595"/>
      <c r="U27" s="597"/>
      <c r="V27" s="778"/>
      <c r="W27" s="778"/>
      <c r="X27" s="778"/>
      <c r="Y27" s="778"/>
      <c r="Z27" s="778"/>
      <c r="AA27" s="778"/>
      <c r="AB27" s="778"/>
      <c r="AC27" s="778"/>
      <c r="AD27" s="778"/>
      <c r="AE27" s="778"/>
      <c r="AF27" s="778"/>
      <c r="AG27" s="778"/>
      <c r="AH27" s="778"/>
      <c r="AI27" s="778"/>
      <c r="AJ27" s="778"/>
      <c r="AK27" s="778"/>
      <c r="AL27" s="778"/>
      <c r="AM27" s="778"/>
      <c r="AN27" s="778"/>
      <c r="AO27" s="778"/>
      <c r="AP27" s="778"/>
      <c r="AQ27" s="778"/>
      <c r="AR27" s="778"/>
      <c r="AS27" s="778"/>
      <c r="AT27" s="778"/>
      <c r="AU27" s="598"/>
      <c r="AV27" s="598"/>
      <c r="AW27" s="598"/>
      <c r="AX27" s="595"/>
      <c r="AY27" s="595"/>
      <c r="AZ27" s="197"/>
      <c r="BA27" s="478" t="str">
        <f t="shared" ref="BA24:BA87" si="0">EUconst_SumCO2</f>
        <v>SUM_CO2</v>
      </c>
      <c r="BB27" s="573" t="str">
        <f t="shared" ref="BB24:BB87" si="1">EUconst_SumEnergyIN</f>
        <v>SUM_EnergyIN</v>
      </c>
      <c r="BC27" s="600"/>
      <c r="BD27" s="5"/>
    </row>
    <row r="28" spans="1:56" x14ac:dyDescent="0.2">
      <c r="A28" s="600"/>
      <c r="B28" s="197"/>
      <c r="C28" s="534">
        <v>5</v>
      </c>
      <c r="D28" s="594"/>
      <c r="E28" s="594"/>
      <c r="F28" s="595"/>
      <c r="G28" s="596"/>
      <c r="H28" s="595"/>
      <c r="I28" s="596"/>
      <c r="J28" s="595"/>
      <c r="K28" s="596"/>
      <c r="L28" s="596"/>
      <c r="M28" s="596"/>
      <c r="N28" s="595"/>
      <c r="O28" s="597"/>
      <c r="P28" s="595"/>
      <c r="Q28" s="597"/>
      <c r="R28" s="595"/>
      <c r="S28" s="597"/>
      <c r="T28" s="595"/>
      <c r="U28" s="597"/>
      <c r="V28" s="778"/>
      <c r="W28" s="778"/>
      <c r="X28" s="778"/>
      <c r="Y28" s="778"/>
      <c r="Z28" s="778"/>
      <c r="AA28" s="778"/>
      <c r="AB28" s="778"/>
      <c r="AC28" s="778"/>
      <c r="AD28" s="778"/>
      <c r="AE28" s="778"/>
      <c r="AF28" s="778"/>
      <c r="AG28" s="778"/>
      <c r="AH28" s="778"/>
      <c r="AI28" s="778"/>
      <c r="AJ28" s="778"/>
      <c r="AK28" s="778"/>
      <c r="AL28" s="778"/>
      <c r="AM28" s="778"/>
      <c r="AN28" s="778"/>
      <c r="AO28" s="778"/>
      <c r="AP28" s="778"/>
      <c r="AQ28" s="778"/>
      <c r="AR28" s="778"/>
      <c r="AS28" s="778"/>
      <c r="AT28" s="778"/>
      <c r="AU28" s="598"/>
      <c r="AV28" s="598"/>
      <c r="AW28" s="598"/>
      <c r="AX28" s="595"/>
      <c r="AY28" s="595"/>
      <c r="AZ28" s="197"/>
      <c r="BA28" s="478" t="str">
        <f t="shared" si="0"/>
        <v>SUM_CO2</v>
      </c>
      <c r="BB28" s="573" t="str">
        <f t="shared" si="1"/>
        <v>SUM_EnergyIN</v>
      </c>
      <c r="BC28" s="600"/>
      <c r="BD28" s="5"/>
    </row>
    <row r="29" spans="1:56" x14ac:dyDescent="0.2">
      <c r="A29" s="600"/>
      <c r="B29" s="197"/>
      <c r="C29" s="534">
        <v>6</v>
      </c>
      <c r="D29" s="594"/>
      <c r="E29" s="594"/>
      <c r="F29" s="595"/>
      <c r="G29" s="596"/>
      <c r="H29" s="595"/>
      <c r="I29" s="596"/>
      <c r="J29" s="595"/>
      <c r="K29" s="596"/>
      <c r="L29" s="596"/>
      <c r="M29" s="596"/>
      <c r="N29" s="595"/>
      <c r="O29" s="597"/>
      <c r="P29" s="595"/>
      <c r="Q29" s="597"/>
      <c r="R29" s="595"/>
      <c r="S29" s="597"/>
      <c r="T29" s="595"/>
      <c r="U29" s="597"/>
      <c r="V29" s="778"/>
      <c r="W29" s="778"/>
      <c r="X29" s="778"/>
      <c r="Y29" s="778"/>
      <c r="Z29" s="778"/>
      <c r="AA29" s="778"/>
      <c r="AB29" s="778"/>
      <c r="AC29" s="778"/>
      <c r="AD29" s="778"/>
      <c r="AE29" s="778"/>
      <c r="AF29" s="778"/>
      <c r="AG29" s="778"/>
      <c r="AH29" s="778"/>
      <c r="AI29" s="778"/>
      <c r="AJ29" s="778"/>
      <c r="AK29" s="778"/>
      <c r="AL29" s="778"/>
      <c r="AM29" s="778"/>
      <c r="AN29" s="778"/>
      <c r="AO29" s="778"/>
      <c r="AP29" s="778"/>
      <c r="AQ29" s="778"/>
      <c r="AR29" s="778"/>
      <c r="AS29" s="778"/>
      <c r="AT29" s="778"/>
      <c r="AU29" s="598"/>
      <c r="AV29" s="598"/>
      <c r="AW29" s="598"/>
      <c r="AX29" s="595"/>
      <c r="AY29" s="595"/>
      <c r="AZ29" s="197"/>
      <c r="BA29" s="478" t="str">
        <f t="shared" si="0"/>
        <v>SUM_CO2</v>
      </c>
      <c r="BB29" s="573" t="str">
        <f t="shared" si="1"/>
        <v>SUM_EnergyIN</v>
      </c>
      <c r="BC29" s="600"/>
      <c r="BD29" s="5"/>
    </row>
    <row r="30" spans="1:56" x14ac:dyDescent="0.2">
      <c r="A30" s="600"/>
      <c r="B30" s="197"/>
      <c r="C30" s="534">
        <v>7</v>
      </c>
      <c r="D30" s="594"/>
      <c r="E30" s="594"/>
      <c r="F30" s="595"/>
      <c r="G30" s="596"/>
      <c r="H30" s="595"/>
      <c r="I30" s="596"/>
      <c r="J30" s="595"/>
      <c r="K30" s="596"/>
      <c r="L30" s="596"/>
      <c r="M30" s="596"/>
      <c r="N30" s="595"/>
      <c r="O30" s="597"/>
      <c r="P30" s="595"/>
      <c r="Q30" s="597"/>
      <c r="R30" s="595"/>
      <c r="S30" s="597"/>
      <c r="T30" s="595"/>
      <c r="U30" s="597"/>
      <c r="V30" s="778"/>
      <c r="W30" s="778"/>
      <c r="X30" s="778"/>
      <c r="Y30" s="778"/>
      <c r="Z30" s="778"/>
      <c r="AA30" s="778"/>
      <c r="AB30" s="778"/>
      <c r="AC30" s="778"/>
      <c r="AD30" s="778"/>
      <c r="AE30" s="778"/>
      <c r="AF30" s="778"/>
      <c r="AG30" s="778"/>
      <c r="AH30" s="778"/>
      <c r="AI30" s="778"/>
      <c r="AJ30" s="778"/>
      <c r="AK30" s="778"/>
      <c r="AL30" s="778"/>
      <c r="AM30" s="778"/>
      <c r="AN30" s="778"/>
      <c r="AO30" s="778"/>
      <c r="AP30" s="778"/>
      <c r="AQ30" s="778"/>
      <c r="AR30" s="778"/>
      <c r="AS30" s="778"/>
      <c r="AT30" s="778"/>
      <c r="AU30" s="598"/>
      <c r="AV30" s="598"/>
      <c r="AW30" s="598"/>
      <c r="AX30" s="595"/>
      <c r="AY30" s="595"/>
      <c r="AZ30" s="197"/>
      <c r="BA30" s="478" t="str">
        <f t="shared" si="0"/>
        <v>SUM_CO2</v>
      </c>
      <c r="BB30" s="573" t="str">
        <f t="shared" si="1"/>
        <v>SUM_EnergyIN</v>
      </c>
      <c r="BC30" s="600"/>
      <c r="BD30" s="5"/>
    </row>
    <row r="31" spans="1:56" x14ac:dyDescent="0.2">
      <c r="A31" s="600"/>
      <c r="B31" s="197"/>
      <c r="C31" s="534">
        <v>8</v>
      </c>
      <c r="D31" s="594"/>
      <c r="E31" s="594"/>
      <c r="F31" s="595"/>
      <c r="G31" s="596"/>
      <c r="H31" s="595"/>
      <c r="I31" s="596"/>
      <c r="J31" s="595"/>
      <c r="K31" s="596"/>
      <c r="L31" s="596"/>
      <c r="M31" s="596"/>
      <c r="N31" s="595"/>
      <c r="O31" s="597"/>
      <c r="P31" s="595"/>
      <c r="Q31" s="597"/>
      <c r="R31" s="595"/>
      <c r="S31" s="597"/>
      <c r="T31" s="595"/>
      <c r="U31" s="597"/>
      <c r="V31" s="778"/>
      <c r="W31" s="778"/>
      <c r="X31" s="778"/>
      <c r="Y31" s="778"/>
      <c r="Z31" s="778"/>
      <c r="AA31" s="778"/>
      <c r="AB31" s="778"/>
      <c r="AC31" s="778"/>
      <c r="AD31" s="778"/>
      <c r="AE31" s="778"/>
      <c r="AF31" s="778"/>
      <c r="AG31" s="778"/>
      <c r="AH31" s="778"/>
      <c r="AI31" s="778"/>
      <c r="AJ31" s="778"/>
      <c r="AK31" s="778"/>
      <c r="AL31" s="778"/>
      <c r="AM31" s="778"/>
      <c r="AN31" s="778"/>
      <c r="AO31" s="778"/>
      <c r="AP31" s="778"/>
      <c r="AQ31" s="778"/>
      <c r="AR31" s="778"/>
      <c r="AS31" s="778"/>
      <c r="AT31" s="778"/>
      <c r="AU31" s="598"/>
      <c r="AV31" s="598"/>
      <c r="AW31" s="598"/>
      <c r="AX31" s="595"/>
      <c r="AY31" s="595"/>
      <c r="AZ31" s="197"/>
      <c r="BA31" s="478" t="str">
        <f t="shared" si="0"/>
        <v>SUM_CO2</v>
      </c>
      <c r="BB31" s="573" t="str">
        <f t="shared" si="1"/>
        <v>SUM_EnergyIN</v>
      </c>
      <c r="BC31" s="600"/>
      <c r="BD31" s="5"/>
    </row>
    <row r="32" spans="1:56" x14ac:dyDescent="0.2">
      <c r="A32" s="600"/>
      <c r="B32" s="197"/>
      <c r="C32" s="534">
        <v>9</v>
      </c>
      <c r="D32" s="594"/>
      <c r="E32" s="594"/>
      <c r="F32" s="595"/>
      <c r="G32" s="596"/>
      <c r="H32" s="595"/>
      <c r="I32" s="596"/>
      <c r="J32" s="595"/>
      <c r="K32" s="596"/>
      <c r="L32" s="596"/>
      <c r="M32" s="596"/>
      <c r="N32" s="595"/>
      <c r="O32" s="597"/>
      <c r="P32" s="595"/>
      <c r="Q32" s="597"/>
      <c r="R32" s="595"/>
      <c r="S32" s="597"/>
      <c r="T32" s="595"/>
      <c r="U32" s="597"/>
      <c r="V32" s="778"/>
      <c r="W32" s="778"/>
      <c r="X32" s="778"/>
      <c r="Y32" s="778"/>
      <c r="Z32" s="778"/>
      <c r="AA32" s="778"/>
      <c r="AB32" s="778"/>
      <c r="AC32" s="778"/>
      <c r="AD32" s="778"/>
      <c r="AE32" s="778"/>
      <c r="AF32" s="778"/>
      <c r="AG32" s="778"/>
      <c r="AH32" s="778"/>
      <c r="AI32" s="778"/>
      <c r="AJ32" s="778"/>
      <c r="AK32" s="778"/>
      <c r="AL32" s="778"/>
      <c r="AM32" s="778"/>
      <c r="AN32" s="778"/>
      <c r="AO32" s="778"/>
      <c r="AP32" s="778"/>
      <c r="AQ32" s="778"/>
      <c r="AR32" s="778"/>
      <c r="AS32" s="778"/>
      <c r="AT32" s="778"/>
      <c r="AU32" s="598"/>
      <c r="AV32" s="598"/>
      <c r="AW32" s="598"/>
      <c r="AX32" s="595"/>
      <c r="AY32" s="595"/>
      <c r="AZ32" s="197"/>
      <c r="BA32" s="478" t="str">
        <f t="shared" si="0"/>
        <v>SUM_CO2</v>
      </c>
      <c r="BB32" s="573" t="str">
        <f t="shared" si="1"/>
        <v>SUM_EnergyIN</v>
      </c>
      <c r="BC32" s="600"/>
      <c r="BD32" s="5"/>
    </row>
    <row r="33" spans="1:56" x14ac:dyDescent="0.2">
      <c r="A33" s="600"/>
      <c r="B33" s="197"/>
      <c r="C33" s="534">
        <v>10</v>
      </c>
      <c r="D33" s="594"/>
      <c r="E33" s="594"/>
      <c r="F33" s="595"/>
      <c r="G33" s="596"/>
      <c r="H33" s="595"/>
      <c r="I33" s="596"/>
      <c r="J33" s="595"/>
      <c r="K33" s="596"/>
      <c r="L33" s="596"/>
      <c r="M33" s="596"/>
      <c r="N33" s="595"/>
      <c r="O33" s="597"/>
      <c r="P33" s="595"/>
      <c r="Q33" s="597"/>
      <c r="R33" s="595"/>
      <c r="S33" s="597"/>
      <c r="T33" s="595"/>
      <c r="U33" s="597"/>
      <c r="V33" s="778"/>
      <c r="W33" s="778"/>
      <c r="X33" s="778"/>
      <c r="Y33" s="778"/>
      <c r="Z33" s="778"/>
      <c r="AA33" s="778"/>
      <c r="AB33" s="778"/>
      <c r="AC33" s="778"/>
      <c r="AD33" s="778"/>
      <c r="AE33" s="778"/>
      <c r="AF33" s="778"/>
      <c r="AG33" s="778"/>
      <c r="AH33" s="778"/>
      <c r="AI33" s="778"/>
      <c r="AJ33" s="778"/>
      <c r="AK33" s="778"/>
      <c r="AL33" s="778"/>
      <c r="AM33" s="778"/>
      <c r="AN33" s="778"/>
      <c r="AO33" s="778"/>
      <c r="AP33" s="778"/>
      <c r="AQ33" s="778"/>
      <c r="AR33" s="778"/>
      <c r="AS33" s="778"/>
      <c r="AT33" s="778"/>
      <c r="AU33" s="598"/>
      <c r="AV33" s="598"/>
      <c r="AW33" s="598"/>
      <c r="AX33" s="595"/>
      <c r="AY33" s="595"/>
      <c r="AZ33" s="197"/>
      <c r="BA33" s="478" t="str">
        <f t="shared" si="0"/>
        <v>SUM_CO2</v>
      </c>
      <c r="BB33" s="573" t="str">
        <f t="shared" si="1"/>
        <v>SUM_EnergyIN</v>
      </c>
      <c r="BC33" s="600"/>
      <c r="BD33" s="5"/>
    </row>
    <row r="34" spans="1:56" x14ac:dyDescent="0.2">
      <c r="A34" s="600"/>
      <c r="B34" s="197"/>
      <c r="C34" s="534">
        <v>11</v>
      </c>
      <c r="D34" s="594"/>
      <c r="E34" s="594"/>
      <c r="F34" s="595"/>
      <c r="G34" s="596"/>
      <c r="H34" s="595"/>
      <c r="I34" s="596"/>
      <c r="J34" s="595"/>
      <c r="K34" s="596"/>
      <c r="L34" s="596"/>
      <c r="M34" s="596"/>
      <c r="N34" s="595"/>
      <c r="O34" s="597"/>
      <c r="P34" s="595"/>
      <c r="Q34" s="597"/>
      <c r="R34" s="595"/>
      <c r="S34" s="597"/>
      <c r="T34" s="595"/>
      <c r="U34" s="597"/>
      <c r="V34" s="778"/>
      <c r="W34" s="778"/>
      <c r="X34" s="778"/>
      <c r="Y34" s="778"/>
      <c r="Z34" s="778"/>
      <c r="AA34" s="778"/>
      <c r="AB34" s="778"/>
      <c r="AC34" s="778"/>
      <c r="AD34" s="778"/>
      <c r="AE34" s="778"/>
      <c r="AF34" s="778"/>
      <c r="AG34" s="778"/>
      <c r="AH34" s="778"/>
      <c r="AI34" s="778"/>
      <c r="AJ34" s="778"/>
      <c r="AK34" s="778"/>
      <c r="AL34" s="778"/>
      <c r="AM34" s="778"/>
      <c r="AN34" s="778"/>
      <c r="AO34" s="778"/>
      <c r="AP34" s="778"/>
      <c r="AQ34" s="778"/>
      <c r="AR34" s="778"/>
      <c r="AS34" s="778"/>
      <c r="AT34" s="778"/>
      <c r="AU34" s="598"/>
      <c r="AV34" s="598"/>
      <c r="AW34" s="598"/>
      <c r="AX34" s="595"/>
      <c r="AY34" s="595"/>
      <c r="AZ34" s="197"/>
      <c r="BA34" s="478" t="str">
        <f t="shared" si="0"/>
        <v>SUM_CO2</v>
      </c>
      <c r="BB34" s="573" t="str">
        <f t="shared" si="1"/>
        <v>SUM_EnergyIN</v>
      </c>
      <c r="BC34" s="600"/>
      <c r="BD34" s="5"/>
    </row>
    <row r="35" spans="1:56" x14ac:dyDescent="0.2">
      <c r="A35" s="600"/>
      <c r="B35" s="197"/>
      <c r="C35" s="534">
        <v>12</v>
      </c>
      <c r="D35" s="594"/>
      <c r="E35" s="594"/>
      <c r="F35" s="595"/>
      <c r="G35" s="596"/>
      <c r="H35" s="595"/>
      <c r="I35" s="596"/>
      <c r="J35" s="595"/>
      <c r="K35" s="596"/>
      <c r="L35" s="596"/>
      <c r="M35" s="596"/>
      <c r="N35" s="595"/>
      <c r="O35" s="597"/>
      <c r="P35" s="595"/>
      <c r="Q35" s="597"/>
      <c r="R35" s="595"/>
      <c r="S35" s="597"/>
      <c r="T35" s="595"/>
      <c r="U35" s="597"/>
      <c r="V35" s="778"/>
      <c r="W35" s="778"/>
      <c r="X35" s="778"/>
      <c r="Y35" s="778"/>
      <c r="Z35" s="778"/>
      <c r="AA35" s="778"/>
      <c r="AB35" s="778"/>
      <c r="AC35" s="778"/>
      <c r="AD35" s="778"/>
      <c r="AE35" s="778"/>
      <c r="AF35" s="778"/>
      <c r="AG35" s="778"/>
      <c r="AH35" s="778"/>
      <c r="AI35" s="778"/>
      <c r="AJ35" s="778"/>
      <c r="AK35" s="778"/>
      <c r="AL35" s="778"/>
      <c r="AM35" s="778"/>
      <c r="AN35" s="778"/>
      <c r="AO35" s="778"/>
      <c r="AP35" s="778"/>
      <c r="AQ35" s="778"/>
      <c r="AR35" s="778"/>
      <c r="AS35" s="778"/>
      <c r="AT35" s="778"/>
      <c r="AU35" s="598"/>
      <c r="AV35" s="598"/>
      <c r="AW35" s="598"/>
      <c r="AX35" s="595"/>
      <c r="AY35" s="595"/>
      <c r="AZ35" s="197"/>
      <c r="BA35" s="478" t="str">
        <f t="shared" si="0"/>
        <v>SUM_CO2</v>
      </c>
      <c r="BB35" s="573" t="str">
        <f t="shared" si="1"/>
        <v>SUM_EnergyIN</v>
      </c>
      <c r="BC35" s="600"/>
      <c r="BD35" s="5"/>
    </row>
    <row r="36" spans="1:56" x14ac:dyDescent="0.2">
      <c r="A36" s="600"/>
      <c r="B36" s="197"/>
      <c r="C36" s="534">
        <v>13</v>
      </c>
      <c r="D36" s="594"/>
      <c r="E36" s="594"/>
      <c r="F36" s="595"/>
      <c r="G36" s="596"/>
      <c r="H36" s="595"/>
      <c r="I36" s="596"/>
      <c r="J36" s="595"/>
      <c r="K36" s="596"/>
      <c r="L36" s="596"/>
      <c r="M36" s="596"/>
      <c r="N36" s="595"/>
      <c r="O36" s="597"/>
      <c r="P36" s="595"/>
      <c r="Q36" s="597"/>
      <c r="R36" s="595"/>
      <c r="S36" s="597"/>
      <c r="T36" s="595"/>
      <c r="U36" s="597"/>
      <c r="V36" s="778"/>
      <c r="W36" s="778"/>
      <c r="X36" s="778"/>
      <c r="Y36" s="778"/>
      <c r="Z36" s="778"/>
      <c r="AA36" s="778"/>
      <c r="AB36" s="778"/>
      <c r="AC36" s="778"/>
      <c r="AD36" s="778"/>
      <c r="AE36" s="778"/>
      <c r="AF36" s="778"/>
      <c r="AG36" s="778"/>
      <c r="AH36" s="778"/>
      <c r="AI36" s="778"/>
      <c r="AJ36" s="778"/>
      <c r="AK36" s="778"/>
      <c r="AL36" s="778"/>
      <c r="AM36" s="778"/>
      <c r="AN36" s="778"/>
      <c r="AO36" s="778"/>
      <c r="AP36" s="778"/>
      <c r="AQ36" s="778"/>
      <c r="AR36" s="778"/>
      <c r="AS36" s="778"/>
      <c r="AT36" s="778"/>
      <c r="AU36" s="598"/>
      <c r="AV36" s="598"/>
      <c r="AW36" s="598"/>
      <c r="AX36" s="595"/>
      <c r="AY36" s="595"/>
      <c r="AZ36" s="197"/>
      <c r="BA36" s="478" t="str">
        <f t="shared" si="0"/>
        <v>SUM_CO2</v>
      </c>
      <c r="BB36" s="573" t="str">
        <f t="shared" si="1"/>
        <v>SUM_EnergyIN</v>
      </c>
      <c r="BC36" s="600"/>
      <c r="BD36" s="5"/>
    </row>
    <row r="37" spans="1:56" x14ac:dyDescent="0.2">
      <c r="A37" s="600"/>
      <c r="B37" s="197"/>
      <c r="C37" s="534">
        <v>14</v>
      </c>
      <c r="D37" s="594"/>
      <c r="E37" s="594"/>
      <c r="F37" s="595"/>
      <c r="G37" s="596"/>
      <c r="H37" s="595"/>
      <c r="I37" s="596"/>
      <c r="J37" s="595"/>
      <c r="K37" s="596"/>
      <c r="L37" s="596"/>
      <c r="M37" s="596"/>
      <c r="N37" s="595"/>
      <c r="O37" s="597"/>
      <c r="P37" s="595"/>
      <c r="Q37" s="597"/>
      <c r="R37" s="595"/>
      <c r="S37" s="597"/>
      <c r="T37" s="595"/>
      <c r="U37" s="597"/>
      <c r="V37" s="778"/>
      <c r="W37" s="778"/>
      <c r="X37" s="778"/>
      <c r="Y37" s="778"/>
      <c r="Z37" s="778"/>
      <c r="AA37" s="778"/>
      <c r="AB37" s="778"/>
      <c r="AC37" s="778"/>
      <c r="AD37" s="778"/>
      <c r="AE37" s="778"/>
      <c r="AF37" s="778"/>
      <c r="AG37" s="778"/>
      <c r="AH37" s="778"/>
      <c r="AI37" s="778"/>
      <c r="AJ37" s="778"/>
      <c r="AK37" s="778"/>
      <c r="AL37" s="778"/>
      <c r="AM37" s="778"/>
      <c r="AN37" s="778"/>
      <c r="AO37" s="778"/>
      <c r="AP37" s="778"/>
      <c r="AQ37" s="778"/>
      <c r="AR37" s="778"/>
      <c r="AS37" s="778"/>
      <c r="AT37" s="778"/>
      <c r="AU37" s="598"/>
      <c r="AV37" s="598"/>
      <c r="AW37" s="598"/>
      <c r="AX37" s="595"/>
      <c r="AY37" s="595"/>
      <c r="AZ37" s="197"/>
      <c r="BA37" s="478" t="str">
        <f t="shared" si="0"/>
        <v>SUM_CO2</v>
      </c>
      <c r="BB37" s="573" t="str">
        <f t="shared" si="1"/>
        <v>SUM_EnergyIN</v>
      </c>
      <c r="BC37" s="600"/>
      <c r="BD37" s="5"/>
    </row>
    <row r="38" spans="1:56" x14ac:dyDescent="0.2">
      <c r="A38" s="600"/>
      <c r="B38" s="197"/>
      <c r="C38" s="534">
        <v>15</v>
      </c>
      <c r="D38" s="594"/>
      <c r="E38" s="594"/>
      <c r="F38" s="595"/>
      <c r="G38" s="596"/>
      <c r="H38" s="595"/>
      <c r="I38" s="596"/>
      <c r="J38" s="595"/>
      <c r="K38" s="596"/>
      <c r="L38" s="596"/>
      <c r="M38" s="596"/>
      <c r="N38" s="595"/>
      <c r="O38" s="597"/>
      <c r="P38" s="595"/>
      <c r="Q38" s="597"/>
      <c r="R38" s="595"/>
      <c r="S38" s="597"/>
      <c r="T38" s="595"/>
      <c r="U38" s="597"/>
      <c r="V38" s="778"/>
      <c r="W38" s="778"/>
      <c r="X38" s="778"/>
      <c r="Y38" s="778"/>
      <c r="Z38" s="778"/>
      <c r="AA38" s="778"/>
      <c r="AB38" s="778"/>
      <c r="AC38" s="778"/>
      <c r="AD38" s="778"/>
      <c r="AE38" s="778"/>
      <c r="AF38" s="778"/>
      <c r="AG38" s="778"/>
      <c r="AH38" s="778"/>
      <c r="AI38" s="778"/>
      <c r="AJ38" s="778"/>
      <c r="AK38" s="778"/>
      <c r="AL38" s="778"/>
      <c r="AM38" s="778"/>
      <c r="AN38" s="778"/>
      <c r="AO38" s="778"/>
      <c r="AP38" s="778"/>
      <c r="AQ38" s="778"/>
      <c r="AR38" s="778"/>
      <c r="AS38" s="778"/>
      <c r="AT38" s="778"/>
      <c r="AU38" s="598"/>
      <c r="AV38" s="598"/>
      <c r="AW38" s="598"/>
      <c r="AX38" s="595"/>
      <c r="AY38" s="595"/>
      <c r="AZ38" s="197"/>
      <c r="BA38" s="478" t="str">
        <f t="shared" si="0"/>
        <v>SUM_CO2</v>
      </c>
      <c r="BB38" s="573" t="str">
        <f t="shared" si="1"/>
        <v>SUM_EnergyIN</v>
      </c>
      <c r="BC38" s="600"/>
      <c r="BD38" s="5"/>
    </row>
    <row r="39" spans="1:56" x14ac:dyDescent="0.2">
      <c r="A39" s="600"/>
      <c r="B39" s="197"/>
      <c r="C39" s="534">
        <v>16</v>
      </c>
      <c r="D39" s="594"/>
      <c r="E39" s="594"/>
      <c r="F39" s="595"/>
      <c r="G39" s="596"/>
      <c r="H39" s="595"/>
      <c r="I39" s="596"/>
      <c r="J39" s="595"/>
      <c r="K39" s="596"/>
      <c r="L39" s="596"/>
      <c r="M39" s="596"/>
      <c r="N39" s="595"/>
      <c r="O39" s="597"/>
      <c r="P39" s="595"/>
      <c r="Q39" s="597"/>
      <c r="R39" s="595"/>
      <c r="S39" s="597"/>
      <c r="T39" s="595"/>
      <c r="U39" s="597"/>
      <c r="V39" s="778"/>
      <c r="W39" s="778"/>
      <c r="X39" s="778"/>
      <c r="Y39" s="778"/>
      <c r="Z39" s="778"/>
      <c r="AA39" s="778"/>
      <c r="AB39" s="778"/>
      <c r="AC39" s="778"/>
      <c r="AD39" s="778"/>
      <c r="AE39" s="778"/>
      <c r="AF39" s="778"/>
      <c r="AG39" s="778"/>
      <c r="AH39" s="778"/>
      <c r="AI39" s="778"/>
      <c r="AJ39" s="778"/>
      <c r="AK39" s="778"/>
      <c r="AL39" s="778"/>
      <c r="AM39" s="778"/>
      <c r="AN39" s="778"/>
      <c r="AO39" s="778"/>
      <c r="AP39" s="778"/>
      <c r="AQ39" s="778"/>
      <c r="AR39" s="778"/>
      <c r="AS39" s="778"/>
      <c r="AT39" s="778"/>
      <c r="AU39" s="598"/>
      <c r="AV39" s="598"/>
      <c r="AW39" s="598"/>
      <c r="AX39" s="595"/>
      <c r="AY39" s="595"/>
      <c r="AZ39" s="197"/>
      <c r="BA39" s="478" t="str">
        <f t="shared" si="0"/>
        <v>SUM_CO2</v>
      </c>
      <c r="BB39" s="573" t="str">
        <f t="shared" si="1"/>
        <v>SUM_EnergyIN</v>
      </c>
      <c r="BC39" s="600"/>
      <c r="BD39" s="5"/>
    </row>
    <row r="40" spans="1:56" x14ac:dyDescent="0.2">
      <c r="A40" s="600"/>
      <c r="B40" s="197"/>
      <c r="C40" s="534">
        <v>17</v>
      </c>
      <c r="D40" s="594"/>
      <c r="E40" s="594"/>
      <c r="F40" s="595"/>
      <c r="G40" s="596"/>
      <c r="H40" s="595"/>
      <c r="I40" s="596"/>
      <c r="J40" s="595"/>
      <c r="K40" s="596"/>
      <c r="L40" s="596"/>
      <c r="M40" s="596"/>
      <c r="N40" s="595"/>
      <c r="O40" s="597"/>
      <c r="P40" s="595"/>
      <c r="Q40" s="597"/>
      <c r="R40" s="595"/>
      <c r="S40" s="597"/>
      <c r="T40" s="595"/>
      <c r="U40" s="597"/>
      <c r="V40" s="778"/>
      <c r="W40" s="778"/>
      <c r="X40" s="778"/>
      <c r="Y40" s="778"/>
      <c r="Z40" s="778"/>
      <c r="AA40" s="778"/>
      <c r="AB40" s="778"/>
      <c r="AC40" s="778"/>
      <c r="AD40" s="778"/>
      <c r="AE40" s="778"/>
      <c r="AF40" s="778"/>
      <c r="AG40" s="778"/>
      <c r="AH40" s="778"/>
      <c r="AI40" s="778"/>
      <c r="AJ40" s="778"/>
      <c r="AK40" s="778"/>
      <c r="AL40" s="778"/>
      <c r="AM40" s="778"/>
      <c r="AN40" s="778"/>
      <c r="AO40" s="778"/>
      <c r="AP40" s="778"/>
      <c r="AQ40" s="778"/>
      <c r="AR40" s="778"/>
      <c r="AS40" s="778"/>
      <c r="AT40" s="778"/>
      <c r="AU40" s="598"/>
      <c r="AV40" s="598"/>
      <c r="AW40" s="598"/>
      <c r="AX40" s="595"/>
      <c r="AY40" s="595"/>
      <c r="AZ40" s="197"/>
      <c r="BA40" s="478" t="str">
        <f t="shared" si="0"/>
        <v>SUM_CO2</v>
      </c>
      <c r="BB40" s="573" t="str">
        <f t="shared" si="1"/>
        <v>SUM_EnergyIN</v>
      </c>
      <c r="BC40" s="600"/>
      <c r="BD40" s="5"/>
    </row>
    <row r="41" spans="1:56" x14ac:dyDescent="0.2">
      <c r="A41" s="600"/>
      <c r="B41" s="197"/>
      <c r="C41" s="534">
        <v>18</v>
      </c>
      <c r="D41" s="594"/>
      <c r="E41" s="594"/>
      <c r="F41" s="595"/>
      <c r="G41" s="596"/>
      <c r="H41" s="595"/>
      <c r="I41" s="596"/>
      <c r="J41" s="595"/>
      <c r="K41" s="596"/>
      <c r="L41" s="596"/>
      <c r="M41" s="596"/>
      <c r="N41" s="595"/>
      <c r="O41" s="597"/>
      <c r="P41" s="595"/>
      <c r="Q41" s="597"/>
      <c r="R41" s="595"/>
      <c r="S41" s="597"/>
      <c r="T41" s="595"/>
      <c r="U41" s="597"/>
      <c r="V41" s="778"/>
      <c r="W41" s="778"/>
      <c r="X41" s="778"/>
      <c r="Y41" s="778"/>
      <c r="Z41" s="778"/>
      <c r="AA41" s="778"/>
      <c r="AB41" s="778"/>
      <c r="AC41" s="778"/>
      <c r="AD41" s="778"/>
      <c r="AE41" s="778"/>
      <c r="AF41" s="778"/>
      <c r="AG41" s="778"/>
      <c r="AH41" s="778"/>
      <c r="AI41" s="778"/>
      <c r="AJ41" s="778"/>
      <c r="AK41" s="778"/>
      <c r="AL41" s="778"/>
      <c r="AM41" s="778"/>
      <c r="AN41" s="778"/>
      <c r="AO41" s="778"/>
      <c r="AP41" s="778"/>
      <c r="AQ41" s="778"/>
      <c r="AR41" s="778"/>
      <c r="AS41" s="778"/>
      <c r="AT41" s="778"/>
      <c r="AU41" s="598"/>
      <c r="AV41" s="598"/>
      <c r="AW41" s="598"/>
      <c r="AX41" s="595"/>
      <c r="AY41" s="595"/>
      <c r="AZ41" s="197"/>
      <c r="BA41" s="478" t="str">
        <f t="shared" si="0"/>
        <v>SUM_CO2</v>
      </c>
      <c r="BB41" s="573" t="str">
        <f t="shared" si="1"/>
        <v>SUM_EnergyIN</v>
      </c>
      <c r="BC41" s="600"/>
      <c r="BD41" s="5"/>
    </row>
    <row r="42" spans="1:56" x14ac:dyDescent="0.2">
      <c r="A42" s="600"/>
      <c r="B42" s="197"/>
      <c r="C42" s="534">
        <v>19</v>
      </c>
      <c r="D42" s="594"/>
      <c r="E42" s="594"/>
      <c r="F42" s="595"/>
      <c r="G42" s="596"/>
      <c r="H42" s="595"/>
      <c r="I42" s="596"/>
      <c r="J42" s="595"/>
      <c r="K42" s="596"/>
      <c r="L42" s="596"/>
      <c r="M42" s="596"/>
      <c r="N42" s="595"/>
      <c r="O42" s="597"/>
      <c r="P42" s="595"/>
      <c r="Q42" s="597"/>
      <c r="R42" s="595"/>
      <c r="S42" s="597"/>
      <c r="T42" s="595"/>
      <c r="U42" s="597"/>
      <c r="V42" s="778"/>
      <c r="W42" s="778"/>
      <c r="X42" s="778"/>
      <c r="Y42" s="778"/>
      <c r="Z42" s="778"/>
      <c r="AA42" s="778"/>
      <c r="AB42" s="778"/>
      <c r="AC42" s="778"/>
      <c r="AD42" s="778"/>
      <c r="AE42" s="778"/>
      <c r="AF42" s="778"/>
      <c r="AG42" s="778"/>
      <c r="AH42" s="778"/>
      <c r="AI42" s="778"/>
      <c r="AJ42" s="778"/>
      <c r="AK42" s="778"/>
      <c r="AL42" s="778"/>
      <c r="AM42" s="778"/>
      <c r="AN42" s="778"/>
      <c r="AO42" s="778"/>
      <c r="AP42" s="778"/>
      <c r="AQ42" s="778"/>
      <c r="AR42" s="778"/>
      <c r="AS42" s="778"/>
      <c r="AT42" s="778"/>
      <c r="AU42" s="598"/>
      <c r="AV42" s="598"/>
      <c r="AW42" s="598"/>
      <c r="AX42" s="595"/>
      <c r="AY42" s="595"/>
      <c r="AZ42" s="197"/>
      <c r="BA42" s="478" t="str">
        <f t="shared" si="0"/>
        <v>SUM_CO2</v>
      </c>
      <c r="BB42" s="573" t="str">
        <f t="shared" si="1"/>
        <v>SUM_EnergyIN</v>
      </c>
      <c r="BC42" s="600"/>
      <c r="BD42" s="5"/>
    </row>
    <row r="43" spans="1:56" x14ac:dyDescent="0.2">
      <c r="A43" s="600"/>
      <c r="B43" s="197"/>
      <c r="C43" s="534">
        <v>20</v>
      </c>
      <c r="D43" s="594"/>
      <c r="E43" s="594"/>
      <c r="F43" s="595"/>
      <c r="G43" s="596"/>
      <c r="H43" s="595"/>
      <c r="I43" s="596"/>
      <c r="J43" s="595"/>
      <c r="K43" s="596"/>
      <c r="L43" s="596"/>
      <c r="M43" s="596"/>
      <c r="N43" s="595"/>
      <c r="O43" s="597"/>
      <c r="P43" s="595"/>
      <c r="Q43" s="597"/>
      <c r="R43" s="595"/>
      <c r="S43" s="597"/>
      <c r="T43" s="595"/>
      <c r="U43" s="597"/>
      <c r="V43" s="778"/>
      <c r="W43" s="778"/>
      <c r="X43" s="778"/>
      <c r="Y43" s="778"/>
      <c r="Z43" s="778"/>
      <c r="AA43" s="778"/>
      <c r="AB43" s="778"/>
      <c r="AC43" s="778"/>
      <c r="AD43" s="778"/>
      <c r="AE43" s="778"/>
      <c r="AF43" s="778"/>
      <c r="AG43" s="778"/>
      <c r="AH43" s="778"/>
      <c r="AI43" s="778"/>
      <c r="AJ43" s="778"/>
      <c r="AK43" s="778"/>
      <c r="AL43" s="778"/>
      <c r="AM43" s="778"/>
      <c r="AN43" s="778"/>
      <c r="AO43" s="778"/>
      <c r="AP43" s="778"/>
      <c r="AQ43" s="778"/>
      <c r="AR43" s="778"/>
      <c r="AS43" s="778"/>
      <c r="AT43" s="778"/>
      <c r="AU43" s="598"/>
      <c r="AV43" s="598"/>
      <c r="AW43" s="598"/>
      <c r="AX43" s="595"/>
      <c r="AY43" s="595"/>
      <c r="AZ43" s="197"/>
      <c r="BA43" s="478" t="str">
        <f t="shared" si="0"/>
        <v>SUM_CO2</v>
      </c>
      <c r="BB43" s="573" t="str">
        <f t="shared" si="1"/>
        <v>SUM_EnergyIN</v>
      </c>
      <c r="BC43" s="600"/>
      <c r="BD43" s="5"/>
    </row>
    <row r="44" spans="1:56" x14ac:dyDescent="0.2">
      <c r="A44" s="600"/>
      <c r="B44" s="197"/>
      <c r="C44" s="534">
        <v>21</v>
      </c>
      <c r="D44" s="594"/>
      <c r="E44" s="594"/>
      <c r="F44" s="595"/>
      <c r="G44" s="596"/>
      <c r="H44" s="595"/>
      <c r="I44" s="596"/>
      <c r="J44" s="595"/>
      <c r="K44" s="596"/>
      <c r="L44" s="596"/>
      <c r="M44" s="596"/>
      <c r="N44" s="595"/>
      <c r="O44" s="597"/>
      <c r="P44" s="595"/>
      <c r="Q44" s="597"/>
      <c r="R44" s="595"/>
      <c r="S44" s="597"/>
      <c r="T44" s="595"/>
      <c r="U44" s="597"/>
      <c r="V44" s="778"/>
      <c r="W44" s="778"/>
      <c r="X44" s="778"/>
      <c r="Y44" s="778"/>
      <c r="Z44" s="778"/>
      <c r="AA44" s="778"/>
      <c r="AB44" s="778"/>
      <c r="AC44" s="778"/>
      <c r="AD44" s="778"/>
      <c r="AE44" s="778"/>
      <c r="AF44" s="778"/>
      <c r="AG44" s="778"/>
      <c r="AH44" s="778"/>
      <c r="AI44" s="778"/>
      <c r="AJ44" s="778"/>
      <c r="AK44" s="778"/>
      <c r="AL44" s="778"/>
      <c r="AM44" s="778"/>
      <c r="AN44" s="778"/>
      <c r="AO44" s="778"/>
      <c r="AP44" s="778"/>
      <c r="AQ44" s="778"/>
      <c r="AR44" s="778"/>
      <c r="AS44" s="778"/>
      <c r="AT44" s="778"/>
      <c r="AU44" s="598"/>
      <c r="AV44" s="598"/>
      <c r="AW44" s="598"/>
      <c r="AX44" s="595"/>
      <c r="AY44" s="595"/>
      <c r="AZ44" s="197"/>
      <c r="BA44" s="478" t="str">
        <f t="shared" si="0"/>
        <v>SUM_CO2</v>
      </c>
      <c r="BB44" s="573" t="str">
        <f t="shared" si="1"/>
        <v>SUM_EnergyIN</v>
      </c>
      <c r="BC44" s="600"/>
      <c r="BD44" s="5"/>
    </row>
    <row r="45" spans="1:56" x14ac:dyDescent="0.2">
      <c r="A45" s="600"/>
      <c r="B45" s="197"/>
      <c r="C45" s="534">
        <v>22</v>
      </c>
      <c r="D45" s="594"/>
      <c r="E45" s="594"/>
      <c r="F45" s="595"/>
      <c r="G45" s="596"/>
      <c r="H45" s="595"/>
      <c r="I45" s="596"/>
      <c r="J45" s="595"/>
      <c r="K45" s="596"/>
      <c r="L45" s="596"/>
      <c r="M45" s="596"/>
      <c r="N45" s="595"/>
      <c r="O45" s="597"/>
      <c r="P45" s="595"/>
      <c r="Q45" s="597"/>
      <c r="R45" s="595"/>
      <c r="S45" s="597"/>
      <c r="T45" s="595"/>
      <c r="U45" s="597"/>
      <c r="V45" s="778"/>
      <c r="W45" s="778"/>
      <c r="X45" s="778"/>
      <c r="Y45" s="778"/>
      <c r="Z45" s="778"/>
      <c r="AA45" s="778"/>
      <c r="AB45" s="778"/>
      <c r="AC45" s="778"/>
      <c r="AD45" s="778"/>
      <c r="AE45" s="778"/>
      <c r="AF45" s="778"/>
      <c r="AG45" s="778"/>
      <c r="AH45" s="778"/>
      <c r="AI45" s="778"/>
      <c r="AJ45" s="778"/>
      <c r="AK45" s="778"/>
      <c r="AL45" s="778"/>
      <c r="AM45" s="778"/>
      <c r="AN45" s="778"/>
      <c r="AO45" s="778"/>
      <c r="AP45" s="778"/>
      <c r="AQ45" s="778"/>
      <c r="AR45" s="778"/>
      <c r="AS45" s="778"/>
      <c r="AT45" s="778"/>
      <c r="AU45" s="598"/>
      <c r="AV45" s="598"/>
      <c r="AW45" s="598"/>
      <c r="AX45" s="595"/>
      <c r="AY45" s="595"/>
      <c r="AZ45" s="197"/>
      <c r="BA45" s="478" t="str">
        <f t="shared" si="0"/>
        <v>SUM_CO2</v>
      </c>
      <c r="BB45" s="573" t="str">
        <f t="shared" si="1"/>
        <v>SUM_EnergyIN</v>
      </c>
      <c r="BC45" s="600"/>
      <c r="BD45" s="5"/>
    </row>
    <row r="46" spans="1:56" x14ac:dyDescent="0.2">
      <c r="A46" s="600"/>
      <c r="B46" s="197"/>
      <c r="C46" s="534">
        <v>23</v>
      </c>
      <c r="D46" s="594"/>
      <c r="E46" s="594"/>
      <c r="F46" s="595"/>
      <c r="G46" s="596"/>
      <c r="H46" s="595"/>
      <c r="I46" s="596"/>
      <c r="J46" s="595"/>
      <c r="K46" s="596"/>
      <c r="L46" s="596"/>
      <c r="M46" s="596"/>
      <c r="N46" s="595"/>
      <c r="O46" s="597"/>
      <c r="P46" s="595"/>
      <c r="Q46" s="597"/>
      <c r="R46" s="595"/>
      <c r="S46" s="597"/>
      <c r="T46" s="595"/>
      <c r="U46" s="597"/>
      <c r="V46" s="778"/>
      <c r="W46" s="778"/>
      <c r="X46" s="778"/>
      <c r="Y46" s="778"/>
      <c r="Z46" s="778"/>
      <c r="AA46" s="778"/>
      <c r="AB46" s="778"/>
      <c r="AC46" s="778"/>
      <c r="AD46" s="778"/>
      <c r="AE46" s="778"/>
      <c r="AF46" s="778"/>
      <c r="AG46" s="778"/>
      <c r="AH46" s="778"/>
      <c r="AI46" s="778"/>
      <c r="AJ46" s="778"/>
      <c r="AK46" s="778"/>
      <c r="AL46" s="778"/>
      <c r="AM46" s="778"/>
      <c r="AN46" s="778"/>
      <c r="AO46" s="778"/>
      <c r="AP46" s="778"/>
      <c r="AQ46" s="778"/>
      <c r="AR46" s="778"/>
      <c r="AS46" s="778"/>
      <c r="AT46" s="778"/>
      <c r="AU46" s="598"/>
      <c r="AV46" s="598"/>
      <c r="AW46" s="598"/>
      <c r="AX46" s="595"/>
      <c r="AY46" s="595"/>
      <c r="AZ46" s="197"/>
      <c r="BA46" s="478" t="str">
        <f t="shared" si="0"/>
        <v>SUM_CO2</v>
      </c>
      <c r="BB46" s="573" t="str">
        <f t="shared" si="1"/>
        <v>SUM_EnergyIN</v>
      </c>
      <c r="BC46" s="600"/>
      <c r="BD46" s="5"/>
    </row>
    <row r="47" spans="1:56" x14ac:dyDescent="0.2">
      <c r="A47" s="600"/>
      <c r="B47" s="197"/>
      <c r="C47" s="534">
        <v>24</v>
      </c>
      <c r="D47" s="594"/>
      <c r="E47" s="594"/>
      <c r="F47" s="595"/>
      <c r="G47" s="596"/>
      <c r="H47" s="595"/>
      <c r="I47" s="596"/>
      <c r="J47" s="595"/>
      <c r="K47" s="596"/>
      <c r="L47" s="596"/>
      <c r="M47" s="596"/>
      <c r="N47" s="595"/>
      <c r="O47" s="597"/>
      <c r="P47" s="595"/>
      <c r="Q47" s="597"/>
      <c r="R47" s="595"/>
      <c r="S47" s="597"/>
      <c r="T47" s="595"/>
      <c r="U47" s="597"/>
      <c r="V47" s="778"/>
      <c r="W47" s="778"/>
      <c r="X47" s="778"/>
      <c r="Y47" s="778"/>
      <c r="Z47" s="778"/>
      <c r="AA47" s="778"/>
      <c r="AB47" s="778"/>
      <c r="AC47" s="778"/>
      <c r="AD47" s="778"/>
      <c r="AE47" s="778"/>
      <c r="AF47" s="778"/>
      <c r="AG47" s="778"/>
      <c r="AH47" s="778"/>
      <c r="AI47" s="778"/>
      <c r="AJ47" s="778"/>
      <c r="AK47" s="778"/>
      <c r="AL47" s="778"/>
      <c r="AM47" s="778"/>
      <c r="AN47" s="778"/>
      <c r="AO47" s="778"/>
      <c r="AP47" s="778"/>
      <c r="AQ47" s="778"/>
      <c r="AR47" s="778"/>
      <c r="AS47" s="778"/>
      <c r="AT47" s="778"/>
      <c r="AU47" s="598"/>
      <c r="AV47" s="598"/>
      <c r="AW47" s="598"/>
      <c r="AX47" s="595"/>
      <c r="AY47" s="595"/>
      <c r="AZ47" s="197"/>
      <c r="BA47" s="478" t="str">
        <f t="shared" si="0"/>
        <v>SUM_CO2</v>
      </c>
      <c r="BB47" s="573" t="str">
        <f t="shared" si="1"/>
        <v>SUM_EnergyIN</v>
      </c>
      <c r="BC47" s="600"/>
      <c r="BD47" s="5"/>
    </row>
    <row r="48" spans="1:56" x14ac:dyDescent="0.2">
      <c r="A48" s="600"/>
      <c r="B48" s="197"/>
      <c r="C48" s="534">
        <v>25</v>
      </c>
      <c r="D48" s="594"/>
      <c r="E48" s="594"/>
      <c r="F48" s="595"/>
      <c r="G48" s="596"/>
      <c r="H48" s="595"/>
      <c r="I48" s="596"/>
      <c r="J48" s="595"/>
      <c r="K48" s="596"/>
      <c r="L48" s="596"/>
      <c r="M48" s="596"/>
      <c r="N48" s="595"/>
      <c r="O48" s="597"/>
      <c r="P48" s="595"/>
      <c r="Q48" s="597"/>
      <c r="R48" s="595"/>
      <c r="S48" s="597"/>
      <c r="T48" s="595"/>
      <c r="U48" s="597"/>
      <c r="V48" s="778"/>
      <c r="W48" s="778"/>
      <c r="X48" s="778"/>
      <c r="Y48" s="778"/>
      <c r="Z48" s="778"/>
      <c r="AA48" s="778"/>
      <c r="AB48" s="778"/>
      <c r="AC48" s="778"/>
      <c r="AD48" s="778"/>
      <c r="AE48" s="778"/>
      <c r="AF48" s="778"/>
      <c r="AG48" s="778"/>
      <c r="AH48" s="778"/>
      <c r="AI48" s="778"/>
      <c r="AJ48" s="778"/>
      <c r="AK48" s="778"/>
      <c r="AL48" s="778"/>
      <c r="AM48" s="778"/>
      <c r="AN48" s="778"/>
      <c r="AO48" s="778"/>
      <c r="AP48" s="778"/>
      <c r="AQ48" s="778"/>
      <c r="AR48" s="778"/>
      <c r="AS48" s="778"/>
      <c r="AT48" s="778"/>
      <c r="AU48" s="598"/>
      <c r="AV48" s="598"/>
      <c r="AW48" s="598"/>
      <c r="AX48" s="595"/>
      <c r="AY48" s="595"/>
      <c r="AZ48" s="197"/>
      <c r="BA48" s="478" t="str">
        <f t="shared" si="0"/>
        <v>SUM_CO2</v>
      </c>
      <c r="BB48" s="573" t="str">
        <f t="shared" si="1"/>
        <v>SUM_EnergyIN</v>
      </c>
      <c r="BC48" s="600"/>
      <c r="BD48" s="5"/>
    </row>
    <row r="49" spans="1:56" x14ac:dyDescent="0.2">
      <c r="A49" s="600"/>
      <c r="B49" s="197"/>
      <c r="C49" s="534">
        <v>26</v>
      </c>
      <c r="D49" s="594"/>
      <c r="E49" s="594"/>
      <c r="F49" s="595"/>
      <c r="G49" s="596"/>
      <c r="H49" s="595"/>
      <c r="I49" s="596"/>
      <c r="J49" s="595"/>
      <c r="K49" s="596"/>
      <c r="L49" s="596"/>
      <c r="M49" s="596"/>
      <c r="N49" s="595"/>
      <c r="O49" s="597"/>
      <c r="P49" s="595"/>
      <c r="Q49" s="597"/>
      <c r="R49" s="595"/>
      <c r="S49" s="597"/>
      <c r="T49" s="595"/>
      <c r="U49" s="597"/>
      <c r="V49" s="778"/>
      <c r="W49" s="778"/>
      <c r="X49" s="778"/>
      <c r="Y49" s="778"/>
      <c r="Z49" s="778"/>
      <c r="AA49" s="778"/>
      <c r="AB49" s="778"/>
      <c r="AC49" s="778"/>
      <c r="AD49" s="778"/>
      <c r="AE49" s="778"/>
      <c r="AF49" s="778"/>
      <c r="AG49" s="778"/>
      <c r="AH49" s="778"/>
      <c r="AI49" s="778"/>
      <c r="AJ49" s="778"/>
      <c r="AK49" s="778"/>
      <c r="AL49" s="778"/>
      <c r="AM49" s="778"/>
      <c r="AN49" s="778"/>
      <c r="AO49" s="778"/>
      <c r="AP49" s="778"/>
      <c r="AQ49" s="778"/>
      <c r="AR49" s="778"/>
      <c r="AS49" s="778"/>
      <c r="AT49" s="778"/>
      <c r="AU49" s="598"/>
      <c r="AV49" s="598"/>
      <c r="AW49" s="598"/>
      <c r="AX49" s="595"/>
      <c r="AY49" s="595"/>
      <c r="AZ49" s="197"/>
      <c r="BA49" s="478" t="str">
        <f t="shared" si="0"/>
        <v>SUM_CO2</v>
      </c>
      <c r="BB49" s="573" t="str">
        <f t="shared" si="1"/>
        <v>SUM_EnergyIN</v>
      </c>
      <c r="BC49" s="600"/>
      <c r="BD49" s="5"/>
    </row>
    <row r="50" spans="1:56" x14ac:dyDescent="0.2">
      <c r="A50" s="600"/>
      <c r="B50" s="197"/>
      <c r="C50" s="534">
        <v>27</v>
      </c>
      <c r="D50" s="594"/>
      <c r="E50" s="594"/>
      <c r="F50" s="595"/>
      <c r="G50" s="596"/>
      <c r="H50" s="595"/>
      <c r="I50" s="596"/>
      <c r="J50" s="595"/>
      <c r="K50" s="596"/>
      <c r="L50" s="596"/>
      <c r="M50" s="596"/>
      <c r="N50" s="595"/>
      <c r="O50" s="597"/>
      <c r="P50" s="595"/>
      <c r="Q50" s="597"/>
      <c r="R50" s="595"/>
      <c r="S50" s="597"/>
      <c r="T50" s="595"/>
      <c r="U50" s="597"/>
      <c r="V50" s="778"/>
      <c r="W50" s="778"/>
      <c r="X50" s="778"/>
      <c r="Y50" s="778"/>
      <c r="Z50" s="778"/>
      <c r="AA50" s="778"/>
      <c r="AB50" s="778"/>
      <c r="AC50" s="778"/>
      <c r="AD50" s="778"/>
      <c r="AE50" s="778"/>
      <c r="AF50" s="778"/>
      <c r="AG50" s="778"/>
      <c r="AH50" s="778"/>
      <c r="AI50" s="778"/>
      <c r="AJ50" s="778"/>
      <c r="AK50" s="778"/>
      <c r="AL50" s="778"/>
      <c r="AM50" s="778"/>
      <c r="AN50" s="778"/>
      <c r="AO50" s="778"/>
      <c r="AP50" s="778"/>
      <c r="AQ50" s="778"/>
      <c r="AR50" s="778"/>
      <c r="AS50" s="778"/>
      <c r="AT50" s="778"/>
      <c r="AU50" s="598"/>
      <c r="AV50" s="598"/>
      <c r="AW50" s="598"/>
      <c r="AX50" s="595"/>
      <c r="AY50" s="595"/>
      <c r="AZ50" s="197"/>
      <c r="BA50" s="478" t="str">
        <f t="shared" si="0"/>
        <v>SUM_CO2</v>
      </c>
      <c r="BB50" s="573" t="str">
        <f t="shared" si="1"/>
        <v>SUM_EnergyIN</v>
      </c>
      <c r="BC50" s="600"/>
      <c r="BD50" s="5"/>
    </row>
    <row r="51" spans="1:56" x14ac:dyDescent="0.2">
      <c r="A51" s="600"/>
      <c r="B51" s="197"/>
      <c r="C51" s="534">
        <v>28</v>
      </c>
      <c r="D51" s="594"/>
      <c r="E51" s="594"/>
      <c r="F51" s="595"/>
      <c r="G51" s="596"/>
      <c r="H51" s="595"/>
      <c r="I51" s="596"/>
      <c r="J51" s="595"/>
      <c r="K51" s="596"/>
      <c r="L51" s="596"/>
      <c r="M51" s="596"/>
      <c r="N51" s="595"/>
      <c r="O51" s="597"/>
      <c r="P51" s="595"/>
      <c r="Q51" s="597"/>
      <c r="R51" s="595"/>
      <c r="S51" s="597"/>
      <c r="T51" s="595"/>
      <c r="U51" s="597"/>
      <c r="V51" s="778"/>
      <c r="W51" s="778"/>
      <c r="X51" s="778"/>
      <c r="Y51" s="778"/>
      <c r="Z51" s="778"/>
      <c r="AA51" s="778"/>
      <c r="AB51" s="778"/>
      <c r="AC51" s="778"/>
      <c r="AD51" s="778"/>
      <c r="AE51" s="778"/>
      <c r="AF51" s="778"/>
      <c r="AG51" s="778"/>
      <c r="AH51" s="778"/>
      <c r="AI51" s="778"/>
      <c r="AJ51" s="778"/>
      <c r="AK51" s="778"/>
      <c r="AL51" s="778"/>
      <c r="AM51" s="778"/>
      <c r="AN51" s="778"/>
      <c r="AO51" s="778"/>
      <c r="AP51" s="778"/>
      <c r="AQ51" s="778"/>
      <c r="AR51" s="778"/>
      <c r="AS51" s="778"/>
      <c r="AT51" s="778"/>
      <c r="AU51" s="598"/>
      <c r="AV51" s="598"/>
      <c r="AW51" s="598"/>
      <c r="AX51" s="595"/>
      <c r="AY51" s="595"/>
      <c r="AZ51" s="197"/>
      <c r="BA51" s="478" t="str">
        <f t="shared" si="0"/>
        <v>SUM_CO2</v>
      </c>
      <c r="BB51" s="573" t="str">
        <f t="shared" si="1"/>
        <v>SUM_EnergyIN</v>
      </c>
      <c r="BC51" s="600"/>
      <c r="BD51" s="5"/>
    </row>
    <row r="52" spans="1:56" x14ac:dyDescent="0.2">
      <c r="A52" s="600"/>
      <c r="B52" s="197"/>
      <c r="C52" s="534">
        <v>29</v>
      </c>
      <c r="D52" s="594"/>
      <c r="E52" s="594"/>
      <c r="F52" s="595"/>
      <c r="G52" s="596"/>
      <c r="H52" s="595"/>
      <c r="I52" s="596"/>
      <c r="J52" s="595"/>
      <c r="K52" s="596"/>
      <c r="L52" s="596"/>
      <c r="M52" s="596"/>
      <c r="N52" s="595"/>
      <c r="O52" s="597"/>
      <c r="P52" s="595"/>
      <c r="Q52" s="597"/>
      <c r="R52" s="595"/>
      <c r="S52" s="597"/>
      <c r="T52" s="595"/>
      <c r="U52" s="597"/>
      <c r="V52" s="778"/>
      <c r="W52" s="778"/>
      <c r="X52" s="778"/>
      <c r="Y52" s="778"/>
      <c r="Z52" s="778"/>
      <c r="AA52" s="778"/>
      <c r="AB52" s="778"/>
      <c r="AC52" s="778"/>
      <c r="AD52" s="778"/>
      <c r="AE52" s="778"/>
      <c r="AF52" s="778"/>
      <c r="AG52" s="778"/>
      <c r="AH52" s="778"/>
      <c r="AI52" s="778"/>
      <c r="AJ52" s="778"/>
      <c r="AK52" s="778"/>
      <c r="AL52" s="778"/>
      <c r="AM52" s="778"/>
      <c r="AN52" s="778"/>
      <c r="AO52" s="778"/>
      <c r="AP52" s="778"/>
      <c r="AQ52" s="778"/>
      <c r="AR52" s="778"/>
      <c r="AS52" s="778"/>
      <c r="AT52" s="778"/>
      <c r="AU52" s="598"/>
      <c r="AV52" s="598"/>
      <c r="AW52" s="598"/>
      <c r="AX52" s="595"/>
      <c r="AY52" s="595"/>
      <c r="AZ52" s="197"/>
      <c r="BA52" s="478" t="str">
        <f t="shared" si="0"/>
        <v>SUM_CO2</v>
      </c>
      <c r="BB52" s="573" t="str">
        <f t="shared" si="1"/>
        <v>SUM_EnergyIN</v>
      </c>
      <c r="BC52" s="600"/>
      <c r="BD52" s="5"/>
    </row>
    <row r="53" spans="1:56" x14ac:dyDescent="0.2">
      <c r="A53" s="600"/>
      <c r="B53" s="197"/>
      <c r="C53" s="534">
        <v>30</v>
      </c>
      <c r="D53" s="594"/>
      <c r="E53" s="594"/>
      <c r="F53" s="595"/>
      <c r="G53" s="596"/>
      <c r="H53" s="595"/>
      <c r="I53" s="596"/>
      <c r="J53" s="595"/>
      <c r="K53" s="596"/>
      <c r="L53" s="596"/>
      <c r="M53" s="596"/>
      <c r="N53" s="595"/>
      <c r="O53" s="597"/>
      <c r="P53" s="595"/>
      <c r="Q53" s="597"/>
      <c r="R53" s="595"/>
      <c r="S53" s="597"/>
      <c r="T53" s="595"/>
      <c r="U53" s="597"/>
      <c r="V53" s="778"/>
      <c r="W53" s="778"/>
      <c r="X53" s="778"/>
      <c r="Y53" s="778"/>
      <c r="Z53" s="778"/>
      <c r="AA53" s="778"/>
      <c r="AB53" s="778"/>
      <c r="AC53" s="778"/>
      <c r="AD53" s="778"/>
      <c r="AE53" s="778"/>
      <c r="AF53" s="778"/>
      <c r="AG53" s="778"/>
      <c r="AH53" s="778"/>
      <c r="AI53" s="778"/>
      <c r="AJ53" s="778"/>
      <c r="AK53" s="778"/>
      <c r="AL53" s="778"/>
      <c r="AM53" s="778"/>
      <c r="AN53" s="778"/>
      <c r="AO53" s="778"/>
      <c r="AP53" s="778"/>
      <c r="AQ53" s="778"/>
      <c r="AR53" s="778"/>
      <c r="AS53" s="778"/>
      <c r="AT53" s="778"/>
      <c r="AU53" s="598"/>
      <c r="AV53" s="598"/>
      <c r="AW53" s="598"/>
      <c r="AX53" s="595"/>
      <c r="AY53" s="595"/>
      <c r="AZ53" s="197"/>
      <c r="BA53" s="478" t="str">
        <f t="shared" si="0"/>
        <v>SUM_CO2</v>
      </c>
      <c r="BB53" s="573" t="str">
        <f t="shared" si="1"/>
        <v>SUM_EnergyIN</v>
      </c>
      <c r="BC53" s="600"/>
      <c r="BD53" s="5"/>
    </row>
    <row r="54" spans="1:56" x14ac:dyDescent="0.2">
      <c r="A54" s="600"/>
      <c r="B54" s="197"/>
      <c r="C54" s="534">
        <v>31</v>
      </c>
      <c r="D54" s="594"/>
      <c r="E54" s="594"/>
      <c r="F54" s="595"/>
      <c r="G54" s="596"/>
      <c r="H54" s="595"/>
      <c r="I54" s="596"/>
      <c r="J54" s="595"/>
      <c r="K54" s="596"/>
      <c r="L54" s="596"/>
      <c r="M54" s="596"/>
      <c r="N54" s="595"/>
      <c r="O54" s="597"/>
      <c r="P54" s="595"/>
      <c r="Q54" s="597"/>
      <c r="R54" s="595"/>
      <c r="S54" s="597"/>
      <c r="T54" s="595"/>
      <c r="U54" s="597"/>
      <c r="V54" s="778"/>
      <c r="W54" s="778"/>
      <c r="X54" s="778"/>
      <c r="Y54" s="778"/>
      <c r="Z54" s="778"/>
      <c r="AA54" s="778"/>
      <c r="AB54" s="778"/>
      <c r="AC54" s="778"/>
      <c r="AD54" s="778"/>
      <c r="AE54" s="778"/>
      <c r="AF54" s="778"/>
      <c r="AG54" s="778"/>
      <c r="AH54" s="778"/>
      <c r="AI54" s="778"/>
      <c r="AJ54" s="778"/>
      <c r="AK54" s="778"/>
      <c r="AL54" s="778"/>
      <c r="AM54" s="778"/>
      <c r="AN54" s="778"/>
      <c r="AO54" s="778"/>
      <c r="AP54" s="778"/>
      <c r="AQ54" s="778"/>
      <c r="AR54" s="778"/>
      <c r="AS54" s="778"/>
      <c r="AT54" s="778"/>
      <c r="AU54" s="598"/>
      <c r="AV54" s="598"/>
      <c r="AW54" s="598"/>
      <c r="AX54" s="595"/>
      <c r="AY54" s="595"/>
      <c r="AZ54" s="197"/>
      <c r="BA54" s="478" t="str">
        <f t="shared" si="0"/>
        <v>SUM_CO2</v>
      </c>
      <c r="BB54" s="573" t="str">
        <f t="shared" si="1"/>
        <v>SUM_EnergyIN</v>
      </c>
      <c r="BC54" s="600"/>
      <c r="BD54" s="5"/>
    </row>
    <row r="55" spans="1:56" x14ac:dyDescent="0.2">
      <c r="A55" s="600"/>
      <c r="B55" s="197"/>
      <c r="C55" s="534">
        <v>32</v>
      </c>
      <c r="D55" s="594"/>
      <c r="E55" s="594"/>
      <c r="F55" s="595"/>
      <c r="G55" s="596"/>
      <c r="H55" s="595"/>
      <c r="I55" s="596"/>
      <c r="J55" s="595"/>
      <c r="K55" s="596"/>
      <c r="L55" s="596"/>
      <c r="M55" s="596"/>
      <c r="N55" s="595"/>
      <c r="O55" s="597"/>
      <c r="P55" s="595"/>
      <c r="Q55" s="597"/>
      <c r="R55" s="595"/>
      <c r="S55" s="597"/>
      <c r="T55" s="595"/>
      <c r="U55" s="597"/>
      <c r="V55" s="778"/>
      <c r="W55" s="778"/>
      <c r="X55" s="778"/>
      <c r="Y55" s="778"/>
      <c r="Z55" s="778"/>
      <c r="AA55" s="778"/>
      <c r="AB55" s="778"/>
      <c r="AC55" s="778"/>
      <c r="AD55" s="778"/>
      <c r="AE55" s="778"/>
      <c r="AF55" s="778"/>
      <c r="AG55" s="778"/>
      <c r="AH55" s="778"/>
      <c r="AI55" s="778"/>
      <c r="AJ55" s="778"/>
      <c r="AK55" s="778"/>
      <c r="AL55" s="778"/>
      <c r="AM55" s="778"/>
      <c r="AN55" s="778"/>
      <c r="AO55" s="778"/>
      <c r="AP55" s="778"/>
      <c r="AQ55" s="778"/>
      <c r="AR55" s="778"/>
      <c r="AS55" s="778"/>
      <c r="AT55" s="778"/>
      <c r="AU55" s="598"/>
      <c r="AV55" s="598"/>
      <c r="AW55" s="598"/>
      <c r="AX55" s="595"/>
      <c r="AY55" s="595"/>
      <c r="AZ55" s="197"/>
      <c r="BA55" s="478" t="str">
        <f t="shared" si="0"/>
        <v>SUM_CO2</v>
      </c>
      <c r="BB55" s="573" t="str">
        <f t="shared" si="1"/>
        <v>SUM_EnergyIN</v>
      </c>
      <c r="BC55" s="600"/>
      <c r="BD55" s="5"/>
    </row>
    <row r="56" spans="1:56" x14ac:dyDescent="0.2">
      <c r="A56" s="600"/>
      <c r="B56" s="197"/>
      <c r="C56" s="534">
        <v>33</v>
      </c>
      <c r="D56" s="594"/>
      <c r="E56" s="594"/>
      <c r="F56" s="595"/>
      <c r="G56" s="596"/>
      <c r="H56" s="595"/>
      <c r="I56" s="596"/>
      <c r="J56" s="595"/>
      <c r="K56" s="596"/>
      <c r="L56" s="596"/>
      <c r="M56" s="596"/>
      <c r="N56" s="595"/>
      <c r="O56" s="597"/>
      <c r="P56" s="595"/>
      <c r="Q56" s="597"/>
      <c r="R56" s="595"/>
      <c r="S56" s="597"/>
      <c r="T56" s="595"/>
      <c r="U56" s="597"/>
      <c r="V56" s="778"/>
      <c r="W56" s="778"/>
      <c r="X56" s="778"/>
      <c r="Y56" s="778"/>
      <c r="Z56" s="778"/>
      <c r="AA56" s="778"/>
      <c r="AB56" s="778"/>
      <c r="AC56" s="778"/>
      <c r="AD56" s="778"/>
      <c r="AE56" s="778"/>
      <c r="AF56" s="778"/>
      <c r="AG56" s="778"/>
      <c r="AH56" s="778"/>
      <c r="AI56" s="778"/>
      <c r="AJ56" s="778"/>
      <c r="AK56" s="778"/>
      <c r="AL56" s="778"/>
      <c r="AM56" s="778"/>
      <c r="AN56" s="778"/>
      <c r="AO56" s="778"/>
      <c r="AP56" s="778"/>
      <c r="AQ56" s="778"/>
      <c r="AR56" s="778"/>
      <c r="AS56" s="778"/>
      <c r="AT56" s="778"/>
      <c r="AU56" s="598"/>
      <c r="AV56" s="598"/>
      <c r="AW56" s="598"/>
      <c r="AX56" s="595"/>
      <c r="AY56" s="595"/>
      <c r="AZ56" s="197"/>
      <c r="BA56" s="478" t="str">
        <f t="shared" si="0"/>
        <v>SUM_CO2</v>
      </c>
      <c r="BB56" s="573" t="str">
        <f t="shared" si="1"/>
        <v>SUM_EnergyIN</v>
      </c>
      <c r="BC56" s="600"/>
      <c r="BD56" s="5"/>
    </row>
    <row r="57" spans="1:56" x14ac:dyDescent="0.2">
      <c r="A57" s="600"/>
      <c r="B57" s="197"/>
      <c r="C57" s="534">
        <v>34</v>
      </c>
      <c r="D57" s="594"/>
      <c r="E57" s="594"/>
      <c r="F57" s="595"/>
      <c r="G57" s="596"/>
      <c r="H57" s="595"/>
      <c r="I57" s="596"/>
      <c r="J57" s="595"/>
      <c r="K57" s="596"/>
      <c r="L57" s="596"/>
      <c r="M57" s="596"/>
      <c r="N57" s="595"/>
      <c r="O57" s="597"/>
      <c r="P57" s="595"/>
      <c r="Q57" s="597"/>
      <c r="R57" s="595"/>
      <c r="S57" s="597"/>
      <c r="T57" s="595"/>
      <c r="U57" s="597"/>
      <c r="V57" s="778"/>
      <c r="W57" s="778"/>
      <c r="X57" s="778"/>
      <c r="Y57" s="778"/>
      <c r="Z57" s="778"/>
      <c r="AA57" s="778"/>
      <c r="AB57" s="778"/>
      <c r="AC57" s="778"/>
      <c r="AD57" s="778"/>
      <c r="AE57" s="778"/>
      <c r="AF57" s="778"/>
      <c r="AG57" s="778"/>
      <c r="AH57" s="778"/>
      <c r="AI57" s="778"/>
      <c r="AJ57" s="778"/>
      <c r="AK57" s="778"/>
      <c r="AL57" s="778"/>
      <c r="AM57" s="778"/>
      <c r="AN57" s="778"/>
      <c r="AO57" s="778"/>
      <c r="AP57" s="778"/>
      <c r="AQ57" s="778"/>
      <c r="AR57" s="778"/>
      <c r="AS57" s="778"/>
      <c r="AT57" s="778"/>
      <c r="AU57" s="598"/>
      <c r="AV57" s="598"/>
      <c r="AW57" s="598"/>
      <c r="AX57" s="595"/>
      <c r="AY57" s="595"/>
      <c r="AZ57" s="197"/>
      <c r="BA57" s="478" t="str">
        <f t="shared" si="0"/>
        <v>SUM_CO2</v>
      </c>
      <c r="BB57" s="573" t="str">
        <f t="shared" si="1"/>
        <v>SUM_EnergyIN</v>
      </c>
      <c r="BC57" s="600"/>
      <c r="BD57" s="5"/>
    </row>
    <row r="58" spans="1:56" x14ac:dyDescent="0.2">
      <c r="A58" s="600"/>
      <c r="B58" s="197"/>
      <c r="C58" s="534">
        <v>35</v>
      </c>
      <c r="D58" s="594"/>
      <c r="E58" s="594"/>
      <c r="F58" s="595"/>
      <c r="G58" s="596"/>
      <c r="H58" s="595"/>
      <c r="I58" s="596"/>
      <c r="J58" s="595"/>
      <c r="K58" s="596"/>
      <c r="L58" s="596"/>
      <c r="M58" s="596"/>
      <c r="N58" s="595"/>
      <c r="O58" s="597"/>
      <c r="P58" s="595"/>
      <c r="Q58" s="597"/>
      <c r="R58" s="595"/>
      <c r="S58" s="597"/>
      <c r="T58" s="595"/>
      <c r="U58" s="597"/>
      <c r="V58" s="778"/>
      <c r="W58" s="778"/>
      <c r="X58" s="778"/>
      <c r="Y58" s="778"/>
      <c r="Z58" s="778"/>
      <c r="AA58" s="778"/>
      <c r="AB58" s="778"/>
      <c r="AC58" s="778"/>
      <c r="AD58" s="778"/>
      <c r="AE58" s="778"/>
      <c r="AF58" s="778"/>
      <c r="AG58" s="778"/>
      <c r="AH58" s="778"/>
      <c r="AI58" s="778"/>
      <c r="AJ58" s="778"/>
      <c r="AK58" s="778"/>
      <c r="AL58" s="778"/>
      <c r="AM58" s="778"/>
      <c r="AN58" s="778"/>
      <c r="AO58" s="778"/>
      <c r="AP58" s="778"/>
      <c r="AQ58" s="778"/>
      <c r="AR58" s="778"/>
      <c r="AS58" s="778"/>
      <c r="AT58" s="778"/>
      <c r="AU58" s="598"/>
      <c r="AV58" s="598"/>
      <c r="AW58" s="598"/>
      <c r="AX58" s="595"/>
      <c r="AY58" s="595"/>
      <c r="AZ58" s="197"/>
      <c r="BA58" s="478" t="str">
        <f t="shared" si="0"/>
        <v>SUM_CO2</v>
      </c>
      <c r="BB58" s="573" t="str">
        <f t="shared" si="1"/>
        <v>SUM_EnergyIN</v>
      </c>
      <c r="BC58" s="600"/>
      <c r="BD58" s="5"/>
    </row>
    <row r="59" spans="1:56" x14ac:dyDescent="0.2">
      <c r="A59" s="600"/>
      <c r="B59" s="197"/>
      <c r="C59" s="534">
        <v>36</v>
      </c>
      <c r="D59" s="594"/>
      <c r="E59" s="594"/>
      <c r="F59" s="595"/>
      <c r="G59" s="596"/>
      <c r="H59" s="595"/>
      <c r="I59" s="596"/>
      <c r="J59" s="595"/>
      <c r="K59" s="596"/>
      <c r="L59" s="596"/>
      <c r="M59" s="596"/>
      <c r="N59" s="595"/>
      <c r="O59" s="597"/>
      <c r="P59" s="595"/>
      <c r="Q59" s="597"/>
      <c r="R59" s="595"/>
      <c r="S59" s="597"/>
      <c r="T59" s="595"/>
      <c r="U59" s="597"/>
      <c r="V59" s="778"/>
      <c r="W59" s="778"/>
      <c r="X59" s="778"/>
      <c r="Y59" s="778"/>
      <c r="Z59" s="778"/>
      <c r="AA59" s="778"/>
      <c r="AB59" s="778"/>
      <c r="AC59" s="778"/>
      <c r="AD59" s="778"/>
      <c r="AE59" s="778"/>
      <c r="AF59" s="778"/>
      <c r="AG59" s="778"/>
      <c r="AH59" s="778"/>
      <c r="AI59" s="778"/>
      <c r="AJ59" s="778"/>
      <c r="AK59" s="778"/>
      <c r="AL59" s="778"/>
      <c r="AM59" s="778"/>
      <c r="AN59" s="778"/>
      <c r="AO59" s="778"/>
      <c r="AP59" s="778"/>
      <c r="AQ59" s="778"/>
      <c r="AR59" s="778"/>
      <c r="AS59" s="778"/>
      <c r="AT59" s="778"/>
      <c r="AU59" s="598"/>
      <c r="AV59" s="598"/>
      <c r="AW59" s="598"/>
      <c r="AX59" s="595"/>
      <c r="AY59" s="595"/>
      <c r="AZ59" s="197"/>
      <c r="BA59" s="478" t="str">
        <f t="shared" si="0"/>
        <v>SUM_CO2</v>
      </c>
      <c r="BB59" s="573" t="str">
        <f t="shared" si="1"/>
        <v>SUM_EnergyIN</v>
      </c>
      <c r="BC59" s="600"/>
      <c r="BD59" s="5"/>
    </row>
    <row r="60" spans="1:56" x14ac:dyDescent="0.2">
      <c r="A60" s="600"/>
      <c r="B60" s="197"/>
      <c r="C60" s="534">
        <v>37</v>
      </c>
      <c r="D60" s="594"/>
      <c r="E60" s="594"/>
      <c r="F60" s="595"/>
      <c r="G60" s="596"/>
      <c r="H60" s="595"/>
      <c r="I60" s="596"/>
      <c r="J60" s="595"/>
      <c r="K60" s="596"/>
      <c r="L60" s="596"/>
      <c r="M60" s="596"/>
      <c r="N60" s="595"/>
      <c r="O60" s="597"/>
      <c r="P60" s="595"/>
      <c r="Q60" s="597"/>
      <c r="R60" s="595"/>
      <c r="S60" s="597"/>
      <c r="T60" s="595"/>
      <c r="U60" s="597"/>
      <c r="V60" s="778"/>
      <c r="W60" s="778"/>
      <c r="X60" s="778"/>
      <c r="Y60" s="778"/>
      <c r="Z60" s="778"/>
      <c r="AA60" s="778"/>
      <c r="AB60" s="778"/>
      <c r="AC60" s="778"/>
      <c r="AD60" s="778"/>
      <c r="AE60" s="778"/>
      <c r="AF60" s="778"/>
      <c r="AG60" s="778"/>
      <c r="AH60" s="778"/>
      <c r="AI60" s="778"/>
      <c r="AJ60" s="778"/>
      <c r="AK60" s="778"/>
      <c r="AL60" s="778"/>
      <c r="AM60" s="778"/>
      <c r="AN60" s="778"/>
      <c r="AO60" s="778"/>
      <c r="AP60" s="778"/>
      <c r="AQ60" s="778"/>
      <c r="AR60" s="778"/>
      <c r="AS60" s="778"/>
      <c r="AT60" s="778"/>
      <c r="AU60" s="598"/>
      <c r="AV60" s="598"/>
      <c r="AW60" s="598"/>
      <c r="AX60" s="595"/>
      <c r="AY60" s="595"/>
      <c r="AZ60" s="197"/>
      <c r="BA60" s="478" t="str">
        <f t="shared" si="0"/>
        <v>SUM_CO2</v>
      </c>
      <c r="BB60" s="573" t="str">
        <f t="shared" si="1"/>
        <v>SUM_EnergyIN</v>
      </c>
      <c r="BC60" s="600"/>
      <c r="BD60" s="5"/>
    </row>
    <row r="61" spans="1:56" x14ac:dyDescent="0.2">
      <c r="A61" s="600"/>
      <c r="B61" s="197"/>
      <c r="C61" s="534">
        <v>38</v>
      </c>
      <c r="D61" s="594"/>
      <c r="E61" s="594"/>
      <c r="F61" s="595"/>
      <c r="G61" s="596"/>
      <c r="H61" s="595"/>
      <c r="I61" s="596"/>
      <c r="J61" s="595"/>
      <c r="K61" s="596"/>
      <c r="L61" s="596"/>
      <c r="M61" s="596"/>
      <c r="N61" s="595"/>
      <c r="O61" s="597"/>
      <c r="P61" s="595"/>
      <c r="Q61" s="597"/>
      <c r="R61" s="595"/>
      <c r="S61" s="597"/>
      <c r="T61" s="595"/>
      <c r="U61" s="597"/>
      <c r="V61" s="778"/>
      <c r="W61" s="778"/>
      <c r="X61" s="778"/>
      <c r="Y61" s="778"/>
      <c r="Z61" s="778"/>
      <c r="AA61" s="778"/>
      <c r="AB61" s="778"/>
      <c r="AC61" s="778"/>
      <c r="AD61" s="778"/>
      <c r="AE61" s="778"/>
      <c r="AF61" s="778"/>
      <c r="AG61" s="778"/>
      <c r="AH61" s="778"/>
      <c r="AI61" s="778"/>
      <c r="AJ61" s="778"/>
      <c r="AK61" s="778"/>
      <c r="AL61" s="778"/>
      <c r="AM61" s="778"/>
      <c r="AN61" s="778"/>
      <c r="AO61" s="778"/>
      <c r="AP61" s="778"/>
      <c r="AQ61" s="778"/>
      <c r="AR61" s="778"/>
      <c r="AS61" s="778"/>
      <c r="AT61" s="778"/>
      <c r="AU61" s="598"/>
      <c r="AV61" s="598"/>
      <c r="AW61" s="598"/>
      <c r="AX61" s="595"/>
      <c r="AY61" s="595"/>
      <c r="AZ61" s="197"/>
      <c r="BA61" s="478" t="str">
        <f t="shared" si="0"/>
        <v>SUM_CO2</v>
      </c>
      <c r="BB61" s="573" t="str">
        <f t="shared" si="1"/>
        <v>SUM_EnergyIN</v>
      </c>
      <c r="BC61" s="600"/>
      <c r="BD61" s="5"/>
    </row>
    <row r="62" spans="1:56" x14ac:dyDescent="0.2">
      <c r="A62" s="600"/>
      <c r="B62" s="197"/>
      <c r="C62" s="534">
        <v>39</v>
      </c>
      <c r="D62" s="594"/>
      <c r="E62" s="594"/>
      <c r="F62" s="595"/>
      <c r="G62" s="596"/>
      <c r="H62" s="595"/>
      <c r="I62" s="596"/>
      <c r="J62" s="595"/>
      <c r="K62" s="596"/>
      <c r="L62" s="596"/>
      <c r="M62" s="596"/>
      <c r="N62" s="595"/>
      <c r="O62" s="597"/>
      <c r="P62" s="595"/>
      <c r="Q62" s="597"/>
      <c r="R62" s="595"/>
      <c r="S62" s="597"/>
      <c r="T62" s="595"/>
      <c r="U62" s="597"/>
      <c r="V62" s="778"/>
      <c r="W62" s="778"/>
      <c r="X62" s="778"/>
      <c r="Y62" s="778"/>
      <c r="Z62" s="778"/>
      <c r="AA62" s="778"/>
      <c r="AB62" s="778"/>
      <c r="AC62" s="778"/>
      <c r="AD62" s="778"/>
      <c r="AE62" s="778"/>
      <c r="AF62" s="778"/>
      <c r="AG62" s="778"/>
      <c r="AH62" s="778"/>
      <c r="AI62" s="778"/>
      <c r="AJ62" s="778"/>
      <c r="AK62" s="778"/>
      <c r="AL62" s="778"/>
      <c r="AM62" s="778"/>
      <c r="AN62" s="778"/>
      <c r="AO62" s="778"/>
      <c r="AP62" s="778"/>
      <c r="AQ62" s="778"/>
      <c r="AR62" s="778"/>
      <c r="AS62" s="778"/>
      <c r="AT62" s="778"/>
      <c r="AU62" s="598"/>
      <c r="AV62" s="598"/>
      <c r="AW62" s="598"/>
      <c r="AX62" s="595"/>
      <c r="AY62" s="595"/>
      <c r="AZ62" s="197"/>
      <c r="BA62" s="478" t="str">
        <f t="shared" si="0"/>
        <v>SUM_CO2</v>
      </c>
      <c r="BB62" s="573" t="str">
        <f t="shared" si="1"/>
        <v>SUM_EnergyIN</v>
      </c>
      <c r="BC62" s="600"/>
      <c r="BD62" s="5"/>
    </row>
    <row r="63" spans="1:56" x14ac:dyDescent="0.2">
      <c r="A63" s="600"/>
      <c r="B63" s="197"/>
      <c r="C63" s="534">
        <v>40</v>
      </c>
      <c r="D63" s="594"/>
      <c r="E63" s="594"/>
      <c r="F63" s="595"/>
      <c r="G63" s="596"/>
      <c r="H63" s="595"/>
      <c r="I63" s="596"/>
      <c r="J63" s="595"/>
      <c r="K63" s="596"/>
      <c r="L63" s="596"/>
      <c r="M63" s="596"/>
      <c r="N63" s="595"/>
      <c r="O63" s="597"/>
      <c r="P63" s="595"/>
      <c r="Q63" s="597"/>
      <c r="R63" s="595"/>
      <c r="S63" s="597"/>
      <c r="T63" s="595"/>
      <c r="U63" s="597"/>
      <c r="V63" s="778"/>
      <c r="W63" s="778"/>
      <c r="X63" s="778"/>
      <c r="Y63" s="778"/>
      <c r="Z63" s="778"/>
      <c r="AA63" s="778"/>
      <c r="AB63" s="778"/>
      <c r="AC63" s="778"/>
      <c r="AD63" s="778"/>
      <c r="AE63" s="778"/>
      <c r="AF63" s="778"/>
      <c r="AG63" s="778"/>
      <c r="AH63" s="778"/>
      <c r="AI63" s="778"/>
      <c r="AJ63" s="778"/>
      <c r="AK63" s="778"/>
      <c r="AL63" s="778"/>
      <c r="AM63" s="778"/>
      <c r="AN63" s="778"/>
      <c r="AO63" s="778"/>
      <c r="AP63" s="778"/>
      <c r="AQ63" s="778"/>
      <c r="AR63" s="778"/>
      <c r="AS63" s="778"/>
      <c r="AT63" s="778"/>
      <c r="AU63" s="598"/>
      <c r="AV63" s="598"/>
      <c r="AW63" s="598"/>
      <c r="AX63" s="595"/>
      <c r="AY63" s="595"/>
      <c r="AZ63" s="197"/>
      <c r="BA63" s="478" t="str">
        <f t="shared" si="0"/>
        <v>SUM_CO2</v>
      </c>
      <c r="BB63" s="573" t="str">
        <f t="shared" si="1"/>
        <v>SUM_EnergyIN</v>
      </c>
      <c r="BC63" s="600"/>
      <c r="BD63" s="5"/>
    </row>
    <row r="64" spans="1:56" x14ac:dyDescent="0.2">
      <c r="A64" s="600"/>
      <c r="B64" s="197"/>
      <c r="C64" s="534">
        <v>41</v>
      </c>
      <c r="D64" s="594"/>
      <c r="E64" s="594"/>
      <c r="F64" s="595"/>
      <c r="G64" s="596"/>
      <c r="H64" s="595"/>
      <c r="I64" s="596"/>
      <c r="J64" s="595"/>
      <c r="K64" s="596"/>
      <c r="L64" s="596"/>
      <c r="M64" s="596"/>
      <c r="N64" s="595"/>
      <c r="O64" s="597"/>
      <c r="P64" s="595"/>
      <c r="Q64" s="597"/>
      <c r="R64" s="595"/>
      <c r="S64" s="597"/>
      <c r="T64" s="595"/>
      <c r="U64" s="597"/>
      <c r="V64" s="778"/>
      <c r="W64" s="778"/>
      <c r="X64" s="778"/>
      <c r="Y64" s="778"/>
      <c r="Z64" s="778"/>
      <c r="AA64" s="778"/>
      <c r="AB64" s="778"/>
      <c r="AC64" s="778"/>
      <c r="AD64" s="778"/>
      <c r="AE64" s="778"/>
      <c r="AF64" s="778"/>
      <c r="AG64" s="778"/>
      <c r="AH64" s="778"/>
      <c r="AI64" s="778"/>
      <c r="AJ64" s="778"/>
      <c r="AK64" s="778"/>
      <c r="AL64" s="778"/>
      <c r="AM64" s="778"/>
      <c r="AN64" s="778"/>
      <c r="AO64" s="778"/>
      <c r="AP64" s="778"/>
      <c r="AQ64" s="778"/>
      <c r="AR64" s="778"/>
      <c r="AS64" s="778"/>
      <c r="AT64" s="778"/>
      <c r="AU64" s="598"/>
      <c r="AV64" s="598"/>
      <c r="AW64" s="598"/>
      <c r="AX64" s="595"/>
      <c r="AY64" s="595"/>
      <c r="AZ64" s="197"/>
      <c r="BA64" s="478" t="str">
        <f t="shared" si="0"/>
        <v>SUM_CO2</v>
      </c>
      <c r="BB64" s="573" t="str">
        <f t="shared" si="1"/>
        <v>SUM_EnergyIN</v>
      </c>
      <c r="BC64" s="600"/>
      <c r="BD64" s="5"/>
    </row>
    <row r="65" spans="1:56" x14ac:dyDescent="0.2">
      <c r="A65" s="600"/>
      <c r="B65" s="197"/>
      <c r="C65" s="534">
        <v>42</v>
      </c>
      <c r="D65" s="594"/>
      <c r="E65" s="594"/>
      <c r="F65" s="595"/>
      <c r="G65" s="596"/>
      <c r="H65" s="595"/>
      <c r="I65" s="596"/>
      <c r="J65" s="595"/>
      <c r="K65" s="596"/>
      <c r="L65" s="596"/>
      <c r="M65" s="596"/>
      <c r="N65" s="595"/>
      <c r="O65" s="597"/>
      <c r="P65" s="595"/>
      <c r="Q65" s="597"/>
      <c r="R65" s="595"/>
      <c r="S65" s="597"/>
      <c r="T65" s="595"/>
      <c r="U65" s="597"/>
      <c r="V65" s="778"/>
      <c r="W65" s="778"/>
      <c r="X65" s="778"/>
      <c r="Y65" s="778"/>
      <c r="Z65" s="778"/>
      <c r="AA65" s="778"/>
      <c r="AB65" s="778"/>
      <c r="AC65" s="778"/>
      <c r="AD65" s="778"/>
      <c r="AE65" s="778"/>
      <c r="AF65" s="778"/>
      <c r="AG65" s="778"/>
      <c r="AH65" s="778"/>
      <c r="AI65" s="778"/>
      <c r="AJ65" s="778"/>
      <c r="AK65" s="778"/>
      <c r="AL65" s="778"/>
      <c r="AM65" s="778"/>
      <c r="AN65" s="778"/>
      <c r="AO65" s="778"/>
      <c r="AP65" s="778"/>
      <c r="AQ65" s="778"/>
      <c r="AR65" s="778"/>
      <c r="AS65" s="778"/>
      <c r="AT65" s="778"/>
      <c r="AU65" s="598"/>
      <c r="AV65" s="598"/>
      <c r="AW65" s="598"/>
      <c r="AX65" s="595"/>
      <c r="AY65" s="595"/>
      <c r="AZ65" s="197"/>
      <c r="BA65" s="478" t="str">
        <f t="shared" si="0"/>
        <v>SUM_CO2</v>
      </c>
      <c r="BB65" s="573" t="str">
        <f t="shared" si="1"/>
        <v>SUM_EnergyIN</v>
      </c>
      <c r="BC65" s="600"/>
      <c r="BD65" s="5"/>
    </row>
    <row r="66" spans="1:56" x14ac:dyDescent="0.2">
      <c r="A66" s="600"/>
      <c r="B66" s="197"/>
      <c r="C66" s="534">
        <v>43</v>
      </c>
      <c r="D66" s="594"/>
      <c r="E66" s="594"/>
      <c r="F66" s="595"/>
      <c r="G66" s="596"/>
      <c r="H66" s="595"/>
      <c r="I66" s="596"/>
      <c r="J66" s="595"/>
      <c r="K66" s="596"/>
      <c r="L66" s="596"/>
      <c r="M66" s="596"/>
      <c r="N66" s="595"/>
      <c r="O66" s="597"/>
      <c r="P66" s="595"/>
      <c r="Q66" s="597"/>
      <c r="R66" s="595"/>
      <c r="S66" s="597"/>
      <c r="T66" s="595"/>
      <c r="U66" s="597"/>
      <c r="V66" s="778"/>
      <c r="W66" s="778"/>
      <c r="X66" s="778"/>
      <c r="Y66" s="778"/>
      <c r="Z66" s="778"/>
      <c r="AA66" s="778"/>
      <c r="AB66" s="778"/>
      <c r="AC66" s="778"/>
      <c r="AD66" s="778"/>
      <c r="AE66" s="778"/>
      <c r="AF66" s="778"/>
      <c r="AG66" s="778"/>
      <c r="AH66" s="778"/>
      <c r="AI66" s="778"/>
      <c r="AJ66" s="778"/>
      <c r="AK66" s="778"/>
      <c r="AL66" s="778"/>
      <c r="AM66" s="778"/>
      <c r="AN66" s="778"/>
      <c r="AO66" s="778"/>
      <c r="AP66" s="778"/>
      <c r="AQ66" s="778"/>
      <c r="AR66" s="778"/>
      <c r="AS66" s="778"/>
      <c r="AT66" s="778"/>
      <c r="AU66" s="598"/>
      <c r="AV66" s="598"/>
      <c r="AW66" s="598"/>
      <c r="AX66" s="595"/>
      <c r="AY66" s="595"/>
      <c r="AZ66" s="197"/>
      <c r="BA66" s="478" t="str">
        <f t="shared" si="0"/>
        <v>SUM_CO2</v>
      </c>
      <c r="BB66" s="573" t="str">
        <f t="shared" si="1"/>
        <v>SUM_EnergyIN</v>
      </c>
      <c r="BC66" s="600"/>
      <c r="BD66" s="5"/>
    </row>
    <row r="67" spans="1:56" x14ac:dyDescent="0.2">
      <c r="A67" s="600"/>
      <c r="B67" s="197"/>
      <c r="C67" s="534">
        <v>44</v>
      </c>
      <c r="D67" s="594"/>
      <c r="E67" s="594"/>
      <c r="F67" s="595"/>
      <c r="G67" s="596"/>
      <c r="H67" s="595"/>
      <c r="I67" s="596"/>
      <c r="J67" s="595"/>
      <c r="K67" s="596"/>
      <c r="L67" s="596"/>
      <c r="M67" s="596"/>
      <c r="N67" s="595"/>
      <c r="O67" s="597"/>
      <c r="P67" s="595"/>
      <c r="Q67" s="597"/>
      <c r="R67" s="595"/>
      <c r="S67" s="597"/>
      <c r="T67" s="595"/>
      <c r="U67" s="597"/>
      <c r="V67" s="778"/>
      <c r="W67" s="778"/>
      <c r="X67" s="778"/>
      <c r="Y67" s="778"/>
      <c r="Z67" s="778"/>
      <c r="AA67" s="778"/>
      <c r="AB67" s="778"/>
      <c r="AC67" s="778"/>
      <c r="AD67" s="778"/>
      <c r="AE67" s="778"/>
      <c r="AF67" s="778"/>
      <c r="AG67" s="778"/>
      <c r="AH67" s="778"/>
      <c r="AI67" s="778"/>
      <c r="AJ67" s="778"/>
      <c r="AK67" s="778"/>
      <c r="AL67" s="778"/>
      <c r="AM67" s="778"/>
      <c r="AN67" s="778"/>
      <c r="AO67" s="778"/>
      <c r="AP67" s="778"/>
      <c r="AQ67" s="778"/>
      <c r="AR67" s="778"/>
      <c r="AS67" s="778"/>
      <c r="AT67" s="778"/>
      <c r="AU67" s="598"/>
      <c r="AV67" s="598"/>
      <c r="AW67" s="598"/>
      <c r="AX67" s="595"/>
      <c r="AY67" s="595"/>
      <c r="AZ67" s="197"/>
      <c r="BA67" s="478" t="str">
        <f t="shared" si="0"/>
        <v>SUM_CO2</v>
      </c>
      <c r="BB67" s="573" t="str">
        <f t="shared" si="1"/>
        <v>SUM_EnergyIN</v>
      </c>
      <c r="BC67" s="600"/>
      <c r="BD67" s="5"/>
    </row>
    <row r="68" spans="1:56" x14ac:dyDescent="0.2">
      <c r="A68" s="600"/>
      <c r="B68" s="197"/>
      <c r="C68" s="534">
        <v>45</v>
      </c>
      <c r="D68" s="594"/>
      <c r="E68" s="594"/>
      <c r="F68" s="595"/>
      <c r="G68" s="596"/>
      <c r="H68" s="595"/>
      <c r="I68" s="596"/>
      <c r="J68" s="595"/>
      <c r="K68" s="596"/>
      <c r="L68" s="596"/>
      <c r="M68" s="596"/>
      <c r="N68" s="595"/>
      <c r="O68" s="597"/>
      <c r="P68" s="595"/>
      <c r="Q68" s="597"/>
      <c r="R68" s="595"/>
      <c r="S68" s="597"/>
      <c r="T68" s="595"/>
      <c r="U68" s="597"/>
      <c r="V68" s="778"/>
      <c r="W68" s="778"/>
      <c r="X68" s="778"/>
      <c r="Y68" s="778"/>
      <c r="Z68" s="778"/>
      <c r="AA68" s="778"/>
      <c r="AB68" s="778"/>
      <c r="AC68" s="778"/>
      <c r="AD68" s="778"/>
      <c r="AE68" s="778"/>
      <c r="AF68" s="778"/>
      <c r="AG68" s="778"/>
      <c r="AH68" s="778"/>
      <c r="AI68" s="778"/>
      <c r="AJ68" s="778"/>
      <c r="AK68" s="778"/>
      <c r="AL68" s="778"/>
      <c r="AM68" s="778"/>
      <c r="AN68" s="778"/>
      <c r="AO68" s="778"/>
      <c r="AP68" s="778"/>
      <c r="AQ68" s="778"/>
      <c r="AR68" s="778"/>
      <c r="AS68" s="778"/>
      <c r="AT68" s="778"/>
      <c r="AU68" s="598"/>
      <c r="AV68" s="598"/>
      <c r="AW68" s="598"/>
      <c r="AX68" s="595"/>
      <c r="AY68" s="595"/>
      <c r="AZ68" s="197"/>
      <c r="BA68" s="478" t="str">
        <f t="shared" si="0"/>
        <v>SUM_CO2</v>
      </c>
      <c r="BB68" s="573" t="str">
        <f t="shared" si="1"/>
        <v>SUM_EnergyIN</v>
      </c>
      <c r="BC68" s="600"/>
      <c r="BD68" s="5"/>
    </row>
    <row r="69" spans="1:56" x14ac:dyDescent="0.2">
      <c r="A69" s="600"/>
      <c r="B69" s="197"/>
      <c r="C69" s="534">
        <v>46</v>
      </c>
      <c r="D69" s="594"/>
      <c r="E69" s="594"/>
      <c r="F69" s="595"/>
      <c r="G69" s="596"/>
      <c r="H69" s="595"/>
      <c r="I69" s="596"/>
      <c r="J69" s="595"/>
      <c r="K69" s="596"/>
      <c r="L69" s="596"/>
      <c r="M69" s="596"/>
      <c r="N69" s="595"/>
      <c r="O69" s="597"/>
      <c r="P69" s="595"/>
      <c r="Q69" s="597"/>
      <c r="R69" s="595"/>
      <c r="S69" s="597"/>
      <c r="T69" s="595"/>
      <c r="U69" s="597"/>
      <c r="V69" s="778"/>
      <c r="W69" s="778"/>
      <c r="X69" s="778"/>
      <c r="Y69" s="778"/>
      <c r="Z69" s="778"/>
      <c r="AA69" s="778"/>
      <c r="AB69" s="778"/>
      <c r="AC69" s="778"/>
      <c r="AD69" s="778"/>
      <c r="AE69" s="778"/>
      <c r="AF69" s="778"/>
      <c r="AG69" s="778"/>
      <c r="AH69" s="778"/>
      <c r="AI69" s="778"/>
      <c r="AJ69" s="778"/>
      <c r="AK69" s="778"/>
      <c r="AL69" s="778"/>
      <c r="AM69" s="778"/>
      <c r="AN69" s="778"/>
      <c r="AO69" s="778"/>
      <c r="AP69" s="778"/>
      <c r="AQ69" s="778"/>
      <c r="AR69" s="778"/>
      <c r="AS69" s="778"/>
      <c r="AT69" s="778"/>
      <c r="AU69" s="598"/>
      <c r="AV69" s="598"/>
      <c r="AW69" s="598"/>
      <c r="AX69" s="595"/>
      <c r="AY69" s="595"/>
      <c r="AZ69" s="197"/>
      <c r="BA69" s="478" t="str">
        <f t="shared" si="0"/>
        <v>SUM_CO2</v>
      </c>
      <c r="BB69" s="573" t="str">
        <f t="shared" si="1"/>
        <v>SUM_EnergyIN</v>
      </c>
      <c r="BC69" s="600"/>
      <c r="BD69" s="5"/>
    </row>
    <row r="70" spans="1:56" x14ac:dyDescent="0.2">
      <c r="A70" s="600"/>
      <c r="B70" s="197"/>
      <c r="C70" s="534">
        <v>47</v>
      </c>
      <c r="D70" s="594"/>
      <c r="E70" s="594"/>
      <c r="F70" s="595"/>
      <c r="G70" s="596"/>
      <c r="H70" s="595"/>
      <c r="I70" s="596"/>
      <c r="J70" s="595"/>
      <c r="K70" s="596"/>
      <c r="L70" s="596"/>
      <c r="M70" s="596"/>
      <c r="N70" s="595"/>
      <c r="O70" s="597"/>
      <c r="P70" s="595"/>
      <c r="Q70" s="597"/>
      <c r="R70" s="595"/>
      <c r="S70" s="597"/>
      <c r="T70" s="595"/>
      <c r="U70" s="597"/>
      <c r="V70" s="778"/>
      <c r="W70" s="778"/>
      <c r="X70" s="778"/>
      <c r="Y70" s="778"/>
      <c r="Z70" s="778"/>
      <c r="AA70" s="778"/>
      <c r="AB70" s="778"/>
      <c r="AC70" s="778"/>
      <c r="AD70" s="778"/>
      <c r="AE70" s="778"/>
      <c r="AF70" s="778"/>
      <c r="AG70" s="778"/>
      <c r="AH70" s="778"/>
      <c r="AI70" s="778"/>
      <c r="AJ70" s="778"/>
      <c r="AK70" s="778"/>
      <c r="AL70" s="778"/>
      <c r="AM70" s="778"/>
      <c r="AN70" s="778"/>
      <c r="AO70" s="778"/>
      <c r="AP70" s="778"/>
      <c r="AQ70" s="778"/>
      <c r="AR70" s="778"/>
      <c r="AS70" s="778"/>
      <c r="AT70" s="778"/>
      <c r="AU70" s="598"/>
      <c r="AV70" s="598"/>
      <c r="AW70" s="598"/>
      <c r="AX70" s="595"/>
      <c r="AY70" s="595"/>
      <c r="AZ70" s="197"/>
      <c r="BA70" s="478" t="str">
        <f t="shared" si="0"/>
        <v>SUM_CO2</v>
      </c>
      <c r="BB70" s="573" t="str">
        <f t="shared" si="1"/>
        <v>SUM_EnergyIN</v>
      </c>
      <c r="BC70" s="600"/>
      <c r="BD70" s="5"/>
    </row>
    <row r="71" spans="1:56" x14ac:dyDescent="0.2">
      <c r="A71" s="600"/>
      <c r="B71" s="197"/>
      <c r="C71" s="534">
        <v>48</v>
      </c>
      <c r="D71" s="594"/>
      <c r="E71" s="594"/>
      <c r="F71" s="595"/>
      <c r="G71" s="596"/>
      <c r="H71" s="595"/>
      <c r="I71" s="596"/>
      <c r="J71" s="595"/>
      <c r="K71" s="596"/>
      <c r="L71" s="596"/>
      <c r="M71" s="596"/>
      <c r="N71" s="595"/>
      <c r="O71" s="597"/>
      <c r="P71" s="595"/>
      <c r="Q71" s="597"/>
      <c r="R71" s="595"/>
      <c r="S71" s="597"/>
      <c r="T71" s="595"/>
      <c r="U71" s="597"/>
      <c r="V71" s="778"/>
      <c r="W71" s="778"/>
      <c r="X71" s="778"/>
      <c r="Y71" s="778"/>
      <c r="Z71" s="778"/>
      <c r="AA71" s="778"/>
      <c r="AB71" s="778"/>
      <c r="AC71" s="778"/>
      <c r="AD71" s="778"/>
      <c r="AE71" s="778"/>
      <c r="AF71" s="778"/>
      <c r="AG71" s="778"/>
      <c r="AH71" s="778"/>
      <c r="AI71" s="778"/>
      <c r="AJ71" s="778"/>
      <c r="AK71" s="778"/>
      <c r="AL71" s="778"/>
      <c r="AM71" s="778"/>
      <c r="AN71" s="778"/>
      <c r="AO71" s="778"/>
      <c r="AP71" s="778"/>
      <c r="AQ71" s="778"/>
      <c r="AR71" s="778"/>
      <c r="AS71" s="778"/>
      <c r="AT71" s="778"/>
      <c r="AU71" s="598"/>
      <c r="AV71" s="598"/>
      <c r="AW71" s="598"/>
      <c r="AX71" s="595"/>
      <c r="AY71" s="595"/>
      <c r="AZ71" s="197"/>
      <c r="BA71" s="478" t="str">
        <f t="shared" si="0"/>
        <v>SUM_CO2</v>
      </c>
      <c r="BB71" s="573" t="str">
        <f t="shared" si="1"/>
        <v>SUM_EnergyIN</v>
      </c>
      <c r="BC71" s="600"/>
      <c r="BD71" s="5"/>
    </row>
    <row r="72" spans="1:56" x14ac:dyDescent="0.2">
      <c r="A72" s="600"/>
      <c r="B72" s="197"/>
      <c r="C72" s="534">
        <v>49</v>
      </c>
      <c r="D72" s="594"/>
      <c r="E72" s="594"/>
      <c r="F72" s="595"/>
      <c r="G72" s="596"/>
      <c r="H72" s="595"/>
      <c r="I72" s="596"/>
      <c r="J72" s="595"/>
      <c r="K72" s="596"/>
      <c r="L72" s="596"/>
      <c r="M72" s="596"/>
      <c r="N72" s="595"/>
      <c r="O72" s="597"/>
      <c r="P72" s="595"/>
      <c r="Q72" s="597"/>
      <c r="R72" s="595"/>
      <c r="S72" s="597"/>
      <c r="T72" s="595"/>
      <c r="U72" s="597"/>
      <c r="V72" s="778"/>
      <c r="W72" s="778"/>
      <c r="X72" s="778"/>
      <c r="Y72" s="778"/>
      <c r="Z72" s="778"/>
      <c r="AA72" s="778"/>
      <c r="AB72" s="778"/>
      <c r="AC72" s="778"/>
      <c r="AD72" s="778"/>
      <c r="AE72" s="778"/>
      <c r="AF72" s="778"/>
      <c r="AG72" s="778"/>
      <c r="AH72" s="778"/>
      <c r="AI72" s="778"/>
      <c r="AJ72" s="778"/>
      <c r="AK72" s="778"/>
      <c r="AL72" s="778"/>
      <c r="AM72" s="778"/>
      <c r="AN72" s="778"/>
      <c r="AO72" s="778"/>
      <c r="AP72" s="778"/>
      <c r="AQ72" s="778"/>
      <c r="AR72" s="778"/>
      <c r="AS72" s="778"/>
      <c r="AT72" s="778"/>
      <c r="AU72" s="598"/>
      <c r="AV72" s="598"/>
      <c r="AW72" s="598"/>
      <c r="AX72" s="595"/>
      <c r="AY72" s="595"/>
      <c r="AZ72" s="197"/>
      <c r="BA72" s="478" t="str">
        <f t="shared" si="0"/>
        <v>SUM_CO2</v>
      </c>
      <c r="BB72" s="573" t="str">
        <f t="shared" si="1"/>
        <v>SUM_EnergyIN</v>
      </c>
      <c r="BC72" s="600"/>
      <c r="BD72" s="5"/>
    </row>
    <row r="73" spans="1:56" x14ac:dyDescent="0.2">
      <c r="A73" s="600"/>
      <c r="B73" s="197"/>
      <c r="C73" s="534">
        <v>50</v>
      </c>
      <c r="D73" s="594"/>
      <c r="E73" s="594"/>
      <c r="F73" s="595"/>
      <c r="G73" s="596"/>
      <c r="H73" s="595"/>
      <c r="I73" s="596"/>
      <c r="J73" s="595"/>
      <c r="K73" s="596"/>
      <c r="L73" s="596"/>
      <c r="M73" s="596"/>
      <c r="N73" s="595"/>
      <c r="O73" s="597"/>
      <c r="P73" s="595"/>
      <c r="Q73" s="597"/>
      <c r="R73" s="595"/>
      <c r="S73" s="597"/>
      <c r="T73" s="595"/>
      <c r="U73" s="597"/>
      <c r="V73" s="778"/>
      <c r="W73" s="778"/>
      <c r="X73" s="778"/>
      <c r="Y73" s="778"/>
      <c r="Z73" s="778"/>
      <c r="AA73" s="778"/>
      <c r="AB73" s="778"/>
      <c r="AC73" s="778"/>
      <c r="AD73" s="778"/>
      <c r="AE73" s="778"/>
      <c r="AF73" s="778"/>
      <c r="AG73" s="778"/>
      <c r="AH73" s="778"/>
      <c r="AI73" s="778"/>
      <c r="AJ73" s="778"/>
      <c r="AK73" s="778"/>
      <c r="AL73" s="778"/>
      <c r="AM73" s="778"/>
      <c r="AN73" s="778"/>
      <c r="AO73" s="778"/>
      <c r="AP73" s="778"/>
      <c r="AQ73" s="778"/>
      <c r="AR73" s="778"/>
      <c r="AS73" s="778"/>
      <c r="AT73" s="778"/>
      <c r="AU73" s="598"/>
      <c r="AV73" s="598"/>
      <c r="AW73" s="598"/>
      <c r="AX73" s="595"/>
      <c r="AY73" s="595"/>
      <c r="AZ73" s="197"/>
      <c r="BA73" s="478" t="str">
        <f t="shared" si="0"/>
        <v>SUM_CO2</v>
      </c>
      <c r="BB73" s="573" t="str">
        <f t="shared" si="1"/>
        <v>SUM_EnergyIN</v>
      </c>
      <c r="BC73" s="600"/>
      <c r="BD73" s="5"/>
    </row>
    <row r="74" spans="1:56" x14ac:dyDescent="0.2">
      <c r="A74" s="600"/>
      <c r="B74" s="197"/>
      <c r="C74" s="534">
        <v>51</v>
      </c>
      <c r="D74" s="594"/>
      <c r="E74" s="594"/>
      <c r="F74" s="595"/>
      <c r="G74" s="596"/>
      <c r="H74" s="595"/>
      <c r="I74" s="596"/>
      <c r="J74" s="595"/>
      <c r="K74" s="596"/>
      <c r="L74" s="596"/>
      <c r="M74" s="596"/>
      <c r="N74" s="595"/>
      <c r="O74" s="597"/>
      <c r="P74" s="595"/>
      <c r="Q74" s="597"/>
      <c r="R74" s="595"/>
      <c r="S74" s="597"/>
      <c r="T74" s="595"/>
      <c r="U74" s="597"/>
      <c r="V74" s="778"/>
      <c r="W74" s="778"/>
      <c r="X74" s="778"/>
      <c r="Y74" s="778"/>
      <c r="Z74" s="778"/>
      <c r="AA74" s="778"/>
      <c r="AB74" s="778"/>
      <c r="AC74" s="778"/>
      <c r="AD74" s="778"/>
      <c r="AE74" s="778"/>
      <c r="AF74" s="778"/>
      <c r="AG74" s="778"/>
      <c r="AH74" s="778"/>
      <c r="AI74" s="778"/>
      <c r="AJ74" s="778"/>
      <c r="AK74" s="778"/>
      <c r="AL74" s="778"/>
      <c r="AM74" s="778"/>
      <c r="AN74" s="778"/>
      <c r="AO74" s="778"/>
      <c r="AP74" s="778"/>
      <c r="AQ74" s="778"/>
      <c r="AR74" s="778"/>
      <c r="AS74" s="778"/>
      <c r="AT74" s="778"/>
      <c r="AU74" s="598"/>
      <c r="AV74" s="598"/>
      <c r="AW74" s="598"/>
      <c r="AX74" s="595"/>
      <c r="AY74" s="595"/>
      <c r="AZ74" s="197"/>
      <c r="BA74" s="478" t="str">
        <f t="shared" si="0"/>
        <v>SUM_CO2</v>
      </c>
      <c r="BB74" s="573" t="str">
        <f t="shared" si="1"/>
        <v>SUM_EnergyIN</v>
      </c>
      <c r="BC74" s="600"/>
      <c r="BD74" s="5"/>
    </row>
    <row r="75" spans="1:56" x14ac:dyDescent="0.2">
      <c r="A75" s="600"/>
      <c r="B75" s="197"/>
      <c r="C75" s="534">
        <v>52</v>
      </c>
      <c r="D75" s="594"/>
      <c r="E75" s="594"/>
      <c r="F75" s="595"/>
      <c r="G75" s="596"/>
      <c r="H75" s="595"/>
      <c r="I75" s="596"/>
      <c r="J75" s="595"/>
      <c r="K75" s="596"/>
      <c r="L75" s="596"/>
      <c r="M75" s="596"/>
      <c r="N75" s="595"/>
      <c r="O75" s="597"/>
      <c r="P75" s="595"/>
      <c r="Q75" s="597"/>
      <c r="R75" s="595"/>
      <c r="S75" s="597"/>
      <c r="T75" s="595"/>
      <c r="U75" s="597"/>
      <c r="V75" s="778"/>
      <c r="W75" s="778"/>
      <c r="X75" s="778"/>
      <c r="Y75" s="778"/>
      <c r="Z75" s="778"/>
      <c r="AA75" s="778"/>
      <c r="AB75" s="778"/>
      <c r="AC75" s="778"/>
      <c r="AD75" s="778"/>
      <c r="AE75" s="778"/>
      <c r="AF75" s="778"/>
      <c r="AG75" s="778"/>
      <c r="AH75" s="778"/>
      <c r="AI75" s="778"/>
      <c r="AJ75" s="778"/>
      <c r="AK75" s="778"/>
      <c r="AL75" s="778"/>
      <c r="AM75" s="778"/>
      <c r="AN75" s="778"/>
      <c r="AO75" s="778"/>
      <c r="AP75" s="778"/>
      <c r="AQ75" s="778"/>
      <c r="AR75" s="778"/>
      <c r="AS75" s="778"/>
      <c r="AT75" s="778"/>
      <c r="AU75" s="598"/>
      <c r="AV75" s="598"/>
      <c r="AW75" s="598"/>
      <c r="AX75" s="595"/>
      <c r="AY75" s="595"/>
      <c r="AZ75" s="197"/>
      <c r="BA75" s="478" t="str">
        <f t="shared" si="0"/>
        <v>SUM_CO2</v>
      </c>
      <c r="BB75" s="573" t="str">
        <f t="shared" si="1"/>
        <v>SUM_EnergyIN</v>
      </c>
      <c r="BC75" s="600"/>
      <c r="BD75" s="5"/>
    </row>
    <row r="76" spans="1:56" x14ac:dyDescent="0.2">
      <c r="A76" s="600"/>
      <c r="B76" s="197"/>
      <c r="C76" s="534">
        <v>53</v>
      </c>
      <c r="D76" s="594"/>
      <c r="E76" s="594"/>
      <c r="F76" s="595"/>
      <c r="G76" s="596"/>
      <c r="H76" s="595"/>
      <c r="I76" s="596"/>
      <c r="J76" s="595"/>
      <c r="K76" s="596"/>
      <c r="L76" s="596"/>
      <c r="M76" s="596"/>
      <c r="N76" s="595"/>
      <c r="O76" s="597"/>
      <c r="P76" s="595"/>
      <c r="Q76" s="597"/>
      <c r="R76" s="595"/>
      <c r="S76" s="597"/>
      <c r="T76" s="595"/>
      <c r="U76" s="597"/>
      <c r="V76" s="778"/>
      <c r="W76" s="778"/>
      <c r="X76" s="778"/>
      <c r="Y76" s="778"/>
      <c r="Z76" s="778"/>
      <c r="AA76" s="778"/>
      <c r="AB76" s="778"/>
      <c r="AC76" s="778"/>
      <c r="AD76" s="778"/>
      <c r="AE76" s="778"/>
      <c r="AF76" s="778"/>
      <c r="AG76" s="778"/>
      <c r="AH76" s="778"/>
      <c r="AI76" s="778"/>
      <c r="AJ76" s="778"/>
      <c r="AK76" s="778"/>
      <c r="AL76" s="778"/>
      <c r="AM76" s="778"/>
      <c r="AN76" s="778"/>
      <c r="AO76" s="778"/>
      <c r="AP76" s="778"/>
      <c r="AQ76" s="778"/>
      <c r="AR76" s="778"/>
      <c r="AS76" s="778"/>
      <c r="AT76" s="778"/>
      <c r="AU76" s="598"/>
      <c r="AV76" s="598"/>
      <c r="AW76" s="598"/>
      <c r="AX76" s="595"/>
      <c r="AY76" s="595"/>
      <c r="AZ76" s="197"/>
      <c r="BA76" s="478" t="str">
        <f t="shared" si="0"/>
        <v>SUM_CO2</v>
      </c>
      <c r="BB76" s="573" t="str">
        <f t="shared" si="1"/>
        <v>SUM_EnergyIN</v>
      </c>
      <c r="BC76" s="600"/>
      <c r="BD76" s="5"/>
    </row>
    <row r="77" spans="1:56" x14ac:dyDescent="0.2">
      <c r="A77" s="600"/>
      <c r="B77" s="197"/>
      <c r="C77" s="534">
        <v>54</v>
      </c>
      <c r="D77" s="594"/>
      <c r="E77" s="594"/>
      <c r="F77" s="595"/>
      <c r="G77" s="596"/>
      <c r="H77" s="595"/>
      <c r="I77" s="596"/>
      <c r="J77" s="595"/>
      <c r="K77" s="596"/>
      <c r="L77" s="596"/>
      <c r="M77" s="596"/>
      <c r="N77" s="595"/>
      <c r="O77" s="597"/>
      <c r="P77" s="595"/>
      <c r="Q77" s="597"/>
      <c r="R77" s="595"/>
      <c r="S77" s="597"/>
      <c r="T77" s="595"/>
      <c r="U77" s="597"/>
      <c r="V77" s="778"/>
      <c r="W77" s="778"/>
      <c r="X77" s="778"/>
      <c r="Y77" s="778"/>
      <c r="Z77" s="778"/>
      <c r="AA77" s="778"/>
      <c r="AB77" s="778"/>
      <c r="AC77" s="778"/>
      <c r="AD77" s="778"/>
      <c r="AE77" s="778"/>
      <c r="AF77" s="778"/>
      <c r="AG77" s="778"/>
      <c r="AH77" s="778"/>
      <c r="AI77" s="778"/>
      <c r="AJ77" s="778"/>
      <c r="AK77" s="778"/>
      <c r="AL77" s="778"/>
      <c r="AM77" s="778"/>
      <c r="AN77" s="778"/>
      <c r="AO77" s="778"/>
      <c r="AP77" s="778"/>
      <c r="AQ77" s="778"/>
      <c r="AR77" s="778"/>
      <c r="AS77" s="778"/>
      <c r="AT77" s="778"/>
      <c r="AU77" s="598"/>
      <c r="AV77" s="598"/>
      <c r="AW77" s="598"/>
      <c r="AX77" s="595"/>
      <c r="AY77" s="595"/>
      <c r="AZ77" s="197"/>
      <c r="BA77" s="478" t="str">
        <f t="shared" si="0"/>
        <v>SUM_CO2</v>
      </c>
      <c r="BB77" s="573" t="str">
        <f t="shared" si="1"/>
        <v>SUM_EnergyIN</v>
      </c>
      <c r="BC77" s="600"/>
      <c r="BD77" s="5"/>
    </row>
    <row r="78" spans="1:56" x14ac:dyDescent="0.2">
      <c r="A78" s="600"/>
      <c r="B78" s="197"/>
      <c r="C78" s="534">
        <v>55</v>
      </c>
      <c r="D78" s="594"/>
      <c r="E78" s="594"/>
      <c r="F78" s="595"/>
      <c r="G78" s="596"/>
      <c r="H78" s="595"/>
      <c r="I78" s="596"/>
      <c r="J78" s="595"/>
      <c r="K78" s="596"/>
      <c r="L78" s="596"/>
      <c r="M78" s="596"/>
      <c r="N78" s="595"/>
      <c r="O78" s="597"/>
      <c r="P78" s="595"/>
      <c r="Q78" s="597"/>
      <c r="R78" s="595"/>
      <c r="S78" s="597"/>
      <c r="T78" s="595"/>
      <c r="U78" s="597"/>
      <c r="V78" s="778"/>
      <c r="W78" s="778"/>
      <c r="X78" s="778"/>
      <c r="Y78" s="778"/>
      <c r="Z78" s="778"/>
      <c r="AA78" s="778"/>
      <c r="AB78" s="778"/>
      <c r="AC78" s="778"/>
      <c r="AD78" s="778"/>
      <c r="AE78" s="778"/>
      <c r="AF78" s="778"/>
      <c r="AG78" s="778"/>
      <c r="AH78" s="778"/>
      <c r="AI78" s="778"/>
      <c r="AJ78" s="778"/>
      <c r="AK78" s="778"/>
      <c r="AL78" s="778"/>
      <c r="AM78" s="778"/>
      <c r="AN78" s="778"/>
      <c r="AO78" s="778"/>
      <c r="AP78" s="778"/>
      <c r="AQ78" s="778"/>
      <c r="AR78" s="778"/>
      <c r="AS78" s="778"/>
      <c r="AT78" s="778"/>
      <c r="AU78" s="598"/>
      <c r="AV78" s="598"/>
      <c r="AW78" s="598"/>
      <c r="AX78" s="595"/>
      <c r="AY78" s="595"/>
      <c r="AZ78" s="197"/>
      <c r="BA78" s="478" t="str">
        <f t="shared" si="0"/>
        <v>SUM_CO2</v>
      </c>
      <c r="BB78" s="573" t="str">
        <f t="shared" si="1"/>
        <v>SUM_EnergyIN</v>
      </c>
      <c r="BC78" s="600"/>
      <c r="BD78" s="5"/>
    </row>
    <row r="79" spans="1:56" x14ac:dyDescent="0.2">
      <c r="A79" s="600"/>
      <c r="B79" s="197"/>
      <c r="C79" s="534">
        <v>56</v>
      </c>
      <c r="D79" s="594"/>
      <c r="E79" s="594"/>
      <c r="F79" s="595"/>
      <c r="G79" s="596"/>
      <c r="H79" s="595"/>
      <c r="I79" s="596"/>
      <c r="J79" s="595"/>
      <c r="K79" s="596"/>
      <c r="L79" s="596"/>
      <c r="M79" s="596"/>
      <c r="N79" s="595"/>
      <c r="O79" s="597"/>
      <c r="P79" s="595"/>
      <c r="Q79" s="597"/>
      <c r="R79" s="595"/>
      <c r="S79" s="597"/>
      <c r="T79" s="595"/>
      <c r="U79" s="597"/>
      <c r="V79" s="778"/>
      <c r="W79" s="778"/>
      <c r="X79" s="778"/>
      <c r="Y79" s="778"/>
      <c r="Z79" s="778"/>
      <c r="AA79" s="778"/>
      <c r="AB79" s="778"/>
      <c r="AC79" s="778"/>
      <c r="AD79" s="778"/>
      <c r="AE79" s="778"/>
      <c r="AF79" s="778"/>
      <c r="AG79" s="778"/>
      <c r="AH79" s="778"/>
      <c r="AI79" s="778"/>
      <c r="AJ79" s="778"/>
      <c r="AK79" s="778"/>
      <c r="AL79" s="778"/>
      <c r="AM79" s="778"/>
      <c r="AN79" s="778"/>
      <c r="AO79" s="778"/>
      <c r="AP79" s="778"/>
      <c r="AQ79" s="778"/>
      <c r="AR79" s="778"/>
      <c r="AS79" s="778"/>
      <c r="AT79" s="778"/>
      <c r="AU79" s="598"/>
      <c r="AV79" s="598"/>
      <c r="AW79" s="598"/>
      <c r="AX79" s="595"/>
      <c r="AY79" s="595"/>
      <c r="AZ79" s="197"/>
      <c r="BA79" s="478" t="str">
        <f t="shared" si="0"/>
        <v>SUM_CO2</v>
      </c>
      <c r="BB79" s="573" t="str">
        <f t="shared" si="1"/>
        <v>SUM_EnergyIN</v>
      </c>
      <c r="BC79" s="600"/>
      <c r="BD79" s="5"/>
    </row>
    <row r="80" spans="1:56" x14ac:dyDescent="0.2">
      <c r="A80" s="600"/>
      <c r="B80" s="197"/>
      <c r="C80" s="534">
        <v>57</v>
      </c>
      <c r="D80" s="594"/>
      <c r="E80" s="594"/>
      <c r="F80" s="595"/>
      <c r="G80" s="596"/>
      <c r="H80" s="595"/>
      <c r="I80" s="596"/>
      <c r="J80" s="595"/>
      <c r="K80" s="596"/>
      <c r="L80" s="596"/>
      <c r="M80" s="596"/>
      <c r="N80" s="595"/>
      <c r="O80" s="597"/>
      <c r="P80" s="595"/>
      <c r="Q80" s="597"/>
      <c r="R80" s="595"/>
      <c r="S80" s="597"/>
      <c r="T80" s="595"/>
      <c r="U80" s="597"/>
      <c r="V80" s="778"/>
      <c r="W80" s="778"/>
      <c r="X80" s="778"/>
      <c r="Y80" s="778"/>
      <c r="Z80" s="778"/>
      <c r="AA80" s="778"/>
      <c r="AB80" s="778"/>
      <c r="AC80" s="778"/>
      <c r="AD80" s="778"/>
      <c r="AE80" s="778"/>
      <c r="AF80" s="778"/>
      <c r="AG80" s="778"/>
      <c r="AH80" s="778"/>
      <c r="AI80" s="778"/>
      <c r="AJ80" s="778"/>
      <c r="AK80" s="778"/>
      <c r="AL80" s="778"/>
      <c r="AM80" s="778"/>
      <c r="AN80" s="778"/>
      <c r="AO80" s="778"/>
      <c r="AP80" s="778"/>
      <c r="AQ80" s="778"/>
      <c r="AR80" s="778"/>
      <c r="AS80" s="778"/>
      <c r="AT80" s="778"/>
      <c r="AU80" s="598"/>
      <c r="AV80" s="598"/>
      <c r="AW80" s="598"/>
      <c r="AX80" s="595"/>
      <c r="AY80" s="595"/>
      <c r="AZ80" s="197"/>
      <c r="BA80" s="478" t="str">
        <f t="shared" si="0"/>
        <v>SUM_CO2</v>
      </c>
      <c r="BB80" s="573" t="str">
        <f t="shared" si="1"/>
        <v>SUM_EnergyIN</v>
      </c>
      <c r="BC80" s="600"/>
      <c r="BD80" s="5"/>
    </row>
    <row r="81" spans="1:56" x14ac:dyDescent="0.2">
      <c r="A81" s="600"/>
      <c r="B81" s="197"/>
      <c r="C81" s="534">
        <v>58</v>
      </c>
      <c r="D81" s="594"/>
      <c r="E81" s="594"/>
      <c r="F81" s="595"/>
      <c r="G81" s="596"/>
      <c r="H81" s="595"/>
      <c r="I81" s="596"/>
      <c r="J81" s="595"/>
      <c r="K81" s="596"/>
      <c r="L81" s="596"/>
      <c r="M81" s="596"/>
      <c r="N81" s="595"/>
      <c r="O81" s="597"/>
      <c r="P81" s="595"/>
      <c r="Q81" s="597"/>
      <c r="R81" s="595"/>
      <c r="S81" s="597"/>
      <c r="T81" s="595"/>
      <c r="U81" s="597"/>
      <c r="V81" s="778"/>
      <c r="W81" s="778"/>
      <c r="X81" s="778"/>
      <c r="Y81" s="778"/>
      <c r="Z81" s="778"/>
      <c r="AA81" s="778"/>
      <c r="AB81" s="778"/>
      <c r="AC81" s="778"/>
      <c r="AD81" s="778"/>
      <c r="AE81" s="778"/>
      <c r="AF81" s="778"/>
      <c r="AG81" s="778"/>
      <c r="AH81" s="778"/>
      <c r="AI81" s="778"/>
      <c r="AJ81" s="778"/>
      <c r="AK81" s="778"/>
      <c r="AL81" s="778"/>
      <c r="AM81" s="778"/>
      <c r="AN81" s="778"/>
      <c r="AO81" s="778"/>
      <c r="AP81" s="778"/>
      <c r="AQ81" s="778"/>
      <c r="AR81" s="778"/>
      <c r="AS81" s="778"/>
      <c r="AT81" s="778"/>
      <c r="AU81" s="598"/>
      <c r="AV81" s="598"/>
      <c r="AW81" s="598"/>
      <c r="AX81" s="595"/>
      <c r="AY81" s="595"/>
      <c r="AZ81" s="197"/>
      <c r="BA81" s="478" t="str">
        <f t="shared" si="0"/>
        <v>SUM_CO2</v>
      </c>
      <c r="BB81" s="573" t="str">
        <f t="shared" si="1"/>
        <v>SUM_EnergyIN</v>
      </c>
      <c r="BC81" s="600"/>
      <c r="BD81" s="5"/>
    </row>
    <row r="82" spans="1:56" x14ac:dyDescent="0.2">
      <c r="A82" s="600"/>
      <c r="B82" s="197"/>
      <c r="C82" s="534">
        <v>59</v>
      </c>
      <c r="D82" s="594"/>
      <c r="E82" s="594"/>
      <c r="F82" s="595"/>
      <c r="G82" s="596"/>
      <c r="H82" s="595"/>
      <c r="I82" s="596"/>
      <c r="J82" s="595"/>
      <c r="K82" s="596"/>
      <c r="L82" s="596"/>
      <c r="M82" s="596"/>
      <c r="N82" s="595"/>
      <c r="O82" s="597"/>
      <c r="P82" s="595"/>
      <c r="Q82" s="597"/>
      <c r="R82" s="595"/>
      <c r="S82" s="597"/>
      <c r="T82" s="595"/>
      <c r="U82" s="597"/>
      <c r="V82" s="778"/>
      <c r="W82" s="778"/>
      <c r="X82" s="778"/>
      <c r="Y82" s="778"/>
      <c r="Z82" s="778"/>
      <c r="AA82" s="778"/>
      <c r="AB82" s="778"/>
      <c r="AC82" s="778"/>
      <c r="AD82" s="778"/>
      <c r="AE82" s="778"/>
      <c r="AF82" s="778"/>
      <c r="AG82" s="778"/>
      <c r="AH82" s="778"/>
      <c r="AI82" s="778"/>
      <c r="AJ82" s="778"/>
      <c r="AK82" s="778"/>
      <c r="AL82" s="778"/>
      <c r="AM82" s="778"/>
      <c r="AN82" s="778"/>
      <c r="AO82" s="778"/>
      <c r="AP82" s="778"/>
      <c r="AQ82" s="778"/>
      <c r="AR82" s="778"/>
      <c r="AS82" s="778"/>
      <c r="AT82" s="778"/>
      <c r="AU82" s="598"/>
      <c r="AV82" s="598"/>
      <c r="AW82" s="598"/>
      <c r="AX82" s="595"/>
      <c r="AY82" s="595"/>
      <c r="AZ82" s="197"/>
      <c r="BA82" s="478" t="str">
        <f t="shared" si="0"/>
        <v>SUM_CO2</v>
      </c>
      <c r="BB82" s="573" t="str">
        <f t="shared" si="1"/>
        <v>SUM_EnergyIN</v>
      </c>
      <c r="BC82" s="600"/>
      <c r="BD82" s="5"/>
    </row>
    <row r="83" spans="1:56" x14ac:dyDescent="0.2">
      <c r="A83" s="600"/>
      <c r="B83" s="197"/>
      <c r="C83" s="534">
        <v>60</v>
      </c>
      <c r="D83" s="594"/>
      <c r="E83" s="594"/>
      <c r="F83" s="595"/>
      <c r="G83" s="596"/>
      <c r="H83" s="595"/>
      <c r="I83" s="596"/>
      <c r="J83" s="595"/>
      <c r="K83" s="596"/>
      <c r="L83" s="596"/>
      <c r="M83" s="596"/>
      <c r="N83" s="595"/>
      <c r="O83" s="597"/>
      <c r="P83" s="595"/>
      <c r="Q83" s="597"/>
      <c r="R83" s="595"/>
      <c r="S83" s="597"/>
      <c r="T83" s="595"/>
      <c r="U83" s="597"/>
      <c r="V83" s="778"/>
      <c r="W83" s="778"/>
      <c r="X83" s="778"/>
      <c r="Y83" s="778"/>
      <c r="Z83" s="778"/>
      <c r="AA83" s="778"/>
      <c r="AB83" s="778"/>
      <c r="AC83" s="778"/>
      <c r="AD83" s="778"/>
      <c r="AE83" s="778"/>
      <c r="AF83" s="778"/>
      <c r="AG83" s="778"/>
      <c r="AH83" s="778"/>
      <c r="AI83" s="778"/>
      <c r="AJ83" s="778"/>
      <c r="AK83" s="778"/>
      <c r="AL83" s="778"/>
      <c r="AM83" s="778"/>
      <c r="AN83" s="778"/>
      <c r="AO83" s="778"/>
      <c r="AP83" s="778"/>
      <c r="AQ83" s="778"/>
      <c r="AR83" s="778"/>
      <c r="AS83" s="778"/>
      <c r="AT83" s="778"/>
      <c r="AU83" s="598"/>
      <c r="AV83" s="598"/>
      <c r="AW83" s="598"/>
      <c r="AX83" s="595"/>
      <c r="AY83" s="595"/>
      <c r="AZ83" s="197"/>
      <c r="BA83" s="478" t="str">
        <f t="shared" si="0"/>
        <v>SUM_CO2</v>
      </c>
      <c r="BB83" s="573" t="str">
        <f t="shared" si="1"/>
        <v>SUM_EnergyIN</v>
      </c>
      <c r="BC83" s="600"/>
      <c r="BD83" s="5"/>
    </row>
    <row r="84" spans="1:56" x14ac:dyDescent="0.2">
      <c r="A84" s="600"/>
      <c r="B84" s="197"/>
      <c r="C84" s="534">
        <v>61</v>
      </c>
      <c r="D84" s="594"/>
      <c r="E84" s="594"/>
      <c r="F84" s="595"/>
      <c r="G84" s="596"/>
      <c r="H84" s="595"/>
      <c r="I84" s="596"/>
      <c r="J84" s="595"/>
      <c r="K84" s="596"/>
      <c r="L84" s="596"/>
      <c r="M84" s="596"/>
      <c r="N84" s="595"/>
      <c r="O84" s="597"/>
      <c r="P84" s="595"/>
      <c r="Q84" s="597"/>
      <c r="R84" s="595"/>
      <c r="S84" s="597"/>
      <c r="T84" s="595"/>
      <c r="U84" s="597"/>
      <c r="V84" s="778"/>
      <c r="W84" s="778"/>
      <c r="X84" s="778"/>
      <c r="Y84" s="778"/>
      <c r="Z84" s="778"/>
      <c r="AA84" s="778"/>
      <c r="AB84" s="778"/>
      <c r="AC84" s="778"/>
      <c r="AD84" s="778"/>
      <c r="AE84" s="778"/>
      <c r="AF84" s="778"/>
      <c r="AG84" s="778"/>
      <c r="AH84" s="778"/>
      <c r="AI84" s="778"/>
      <c r="AJ84" s="778"/>
      <c r="AK84" s="778"/>
      <c r="AL84" s="778"/>
      <c r="AM84" s="778"/>
      <c r="AN84" s="778"/>
      <c r="AO84" s="778"/>
      <c r="AP84" s="778"/>
      <c r="AQ84" s="778"/>
      <c r="AR84" s="778"/>
      <c r="AS84" s="778"/>
      <c r="AT84" s="778"/>
      <c r="AU84" s="598"/>
      <c r="AV84" s="598"/>
      <c r="AW84" s="598"/>
      <c r="AX84" s="595"/>
      <c r="AY84" s="595"/>
      <c r="AZ84" s="197"/>
      <c r="BA84" s="478" t="str">
        <f t="shared" si="0"/>
        <v>SUM_CO2</v>
      </c>
      <c r="BB84" s="573" t="str">
        <f t="shared" si="1"/>
        <v>SUM_EnergyIN</v>
      </c>
      <c r="BC84" s="600"/>
      <c r="BD84" s="5"/>
    </row>
    <row r="85" spans="1:56" x14ac:dyDescent="0.2">
      <c r="A85" s="600"/>
      <c r="B85" s="197"/>
      <c r="C85" s="534">
        <v>62</v>
      </c>
      <c r="D85" s="594"/>
      <c r="E85" s="594"/>
      <c r="F85" s="595"/>
      <c r="G85" s="596"/>
      <c r="H85" s="595"/>
      <c r="I85" s="596"/>
      <c r="J85" s="595"/>
      <c r="K85" s="596"/>
      <c r="L85" s="596"/>
      <c r="M85" s="596"/>
      <c r="N85" s="595"/>
      <c r="O85" s="597"/>
      <c r="P85" s="595"/>
      <c r="Q85" s="597"/>
      <c r="R85" s="595"/>
      <c r="S85" s="597"/>
      <c r="T85" s="595"/>
      <c r="U85" s="597"/>
      <c r="V85" s="778"/>
      <c r="W85" s="778"/>
      <c r="X85" s="778"/>
      <c r="Y85" s="778"/>
      <c r="Z85" s="778"/>
      <c r="AA85" s="778"/>
      <c r="AB85" s="778"/>
      <c r="AC85" s="778"/>
      <c r="AD85" s="778"/>
      <c r="AE85" s="778"/>
      <c r="AF85" s="778"/>
      <c r="AG85" s="778"/>
      <c r="AH85" s="778"/>
      <c r="AI85" s="778"/>
      <c r="AJ85" s="778"/>
      <c r="AK85" s="778"/>
      <c r="AL85" s="778"/>
      <c r="AM85" s="778"/>
      <c r="AN85" s="778"/>
      <c r="AO85" s="778"/>
      <c r="AP85" s="778"/>
      <c r="AQ85" s="778"/>
      <c r="AR85" s="778"/>
      <c r="AS85" s="778"/>
      <c r="AT85" s="778"/>
      <c r="AU85" s="598"/>
      <c r="AV85" s="598"/>
      <c r="AW85" s="598"/>
      <c r="AX85" s="595"/>
      <c r="AY85" s="595"/>
      <c r="AZ85" s="197"/>
      <c r="BA85" s="478" t="str">
        <f t="shared" si="0"/>
        <v>SUM_CO2</v>
      </c>
      <c r="BB85" s="573" t="str">
        <f t="shared" si="1"/>
        <v>SUM_EnergyIN</v>
      </c>
      <c r="BC85" s="600"/>
      <c r="BD85" s="5"/>
    </row>
    <row r="86" spans="1:56" x14ac:dyDescent="0.2">
      <c r="A86" s="600"/>
      <c r="B86" s="197"/>
      <c r="C86" s="534">
        <v>63</v>
      </c>
      <c r="D86" s="594"/>
      <c r="E86" s="594"/>
      <c r="F86" s="595"/>
      <c r="G86" s="596"/>
      <c r="H86" s="595"/>
      <c r="I86" s="596"/>
      <c r="J86" s="595"/>
      <c r="K86" s="596"/>
      <c r="L86" s="596"/>
      <c r="M86" s="596"/>
      <c r="N86" s="595"/>
      <c r="O86" s="597"/>
      <c r="P86" s="595"/>
      <c r="Q86" s="597"/>
      <c r="R86" s="595"/>
      <c r="S86" s="597"/>
      <c r="T86" s="595"/>
      <c r="U86" s="597"/>
      <c r="V86" s="778"/>
      <c r="W86" s="778"/>
      <c r="X86" s="778"/>
      <c r="Y86" s="778"/>
      <c r="Z86" s="778"/>
      <c r="AA86" s="778"/>
      <c r="AB86" s="778"/>
      <c r="AC86" s="778"/>
      <c r="AD86" s="778"/>
      <c r="AE86" s="778"/>
      <c r="AF86" s="778"/>
      <c r="AG86" s="778"/>
      <c r="AH86" s="778"/>
      <c r="AI86" s="778"/>
      <c r="AJ86" s="778"/>
      <c r="AK86" s="778"/>
      <c r="AL86" s="778"/>
      <c r="AM86" s="778"/>
      <c r="AN86" s="778"/>
      <c r="AO86" s="778"/>
      <c r="AP86" s="778"/>
      <c r="AQ86" s="778"/>
      <c r="AR86" s="778"/>
      <c r="AS86" s="778"/>
      <c r="AT86" s="778"/>
      <c r="AU86" s="598"/>
      <c r="AV86" s="598"/>
      <c r="AW86" s="598"/>
      <c r="AX86" s="595"/>
      <c r="AY86" s="595"/>
      <c r="AZ86" s="197"/>
      <c r="BA86" s="478" t="str">
        <f t="shared" si="0"/>
        <v>SUM_CO2</v>
      </c>
      <c r="BB86" s="573" t="str">
        <f t="shared" si="1"/>
        <v>SUM_EnergyIN</v>
      </c>
      <c r="BC86" s="600"/>
      <c r="BD86" s="5"/>
    </row>
    <row r="87" spans="1:56" x14ac:dyDescent="0.2">
      <c r="A87" s="600"/>
      <c r="B87" s="197"/>
      <c r="C87" s="534">
        <v>64</v>
      </c>
      <c r="D87" s="594"/>
      <c r="E87" s="594"/>
      <c r="F87" s="595"/>
      <c r="G87" s="596"/>
      <c r="H87" s="595"/>
      <c r="I87" s="596"/>
      <c r="J87" s="595"/>
      <c r="K87" s="596"/>
      <c r="L87" s="596"/>
      <c r="M87" s="596"/>
      <c r="N87" s="595"/>
      <c r="O87" s="597"/>
      <c r="P87" s="595"/>
      <c r="Q87" s="597"/>
      <c r="R87" s="595"/>
      <c r="S87" s="597"/>
      <c r="T87" s="595"/>
      <c r="U87" s="597"/>
      <c r="V87" s="778"/>
      <c r="W87" s="778"/>
      <c r="X87" s="778"/>
      <c r="Y87" s="778"/>
      <c r="Z87" s="778"/>
      <c r="AA87" s="778"/>
      <c r="AB87" s="778"/>
      <c r="AC87" s="778"/>
      <c r="AD87" s="778"/>
      <c r="AE87" s="778"/>
      <c r="AF87" s="778"/>
      <c r="AG87" s="778"/>
      <c r="AH87" s="778"/>
      <c r="AI87" s="778"/>
      <c r="AJ87" s="778"/>
      <c r="AK87" s="778"/>
      <c r="AL87" s="778"/>
      <c r="AM87" s="778"/>
      <c r="AN87" s="778"/>
      <c r="AO87" s="778"/>
      <c r="AP87" s="778"/>
      <c r="AQ87" s="778"/>
      <c r="AR87" s="778"/>
      <c r="AS87" s="778"/>
      <c r="AT87" s="778"/>
      <c r="AU87" s="598"/>
      <c r="AV87" s="598"/>
      <c r="AW87" s="598"/>
      <c r="AX87" s="595"/>
      <c r="AY87" s="595"/>
      <c r="AZ87" s="197"/>
      <c r="BA87" s="478" t="str">
        <f t="shared" si="0"/>
        <v>SUM_CO2</v>
      </c>
      <c r="BB87" s="573" t="str">
        <f t="shared" si="1"/>
        <v>SUM_EnergyIN</v>
      </c>
      <c r="BC87" s="600"/>
      <c r="BD87" s="5"/>
    </row>
    <row r="88" spans="1:56" x14ac:dyDescent="0.2">
      <c r="A88" s="600"/>
      <c r="B88" s="197"/>
      <c r="C88" s="534">
        <v>65</v>
      </c>
      <c r="D88" s="594"/>
      <c r="E88" s="594"/>
      <c r="F88" s="595"/>
      <c r="G88" s="596"/>
      <c r="H88" s="595"/>
      <c r="I88" s="596"/>
      <c r="J88" s="595"/>
      <c r="K88" s="596"/>
      <c r="L88" s="596"/>
      <c r="M88" s="596"/>
      <c r="N88" s="595"/>
      <c r="O88" s="597"/>
      <c r="P88" s="595"/>
      <c r="Q88" s="597"/>
      <c r="R88" s="595"/>
      <c r="S88" s="597"/>
      <c r="T88" s="595"/>
      <c r="U88" s="597"/>
      <c r="V88" s="778"/>
      <c r="W88" s="778"/>
      <c r="X88" s="778"/>
      <c r="Y88" s="778"/>
      <c r="Z88" s="778"/>
      <c r="AA88" s="778"/>
      <c r="AB88" s="778"/>
      <c r="AC88" s="778"/>
      <c r="AD88" s="778"/>
      <c r="AE88" s="778"/>
      <c r="AF88" s="778"/>
      <c r="AG88" s="778"/>
      <c r="AH88" s="778"/>
      <c r="AI88" s="778"/>
      <c r="AJ88" s="778"/>
      <c r="AK88" s="778"/>
      <c r="AL88" s="778"/>
      <c r="AM88" s="778"/>
      <c r="AN88" s="778"/>
      <c r="AO88" s="778"/>
      <c r="AP88" s="778"/>
      <c r="AQ88" s="778"/>
      <c r="AR88" s="778"/>
      <c r="AS88" s="778"/>
      <c r="AT88" s="778"/>
      <c r="AU88" s="598"/>
      <c r="AV88" s="598"/>
      <c r="AW88" s="598"/>
      <c r="AX88" s="595"/>
      <c r="AY88" s="595"/>
      <c r="AZ88" s="197"/>
      <c r="BA88" s="478" t="str">
        <f t="shared" ref="BA88:BA98" si="2">EUconst_SumCO2</f>
        <v>SUM_CO2</v>
      </c>
      <c r="BB88" s="573" t="str">
        <f t="shared" ref="BB88:BB98" si="3">EUconst_SumEnergyIN</f>
        <v>SUM_EnergyIN</v>
      </c>
      <c r="BC88" s="600"/>
      <c r="BD88" s="5"/>
    </row>
    <row r="89" spans="1:56" x14ac:dyDescent="0.2">
      <c r="A89" s="600"/>
      <c r="B89" s="197"/>
      <c r="C89" s="534">
        <v>66</v>
      </c>
      <c r="D89" s="594"/>
      <c r="E89" s="594"/>
      <c r="F89" s="595"/>
      <c r="G89" s="596"/>
      <c r="H89" s="595"/>
      <c r="I89" s="596"/>
      <c r="J89" s="595"/>
      <c r="K89" s="596"/>
      <c r="L89" s="596"/>
      <c r="M89" s="596"/>
      <c r="N89" s="595"/>
      <c r="O89" s="597"/>
      <c r="P89" s="595"/>
      <c r="Q89" s="597"/>
      <c r="R89" s="595"/>
      <c r="S89" s="597"/>
      <c r="T89" s="595"/>
      <c r="U89" s="597"/>
      <c r="V89" s="778"/>
      <c r="W89" s="778"/>
      <c r="X89" s="778"/>
      <c r="Y89" s="778"/>
      <c r="Z89" s="778"/>
      <c r="AA89" s="778"/>
      <c r="AB89" s="778"/>
      <c r="AC89" s="778"/>
      <c r="AD89" s="778"/>
      <c r="AE89" s="778"/>
      <c r="AF89" s="778"/>
      <c r="AG89" s="778"/>
      <c r="AH89" s="778"/>
      <c r="AI89" s="778"/>
      <c r="AJ89" s="778"/>
      <c r="AK89" s="778"/>
      <c r="AL89" s="778"/>
      <c r="AM89" s="778"/>
      <c r="AN89" s="778"/>
      <c r="AO89" s="778"/>
      <c r="AP89" s="778"/>
      <c r="AQ89" s="778"/>
      <c r="AR89" s="778"/>
      <c r="AS89" s="778"/>
      <c r="AT89" s="778"/>
      <c r="AU89" s="598"/>
      <c r="AV89" s="598"/>
      <c r="AW89" s="598"/>
      <c r="AX89" s="595"/>
      <c r="AY89" s="595"/>
      <c r="AZ89" s="197"/>
      <c r="BA89" s="478" t="str">
        <f t="shared" si="2"/>
        <v>SUM_CO2</v>
      </c>
      <c r="BB89" s="573" t="str">
        <f t="shared" si="3"/>
        <v>SUM_EnergyIN</v>
      </c>
      <c r="BC89" s="600"/>
      <c r="BD89" s="5"/>
    </row>
    <row r="90" spans="1:56" x14ac:dyDescent="0.2">
      <c r="A90" s="600"/>
      <c r="B90" s="197"/>
      <c r="C90" s="534">
        <v>67</v>
      </c>
      <c r="D90" s="594"/>
      <c r="E90" s="594"/>
      <c r="F90" s="595"/>
      <c r="G90" s="596"/>
      <c r="H90" s="595"/>
      <c r="I90" s="596"/>
      <c r="J90" s="595"/>
      <c r="K90" s="596"/>
      <c r="L90" s="596"/>
      <c r="M90" s="596"/>
      <c r="N90" s="595"/>
      <c r="O90" s="597"/>
      <c r="P90" s="595"/>
      <c r="Q90" s="597"/>
      <c r="R90" s="595"/>
      <c r="S90" s="597"/>
      <c r="T90" s="595"/>
      <c r="U90" s="597"/>
      <c r="V90" s="778"/>
      <c r="W90" s="778"/>
      <c r="X90" s="778"/>
      <c r="Y90" s="778"/>
      <c r="Z90" s="778"/>
      <c r="AA90" s="778"/>
      <c r="AB90" s="778"/>
      <c r="AC90" s="778"/>
      <c r="AD90" s="778"/>
      <c r="AE90" s="778"/>
      <c r="AF90" s="778"/>
      <c r="AG90" s="778"/>
      <c r="AH90" s="778"/>
      <c r="AI90" s="778"/>
      <c r="AJ90" s="778"/>
      <c r="AK90" s="778"/>
      <c r="AL90" s="778"/>
      <c r="AM90" s="778"/>
      <c r="AN90" s="778"/>
      <c r="AO90" s="778"/>
      <c r="AP90" s="778"/>
      <c r="AQ90" s="778"/>
      <c r="AR90" s="778"/>
      <c r="AS90" s="778"/>
      <c r="AT90" s="778"/>
      <c r="AU90" s="598"/>
      <c r="AV90" s="598"/>
      <c r="AW90" s="598"/>
      <c r="AX90" s="595"/>
      <c r="AY90" s="595"/>
      <c r="AZ90" s="197"/>
      <c r="BA90" s="478" t="str">
        <f t="shared" si="2"/>
        <v>SUM_CO2</v>
      </c>
      <c r="BB90" s="573" t="str">
        <f t="shared" si="3"/>
        <v>SUM_EnergyIN</v>
      </c>
      <c r="BC90" s="600"/>
      <c r="BD90" s="5"/>
    </row>
    <row r="91" spans="1:56" x14ac:dyDescent="0.2">
      <c r="A91" s="600"/>
      <c r="B91" s="197"/>
      <c r="C91" s="534">
        <v>68</v>
      </c>
      <c r="D91" s="594"/>
      <c r="E91" s="594"/>
      <c r="F91" s="595"/>
      <c r="G91" s="596"/>
      <c r="H91" s="595"/>
      <c r="I91" s="596"/>
      <c r="J91" s="595"/>
      <c r="K91" s="596"/>
      <c r="L91" s="596"/>
      <c r="M91" s="596"/>
      <c r="N91" s="595"/>
      <c r="O91" s="597"/>
      <c r="P91" s="595"/>
      <c r="Q91" s="597"/>
      <c r="R91" s="595"/>
      <c r="S91" s="597"/>
      <c r="T91" s="595"/>
      <c r="U91" s="597"/>
      <c r="V91" s="778"/>
      <c r="W91" s="778"/>
      <c r="X91" s="778"/>
      <c r="Y91" s="778"/>
      <c r="Z91" s="778"/>
      <c r="AA91" s="778"/>
      <c r="AB91" s="778"/>
      <c r="AC91" s="778"/>
      <c r="AD91" s="778"/>
      <c r="AE91" s="778"/>
      <c r="AF91" s="778"/>
      <c r="AG91" s="778"/>
      <c r="AH91" s="778"/>
      <c r="AI91" s="778"/>
      <c r="AJ91" s="778"/>
      <c r="AK91" s="778"/>
      <c r="AL91" s="778"/>
      <c r="AM91" s="778"/>
      <c r="AN91" s="778"/>
      <c r="AO91" s="778"/>
      <c r="AP91" s="778"/>
      <c r="AQ91" s="778"/>
      <c r="AR91" s="778"/>
      <c r="AS91" s="778"/>
      <c r="AT91" s="778"/>
      <c r="AU91" s="598"/>
      <c r="AV91" s="598"/>
      <c r="AW91" s="598"/>
      <c r="AX91" s="595"/>
      <c r="AY91" s="595"/>
      <c r="AZ91" s="197"/>
      <c r="BA91" s="478" t="str">
        <f t="shared" si="2"/>
        <v>SUM_CO2</v>
      </c>
      <c r="BB91" s="573" t="str">
        <f t="shared" si="3"/>
        <v>SUM_EnergyIN</v>
      </c>
      <c r="BC91" s="600"/>
      <c r="BD91" s="5"/>
    </row>
    <row r="92" spans="1:56" x14ac:dyDescent="0.2">
      <c r="A92" s="600"/>
      <c r="B92" s="197"/>
      <c r="C92" s="534">
        <v>69</v>
      </c>
      <c r="D92" s="594"/>
      <c r="E92" s="594"/>
      <c r="F92" s="595"/>
      <c r="G92" s="596"/>
      <c r="H92" s="595"/>
      <c r="I92" s="596"/>
      <c r="J92" s="595"/>
      <c r="K92" s="596"/>
      <c r="L92" s="596"/>
      <c r="M92" s="596"/>
      <c r="N92" s="595"/>
      <c r="O92" s="597"/>
      <c r="P92" s="595"/>
      <c r="Q92" s="597"/>
      <c r="R92" s="595"/>
      <c r="S92" s="597"/>
      <c r="T92" s="595"/>
      <c r="U92" s="597"/>
      <c r="V92" s="778"/>
      <c r="W92" s="778"/>
      <c r="X92" s="778"/>
      <c r="Y92" s="778"/>
      <c r="Z92" s="778"/>
      <c r="AA92" s="778"/>
      <c r="AB92" s="778"/>
      <c r="AC92" s="778"/>
      <c r="AD92" s="778"/>
      <c r="AE92" s="778"/>
      <c r="AF92" s="778"/>
      <c r="AG92" s="778"/>
      <c r="AH92" s="778"/>
      <c r="AI92" s="778"/>
      <c r="AJ92" s="778"/>
      <c r="AK92" s="778"/>
      <c r="AL92" s="778"/>
      <c r="AM92" s="778"/>
      <c r="AN92" s="778"/>
      <c r="AO92" s="778"/>
      <c r="AP92" s="778"/>
      <c r="AQ92" s="778"/>
      <c r="AR92" s="778"/>
      <c r="AS92" s="778"/>
      <c r="AT92" s="778"/>
      <c r="AU92" s="598"/>
      <c r="AV92" s="598"/>
      <c r="AW92" s="598"/>
      <c r="AX92" s="595"/>
      <c r="AY92" s="595"/>
      <c r="AZ92" s="197"/>
      <c r="BA92" s="478" t="str">
        <f t="shared" si="2"/>
        <v>SUM_CO2</v>
      </c>
      <c r="BB92" s="573" t="str">
        <f t="shared" si="3"/>
        <v>SUM_EnergyIN</v>
      </c>
      <c r="BC92" s="600"/>
      <c r="BD92" s="5"/>
    </row>
    <row r="93" spans="1:56" x14ac:dyDescent="0.2">
      <c r="A93" s="600"/>
      <c r="B93" s="197"/>
      <c r="C93" s="534">
        <v>70</v>
      </c>
      <c r="D93" s="594"/>
      <c r="E93" s="594"/>
      <c r="F93" s="595"/>
      <c r="G93" s="596"/>
      <c r="H93" s="595"/>
      <c r="I93" s="596"/>
      <c r="J93" s="595"/>
      <c r="K93" s="596"/>
      <c r="L93" s="596"/>
      <c r="M93" s="596"/>
      <c r="N93" s="595"/>
      <c r="O93" s="597"/>
      <c r="P93" s="595"/>
      <c r="Q93" s="597"/>
      <c r="R93" s="595"/>
      <c r="S93" s="597"/>
      <c r="T93" s="595"/>
      <c r="U93" s="597"/>
      <c r="V93" s="778"/>
      <c r="W93" s="778"/>
      <c r="X93" s="778"/>
      <c r="Y93" s="778"/>
      <c r="Z93" s="778"/>
      <c r="AA93" s="778"/>
      <c r="AB93" s="778"/>
      <c r="AC93" s="778"/>
      <c r="AD93" s="778"/>
      <c r="AE93" s="778"/>
      <c r="AF93" s="778"/>
      <c r="AG93" s="778"/>
      <c r="AH93" s="778"/>
      <c r="AI93" s="778"/>
      <c r="AJ93" s="778"/>
      <c r="AK93" s="778"/>
      <c r="AL93" s="778"/>
      <c r="AM93" s="778"/>
      <c r="AN93" s="778"/>
      <c r="AO93" s="778"/>
      <c r="AP93" s="778"/>
      <c r="AQ93" s="778"/>
      <c r="AR93" s="778"/>
      <c r="AS93" s="778"/>
      <c r="AT93" s="778"/>
      <c r="AU93" s="598"/>
      <c r="AV93" s="598"/>
      <c r="AW93" s="598"/>
      <c r="AX93" s="595"/>
      <c r="AY93" s="595"/>
      <c r="AZ93" s="197"/>
      <c r="BA93" s="478" t="str">
        <f t="shared" si="2"/>
        <v>SUM_CO2</v>
      </c>
      <c r="BB93" s="573" t="str">
        <f t="shared" si="3"/>
        <v>SUM_EnergyIN</v>
      </c>
      <c r="BC93" s="600"/>
      <c r="BD93" s="5"/>
    </row>
    <row r="94" spans="1:56" x14ac:dyDescent="0.2">
      <c r="A94" s="600"/>
      <c r="B94" s="197"/>
      <c r="C94" s="534">
        <v>71</v>
      </c>
      <c r="D94" s="594"/>
      <c r="E94" s="594"/>
      <c r="F94" s="595"/>
      <c r="G94" s="596"/>
      <c r="H94" s="595"/>
      <c r="I94" s="596"/>
      <c r="J94" s="595"/>
      <c r="K94" s="596"/>
      <c r="L94" s="596"/>
      <c r="M94" s="596"/>
      <c r="N94" s="595"/>
      <c r="O94" s="597"/>
      <c r="P94" s="595"/>
      <c r="Q94" s="597"/>
      <c r="R94" s="595"/>
      <c r="S94" s="597"/>
      <c r="T94" s="595"/>
      <c r="U94" s="597"/>
      <c r="V94" s="778"/>
      <c r="W94" s="778"/>
      <c r="X94" s="778"/>
      <c r="Y94" s="778"/>
      <c r="Z94" s="778"/>
      <c r="AA94" s="778"/>
      <c r="AB94" s="778"/>
      <c r="AC94" s="778"/>
      <c r="AD94" s="778"/>
      <c r="AE94" s="778"/>
      <c r="AF94" s="778"/>
      <c r="AG94" s="778"/>
      <c r="AH94" s="778"/>
      <c r="AI94" s="778"/>
      <c r="AJ94" s="778"/>
      <c r="AK94" s="778"/>
      <c r="AL94" s="778"/>
      <c r="AM94" s="778"/>
      <c r="AN94" s="778"/>
      <c r="AO94" s="778"/>
      <c r="AP94" s="778"/>
      <c r="AQ94" s="778"/>
      <c r="AR94" s="778"/>
      <c r="AS94" s="778"/>
      <c r="AT94" s="778"/>
      <c r="AU94" s="598"/>
      <c r="AV94" s="598"/>
      <c r="AW94" s="598"/>
      <c r="AX94" s="595"/>
      <c r="AY94" s="595"/>
      <c r="AZ94" s="197"/>
      <c r="BA94" s="478" t="str">
        <f t="shared" si="2"/>
        <v>SUM_CO2</v>
      </c>
      <c r="BB94" s="573" t="str">
        <f t="shared" si="3"/>
        <v>SUM_EnergyIN</v>
      </c>
      <c r="BC94" s="600"/>
      <c r="BD94" s="5"/>
    </row>
    <row r="95" spans="1:56" x14ac:dyDescent="0.2">
      <c r="A95" s="600"/>
      <c r="B95" s="197"/>
      <c r="C95" s="534">
        <v>72</v>
      </c>
      <c r="D95" s="594"/>
      <c r="E95" s="594"/>
      <c r="F95" s="595"/>
      <c r="G95" s="596"/>
      <c r="H95" s="595"/>
      <c r="I95" s="596"/>
      <c r="J95" s="595"/>
      <c r="K95" s="596"/>
      <c r="L95" s="596"/>
      <c r="M95" s="596"/>
      <c r="N95" s="595"/>
      <c r="O95" s="597"/>
      <c r="P95" s="595"/>
      <c r="Q95" s="597"/>
      <c r="R95" s="595"/>
      <c r="S95" s="597"/>
      <c r="T95" s="595"/>
      <c r="U95" s="597"/>
      <c r="V95" s="778"/>
      <c r="W95" s="778"/>
      <c r="X95" s="778"/>
      <c r="Y95" s="778"/>
      <c r="Z95" s="778"/>
      <c r="AA95" s="778"/>
      <c r="AB95" s="778"/>
      <c r="AC95" s="778"/>
      <c r="AD95" s="778"/>
      <c r="AE95" s="778"/>
      <c r="AF95" s="778"/>
      <c r="AG95" s="778"/>
      <c r="AH95" s="778"/>
      <c r="AI95" s="778"/>
      <c r="AJ95" s="778"/>
      <c r="AK95" s="778"/>
      <c r="AL95" s="778"/>
      <c r="AM95" s="778"/>
      <c r="AN95" s="778"/>
      <c r="AO95" s="778"/>
      <c r="AP95" s="778"/>
      <c r="AQ95" s="778"/>
      <c r="AR95" s="778"/>
      <c r="AS95" s="778"/>
      <c r="AT95" s="778"/>
      <c r="AU95" s="598"/>
      <c r="AV95" s="598"/>
      <c r="AW95" s="598"/>
      <c r="AX95" s="595"/>
      <c r="AY95" s="595"/>
      <c r="AZ95" s="197"/>
      <c r="BA95" s="478" t="str">
        <f t="shared" si="2"/>
        <v>SUM_CO2</v>
      </c>
      <c r="BB95" s="573" t="str">
        <f t="shared" si="3"/>
        <v>SUM_EnergyIN</v>
      </c>
      <c r="BC95" s="600"/>
      <c r="BD95" s="5"/>
    </row>
    <row r="96" spans="1:56" x14ac:dyDescent="0.2">
      <c r="A96" s="600"/>
      <c r="B96" s="197"/>
      <c r="C96" s="534">
        <v>73</v>
      </c>
      <c r="D96" s="594"/>
      <c r="E96" s="594"/>
      <c r="F96" s="595"/>
      <c r="G96" s="596"/>
      <c r="H96" s="595"/>
      <c r="I96" s="596"/>
      <c r="J96" s="595"/>
      <c r="K96" s="596"/>
      <c r="L96" s="596"/>
      <c r="M96" s="596"/>
      <c r="N96" s="595"/>
      <c r="O96" s="597"/>
      <c r="P96" s="595"/>
      <c r="Q96" s="597"/>
      <c r="R96" s="595"/>
      <c r="S96" s="597"/>
      <c r="T96" s="595"/>
      <c r="U96" s="597"/>
      <c r="V96" s="778"/>
      <c r="W96" s="778"/>
      <c r="X96" s="778"/>
      <c r="Y96" s="778"/>
      <c r="Z96" s="778"/>
      <c r="AA96" s="778"/>
      <c r="AB96" s="778"/>
      <c r="AC96" s="778"/>
      <c r="AD96" s="778"/>
      <c r="AE96" s="778"/>
      <c r="AF96" s="778"/>
      <c r="AG96" s="778"/>
      <c r="AH96" s="778"/>
      <c r="AI96" s="778"/>
      <c r="AJ96" s="778"/>
      <c r="AK96" s="778"/>
      <c r="AL96" s="778"/>
      <c r="AM96" s="778"/>
      <c r="AN96" s="778"/>
      <c r="AO96" s="778"/>
      <c r="AP96" s="778"/>
      <c r="AQ96" s="778"/>
      <c r="AR96" s="778"/>
      <c r="AS96" s="778"/>
      <c r="AT96" s="778"/>
      <c r="AU96" s="598"/>
      <c r="AV96" s="598"/>
      <c r="AW96" s="598"/>
      <c r="AX96" s="595"/>
      <c r="AY96" s="595"/>
      <c r="AZ96" s="197"/>
      <c r="BA96" s="478" t="str">
        <f t="shared" si="2"/>
        <v>SUM_CO2</v>
      </c>
      <c r="BB96" s="573" t="str">
        <f t="shared" si="3"/>
        <v>SUM_EnergyIN</v>
      </c>
      <c r="BC96" s="600"/>
      <c r="BD96" s="5"/>
    </row>
    <row r="97" spans="1:56" x14ac:dyDescent="0.2">
      <c r="A97" s="600"/>
      <c r="B97" s="197"/>
      <c r="C97" s="534">
        <v>74</v>
      </c>
      <c r="D97" s="594"/>
      <c r="E97" s="594"/>
      <c r="F97" s="595"/>
      <c r="G97" s="596"/>
      <c r="H97" s="595"/>
      <c r="I97" s="596"/>
      <c r="J97" s="595"/>
      <c r="K97" s="596"/>
      <c r="L97" s="596"/>
      <c r="M97" s="596"/>
      <c r="N97" s="595"/>
      <c r="O97" s="597"/>
      <c r="P97" s="595"/>
      <c r="Q97" s="597"/>
      <c r="R97" s="595"/>
      <c r="S97" s="597"/>
      <c r="T97" s="595"/>
      <c r="U97" s="597"/>
      <c r="V97" s="778"/>
      <c r="W97" s="778"/>
      <c r="X97" s="778"/>
      <c r="Y97" s="778"/>
      <c r="Z97" s="778"/>
      <c r="AA97" s="778"/>
      <c r="AB97" s="778"/>
      <c r="AC97" s="778"/>
      <c r="AD97" s="778"/>
      <c r="AE97" s="778"/>
      <c r="AF97" s="778"/>
      <c r="AG97" s="778"/>
      <c r="AH97" s="778"/>
      <c r="AI97" s="778"/>
      <c r="AJ97" s="778"/>
      <c r="AK97" s="778"/>
      <c r="AL97" s="778"/>
      <c r="AM97" s="778"/>
      <c r="AN97" s="778"/>
      <c r="AO97" s="778"/>
      <c r="AP97" s="778"/>
      <c r="AQ97" s="778"/>
      <c r="AR97" s="778"/>
      <c r="AS97" s="778"/>
      <c r="AT97" s="778"/>
      <c r="AU97" s="598"/>
      <c r="AV97" s="598"/>
      <c r="AW97" s="598"/>
      <c r="AX97" s="595"/>
      <c r="AY97" s="595"/>
      <c r="AZ97" s="197"/>
      <c r="BA97" s="478" t="str">
        <f t="shared" si="2"/>
        <v>SUM_CO2</v>
      </c>
      <c r="BB97" s="573" t="str">
        <f t="shared" si="3"/>
        <v>SUM_EnergyIN</v>
      </c>
      <c r="BC97" s="600"/>
      <c r="BD97" s="5"/>
    </row>
    <row r="98" spans="1:56" x14ac:dyDescent="0.2">
      <c r="A98" s="600"/>
      <c r="B98" s="197"/>
      <c r="C98" s="534">
        <v>75</v>
      </c>
      <c r="D98" s="594"/>
      <c r="E98" s="594"/>
      <c r="F98" s="595"/>
      <c r="G98" s="596"/>
      <c r="H98" s="595"/>
      <c r="I98" s="596"/>
      <c r="J98" s="595"/>
      <c r="K98" s="596"/>
      <c r="L98" s="596"/>
      <c r="M98" s="596"/>
      <c r="N98" s="595"/>
      <c r="O98" s="597"/>
      <c r="P98" s="595"/>
      <c r="Q98" s="597"/>
      <c r="R98" s="595"/>
      <c r="S98" s="597"/>
      <c r="T98" s="595"/>
      <c r="U98" s="597"/>
      <c r="V98" s="778"/>
      <c r="W98" s="778"/>
      <c r="X98" s="778"/>
      <c r="Y98" s="778"/>
      <c r="Z98" s="778"/>
      <c r="AA98" s="778"/>
      <c r="AB98" s="778"/>
      <c r="AC98" s="778"/>
      <c r="AD98" s="778"/>
      <c r="AE98" s="778"/>
      <c r="AF98" s="778"/>
      <c r="AG98" s="778"/>
      <c r="AH98" s="778"/>
      <c r="AI98" s="778"/>
      <c r="AJ98" s="778"/>
      <c r="AK98" s="778"/>
      <c r="AL98" s="778"/>
      <c r="AM98" s="778"/>
      <c r="AN98" s="778"/>
      <c r="AO98" s="778"/>
      <c r="AP98" s="778"/>
      <c r="AQ98" s="778"/>
      <c r="AR98" s="778"/>
      <c r="AS98" s="778"/>
      <c r="AT98" s="778"/>
      <c r="AU98" s="598"/>
      <c r="AV98" s="598"/>
      <c r="AW98" s="598"/>
      <c r="AX98" s="595"/>
      <c r="AY98" s="595"/>
      <c r="AZ98" s="197"/>
      <c r="BA98" s="478" t="str">
        <f t="shared" si="2"/>
        <v>SUM_CO2</v>
      </c>
      <c r="BB98" s="573" t="str">
        <f t="shared" si="3"/>
        <v>SUM_EnergyIN</v>
      </c>
      <c r="BC98" s="600"/>
      <c r="BD98" s="5"/>
    </row>
    <row r="99" spans="1:56" x14ac:dyDescent="0.2">
      <c r="A99" s="600"/>
      <c r="B99" s="197"/>
      <c r="C99" s="77"/>
      <c r="D99" s="197"/>
      <c r="E99" s="197"/>
      <c r="F99" s="197"/>
      <c r="G99" s="197"/>
      <c r="H99" s="197"/>
      <c r="I99" s="197"/>
      <c r="J99" s="197"/>
      <c r="K99" s="197"/>
      <c r="L99" s="197"/>
      <c r="N99" s="197"/>
      <c r="O99" s="197"/>
      <c r="P99" s="197"/>
      <c r="Q99" s="197"/>
      <c r="R99" s="197"/>
      <c r="S99" s="197"/>
      <c r="T99" s="197"/>
      <c r="U99" s="197"/>
      <c r="V99" s="197"/>
      <c r="W99" s="197"/>
      <c r="X99" s="197"/>
      <c r="Y99" s="197"/>
      <c r="Z99" s="197"/>
      <c r="AA99" s="197"/>
      <c r="AB99" s="197"/>
      <c r="AC99" s="197"/>
      <c r="AD99" s="197"/>
      <c r="AE99" s="197"/>
      <c r="AF99" s="197"/>
      <c r="AG99" s="197"/>
      <c r="AH99" s="197"/>
      <c r="AI99" s="197"/>
      <c r="AJ99" s="197"/>
      <c r="AK99" s="197"/>
      <c r="AL99" s="197"/>
      <c r="AM99" s="197"/>
      <c r="AN99" s="197"/>
      <c r="AO99" s="197"/>
      <c r="AP99" s="197"/>
      <c r="AQ99" s="197"/>
      <c r="AR99" s="197"/>
      <c r="AS99" s="197"/>
      <c r="AT99" s="197"/>
      <c r="AU99" s="197"/>
      <c r="AV99" s="197"/>
      <c r="AW99" s="197"/>
      <c r="AX99" s="197"/>
      <c r="AY99" s="197"/>
      <c r="AZ99" s="197"/>
      <c r="BA99" s="600"/>
      <c r="BB99" s="600"/>
      <c r="BC99" s="600"/>
      <c r="BD99" s="5"/>
    </row>
    <row r="100" spans="1:56" ht="50.1" customHeight="1" thickBot="1" x14ac:dyDescent="0.45">
      <c r="A100" s="600"/>
      <c r="B100" s="197"/>
      <c r="C100" s="77"/>
      <c r="D100" s="522" t="str">
        <f>Translations!$B$339</f>
        <v>Strumienie materiałów wsadowych w przypadku PFC</v>
      </c>
      <c r="E100" s="197"/>
      <c r="F100" s="197"/>
      <c r="G100" s="197"/>
      <c r="H100" s="197"/>
      <c r="I100" s="197"/>
      <c r="J100" s="197"/>
      <c r="K100" s="197"/>
      <c r="L100" s="197"/>
      <c r="N100" s="197"/>
      <c r="O100" s="197"/>
      <c r="P100" s="197"/>
      <c r="Q100" s="197"/>
      <c r="R100" s="197"/>
      <c r="S100" s="197"/>
      <c r="T100" s="197"/>
      <c r="U100" s="197"/>
      <c r="V100" s="197"/>
      <c r="W100" s="197"/>
      <c r="X100" s="197"/>
      <c r="Y100" s="197"/>
      <c r="Z100" s="197"/>
      <c r="AA100" s="197"/>
      <c r="AB100" s="197"/>
      <c r="AC100" s="197"/>
      <c r="AD100" s="197"/>
      <c r="AE100" s="197"/>
      <c r="AF100" s="197"/>
      <c r="AG100" s="197"/>
      <c r="AH100" s="197"/>
      <c r="AI100" s="197"/>
      <c r="AJ100" s="197"/>
      <c r="AK100" s="197"/>
      <c r="AL100" s="197"/>
      <c r="AM100" s="197"/>
      <c r="AN100" s="197"/>
      <c r="AO100" s="197"/>
      <c r="AP100" s="197"/>
      <c r="AQ100" s="197"/>
      <c r="AR100" s="197"/>
      <c r="AS100" s="197"/>
      <c r="AT100" s="197"/>
      <c r="AU100" s="197"/>
      <c r="AV100" s="197"/>
      <c r="AW100" s="197"/>
      <c r="AX100" s="197"/>
      <c r="AY100" s="197"/>
      <c r="AZ100" s="197"/>
      <c r="BA100" s="600"/>
      <c r="BB100" s="600"/>
      <c r="BC100" s="600"/>
      <c r="BD100" s="5"/>
    </row>
    <row r="101" spans="1:56" ht="50.1" customHeight="1" thickBot="1" x14ac:dyDescent="0.25">
      <c r="A101" s="600"/>
      <c r="B101" s="197"/>
      <c r="C101" s="523" t="s">
        <v>482</v>
      </c>
      <c r="D101" s="524" t="str">
        <f>Translations!$B$282</f>
        <v>Metoda</v>
      </c>
      <c r="E101" s="524" t="str">
        <f>Translations!$B$340</f>
        <v>Nazwa</v>
      </c>
      <c r="F101" s="525" t="str">
        <f>Translations!$B$284</f>
        <v>Dane dotyczące działalności (AD)</v>
      </c>
      <c r="G101" s="525" t="str">
        <f>Translations!$B$285</f>
        <v>Jednostka AD</v>
      </c>
      <c r="H101" s="525" t="str">
        <f>Translations!$B$286</f>
        <v>Wartość opałowa (NCV)</v>
      </c>
      <c r="I101" s="525" t="str">
        <f>Translations!$B$287</f>
        <v>Jednostka NCV</v>
      </c>
      <c r="J101" s="525" t="str">
        <f>Translations!$B$288</f>
        <v>Współczynnik emisji (EF)</v>
      </c>
      <c r="K101" s="525" t="str">
        <f>Translations!$B$289</f>
        <v>Jednostka EF</v>
      </c>
      <c r="L101" s="525" t="str">
        <f>Translations!$B$290</f>
        <v>Zawartość węgla</v>
      </c>
      <c r="M101" s="525" t="str">
        <f>Translations!$B$291</f>
        <v>Jednostka zawartości węgla</v>
      </c>
      <c r="N101" s="525" t="str">
        <f>Translations!$B$292</f>
        <v>Współczynnik utleniania (OxF)</v>
      </c>
      <c r="O101" s="525" t="str">
        <f>Translations!$B$293</f>
        <v>Jednostka OxF</v>
      </c>
      <c r="P101" s="525" t="str">
        <f>Translations!$B$294</f>
        <v>Współczynnik konwersji</v>
      </c>
      <c r="Q101" s="525" t="str">
        <f>Translations!$B$295</f>
        <v>Jednostka współczynnika konwersji</v>
      </c>
      <c r="R101" s="525" t="str">
        <f>Translations!$B$296</f>
        <v>Zawartość biomasy (BioC)</v>
      </c>
      <c r="S101" s="525" t="str">
        <f>Translations!$B$297</f>
        <v>Jednostka BioC</v>
      </c>
      <c r="T101" s="525" t="str">
        <f>Translations!$B$298</f>
        <v>BioC niezrówn.</v>
      </c>
      <c r="U101" s="525" t="str">
        <f>Translations!$B$299</f>
        <v>Jednostka BioC niezrówn.</v>
      </c>
      <c r="V101" s="525" t="str">
        <f>Translations!$B$300</f>
        <v>Średnie godzinowe stężenie gazów cieplarnianych (GHG)</v>
      </c>
      <c r="W101" s="525" t="str">
        <f>Translations!$B$301</f>
        <v>Jednostka godzinowego stężenia GHG</v>
      </c>
      <c r="X101" s="525" t="str">
        <f>Translations!$B$302</f>
        <v>Godziny działania</v>
      </c>
      <c r="Y101" s="525" t="str">
        <f>Translations!$B$303</f>
        <v>Jednostka godzin działania</v>
      </c>
      <c r="Z101" s="525" t="str">
        <f>Translations!$B$304</f>
        <v>Przepływ spalin (średnia)</v>
      </c>
      <c r="AA101" s="525" t="str">
        <f>Translations!$B$305</f>
        <v>Jednostka przepływu spalin (średnia)</v>
      </c>
      <c r="AB101" s="525" t="str">
        <f>Translations!$B$306</f>
        <v>Przepływ spalin (łącznie)</v>
      </c>
      <c r="AC101" s="525" t="str">
        <f>Translations!$B$307</f>
        <v>Jednostka przepływu spalin (łącznie)</v>
      </c>
      <c r="AD101" s="525" t="str">
        <f>Translations!$B$308</f>
        <v>Roczna ilość GHG</v>
      </c>
      <c r="AE101" s="525" t="str">
        <f>Translations!$B$309</f>
        <v>Jednostka rocznej ilości GHG</v>
      </c>
      <c r="AF101" s="525" t="str">
        <f>Translations!$B$310</f>
        <v>Współczynnik ocieplenia globalnego GWP (tCO2e/t)</v>
      </c>
      <c r="AG101" s="525" t="str">
        <f>Translations!$B$311</f>
        <v>A: Częstotliwość</v>
      </c>
      <c r="AH101" s="525" t="str">
        <f>Translations!$B$312</f>
        <v>A: Czas trwania</v>
      </c>
      <c r="AI101" s="525" t="str">
        <f>Translations!$B$313</f>
        <v>A: SEF (CF4)</v>
      </c>
      <c r="AJ101" s="525" t="str">
        <f>Translations!$B$314</f>
        <v>B: AEO</v>
      </c>
      <c r="AK101" s="525" t="str">
        <f>Translations!$B$315</f>
        <v>B: CE</v>
      </c>
      <c r="AL101" s="525" t="str">
        <f>Translations!$B$316</f>
        <v>B: OVC</v>
      </c>
      <c r="AM101" s="525" t="str">
        <f>Translations!$B$317</f>
        <v>F(C2F6)</v>
      </c>
      <c r="AN101" s="525" t="str">
        <f>Translations!$B$318</f>
        <v>Emisje CF4 (t CF4)</v>
      </c>
      <c r="AO101" s="525" t="str">
        <f>Translations!$B$319</f>
        <v>Emisje C2F6 (t C2F6)</v>
      </c>
      <c r="AP101" s="525" t="str">
        <f>Translations!$B$320</f>
        <v>GWP (CF4) (tCO2e/t)</v>
      </c>
      <c r="AQ101" s="525" t="str">
        <f>Translations!$B$321</f>
        <v>GWP (C2F6) (tCO2e/t)</v>
      </c>
      <c r="AR101" s="525" t="str">
        <f>Translations!$B$322</f>
        <v>Emisje CF4 (t CO2e)</v>
      </c>
      <c r="AS101" s="525" t="str">
        <f>Translations!$B$323</f>
        <v>Emisje C2F6 (t CO2e)</v>
      </c>
      <c r="AT101" s="525" t="str">
        <f>Translations!$B$324</f>
        <v>Całkowita wydajność, %</v>
      </c>
      <c r="AU101" s="525" t="str">
        <f>Translations!$B$325</f>
        <v>Kopalne CO2e (t)</v>
      </c>
      <c r="AV101" s="525" t="str">
        <f>Translations!$B$326</f>
        <v>CO2e z biomasy (t)</v>
      </c>
      <c r="AW101" s="525" t="str">
        <f>Translations!$B$327</f>
        <v>CO2e z biomasy niezrówn. (t)</v>
      </c>
      <c r="AX101" s="526" t="str">
        <f>Translations!$B$328</f>
        <v>Zawartość energii (kopalne), TJ</v>
      </c>
      <c r="AY101" s="527" t="str">
        <f>Translations!$B$329</f>
        <v>Zawartość energii (biomasa), TJ</v>
      </c>
      <c r="AZ101" s="197"/>
      <c r="BA101" s="600"/>
      <c r="BB101" s="600"/>
      <c r="BC101" s="600"/>
      <c r="BD101" s="5"/>
    </row>
    <row r="102" spans="1:56" ht="12.75" customHeight="1" x14ac:dyDescent="0.2">
      <c r="A102" s="600"/>
      <c r="B102" s="197"/>
      <c r="C102" s="533" t="str">
        <f>Translations!$B$341</f>
        <v>Przykł.</v>
      </c>
      <c r="D102" s="690" t="str">
        <f>Translations!$B$342</f>
        <v>Emisje PFC</v>
      </c>
      <c r="E102" s="690" t="str">
        <f>Translations!$B$343</f>
        <v>Elektrolizer Prebake (CWPB); Anoda typu A</v>
      </c>
      <c r="F102" s="691">
        <v>5000</v>
      </c>
      <c r="G102" s="528" t="s">
        <v>212</v>
      </c>
      <c r="H102" s="779"/>
      <c r="I102" s="780"/>
      <c r="J102" s="779"/>
      <c r="K102" s="780"/>
      <c r="L102" s="780"/>
      <c r="M102" s="780"/>
      <c r="N102" s="779"/>
      <c r="O102" s="778"/>
      <c r="P102" s="779"/>
      <c r="Q102" s="778"/>
      <c r="R102" s="779"/>
      <c r="S102" s="778"/>
      <c r="T102" s="779"/>
      <c r="U102" s="778"/>
      <c r="V102" s="778"/>
      <c r="W102" s="778"/>
      <c r="X102" s="778"/>
      <c r="Y102" s="778"/>
      <c r="Z102" s="778"/>
      <c r="AA102" s="778"/>
      <c r="AB102" s="778"/>
      <c r="AC102" s="778"/>
      <c r="AD102" s="778"/>
      <c r="AE102" s="778"/>
      <c r="AF102" s="778"/>
      <c r="AG102" s="691">
        <v>300</v>
      </c>
      <c r="AH102" s="691">
        <v>2</v>
      </c>
      <c r="AI102" s="691">
        <v>0.14599999999999999</v>
      </c>
      <c r="AJ102" s="691">
        <v>0</v>
      </c>
      <c r="AK102" s="691">
        <v>0</v>
      </c>
      <c r="AL102" s="691">
        <v>0</v>
      </c>
      <c r="AM102" s="691">
        <v>0.122</v>
      </c>
      <c r="AN102" s="691">
        <v>4.38</v>
      </c>
      <c r="AO102" s="691">
        <v>0.53435999999999995</v>
      </c>
      <c r="AP102" s="695">
        <v>7390</v>
      </c>
      <c r="AQ102" s="695">
        <v>12200</v>
      </c>
      <c r="AR102" s="695">
        <v>32368.2</v>
      </c>
      <c r="AS102" s="695">
        <v>6519.1919999999991</v>
      </c>
      <c r="AT102" s="691">
        <v>98</v>
      </c>
      <c r="AU102" s="693">
        <v>39681.01224489796</v>
      </c>
      <c r="AV102" s="693"/>
      <c r="AW102" s="693"/>
      <c r="AX102" s="691"/>
      <c r="AY102" s="691"/>
      <c r="AZ102" s="197"/>
      <c r="BA102" s="600"/>
      <c r="BB102" s="600"/>
      <c r="BC102" s="600"/>
      <c r="BD102" s="5"/>
    </row>
    <row r="103" spans="1:56" x14ac:dyDescent="0.2">
      <c r="A103" s="600"/>
      <c r="B103" s="197"/>
      <c r="C103" s="528">
        <v>1</v>
      </c>
      <c r="D103" s="675"/>
      <c r="E103" s="594"/>
      <c r="F103" s="595"/>
      <c r="G103" s="596"/>
      <c r="H103" s="779"/>
      <c r="I103" s="780"/>
      <c r="J103" s="779"/>
      <c r="K103" s="780"/>
      <c r="L103" s="780"/>
      <c r="M103" s="780"/>
      <c r="N103" s="779"/>
      <c r="O103" s="778"/>
      <c r="P103" s="779"/>
      <c r="Q103" s="778"/>
      <c r="R103" s="779"/>
      <c r="S103" s="778"/>
      <c r="T103" s="779"/>
      <c r="U103" s="778"/>
      <c r="V103" s="778"/>
      <c r="W103" s="778"/>
      <c r="X103" s="778"/>
      <c r="Y103" s="778"/>
      <c r="Z103" s="778"/>
      <c r="AA103" s="778"/>
      <c r="AB103" s="778"/>
      <c r="AC103" s="778"/>
      <c r="AD103" s="778"/>
      <c r="AE103" s="778"/>
      <c r="AF103" s="778"/>
      <c r="AG103" s="595"/>
      <c r="AH103" s="595"/>
      <c r="AI103" s="595"/>
      <c r="AJ103" s="595"/>
      <c r="AK103" s="595"/>
      <c r="AL103" s="595"/>
      <c r="AM103" s="595"/>
      <c r="AN103" s="595"/>
      <c r="AO103" s="595"/>
      <c r="AP103" s="599"/>
      <c r="AQ103" s="599"/>
      <c r="AR103" s="599"/>
      <c r="AS103" s="599"/>
      <c r="AT103" s="595"/>
      <c r="AU103" s="598"/>
      <c r="AV103" s="598"/>
      <c r="AW103" s="598"/>
      <c r="AX103" s="595"/>
      <c r="AY103" s="595"/>
      <c r="AZ103" s="197"/>
      <c r="BA103" s="478" t="str">
        <f t="shared" ref="BA103:BA112" si="4">EUconst_SumPFC</f>
        <v>SUM_PFC</v>
      </c>
      <c r="BB103" s="573" t="str">
        <f t="shared" ref="BB103:BB112" si="5">EUconst_SumEnergyIN</f>
        <v>SUM_EnergyIN</v>
      </c>
      <c r="BC103" s="600"/>
      <c r="BD103" s="5"/>
    </row>
    <row r="104" spans="1:56" x14ac:dyDescent="0.2">
      <c r="A104" s="600"/>
      <c r="B104" s="197"/>
      <c r="C104" s="529">
        <v>2</v>
      </c>
      <c r="D104" s="675"/>
      <c r="E104" s="594"/>
      <c r="F104" s="595"/>
      <c r="G104" s="596"/>
      <c r="H104" s="779"/>
      <c r="I104" s="780"/>
      <c r="J104" s="779"/>
      <c r="K104" s="780"/>
      <c r="L104" s="780"/>
      <c r="M104" s="780"/>
      <c r="N104" s="779"/>
      <c r="O104" s="778"/>
      <c r="P104" s="779"/>
      <c r="Q104" s="778"/>
      <c r="R104" s="779"/>
      <c r="S104" s="778"/>
      <c r="T104" s="779"/>
      <c r="U104" s="778"/>
      <c r="V104" s="778"/>
      <c r="W104" s="778"/>
      <c r="X104" s="778"/>
      <c r="Y104" s="778"/>
      <c r="Z104" s="778"/>
      <c r="AA104" s="778"/>
      <c r="AB104" s="778"/>
      <c r="AC104" s="778"/>
      <c r="AD104" s="778"/>
      <c r="AE104" s="778"/>
      <c r="AF104" s="778"/>
      <c r="AG104" s="595"/>
      <c r="AH104" s="595"/>
      <c r="AI104" s="595"/>
      <c r="AJ104" s="595"/>
      <c r="AK104" s="595"/>
      <c r="AL104" s="595"/>
      <c r="AM104" s="595"/>
      <c r="AN104" s="595"/>
      <c r="AO104" s="595"/>
      <c r="AP104" s="599"/>
      <c r="AQ104" s="599"/>
      <c r="AR104" s="599"/>
      <c r="AS104" s="599"/>
      <c r="AT104" s="595"/>
      <c r="AU104" s="598"/>
      <c r="AV104" s="598"/>
      <c r="AW104" s="598"/>
      <c r="AX104" s="595"/>
      <c r="AY104" s="595"/>
      <c r="AZ104" s="197"/>
      <c r="BA104" s="478" t="str">
        <f t="shared" si="4"/>
        <v>SUM_PFC</v>
      </c>
      <c r="BB104" s="573" t="str">
        <f t="shared" si="5"/>
        <v>SUM_EnergyIN</v>
      </c>
      <c r="BC104" s="600"/>
      <c r="BD104" s="5"/>
    </row>
    <row r="105" spans="1:56" x14ac:dyDescent="0.2">
      <c r="A105" s="600"/>
      <c r="B105" s="197"/>
      <c r="C105" s="529">
        <v>3</v>
      </c>
      <c r="D105" s="675"/>
      <c r="E105" s="594"/>
      <c r="F105" s="595"/>
      <c r="G105" s="596"/>
      <c r="H105" s="779"/>
      <c r="I105" s="780"/>
      <c r="J105" s="779"/>
      <c r="K105" s="780"/>
      <c r="L105" s="780"/>
      <c r="M105" s="780"/>
      <c r="N105" s="779"/>
      <c r="O105" s="778"/>
      <c r="P105" s="779"/>
      <c r="Q105" s="778"/>
      <c r="R105" s="779"/>
      <c r="S105" s="778"/>
      <c r="T105" s="779"/>
      <c r="U105" s="778"/>
      <c r="V105" s="778"/>
      <c r="W105" s="778"/>
      <c r="X105" s="778"/>
      <c r="Y105" s="778"/>
      <c r="Z105" s="778"/>
      <c r="AA105" s="778"/>
      <c r="AB105" s="778"/>
      <c r="AC105" s="778"/>
      <c r="AD105" s="778"/>
      <c r="AE105" s="778"/>
      <c r="AF105" s="778"/>
      <c r="AG105" s="595"/>
      <c r="AH105" s="595"/>
      <c r="AI105" s="595"/>
      <c r="AJ105" s="595"/>
      <c r="AK105" s="595"/>
      <c r="AL105" s="595"/>
      <c r="AM105" s="595"/>
      <c r="AN105" s="595"/>
      <c r="AO105" s="595"/>
      <c r="AP105" s="599"/>
      <c r="AQ105" s="599"/>
      <c r="AR105" s="599"/>
      <c r="AS105" s="599"/>
      <c r="AT105" s="595"/>
      <c r="AU105" s="598"/>
      <c r="AV105" s="598"/>
      <c r="AW105" s="598"/>
      <c r="AX105" s="595"/>
      <c r="AY105" s="595"/>
      <c r="AZ105" s="197"/>
      <c r="BA105" s="478" t="str">
        <f t="shared" si="4"/>
        <v>SUM_PFC</v>
      </c>
      <c r="BB105" s="573" t="str">
        <f t="shared" si="5"/>
        <v>SUM_EnergyIN</v>
      </c>
      <c r="BC105" s="600"/>
      <c r="BD105" s="5"/>
    </row>
    <row r="106" spans="1:56" x14ac:dyDescent="0.2">
      <c r="A106" s="600"/>
      <c r="B106" s="197"/>
      <c r="C106" s="529">
        <v>4</v>
      </c>
      <c r="D106" s="675"/>
      <c r="E106" s="594"/>
      <c r="F106" s="595"/>
      <c r="G106" s="596"/>
      <c r="H106" s="779"/>
      <c r="I106" s="780"/>
      <c r="J106" s="779"/>
      <c r="K106" s="780"/>
      <c r="L106" s="780"/>
      <c r="M106" s="780"/>
      <c r="N106" s="779"/>
      <c r="O106" s="778"/>
      <c r="P106" s="779"/>
      <c r="Q106" s="778"/>
      <c r="R106" s="779"/>
      <c r="S106" s="778"/>
      <c r="T106" s="779"/>
      <c r="U106" s="778"/>
      <c r="V106" s="778"/>
      <c r="W106" s="778"/>
      <c r="X106" s="778"/>
      <c r="Y106" s="778"/>
      <c r="Z106" s="778"/>
      <c r="AA106" s="778"/>
      <c r="AB106" s="778"/>
      <c r="AC106" s="778"/>
      <c r="AD106" s="778"/>
      <c r="AE106" s="778"/>
      <c r="AF106" s="778"/>
      <c r="AG106" s="595"/>
      <c r="AH106" s="595"/>
      <c r="AI106" s="595"/>
      <c r="AJ106" s="595"/>
      <c r="AK106" s="595"/>
      <c r="AL106" s="595"/>
      <c r="AM106" s="595"/>
      <c r="AN106" s="595"/>
      <c r="AO106" s="595"/>
      <c r="AP106" s="599"/>
      <c r="AQ106" s="599"/>
      <c r="AR106" s="599"/>
      <c r="AS106" s="599"/>
      <c r="AT106" s="595"/>
      <c r="AU106" s="598"/>
      <c r="AV106" s="598"/>
      <c r="AW106" s="598"/>
      <c r="AX106" s="595"/>
      <c r="AY106" s="595"/>
      <c r="AZ106" s="197"/>
      <c r="BA106" s="478" t="str">
        <f t="shared" si="4"/>
        <v>SUM_PFC</v>
      </c>
      <c r="BB106" s="573" t="str">
        <f t="shared" si="5"/>
        <v>SUM_EnergyIN</v>
      </c>
      <c r="BC106" s="600"/>
      <c r="BD106" s="5"/>
    </row>
    <row r="107" spans="1:56" x14ac:dyDescent="0.2">
      <c r="A107" s="600"/>
      <c r="B107" s="197"/>
      <c r="C107" s="529">
        <v>5</v>
      </c>
      <c r="D107" s="675"/>
      <c r="E107" s="594"/>
      <c r="F107" s="595"/>
      <c r="G107" s="596"/>
      <c r="H107" s="779"/>
      <c r="I107" s="780"/>
      <c r="J107" s="779"/>
      <c r="K107" s="780"/>
      <c r="L107" s="780"/>
      <c r="M107" s="780"/>
      <c r="N107" s="779"/>
      <c r="O107" s="778"/>
      <c r="P107" s="779"/>
      <c r="Q107" s="778"/>
      <c r="R107" s="779"/>
      <c r="S107" s="778"/>
      <c r="T107" s="779"/>
      <c r="U107" s="778"/>
      <c r="V107" s="778"/>
      <c r="W107" s="778"/>
      <c r="X107" s="778"/>
      <c r="Y107" s="778"/>
      <c r="Z107" s="778"/>
      <c r="AA107" s="778"/>
      <c r="AB107" s="778"/>
      <c r="AC107" s="778"/>
      <c r="AD107" s="778"/>
      <c r="AE107" s="778"/>
      <c r="AF107" s="778"/>
      <c r="AG107" s="595"/>
      <c r="AH107" s="595"/>
      <c r="AI107" s="595"/>
      <c r="AJ107" s="595"/>
      <c r="AK107" s="595"/>
      <c r="AL107" s="595"/>
      <c r="AM107" s="595"/>
      <c r="AN107" s="595"/>
      <c r="AO107" s="595"/>
      <c r="AP107" s="599"/>
      <c r="AQ107" s="599"/>
      <c r="AR107" s="599"/>
      <c r="AS107" s="599"/>
      <c r="AT107" s="595"/>
      <c r="AU107" s="598"/>
      <c r="AV107" s="598"/>
      <c r="AW107" s="598"/>
      <c r="AX107" s="595"/>
      <c r="AY107" s="595"/>
      <c r="AZ107" s="197"/>
      <c r="BA107" s="478" t="str">
        <f t="shared" si="4"/>
        <v>SUM_PFC</v>
      </c>
      <c r="BB107" s="573" t="str">
        <f t="shared" si="5"/>
        <v>SUM_EnergyIN</v>
      </c>
      <c r="BC107" s="600"/>
      <c r="BD107" s="5"/>
    </row>
    <row r="108" spans="1:56" x14ac:dyDescent="0.2">
      <c r="A108" s="600"/>
      <c r="B108" s="197"/>
      <c r="C108" s="529">
        <v>6</v>
      </c>
      <c r="D108" s="675"/>
      <c r="E108" s="594"/>
      <c r="F108" s="595"/>
      <c r="G108" s="596"/>
      <c r="H108" s="779"/>
      <c r="I108" s="780"/>
      <c r="J108" s="779"/>
      <c r="K108" s="780"/>
      <c r="L108" s="780"/>
      <c r="M108" s="780"/>
      <c r="N108" s="779"/>
      <c r="O108" s="778"/>
      <c r="P108" s="779"/>
      <c r="Q108" s="778"/>
      <c r="R108" s="779"/>
      <c r="S108" s="778"/>
      <c r="T108" s="779"/>
      <c r="U108" s="778"/>
      <c r="V108" s="778"/>
      <c r="W108" s="778"/>
      <c r="X108" s="778"/>
      <c r="Y108" s="778"/>
      <c r="Z108" s="778"/>
      <c r="AA108" s="778"/>
      <c r="AB108" s="778"/>
      <c r="AC108" s="778"/>
      <c r="AD108" s="778"/>
      <c r="AE108" s="778"/>
      <c r="AF108" s="778"/>
      <c r="AG108" s="595"/>
      <c r="AH108" s="595"/>
      <c r="AI108" s="595"/>
      <c r="AJ108" s="595"/>
      <c r="AK108" s="595"/>
      <c r="AL108" s="595"/>
      <c r="AM108" s="595"/>
      <c r="AN108" s="595"/>
      <c r="AO108" s="595"/>
      <c r="AP108" s="599"/>
      <c r="AQ108" s="599"/>
      <c r="AR108" s="599"/>
      <c r="AS108" s="599"/>
      <c r="AT108" s="595"/>
      <c r="AU108" s="598"/>
      <c r="AV108" s="598"/>
      <c r="AW108" s="598"/>
      <c r="AX108" s="595"/>
      <c r="AY108" s="595"/>
      <c r="AZ108" s="197"/>
      <c r="BA108" s="478" t="str">
        <f t="shared" si="4"/>
        <v>SUM_PFC</v>
      </c>
      <c r="BB108" s="573" t="str">
        <f t="shared" si="5"/>
        <v>SUM_EnergyIN</v>
      </c>
      <c r="BC108" s="600"/>
      <c r="BD108" s="5"/>
    </row>
    <row r="109" spans="1:56" x14ac:dyDescent="0.2">
      <c r="A109" s="600"/>
      <c r="B109" s="197"/>
      <c r="C109" s="529">
        <v>7</v>
      </c>
      <c r="D109" s="675"/>
      <c r="E109" s="594"/>
      <c r="F109" s="595"/>
      <c r="G109" s="596"/>
      <c r="H109" s="779"/>
      <c r="I109" s="780"/>
      <c r="J109" s="779"/>
      <c r="K109" s="780"/>
      <c r="L109" s="780"/>
      <c r="M109" s="780"/>
      <c r="N109" s="779"/>
      <c r="O109" s="778"/>
      <c r="P109" s="779"/>
      <c r="Q109" s="778"/>
      <c r="R109" s="779"/>
      <c r="S109" s="778"/>
      <c r="T109" s="779"/>
      <c r="U109" s="778"/>
      <c r="V109" s="778"/>
      <c r="W109" s="778"/>
      <c r="X109" s="778"/>
      <c r="Y109" s="778"/>
      <c r="Z109" s="778"/>
      <c r="AA109" s="778"/>
      <c r="AB109" s="778"/>
      <c r="AC109" s="778"/>
      <c r="AD109" s="778"/>
      <c r="AE109" s="778"/>
      <c r="AF109" s="778"/>
      <c r="AG109" s="595"/>
      <c r="AH109" s="595"/>
      <c r="AI109" s="595"/>
      <c r="AJ109" s="595"/>
      <c r="AK109" s="595"/>
      <c r="AL109" s="595"/>
      <c r="AM109" s="595"/>
      <c r="AN109" s="595"/>
      <c r="AO109" s="595"/>
      <c r="AP109" s="599"/>
      <c r="AQ109" s="599"/>
      <c r="AR109" s="599"/>
      <c r="AS109" s="599"/>
      <c r="AT109" s="595"/>
      <c r="AU109" s="598"/>
      <c r="AV109" s="598"/>
      <c r="AW109" s="598"/>
      <c r="AX109" s="595"/>
      <c r="AY109" s="595"/>
      <c r="AZ109" s="197"/>
      <c r="BA109" s="478" t="str">
        <f t="shared" si="4"/>
        <v>SUM_PFC</v>
      </c>
      <c r="BB109" s="573" t="str">
        <f t="shared" si="5"/>
        <v>SUM_EnergyIN</v>
      </c>
      <c r="BC109" s="600"/>
      <c r="BD109" s="5"/>
    </row>
    <row r="110" spans="1:56" x14ac:dyDescent="0.2">
      <c r="A110" s="600"/>
      <c r="B110" s="197"/>
      <c r="C110" s="529">
        <v>8</v>
      </c>
      <c r="D110" s="675"/>
      <c r="E110" s="594"/>
      <c r="F110" s="595"/>
      <c r="G110" s="596"/>
      <c r="H110" s="779"/>
      <c r="I110" s="780"/>
      <c r="J110" s="779"/>
      <c r="K110" s="780"/>
      <c r="L110" s="780"/>
      <c r="M110" s="780"/>
      <c r="N110" s="779"/>
      <c r="O110" s="778"/>
      <c r="P110" s="779"/>
      <c r="Q110" s="778"/>
      <c r="R110" s="779"/>
      <c r="S110" s="778"/>
      <c r="T110" s="779"/>
      <c r="U110" s="778"/>
      <c r="V110" s="778"/>
      <c r="W110" s="778"/>
      <c r="X110" s="778"/>
      <c r="Y110" s="778"/>
      <c r="Z110" s="778"/>
      <c r="AA110" s="778"/>
      <c r="AB110" s="778"/>
      <c r="AC110" s="778"/>
      <c r="AD110" s="778"/>
      <c r="AE110" s="778"/>
      <c r="AF110" s="778"/>
      <c r="AG110" s="595"/>
      <c r="AH110" s="595"/>
      <c r="AI110" s="595"/>
      <c r="AJ110" s="595"/>
      <c r="AK110" s="595"/>
      <c r="AL110" s="595"/>
      <c r="AM110" s="595"/>
      <c r="AN110" s="595"/>
      <c r="AO110" s="595"/>
      <c r="AP110" s="599"/>
      <c r="AQ110" s="599"/>
      <c r="AR110" s="599"/>
      <c r="AS110" s="599"/>
      <c r="AT110" s="595"/>
      <c r="AU110" s="598"/>
      <c r="AV110" s="598"/>
      <c r="AW110" s="598"/>
      <c r="AX110" s="595"/>
      <c r="AY110" s="595"/>
      <c r="AZ110" s="197"/>
      <c r="BA110" s="478" t="str">
        <f t="shared" si="4"/>
        <v>SUM_PFC</v>
      </c>
      <c r="BB110" s="573" t="str">
        <f t="shared" si="5"/>
        <v>SUM_EnergyIN</v>
      </c>
      <c r="BC110" s="600"/>
      <c r="BD110" s="5"/>
    </row>
    <row r="111" spans="1:56" x14ac:dyDescent="0.2">
      <c r="A111" s="600"/>
      <c r="B111" s="197"/>
      <c r="C111" s="529">
        <v>9</v>
      </c>
      <c r="D111" s="675"/>
      <c r="E111" s="594"/>
      <c r="F111" s="595"/>
      <c r="G111" s="596"/>
      <c r="H111" s="779"/>
      <c r="I111" s="780"/>
      <c r="J111" s="779"/>
      <c r="K111" s="780"/>
      <c r="L111" s="780"/>
      <c r="M111" s="780"/>
      <c r="N111" s="779"/>
      <c r="O111" s="778"/>
      <c r="P111" s="779"/>
      <c r="Q111" s="778"/>
      <c r="R111" s="779"/>
      <c r="S111" s="778"/>
      <c r="T111" s="779"/>
      <c r="U111" s="778"/>
      <c r="V111" s="778"/>
      <c r="W111" s="778"/>
      <c r="X111" s="778"/>
      <c r="Y111" s="778"/>
      <c r="Z111" s="778"/>
      <c r="AA111" s="778"/>
      <c r="AB111" s="778"/>
      <c r="AC111" s="778"/>
      <c r="AD111" s="778"/>
      <c r="AE111" s="778"/>
      <c r="AF111" s="778"/>
      <c r="AG111" s="595"/>
      <c r="AH111" s="595"/>
      <c r="AI111" s="595"/>
      <c r="AJ111" s="595"/>
      <c r="AK111" s="595"/>
      <c r="AL111" s="595"/>
      <c r="AM111" s="595"/>
      <c r="AN111" s="595"/>
      <c r="AO111" s="595"/>
      <c r="AP111" s="599"/>
      <c r="AQ111" s="599"/>
      <c r="AR111" s="599"/>
      <c r="AS111" s="599"/>
      <c r="AT111" s="595"/>
      <c r="AU111" s="598"/>
      <c r="AV111" s="598"/>
      <c r="AW111" s="598"/>
      <c r="AX111" s="595"/>
      <c r="AY111" s="595"/>
      <c r="AZ111" s="197"/>
      <c r="BA111" s="478" t="str">
        <f t="shared" si="4"/>
        <v>SUM_PFC</v>
      </c>
      <c r="BB111" s="573" t="str">
        <f t="shared" si="5"/>
        <v>SUM_EnergyIN</v>
      </c>
      <c r="BC111" s="600"/>
      <c r="BD111" s="5"/>
    </row>
    <row r="112" spans="1:56" x14ac:dyDescent="0.2">
      <c r="A112" s="600"/>
      <c r="B112" s="197"/>
      <c r="C112" s="529">
        <v>10</v>
      </c>
      <c r="D112" s="675"/>
      <c r="E112" s="594"/>
      <c r="F112" s="595"/>
      <c r="G112" s="596"/>
      <c r="H112" s="779"/>
      <c r="I112" s="780"/>
      <c r="J112" s="779"/>
      <c r="K112" s="780"/>
      <c r="L112" s="780"/>
      <c r="M112" s="780"/>
      <c r="N112" s="779"/>
      <c r="O112" s="778"/>
      <c r="P112" s="779"/>
      <c r="Q112" s="778"/>
      <c r="R112" s="779"/>
      <c r="S112" s="778"/>
      <c r="T112" s="779"/>
      <c r="U112" s="778"/>
      <c r="V112" s="778"/>
      <c r="W112" s="778"/>
      <c r="X112" s="778"/>
      <c r="Y112" s="778"/>
      <c r="Z112" s="778"/>
      <c r="AA112" s="778"/>
      <c r="AB112" s="778"/>
      <c r="AC112" s="778"/>
      <c r="AD112" s="778"/>
      <c r="AE112" s="778"/>
      <c r="AF112" s="778"/>
      <c r="AG112" s="595"/>
      <c r="AH112" s="595"/>
      <c r="AI112" s="595"/>
      <c r="AJ112" s="595"/>
      <c r="AK112" s="595"/>
      <c r="AL112" s="595"/>
      <c r="AM112" s="595"/>
      <c r="AN112" s="595"/>
      <c r="AO112" s="595"/>
      <c r="AP112" s="599"/>
      <c r="AQ112" s="599"/>
      <c r="AR112" s="599"/>
      <c r="AS112" s="599"/>
      <c r="AT112" s="595"/>
      <c r="AU112" s="598"/>
      <c r="AV112" s="598"/>
      <c r="AW112" s="598"/>
      <c r="AX112" s="595"/>
      <c r="AY112" s="595"/>
      <c r="AZ112" s="197"/>
      <c r="BA112" s="478" t="str">
        <f t="shared" si="4"/>
        <v>SUM_PFC</v>
      </c>
      <c r="BB112" s="573" t="str">
        <f t="shared" si="5"/>
        <v>SUM_EnergyIN</v>
      </c>
      <c r="BC112" s="600"/>
      <c r="BD112" s="5"/>
    </row>
    <row r="113" spans="1:56" x14ac:dyDescent="0.2">
      <c r="A113" s="600"/>
      <c r="B113" s="197"/>
      <c r="F113" s="530"/>
      <c r="G113" s="6"/>
      <c r="H113" s="530"/>
      <c r="I113" s="6"/>
      <c r="J113" s="530"/>
      <c r="K113" s="6"/>
      <c r="L113" s="6"/>
      <c r="M113" s="6"/>
      <c r="N113" s="530"/>
      <c r="O113" s="531"/>
      <c r="P113" s="530"/>
      <c r="Q113" s="531"/>
      <c r="R113" s="530"/>
      <c r="S113" s="531"/>
      <c r="T113" s="530"/>
      <c r="U113" s="531"/>
      <c r="V113" s="531"/>
      <c r="W113" s="531"/>
      <c r="X113" s="531"/>
      <c r="Y113" s="531"/>
      <c r="Z113" s="531"/>
      <c r="AA113" s="531"/>
      <c r="AB113" s="531"/>
      <c r="AC113" s="531"/>
      <c r="AD113" s="531"/>
      <c r="AE113" s="531"/>
      <c r="AF113" s="531"/>
      <c r="AG113" s="531"/>
      <c r="AH113" s="531"/>
      <c r="AI113" s="531"/>
      <c r="AJ113" s="531"/>
      <c r="AK113" s="531"/>
      <c r="AL113" s="531"/>
      <c r="AM113" s="531"/>
      <c r="AN113" s="531"/>
      <c r="AO113" s="531"/>
      <c r="AP113" s="531"/>
      <c r="AQ113" s="531"/>
      <c r="AR113" s="531"/>
      <c r="AS113" s="531"/>
      <c r="AT113" s="531"/>
      <c r="AU113" s="532"/>
      <c r="AV113" s="532"/>
      <c r="AW113" s="532"/>
      <c r="AX113" s="530"/>
      <c r="AY113" s="530"/>
      <c r="AZ113" s="197"/>
      <c r="BA113" s="600"/>
      <c r="BB113" s="600"/>
      <c r="BC113" s="600"/>
      <c r="BD113" s="5"/>
    </row>
    <row r="114" spans="1:56" ht="50.1" customHeight="1" thickBot="1" x14ac:dyDescent="0.45">
      <c r="A114" s="600"/>
      <c r="B114" s="197"/>
      <c r="C114" s="77"/>
      <c r="D114" s="522" t="str">
        <f>Translations!$B$344</f>
        <v>Źródła emisji (metody oparte na pomiarach)</v>
      </c>
      <c r="E114" s="197"/>
      <c r="F114" s="197"/>
      <c r="G114" s="197"/>
      <c r="H114" s="197"/>
      <c r="I114" s="197"/>
      <c r="J114" s="197"/>
      <c r="K114" s="197"/>
      <c r="L114" s="197"/>
      <c r="N114" s="197"/>
      <c r="O114" s="197"/>
      <c r="P114" s="197"/>
      <c r="Q114" s="197"/>
      <c r="R114" s="197"/>
      <c r="S114" s="197"/>
      <c r="T114" s="197"/>
      <c r="U114" s="197"/>
      <c r="V114" s="197"/>
      <c r="W114" s="197"/>
      <c r="X114" s="197"/>
      <c r="Y114" s="197"/>
      <c r="Z114" s="197"/>
      <c r="AA114" s="197"/>
      <c r="AB114" s="197"/>
      <c r="AC114" s="197"/>
      <c r="AD114" s="197"/>
      <c r="AE114" s="197"/>
      <c r="AF114" s="677"/>
      <c r="AG114" s="197"/>
      <c r="AH114" s="197"/>
      <c r="AI114" s="197"/>
      <c r="AJ114" s="197"/>
      <c r="AK114" s="197"/>
      <c r="AL114" s="197"/>
      <c r="AM114" s="197"/>
      <c r="AN114" s="197"/>
      <c r="AO114" s="197"/>
      <c r="AP114" s="197"/>
      <c r="AQ114" s="197"/>
      <c r="AR114" s="197"/>
      <c r="AS114" s="197"/>
      <c r="AT114" s="197"/>
      <c r="AU114" s="197"/>
      <c r="AV114" s="197"/>
      <c r="AW114" s="197"/>
      <c r="AX114" s="197"/>
      <c r="AY114" s="197"/>
      <c r="AZ114" s="197"/>
      <c r="BA114" s="600"/>
      <c r="BB114" s="600"/>
      <c r="BC114" s="600"/>
      <c r="BD114" s="5"/>
    </row>
    <row r="115" spans="1:56" ht="50.1" customHeight="1" thickBot="1" x14ac:dyDescent="0.25">
      <c r="A115" s="600"/>
      <c r="B115" s="197"/>
      <c r="C115" s="523" t="s">
        <v>482</v>
      </c>
      <c r="D115" s="524" t="str">
        <f>Translations!$B$282</f>
        <v>Metoda</v>
      </c>
      <c r="E115" s="524" t="str">
        <f>Translations!$B$340</f>
        <v>Nazwa</v>
      </c>
      <c r="F115" s="525" t="str">
        <f>Translations!$B$284</f>
        <v>Dane dotyczące działalności (AD)</v>
      </c>
      <c r="G115" s="525" t="str">
        <f>Translations!$B$285</f>
        <v>Jednostka AD</v>
      </c>
      <c r="H115" s="525" t="str">
        <f>Translations!$B$286</f>
        <v>Wartość opałowa (NCV)</v>
      </c>
      <c r="I115" s="525" t="str">
        <f>Translations!$B$287</f>
        <v>Jednostka NCV</v>
      </c>
      <c r="J115" s="525" t="str">
        <f>Translations!$B$288</f>
        <v>Współczynnik emisji (EF)</v>
      </c>
      <c r="K115" s="525" t="str">
        <f>Translations!$B$289</f>
        <v>Jednostka EF</v>
      </c>
      <c r="L115" s="525" t="str">
        <f>Translations!$B$290</f>
        <v>Zawartość węgla</v>
      </c>
      <c r="M115" s="525" t="str">
        <f>Translations!$B$291</f>
        <v>Jednostka zawartości węgla</v>
      </c>
      <c r="N115" s="525" t="str">
        <f>Translations!$B$292</f>
        <v>Współczynnik utleniania (OxF)</v>
      </c>
      <c r="O115" s="525" t="str">
        <f>Translations!$B$293</f>
        <v>Jednostka OxF</v>
      </c>
      <c r="P115" s="525" t="str">
        <f>Translations!$B$294</f>
        <v>Współczynnik konwersji</v>
      </c>
      <c r="Q115" s="525" t="str">
        <f>Translations!$B$295</f>
        <v>Jednostka współczynnika konwersji</v>
      </c>
      <c r="R115" s="525" t="str">
        <f>Translations!$B$296</f>
        <v>Zawartość biomasy (BioC)</v>
      </c>
      <c r="S115" s="525" t="str">
        <f>Translations!$B$297</f>
        <v>Jednostka BioC</v>
      </c>
      <c r="T115" s="525" t="str">
        <f>Translations!$B$298</f>
        <v>BioC niezrówn.</v>
      </c>
      <c r="U115" s="525" t="str">
        <f>Translations!$B$299</f>
        <v>Jednostka BioC niezrówn.</v>
      </c>
      <c r="V115" s="525" t="str">
        <f>Translations!$B$300</f>
        <v>Średnie godzinowe stężenie gazów cieplarnianych (GHG)</v>
      </c>
      <c r="W115" s="525" t="str">
        <f>Translations!$B$301</f>
        <v>Jednostka godzinowego stężenia GHG</v>
      </c>
      <c r="X115" s="525" t="str">
        <f>Translations!$B$302</f>
        <v>Godziny działania</v>
      </c>
      <c r="Y115" s="525" t="str">
        <f>Translations!$B$303</f>
        <v>Jednostka godzin działania</v>
      </c>
      <c r="Z115" s="525" t="str">
        <f>Translations!$B$304</f>
        <v>Przepływ spalin (średnia)</v>
      </c>
      <c r="AA115" s="525" t="str">
        <f>Translations!$B$305</f>
        <v>Jednostka przepływu spalin (średnia)</v>
      </c>
      <c r="AB115" s="525" t="str">
        <f>Translations!$B$306</f>
        <v>Przepływ spalin (łącznie)</v>
      </c>
      <c r="AC115" s="525" t="str">
        <f>Translations!$B$307</f>
        <v>Jednostka przepływu spalin (łącznie)</v>
      </c>
      <c r="AD115" s="525" t="str">
        <f>Translations!$B$308</f>
        <v>Roczna ilość GHG</v>
      </c>
      <c r="AE115" s="525" t="str">
        <f>Translations!$B$309</f>
        <v>Jednostka rocznej ilości GHG</v>
      </c>
      <c r="AF115" s="525" t="str">
        <f>Translations!$B$310</f>
        <v>Współczynnik ocieplenia globalnego GWP (tCO2e/t)</v>
      </c>
      <c r="AG115" s="525" t="str">
        <f>Translations!$B$311</f>
        <v>A: Częstotliwość</v>
      </c>
      <c r="AH115" s="525" t="str">
        <f>Translations!$B$312</f>
        <v>A: Czas trwania</v>
      </c>
      <c r="AI115" s="525" t="str">
        <f>Translations!$B$313</f>
        <v>A: SEF (CF4)</v>
      </c>
      <c r="AJ115" s="525" t="str">
        <f>Translations!$B$314</f>
        <v>B: AEO</v>
      </c>
      <c r="AK115" s="525" t="str">
        <f>Translations!$B$315</f>
        <v>B: CE</v>
      </c>
      <c r="AL115" s="525" t="str">
        <f>Translations!$B$316</f>
        <v>B: OVC</v>
      </c>
      <c r="AM115" s="525" t="str">
        <f>Translations!$B$317</f>
        <v>F(C2F6)</v>
      </c>
      <c r="AN115" s="525" t="str">
        <f>Translations!$B$318</f>
        <v>Emisje CF4 (t CF4)</v>
      </c>
      <c r="AO115" s="525" t="str">
        <f>Translations!$B$319</f>
        <v>Emisje C2F6 (t C2F6)</v>
      </c>
      <c r="AP115" s="525" t="str">
        <f>Translations!$B$320</f>
        <v>GWP (CF4) (tCO2e/t)</v>
      </c>
      <c r="AQ115" s="525" t="str">
        <f>Translations!$B$321</f>
        <v>GWP (C2F6) (tCO2e/t)</v>
      </c>
      <c r="AR115" s="525" t="str">
        <f>Translations!$B$322</f>
        <v>Emisje CF4 (t CO2e)</v>
      </c>
      <c r="AS115" s="525" t="str">
        <f>Translations!$B$323</f>
        <v>Emisje C2F6 (t CO2e)</v>
      </c>
      <c r="AT115" s="525" t="str">
        <f>Translations!$B$324</f>
        <v>Całkowita wydajność, %</v>
      </c>
      <c r="AU115" s="525" t="str">
        <f>Translations!$B$325</f>
        <v>Kopalne CO2e (t)</v>
      </c>
      <c r="AV115" s="525" t="str">
        <f>Translations!$B$326</f>
        <v>CO2e z biomasy (t)</v>
      </c>
      <c r="AW115" s="525" t="str">
        <f>Translations!$B$327</f>
        <v>CO2e z biomasy niezrówn. (t)</v>
      </c>
      <c r="AX115" s="526" t="str">
        <f>Translations!$B$328</f>
        <v>Zawartość energii (kopalne), TJ</v>
      </c>
      <c r="AY115" s="527" t="str">
        <f>Translations!$B$329</f>
        <v>Zawartość energii (biomasa), TJ</v>
      </c>
      <c r="AZ115" s="197"/>
      <c r="BA115" s="600"/>
      <c r="BB115" s="600"/>
      <c r="BC115" s="600"/>
      <c r="BD115" s="5"/>
    </row>
    <row r="116" spans="1:56" ht="12.75" customHeight="1" x14ac:dyDescent="0.2">
      <c r="A116" s="600"/>
      <c r="B116" s="197"/>
      <c r="C116" s="533" t="str">
        <f>Translations!$B$330</f>
        <v>Przykł. 1</v>
      </c>
      <c r="D116" s="690" t="s">
        <v>388</v>
      </c>
      <c r="E116" s="690" t="str">
        <f>Translations!$B$345</f>
        <v>Kwas azotowy, linia 1</v>
      </c>
      <c r="F116" s="779"/>
      <c r="G116" s="780"/>
      <c r="H116" s="779"/>
      <c r="I116" s="780"/>
      <c r="J116" s="779"/>
      <c r="K116" s="780"/>
      <c r="L116" s="780"/>
      <c r="M116" s="780"/>
      <c r="N116" s="779"/>
      <c r="O116" s="778"/>
      <c r="P116" s="779"/>
      <c r="Q116" s="778"/>
      <c r="R116" s="695">
        <v>0</v>
      </c>
      <c r="S116" s="692" t="s">
        <v>409</v>
      </c>
      <c r="T116" s="695">
        <v>0</v>
      </c>
      <c r="U116" s="692" t="s">
        <v>409</v>
      </c>
      <c r="V116" s="695">
        <v>64.292500000000004</v>
      </c>
      <c r="W116" s="692" t="s">
        <v>533</v>
      </c>
      <c r="X116" s="695">
        <v>4</v>
      </c>
      <c r="Y116" s="692" t="str">
        <f>Translations!$B$346</f>
        <v>h/rok</v>
      </c>
      <c r="Z116" s="695">
        <v>265</v>
      </c>
      <c r="AA116" s="692" t="str">
        <f>Translations!$B$347</f>
        <v>1000Nm3/h</v>
      </c>
      <c r="AB116" s="695">
        <v>1060</v>
      </c>
      <c r="AC116" s="692" t="str">
        <f>Translations!$B$348</f>
        <v>1000Nm3/rok</v>
      </c>
      <c r="AD116" s="695">
        <v>68</v>
      </c>
      <c r="AE116" s="692" t="s">
        <v>212</v>
      </c>
      <c r="AF116" s="695">
        <v>298</v>
      </c>
      <c r="AG116" s="781"/>
      <c r="AH116" s="781"/>
      <c r="AI116" s="781"/>
      <c r="AJ116" s="781"/>
      <c r="AK116" s="781"/>
      <c r="AL116" s="781"/>
      <c r="AM116" s="781"/>
      <c r="AN116" s="781"/>
      <c r="AO116" s="781"/>
      <c r="AP116" s="781"/>
      <c r="AQ116" s="781"/>
      <c r="AR116" s="781"/>
      <c r="AS116" s="781"/>
      <c r="AT116" s="781"/>
      <c r="AU116" s="693">
        <v>20308.714900000003</v>
      </c>
      <c r="AV116" s="693">
        <v>0</v>
      </c>
      <c r="AW116" s="693">
        <v>0</v>
      </c>
      <c r="AX116" s="695">
        <v>0</v>
      </c>
      <c r="AY116" s="695">
        <v>0</v>
      </c>
      <c r="AZ116" s="197"/>
      <c r="BA116" s="600"/>
      <c r="BB116" s="600"/>
      <c r="BC116" s="600"/>
      <c r="BD116" s="5"/>
    </row>
    <row r="117" spans="1:56" ht="12.75" customHeight="1" x14ac:dyDescent="0.2">
      <c r="A117" s="600"/>
      <c r="B117" s="197"/>
      <c r="C117" s="533" t="str">
        <f>Translations!$B$333</f>
        <v>Przykł. 2</v>
      </c>
      <c r="D117" s="690" t="str">
        <f>Translations!$B$349</f>
        <v>Przenoszenie CO2</v>
      </c>
      <c r="E117" s="690" t="str">
        <f>Translations!$B$350</f>
        <v>Przenoszenie do instalacji objętej EU ETS X</v>
      </c>
      <c r="F117" s="779"/>
      <c r="G117" s="780"/>
      <c r="H117" s="779"/>
      <c r="I117" s="780"/>
      <c r="J117" s="779"/>
      <c r="K117" s="780"/>
      <c r="L117" s="780"/>
      <c r="M117" s="780"/>
      <c r="N117" s="779"/>
      <c r="O117" s="778"/>
      <c r="P117" s="779"/>
      <c r="Q117" s="778"/>
      <c r="R117" s="695">
        <v>0</v>
      </c>
      <c r="S117" s="692" t="s">
        <v>409</v>
      </c>
      <c r="T117" s="695">
        <v>0</v>
      </c>
      <c r="U117" s="692" t="s">
        <v>409</v>
      </c>
      <c r="V117" s="695">
        <v>1820</v>
      </c>
      <c r="W117" s="692" t="s">
        <v>533</v>
      </c>
      <c r="X117" s="695">
        <v>5000</v>
      </c>
      <c r="Y117" s="692" t="str">
        <f>Translations!$B$346</f>
        <v>h/rok</v>
      </c>
      <c r="Z117" s="695">
        <v>50</v>
      </c>
      <c r="AA117" s="692" t="str">
        <f>Translations!$B$347</f>
        <v>1000Nm3/h</v>
      </c>
      <c r="AB117" s="695">
        <v>250000</v>
      </c>
      <c r="AC117" s="692" t="str">
        <f>Translations!$B$348</f>
        <v>1000Nm3/rok</v>
      </c>
      <c r="AD117" s="695">
        <v>455000</v>
      </c>
      <c r="AE117" s="692" t="s">
        <v>212</v>
      </c>
      <c r="AF117" s="695">
        <v>1</v>
      </c>
      <c r="AG117" s="781"/>
      <c r="AH117" s="781"/>
      <c r="AI117" s="781"/>
      <c r="AJ117" s="781"/>
      <c r="AK117" s="781"/>
      <c r="AL117" s="781"/>
      <c r="AM117" s="781"/>
      <c r="AN117" s="781"/>
      <c r="AO117" s="781"/>
      <c r="AP117" s="781"/>
      <c r="AQ117" s="781"/>
      <c r="AR117" s="781"/>
      <c r="AS117" s="781"/>
      <c r="AT117" s="781"/>
      <c r="AU117" s="693">
        <v>-455000</v>
      </c>
      <c r="AV117" s="693">
        <v>0</v>
      </c>
      <c r="AW117" s="693">
        <v>0</v>
      </c>
      <c r="AX117" s="695">
        <v>0</v>
      </c>
      <c r="AY117" s="695">
        <v>0</v>
      </c>
      <c r="AZ117" s="197"/>
      <c r="BA117" s="600"/>
      <c r="BB117" s="600"/>
      <c r="BC117" s="600"/>
      <c r="BD117" s="5"/>
    </row>
    <row r="118" spans="1:56" x14ac:dyDescent="0.2">
      <c r="A118" s="600"/>
      <c r="B118" s="197"/>
      <c r="C118" s="529">
        <v>1</v>
      </c>
      <c r="D118" s="675"/>
      <c r="E118" s="594"/>
      <c r="F118" s="779"/>
      <c r="G118" s="780"/>
      <c r="H118" s="779"/>
      <c r="I118" s="780"/>
      <c r="J118" s="779"/>
      <c r="K118" s="780"/>
      <c r="L118" s="780"/>
      <c r="M118" s="780"/>
      <c r="N118" s="779"/>
      <c r="O118" s="778"/>
      <c r="P118" s="779"/>
      <c r="Q118" s="778"/>
      <c r="R118" s="599"/>
      <c r="S118" s="597"/>
      <c r="T118" s="599"/>
      <c r="U118" s="597"/>
      <c r="V118" s="599"/>
      <c r="W118" s="597"/>
      <c r="X118" s="599"/>
      <c r="Y118" s="597"/>
      <c r="Z118" s="599"/>
      <c r="AA118" s="597"/>
      <c r="AB118" s="599"/>
      <c r="AC118" s="597"/>
      <c r="AD118" s="599"/>
      <c r="AE118" s="597"/>
      <c r="AF118" s="599"/>
      <c r="AG118" s="781"/>
      <c r="AH118" s="781"/>
      <c r="AI118" s="781"/>
      <c r="AJ118" s="781"/>
      <c r="AK118" s="781"/>
      <c r="AL118" s="781"/>
      <c r="AM118" s="781"/>
      <c r="AN118" s="781"/>
      <c r="AO118" s="781"/>
      <c r="AP118" s="781"/>
      <c r="AQ118" s="781"/>
      <c r="AR118" s="781"/>
      <c r="AS118" s="781"/>
      <c r="AT118" s="781"/>
      <c r="AU118" s="598"/>
      <c r="AV118" s="598"/>
      <c r="AW118" s="598"/>
      <c r="AX118" s="599"/>
      <c r="AY118" s="599"/>
      <c r="AZ118" s="197"/>
      <c r="BA118" s="478" t="str">
        <f t="shared" ref="BA118:BA127" si="6">IF(SUM(AF118)&gt;1,EUconst_SumN2O,IF(SUM(AU118:AV118)&lt;0,EUconst_SumTransferCO2,EUconst_SumCO2))</f>
        <v>SUM_CO2</v>
      </c>
      <c r="BB118" s="573" t="str">
        <f t="shared" ref="BB118:BB127" si="7">EUconst_SumEnergyIN</f>
        <v>SUM_EnergyIN</v>
      </c>
      <c r="BC118" s="600"/>
      <c r="BD118" s="5"/>
    </row>
    <row r="119" spans="1:56" x14ac:dyDescent="0.2">
      <c r="A119" s="600"/>
      <c r="B119" s="197"/>
      <c r="C119" s="529">
        <v>2</v>
      </c>
      <c r="D119" s="675"/>
      <c r="E119" s="594"/>
      <c r="F119" s="779"/>
      <c r="G119" s="780"/>
      <c r="H119" s="779"/>
      <c r="I119" s="780"/>
      <c r="J119" s="779"/>
      <c r="K119" s="780"/>
      <c r="L119" s="780"/>
      <c r="M119" s="780"/>
      <c r="N119" s="779"/>
      <c r="O119" s="778"/>
      <c r="P119" s="779"/>
      <c r="Q119" s="778"/>
      <c r="R119" s="599"/>
      <c r="S119" s="597"/>
      <c r="T119" s="599"/>
      <c r="U119" s="597"/>
      <c r="V119" s="599"/>
      <c r="W119" s="597"/>
      <c r="X119" s="599"/>
      <c r="Y119" s="597"/>
      <c r="Z119" s="599"/>
      <c r="AA119" s="597"/>
      <c r="AB119" s="599"/>
      <c r="AC119" s="597"/>
      <c r="AD119" s="599"/>
      <c r="AE119" s="597"/>
      <c r="AF119" s="599"/>
      <c r="AG119" s="781"/>
      <c r="AH119" s="781"/>
      <c r="AI119" s="781"/>
      <c r="AJ119" s="781"/>
      <c r="AK119" s="781"/>
      <c r="AL119" s="781"/>
      <c r="AM119" s="781"/>
      <c r="AN119" s="781"/>
      <c r="AO119" s="781"/>
      <c r="AP119" s="781"/>
      <c r="AQ119" s="781"/>
      <c r="AR119" s="781"/>
      <c r="AS119" s="781"/>
      <c r="AT119" s="781"/>
      <c r="AU119" s="598"/>
      <c r="AV119" s="598"/>
      <c r="AW119" s="598"/>
      <c r="AX119" s="599"/>
      <c r="AY119" s="599"/>
      <c r="AZ119" s="197"/>
      <c r="BA119" s="478" t="str">
        <f t="shared" si="6"/>
        <v>SUM_CO2</v>
      </c>
      <c r="BB119" s="573" t="str">
        <f t="shared" si="7"/>
        <v>SUM_EnergyIN</v>
      </c>
      <c r="BC119" s="600"/>
      <c r="BD119" s="5"/>
    </row>
    <row r="120" spans="1:56" x14ac:dyDescent="0.2">
      <c r="A120" s="600"/>
      <c r="B120" s="197"/>
      <c r="C120" s="529">
        <v>3</v>
      </c>
      <c r="D120" s="675"/>
      <c r="E120" s="594"/>
      <c r="F120" s="779"/>
      <c r="G120" s="780"/>
      <c r="H120" s="779"/>
      <c r="I120" s="780"/>
      <c r="J120" s="779"/>
      <c r="K120" s="780"/>
      <c r="L120" s="780"/>
      <c r="M120" s="780"/>
      <c r="N120" s="779"/>
      <c r="O120" s="778"/>
      <c r="P120" s="779"/>
      <c r="Q120" s="778"/>
      <c r="R120" s="599"/>
      <c r="S120" s="597"/>
      <c r="T120" s="599"/>
      <c r="U120" s="597"/>
      <c r="V120" s="599"/>
      <c r="W120" s="597"/>
      <c r="X120" s="599"/>
      <c r="Y120" s="597"/>
      <c r="Z120" s="599"/>
      <c r="AA120" s="597"/>
      <c r="AB120" s="599"/>
      <c r="AC120" s="597"/>
      <c r="AD120" s="599"/>
      <c r="AE120" s="597"/>
      <c r="AF120" s="599"/>
      <c r="AG120" s="781"/>
      <c r="AH120" s="781"/>
      <c r="AI120" s="781"/>
      <c r="AJ120" s="781"/>
      <c r="AK120" s="781"/>
      <c r="AL120" s="781"/>
      <c r="AM120" s="781"/>
      <c r="AN120" s="781"/>
      <c r="AO120" s="781"/>
      <c r="AP120" s="781"/>
      <c r="AQ120" s="781"/>
      <c r="AR120" s="781"/>
      <c r="AS120" s="781"/>
      <c r="AT120" s="781"/>
      <c r="AU120" s="598"/>
      <c r="AV120" s="598"/>
      <c r="AW120" s="598"/>
      <c r="AX120" s="599"/>
      <c r="AY120" s="599"/>
      <c r="AZ120" s="197"/>
      <c r="BA120" s="478" t="str">
        <f t="shared" si="6"/>
        <v>SUM_CO2</v>
      </c>
      <c r="BB120" s="573" t="str">
        <f t="shared" si="7"/>
        <v>SUM_EnergyIN</v>
      </c>
      <c r="BC120" s="600"/>
      <c r="BD120" s="5"/>
    </row>
    <row r="121" spans="1:56" x14ac:dyDescent="0.2">
      <c r="A121" s="600"/>
      <c r="B121" s="197"/>
      <c r="C121" s="529">
        <v>4</v>
      </c>
      <c r="D121" s="675"/>
      <c r="E121" s="594"/>
      <c r="F121" s="779"/>
      <c r="G121" s="780"/>
      <c r="H121" s="779"/>
      <c r="I121" s="780"/>
      <c r="J121" s="779"/>
      <c r="K121" s="780"/>
      <c r="L121" s="780"/>
      <c r="M121" s="780"/>
      <c r="N121" s="779"/>
      <c r="O121" s="778"/>
      <c r="P121" s="779"/>
      <c r="Q121" s="778"/>
      <c r="R121" s="599"/>
      <c r="S121" s="597"/>
      <c r="T121" s="599"/>
      <c r="U121" s="597"/>
      <c r="V121" s="599"/>
      <c r="W121" s="597"/>
      <c r="X121" s="599"/>
      <c r="Y121" s="597"/>
      <c r="Z121" s="599"/>
      <c r="AA121" s="597"/>
      <c r="AB121" s="599"/>
      <c r="AC121" s="597"/>
      <c r="AD121" s="599"/>
      <c r="AE121" s="597"/>
      <c r="AF121" s="599"/>
      <c r="AG121" s="781"/>
      <c r="AH121" s="781"/>
      <c r="AI121" s="781"/>
      <c r="AJ121" s="781"/>
      <c r="AK121" s="781"/>
      <c r="AL121" s="781"/>
      <c r="AM121" s="781"/>
      <c r="AN121" s="781"/>
      <c r="AO121" s="781"/>
      <c r="AP121" s="781"/>
      <c r="AQ121" s="781"/>
      <c r="AR121" s="781"/>
      <c r="AS121" s="781"/>
      <c r="AT121" s="781"/>
      <c r="AU121" s="598"/>
      <c r="AV121" s="598"/>
      <c r="AW121" s="598"/>
      <c r="AX121" s="599"/>
      <c r="AY121" s="599"/>
      <c r="AZ121" s="197"/>
      <c r="BA121" s="478" t="str">
        <f t="shared" si="6"/>
        <v>SUM_CO2</v>
      </c>
      <c r="BB121" s="573" t="str">
        <f t="shared" si="7"/>
        <v>SUM_EnergyIN</v>
      </c>
      <c r="BC121" s="600"/>
      <c r="BD121" s="5"/>
    </row>
    <row r="122" spans="1:56" x14ac:dyDescent="0.2">
      <c r="A122" s="600"/>
      <c r="B122" s="197"/>
      <c r="C122" s="529">
        <v>5</v>
      </c>
      <c r="D122" s="675"/>
      <c r="E122" s="594"/>
      <c r="F122" s="779"/>
      <c r="G122" s="780"/>
      <c r="H122" s="779"/>
      <c r="I122" s="780"/>
      <c r="J122" s="779"/>
      <c r="K122" s="780"/>
      <c r="L122" s="780"/>
      <c r="M122" s="780"/>
      <c r="N122" s="779"/>
      <c r="O122" s="778"/>
      <c r="P122" s="779"/>
      <c r="Q122" s="778"/>
      <c r="R122" s="599"/>
      <c r="S122" s="597"/>
      <c r="T122" s="599"/>
      <c r="U122" s="597"/>
      <c r="V122" s="599"/>
      <c r="W122" s="597"/>
      <c r="X122" s="599"/>
      <c r="Y122" s="597"/>
      <c r="Z122" s="599"/>
      <c r="AA122" s="597"/>
      <c r="AB122" s="599"/>
      <c r="AC122" s="597"/>
      <c r="AD122" s="599"/>
      <c r="AE122" s="597"/>
      <c r="AF122" s="599"/>
      <c r="AG122" s="781"/>
      <c r="AH122" s="781"/>
      <c r="AI122" s="781"/>
      <c r="AJ122" s="781"/>
      <c r="AK122" s="781"/>
      <c r="AL122" s="781"/>
      <c r="AM122" s="781"/>
      <c r="AN122" s="781"/>
      <c r="AO122" s="781"/>
      <c r="AP122" s="781"/>
      <c r="AQ122" s="781"/>
      <c r="AR122" s="781"/>
      <c r="AS122" s="781"/>
      <c r="AT122" s="781"/>
      <c r="AU122" s="598"/>
      <c r="AV122" s="598"/>
      <c r="AW122" s="598"/>
      <c r="AX122" s="599"/>
      <c r="AY122" s="599"/>
      <c r="AZ122" s="197"/>
      <c r="BA122" s="478" t="str">
        <f t="shared" si="6"/>
        <v>SUM_CO2</v>
      </c>
      <c r="BB122" s="573" t="str">
        <f t="shared" si="7"/>
        <v>SUM_EnergyIN</v>
      </c>
      <c r="BC122" s="600"/>
      <c r="BD122" s="5"/>
    </row>
    <row r="123" spans="1:56" x14ac:dyDescent="0.2">
      <c r="A123" s="600"/>
      <c r="B123" s="197"/>
      <c r="C123" s="529">
        <v>6</v>
      </c>
      <c r="D123" s="675"/>
      <c r="E123" s="594"/>
      <c r="F123" s="779"/>
      <c r="G123" s="780"/>
      <c r="H123" s="779"/>
      <c r="I123" s="780"/>
      <c r="J123" s="779"/>
      <c r="K123" s="780"/>
      <c r="L123" s="780"/>
      <c r="M123" s="780"/>
      <c r="N123" s="779"/>
      <c r="O123" s="778"/>
      <c r="P123" s="779"/>
      <c r="Q123" s="778"/>
      <c r="R123" s="599"/>
      <c r="S123" s="597"/>
      <c r="T123" s="599"/>
      <c r="U123" s="597"/>
      <c r="V123" s="599"/>
      <c r="W123" s="597"/>
      <c r="X123" s="599"/>
      <c r="Y123" s="597"/>
      <c r="Z123" s="599"/>
      <c r="AA123" s="597"/>
      <c r="AB123" s="599"/>
      <c r="AC123" s="597"/>
      <c r="AD123" s="599"/>
      <c r="AE123" s="597"/>
      <c r="AF123" s="599"/>
      <c r="AG123" s="781"/>
      <c r="AH123" s="781"/>
      <c r="AI123" s="781"/>
      <c r="AJ123" s="781"/>
      <c r="AK123" s="781"/>
      <c r="AL123" s="781"/>
      <c r="AM123" s="781"/>
      <c r="AN123" s="781"/>
      <c r="AO123" s="781"/>
      <c r="AP123" s="781"/>
      <c r="AQ123" s="781"/>
      <c r="AR123" s="781"/>
      <c r="AS123" s="781"/>
      <c r="AT123" s="781"/>
      <c r="AU123" s="598"/>
      <c r="AV123" s="598"/>
      <c r="AW123" s="598"/>
      <c r="AX123" s="599"/>
      <c r="AY123" s="599"/>
      <c r="AZ123" s="197"/>
      <c r="BA123" s="478" t="str">
        <f t="shared" si="6"/>
        <v>SUM_CO2</v>
      </c>
      <c r="BB123" s="573" t="str">
        <f t="shared" si="7"/>
        <v>SUM_EnergyIN</v>
      </c>
      <c r="BC123" s="600"/>
      <c r="BD123" s="5"/>
    </row>
    <row r="124" spans="1:56" x14ac:dyDescent="0.2">
      <c r="A124" s="600"/>
      <c r="B124" s="197"/>
      <c r="C124" s="529">
        <v>7</v>
      </c>
      <c r="D124" s="675"/>
      <c r="E124" s="594"/>
      <c r="F124" s="779"/>
      <c r="G124" s="780"/>
      <c r="H124" s="779"/>
      <c r="I124" s="780"/>
      <c r="J124" s="779"/>
      <c r="K124" s="780"/>
      <c r="L124" s="780"/>
      <c r="M124" s="780"/>
      <c r="N124" s="779"/>
      <c r="O124" s="778"/>
      <c r="P124" s="779"/>
      <c r="Q124" s="778"/>
      <c r="R124" s="599"/>
      <c r="S124" s="597"/>
      <c r="T124" s="599"/>
      <c r="U124" s="597"/>
      <c r="V124" s="599"/>
      <c r="W124" s="597"/>
      <c r="X124" s="599"/>
      <c r="Y124" s="597"/>
      <c r="Z124" s="599"/>
      <c r="AA124" s="597"/>
      <c r="AB124" s="599"/>
      <c r="AC124" s="597"/>
      <c r="AD124" s="599"/>
      <c r="AE124" s="597"/>
      <c r="AF124" s="599"/>
      <c r="AG124" s="781"/>
      <c r="AH124" s="781"/>
      <c r="AI124" s="781"/>
      <c r="AJ124" s="781"/>
      <c r="AK124" s="781"/>
      <c r="AL124" s="781"/>
      <c r="AM124" s="781"/>
      <c r="AN124" s="781"/>
      <c r="AO124" s="781"/>
      <c r="AP124" s="781"/>
      <c r="AQ124" s="781"/>
      <c r="AR124" s="781"/>
      <c r="AS124" s="781"/>
      <c r="AT124" s="781"/>
      <c r="AU124" s="598"/>
      <c r="AV124" s="598"/>
      <c r="AW124" s="598"/>
      <c r="AX124" s="599"/>
      <c r="AY124" s="599"/>
      <c r="AZ124" s="197"/>
      <c r="BA124" s="478" t="str">
        <f t="shared" si="6"/>
        <v>SUM_CO2</v>
      </c>
      <c r="BB124" s="573" t="str">
        <f t="shared" si="7"/>
        <v>SUM_EnergyIN</v>
      </c>
      <c r="BC124" s="600"/>
      <c r="BD124" s="5"/>
    </row>
    <row r="125" spans="1:56" x14ac:dyDescent="0.2">
      <c r="A125" s="600"/>
      <c r="B125" s="197"/>
      <c r="C125" s="529">
        <v>8</v>
      </c>
      <c r="D125" s="675"/>
      <c r="E125" s="594"/>
      <c r="F125" s="779"/>
      <c r="G125" s="780"/>
      <c r="H125" s="779"/>
      <c r="I125" s="780"/>
      <c r="J125" s="779"/>
      <c r="K125" s="780"/>
      <c r="L125" s="780"/>
      <c r="M125" s="780"/>
      <c r="N125" s="779"/>
      <c r="O125" s="778"/>
      <c r="P125" s="779"/>
      <c r="Q125" s="778"/>
      <c r="R125" s="599"/>
      <c r="S125" s="597"/>
      <c r="T125" s="599"/>
      <c r="U125" s="597"/>
      <c r="V125" s="599"/>
      <c r="W125" s="597"/>
      <c r="X125" s="599"/>
      <c r="Y125" s="597"/>
      <c r="Z125" s="599"/>
      <c r="AA125" s="597"/>
      <c r="AB125" s="599"/>
      <c r="AC125" s="597"/>
      <c r="AD125" s="599"/>
      <c r="AE125" s="597"/>
      <c r="AF125" s="599"/>
      <c r="AG125" s="781"/>
      <c r="AH125" s="781"/>
      <c r="AI125" s="781"/>
      <c r="AJ125" s="781"/>
      <c r="AK125" s="781"/>
      <c r="AL125" s="781"/>
      <c r="AM125" s="781"/>
      <c r="AN125" s="781"/>
      <c r="AO125" s="781"/>
      <c r="AP125" s="781"/>
      <c r="AQ125" s="781"/>
      <c r="AR125" s="781"/>
      <c r="AS125" s="781"/>
      <c r="AT125" s="781"/>
      <c r="AU125" s="598"/>
      <c r="AV125" s="598"/>
      <c r="AW125" s="598"/>
      <c r="AX125" s="599"/>
      <c r="AY125" s="599"/>
      <c r="AZ125" s="197"/>
      <c r="BA125" s="478" t="str">
        <f t="shared" si="6"/>
        <v>SUM_CO2</v>
      </c>
      <c r="BB125" s="573" t="str">
        <f t="shared" si="7"/>
        <v>SUM_EnergyIN</v>
      </c>
      <c r="BC125" s="600"/>
      <c r="BD125" s="5"/>
    </row>
    <row r="126" spans="1:56" x14ac:dyDescent="0.2">
      <c r="A126" s="600"/>
      <c r="B126" s="197"/>
      <c r="C126" s="529">
        <v>9</v>
      </c>
      <c r="D126" s="675"/>
      <c r="E126" s="594"/>
      <c r="F126" s="779"/>
      <c r="G126" s="780"/>
      <c r="H126" s="779"/>
      <c r="I126" s="780"/>
      <c r="J126" s="779"/>
      <c r="K126" s="780"/>
      <c r="L126" s="780"/>
      <c r="M126" s="780"/>
      <c r="N126" s="779"/>
      <c r="O126" s="778"/>
      <c r="P126" s="779"/>
      <c r="Q126" s="778"/>
      <c r="R126" s="599"/>
      <c r="S126" s="597"/>
      <c r="T126" s="599"/>
      <c r="U126" s="597"/>
      <c r="V126" s="599"/>
      <c r="W126" s="597"/>
      <c r="X126" s="599"/>
      <c r="Y126" s="597"/>
      <c r="Z126" s="599"/>
      <c r="AA126" s="597"/>
      <c r="AB126" s="599"/>
      <c r="AC126" s="597"/>
      <c r="AD126" s="599"/>
      <c r="AE126" s="597"/>
      <c r="AF126" s="599"/>
      <c r="AG126" s="781"/>
      <c r="AH126" s="781"/>
      <c r="AI126" s="781"/>
      <c r="AJ126" s="781"/>
      <c r="AK126" s="781"/>
      <c r="AL126" s="781"/>
      <c r="AM126" s="781"/>
      <c r="AN126" s="781"/>
      <c r="AO126" s="781"/>
      <c r="AP126" s="781"/>
      <c r="AQ126" s="781"/>
      <c r="AR126" s="781"/>
      <c r="AS126" s="781"/>
      <c r="AT126" s="781"/>
      <c r="AU126" s="598"/>
      <c r="AV126" s="598"/>
      <c r="AW126" s="598"/>
      <c r="AX126" s="599"/>
      <c r="AY126" s="599"/>
      <c r="AZ126" s="197"/>
      <c r="BA126" s="478" t="str">
        <f t="shared" si="6"/>
        <v>SUM_CO2</v>
      </c>
      <c r="BB126" s="573" t="str">
        <f t="shared" si="7"/>
        <v>SUM_EnergyIN</v>
      </c>
      <c r="BC126" s="600"/>
      <c r="BD126" s="5"/>
    </row>
    <row r="127" spans="1:56" x14ac:dyDescent="0.2">
      <c r="A127" s="600"/>
      <c r="B127" s="197"/>
      <c r="C127" s="529">
        <v>10</v>
      </c>
      <c r="D127" s="675"/>
      <c r="E127" s="594"/>
      <c r="F127" s="779"/>
      <c r="G127" s="780"/>
      <c r="H127" s="779"/>
      <c r="I127" s="780"/>
      <c r="J127" s="779"/>
      <c r="K127" s="780"/>
      <c r="L127" s="780"/>
      <c r="M127" s="780"/>
      <c r="N127" s="779"/>
      <c r="O127" s="778"/>
      <c r="P127" s="779"/>
      <c r="Q127" s="778"/>
      <c r="R127" s="599"/>
      <c r="S127" s="597"/>
      <c r="T127" s="599"/>
      <c r="U127" s="597"/>
      <c r="V127" s="599"/>
      <c r="W127" s="597"/>
      <c r="X127" s="599"/>
      <c r="Y127" s="597"/>
      <c r="Z127" s="599"/>
      <c r="AA127" s="597"/>
      <c r="AB127" s="599"/>
      <c r="AC127" s="597"/>
      <c r="AD127" s="599"/>
      <c r="AE127" s="597"/>
      <c r="AF127" s="599"/>
      <c r="AG127" s="781"/>
      <c r="AH127" s="781"/>
      <c r="AI127" s="781"/>
      <c r="AJ127" s="781"/>
      <c r="AK127" s="781"/>
      <c r="AL127" s="781"/>
      <c r="AM127" s="781"/>
      <c r="AN127" s="781"/>
      <c r="AO127" s="781"/>
      <c r="AP127" s="781"/>
      <c r="AQ127" s="781"/>
      <c r="AR127" s="781"/>
      <c r="AS127" s="781"/>
      <c r="AT127" s="781"/>
      <c r="AU127" s="598"/>
      <c r="AV127" s="598"/>
      <c r="AW127" s="598"/>
      <c r="AX127" s="599"/>
      <c r="AY127" s="599"/>
      <c r="AZ127" s="197"/>
      <c r="BA127" s="478" t="str">
        <f t="shared" si="6"/>
        <v>SUM_CO2</v>
      </c>
      <c r="BB127" s="573" t="str">
        <f t="shared" si="7"/>
        <v>SUM_EnergyIN</v>
      </c>
      <c r="BC127" s="600"/>
      <c r="BD127" s="5"/>
    </row>
    <row r="128" spans="1:56" x14ac:dyDescent="0.2">
      <c r="A128" s="600"/>
      <c r="B128" s="197"/>
      <c r="C128" s="77"/>
      <c r="D128" s="197"/>
      <c r="E128" s="197"/>
      <c r="F128" s="197"/>
      <c r="G128" s="197"/>
      <c r="H128" s="197"/>
      <c r="I128" s="197"/>
      <c r="J128" s="197"/>
      <c r="K128" s="197"/>
      <c r="L128" s="197"/>
      <c r="N128" s="197"/>
      <c r="O128" s="197"/>
      <c r="P128" s="197"/>
      <c r="Q128" s="197"/>
      <c r="R128" s="197"/>
      <c r="S128" s="197"/>
      <c r="T128" s="197"/>
      <c r="U128" s="197"/>
      <c r="V128" s="197"/>
      <c r="W128" s="197"/>
      <c r="X128" s="197"/>
      <c r="Y128" s="197"/>
      <c r="Z128" s="197"/>
      <c r="AA128" s="197"/>
      <c r="AB128" s="197"/>
      <c r="AC128" s="197"/>
      <c r="AD128" s="197"/>
      <c r="AE128" s="197"/>
      <c r="AF128" s="197"/>
      <c r="AG128" s="197"/>
      <c r="AH128" s="197"/>
      <c r="AI128" s="197"/>
      <c r="AJ128" s="197"/>
      <c r="AK128" s="197"/>
      <c r="AL128" s="197"/>
      <c r="AM128" s="197"/>
      <c r="AN128" s="197"/>
      <c r="AO128" s="197"/>
      <c r="AP128" s="197"/>
      <c r="AQ128" s="197"/>
      <c r="AR128" s="197"/>
      <c r="AS128" s="197"/>
      <c r="AT128" s="197"/>
      <c r="AU128" s="197"/>
      <c r="AV128" s="197"/>
      <c r="AW128" s="197"/>
      <c r="AX128" s="197"/>
      <c r="AY128" s="197"/>
      <c r="AZ128" s="197"/>
      <c r="BA128" s="600"/>
      <c r="BB128" s="600"/>
      <c r="BC128" s="600"/>
      <c r="BD128" s="5"/>
    </row>
    <row r="129" spans="1:56" ht="50.1" customHeight="1" thickBot="1" x14ac:dyDescent="0.45">
      <c r="A129" s="600"/>
      <c r="B129" s="197"/>
      <c r="C129" s="77"/>
      <c r="D129" s="522" t="str">
        <f>Translations!$B$271</f>
        <v>Rozwiązania rezerwowe (fall-back)</v>
      </c>
      <c r="E129" s="197"/>
      <c r="F129" s="197"/>
      <c r="G129" s="197"/>
      <c r="H129" s="197"/>
      <c r="I129" s="197"/>
      <c r="J129" s="197"/>
      <c r="K129" s="197"/>
      <c r="L129" s="197"/>
      <c r="N129" s="197"/>
      <c r="O129" s="197"/>
      <c r="P129" s="197"/>
      <c r="Q129" s="197"/>
      <c r="R129" s="197"/>
      <c r="S129" s="197"/>
      <c r="T129" s="197"/>
      <c r="U129" s="197"/>
      <c r="V129" s="197"/>
      <c r="W129" s="197"/>
      <c r="X129" s="197"/>
      <c r="Y129" s="197"/>
      <c r="Z129" s="197"/>
      <c r="AA129" s="197"/>
      <c r="AB129" s="197"/>
      <c r="AC129" s="197"/>
      <c r="AD129" s="197"/>
      <c r="AE129" s="197"/>
      <c r="AF129" s="197"/>
      <c r="AG129" s="197"/>
      <c r="AH129" s="197"/>
      <c r="AI129" s="197"/>
      <c r="AJ129" s="197"/>
      <c r="AK129" s="197"/>
      <c r="AL129" s="197"/>
      <c r="AM129" s="197"/>
      <c r="AN129" s="197"/>
      <c r="AO129" s="197"/>
      <c r="AP129" s="197"/>
      <c r="AQ129" s="197"/>
      <c r="AR129" s="197"/>
      <c r="AS129" s="197"/>
      <c r="AT129" s="197"/>
      <c r="AU129" s="197"/>
      <c r="AV129" s="197"/>
      <c r="AW129" s="197"/>
      <c r="AX129" s="197"/>
      <c r="AY129" s="197"/>
      <c r="AZ129" s="197"/>
      <c r="BA129" s="600"/>
      <c r="BB129" s="600"/>
      <c r="BC129" s="600"/>
      <c r="BD129" s="5"/>
    </row>
    <row r="130" spans="1:56" ht="50.1" customHeight="1" thickBot="1" x14ac:dyDescent="0.25">
      <c r="A130" s="600"/>
      <c r="B130" s="197"/>
      <c r="C130" s="523" t="s">
        <v>482</v>
      </c>
      <c r="D130" s="524" t="str">
        <f>Translations!$B$282</f>
        <v>Metoda</v>
      </c>
      <c r="E130" s="524" t="str">
        <f>Translations!$B$340</f>
        <v>Nazwa</v>
      </c>
      <c r="F130" s="525" t="str">
        <f>Translations!$B$284</f>
        <v>Dane dotyczące działalności (AD)</v>
      </c>
      <c r="G130" s="525" t="str">
        <f>Translations!$B$285</f>
        <v>Jednostka AD</v>
      </c>
      <c r="H130" s="525" t="str">
        <f>Translations!$B$286</f>
        <v>Wartość opałowa (NCV)</v>
      </c>
      <c r="I130" s="525" t="str">
        <f>Translations!$B$287</f>
        <v>Jednostka NCV</v>
      </c>
      <c r="J130" s="525" t="str">
        <f>Translations!$B$288</f>
        <v>Współczynnik emisji (EF)</v>
      </c>
      <c r="K130" s="525" t="str">
        <f>Translations!$B$289</f>
        <v>Jednostka EF</v>
      </c>
      <c r="L130" s="525" t="str">
        <f>Translations!$B$290</f>
        <v>Zawartość węgla</v>
      </c>
      <c r="M130" s="525" t="str">
        <f>Translations!$B$291</f>
        <v>Jednostka zawartości węgla</v>
      </c>
      <c r="N130" s="525" t="str">
        <f>Translations!$B$292</f>
        <v>Współczynnik utleniania (OxF)</v>
      </c>
      <c r="O130" s="525" t="str">
        <f>Translations!$B$293</f>
        <v>Jednostka OxF</v>
      </c>
      <c r="P130" s="525" t="str">
        <f>Translations!$B$294</f>
        <v>Współczynnik konwersji</v>
      </c>
      <c r="Q130" s="525" t="str">
        <f>Translations!$B$295</f>
        <v>Jednostka współczynnika konwersji</v>
      </c>
      <c r="R130" s="525" t="str">
        <f>Translations!$B$296</f>
        <v>Zawartość biomasy (BioC)</v>
      </c>
      <c r="S130" s="525" t="str">
        <f>Translations!$B$297</f>
        <v>Jednostka BioC</v>
      </c>
      <c r="T130" s="525" t="str">
        <f>Translations!$B$298</f>
        <v>BioC niezrówn.</v>
      </c>
      <c r="U130" s="525" t="str">
        <f>Translations!$B$299</f>
        <v>Jednostka BioC niezrówn.</v>
      </c>
      <c r="V130" s="525" t="str">
        <f>Translations!$B$300</f>
        <v>Średnie godzinowe stężenie gazów cieplarnianych (GHG)</v>
      </c>
      <c r="W130" s="525" t="str">
        <f>Translations!$B$301</f>
        <v>Jednostka godzinowego stężenia GHG</v>
      </c>
      <c r="X130" s="525" t="str">
        <f>Translations!$B$302</f>
        <v>Godziny działania</v>
      </c>
      <c r="Y130" s="525" t="str">
        <f>Translations!$B$303</f>
        <v>Jednostka godzin działania</v>
      </c>
      <c r="Z130" s="525" t="str">
        <f>Translations!$B$304</f>
        <v>Przepływ spalin (średnia)</v>
      </c>
      <c r="AA130" s="525" t="str">
        <f>Translations!$B$305</f>
        <v>Jednostka przepływu spalin (średnia)</v>
      </c>
      <c r="AB130" s="525" t="str">
        <f>Translations!$B$306</f>
        <v>Przepływ spalin (łącznie)</v>
      </c>
      <c r="AC130" s="525" t="str">
        <f>Translations!$B$307</f>
        <v>Jednostka przepływu spalin (łącznie)</v>
      </c>
      <c r="AD130" s="525" t="str">
        <f>Translations!$B$308</f>
        <v>Roczna ilość GHG</v>
      </c>
      <c r="AE130" s="525" t="str">
        <f>Translations!$B$309</f>
        <v>Jednostka rocznej ilości GHG</v>
      </c>
      <c r="AF130" s="525" t="str">
        <f>Translations!$B$310</f>
        <v>Współczynnik ocieplenia globalnego GWP (tCO2e/t)</v>
      </c>
      <c r="AG130" s="525" t="str">
        <f>Translations!$B$311</f>
        <v>A: Częstotliwość</v>
      </c>
      <c r="AH130" s="525" t="str">
        <f>Translations!$B$312</f>
        <v>A: Czas trwania</v>
      </c>
      <c r="AI130" s="525" t="str">
        <f>Translations!$B$313</f>
        <v>A: SEF (CF4)</v>
      </c>
      <c r="AJ130" s="525" t="str">
        <f>Translations!$B$314</f>
        <v>B: AEO</v>
      </c>
      <c r="AK130" s="525" t="str">
        <f>Translations!$B$315</f>
        <v>B: CE</v>
      </c>
      <c r="AL130" s="525" t="str">
        <f>Translations!$B$316</f>
        <v>B: OVC</v>
      </c>
      <c r="AM130" s="525" t="str">
        <f>Translations!$B$317</f>
        <v>F(C2F6)</v>
      </c>
      <c r="AN130" s="525" t="str">
        <f>Translations!$B$318</f>
        <v>Emisje CF4 (t CF4)</v>
      </c>
      <c r="AO130" s="525" t="str">
        <f>Translations!$B$319</f>
        <v>Emisje C2F6 (t C2F6)</v>
      </c>
      <c r="AP130" s="525" t="str">
        <f>Translations!$B$320</f>
        <v>GWP (CF4) (tCO2e/t)</v>
      </c>
      <c r="AQ130" s="525" t="str">
        <f>Translations!$B$321</f>
        <v>GWP (C2F6) (tCO2e/t)</v>
      </c>
      <c r="AR130" s="525" t="str">
        <f>Translations!$B$322</f>
        <v>Emisje CF4 (t CO2e)</v>
      </c>
      <c r="AS130" s="525" t="str">
        <f>Translations!$B$323</f>
        <v>Emisje C2F6 (t CO2e)</v>
      </c>
      <c r="AT130" s="525" t="str">
        <f>Translations!$B$324</f>
        <v>Całkowita wydajność, %</v>
      </c>
      <c r="AU130" s="525" t="str">
        <f>Translations!$B$325</f>
        <v>Kopalne CO2e (t)</v>
      </c>
      <c r="AV130" s="525" t="str">
        <f>Translations!$B$326</f>
        <v>CO2e z biomasy (t)</v>
      </c>
      <c r="AW130" s="525" t="str">
        <f>Translations!$B$327</f>
        <v>CO2e z biomasy niezrówn. (t)</v>
      </c>
      <c r="AX130" s="526" t="str">
        <f>Translations!$B$328</f>
        <v>Zawartość energii (kopalne), TJ</v>
      </c>
      <c r="AY130" s="527" t="str">
        <f>Translations!$B$329</f>
        <v>Zawartość energii (biomasa), TJ</v>
      </c>
      <c r="AZ130" s="197"/>
      <c r="BA130" s="600"/>
      <c r="BB130" s="600"/>
      <c r="BC130" s="600"/>
      <c r="BD130" s="5"/>
    </row>
    <row r="131" spans="1:56" ht="12.75" customHeight="1" x14ac:dyDescent="0.2">
      <c r="A131" s="600"/>
      <c r="B131" s="197"/>
      <c r="C131" s="696" t="str">
        <f>Translations!$B$341</f>
        <v>Przykł.</v>
      </c>
      <c r="D131" s="673" t="str">
        <f>Translations!$B$271</f>
        <v>Rozwiązania rezerwowe (fall-back)</v>
      </c>
      <c r="E131" s="782"/>
      <c r="F131" s="783"/>
      <c r="G131" s="784"/>
      <c r="H131" s="783"/>
      <c r="I131" s="784"/>
      <c r="J131" s="783"/>
      <c r="K131" s="784"/>
      <c r="L131" s="784"/>
      <c r="M131" s="784"/>
      <c r="N131" s="783"/>
      <c r="O131" s="785"/>
      <c r="P131" s="783"/>
      <c r="Q131" s="785"/>
      <c r="R131" s="783"/>
      <c r="S131" s="785"/>
      <c r="T131" s="783"/>
      <c r="U131" s="785"/>
      <c r="V131" s="785"/>
      <c r="W131" s="785"/>
      <c r="X131" s="785"/>
      <c r="Y131" s="785"/>
      <c r="Z131" s="785"/>
      <c r="AA131" s="785"/>
      <c r="AB131" s="785"/>
      <c r="AC131" s="785"/>
      <c r="AD131" s="785"/>
      <c r="AE131" s="785"/>
      <c r="AF131" s="785"/>
      <c r="AG131" s="785"/>
      <c r="AH131" s="785"/>
      <c r="AI131" s="785"/>
      <c r="AJ131" s="785"/>
      <c r="AK131" s="785"/>
      <c r="AL131" s="785"/>
      <c r="AM131" s="785"/>
      <c r="AN131" s="785"/>
      <c r="AO131" s="785"/>
      <c r="AP131" s="785"/>
      <c r="AQ131" s="785"/>
      <c r="AR131" s="785"/>
      <c r="AS131" s="785"/>
      <c r="AT131" s="785"/>
      <c r="AU131" s="697">
        <v>2850</v>
      </c>
      <c r="AV131" s="697">
        <v>340</v>
      </c>
      <c r="AW131" s="697">
        <v>0</v>
      </c>
      <c r="AX131" s="698">
        <v>45</v>
      </c>
      <c r="AY131" s="698">
        <v>5</v>
      </c>
      <c r="AZ131" s="197"/>
      <c r="BA131" s="600"/>
      <c r="BB131" s="600"/>
      <c r="BC131" s="600"/>
      <c r="BD131" s="5"/>
    </row>
    <row r="132" spans="1:56" x14ac:dyDescent="0.2">
      <c r="A132" s="600"/>
      <c r="B132" s="197"/>
      <c r="C132" s="528">
        <v>1</v>
      </c>
      <c r="D132" s="690" t="str">
        <f>Translations!$B$271</f>
        <v>Rozwiązania rezerwowe (fall-back)</v>
      </c>
      <c r="E132" s="786"/>
      <c r="F132" s="779"/>
      <c r="G132" s="780"/>
      <c r="H132" s="779"/>
      <c r="I132" s="780"/>
      <c r="J132" s="779"/>
      <c r="K132" s="780"/>
      <c r="L132" s="780"/>
      <c r="M132" s="780"/>
      <c r="N132" s="779"/>
      <c r="O132" s="778"/>
      <c r="P132" s="779"/>
      <c r="Q132" s="778"/>
      <c r="R132" s="779"/>
      <c r="S132" s="778"/>
      <c r="T132" s="779"/>
      <c r="U132" s="778"/>
      <c r="V132" s="778"/>
      <c r="W132" s="778"/>
      <c r="X132" s="778"/>
      <c r="Y132" s="778"/>
      <c r="Z132" s="778"/>
      <c r="AA132" s="778"/>
      <c r="AB132" s="778"/>
      <c r="AC132" s="778"/>
      <c r="AD132" s="778"/>
      <c r="AE132" s="778"/>
      <c r="AF132" s="778"/>
      <c r="AG132" s="778"/>
      <c r="AH132" s="778"/>
      <c r="AI132" s="778"/>
      <c r="AJ132" s="778"/>
      <c r="AK132" s="778"/>
      <c r="AL132" s="778"/>
      <c r="AM132" s="778"/>
      <c r="AN132" s="778"/>
      <c r="AO132" s="778"/>
      <c r="AP132" s="778"/>
      <c r="AQ132" s="778"/>
      <c r="AR132" s="778"/>
      <c r="AS132" s="778"/>
      <c r="AT132" s="778"/>
      <c r="AU132" s="598"/>
      <c r="AV132" s="598"/>
      <c r="AW132" s="598"/>
      <c r="AX132" s="599"/>
      <c r="AY132" s="599"/>
      <c r="AZ132" s="197"/>
      <c r="BA132" s="478" t="str">
        <f>EUconst_SumCO2</f>
        <v>SUM_CO2</v>
      </c>
      <c r="BB132" s="573" t="str">
        <f>EUconst_SumEnergyIN</f>
        <v>SUM_EnergyIN</v>
      </c>
      <c r="BC132" s="600"/>
      <c r="BD132" s="5"/>
    </row>
    <row r="133" spans="1:56" x14ac:dyDescent="0.2">
      <c r="AZ133" s="672"/>
      <c r="BC133" s="674"/>
      <c r="BD133" s="5"/>
    </row>
    <row r="134" spans="1:56" s="2" customFormat="1" hidden="1" x14ac:dyDescent="0.2">
      <c r="A134" s="2" t="s">
        <v>101</v>
      </c>
      <c r="B134" s="2" t="s">
        <v>350</v>
      </c>
      <c r="C134" s="2" t="s">
        <v>350</v>
      </c>
      <c r="D134" s="2" t="s">
        <v>350</v>
      </c>
      <c r="E134" s="2" t="s">
        <v>350</v>
      </c>
      <c r="F134" s="2" t="s">
        <v>350</v>
      </c>
      <c r="G134" s="2" t="s">
        <v>350</v>
      </c>
      <c r="H134" s="2" t="s">
        <v>350</v>
      </c>
      <c r="I134" s="2" t="s">
        <v>350</v>
      </c>
      <c r="J134" s="2" t="s">
        <v>350</v>
      </c>
      <c r="K134" s="2" t="s">
        <v>350</v>
      </c>
      <c r="L134" s="2" t="s">
        <v>350</v>
      </c>
      <c r="M134" s="2" t="s">
        <v>350</v>
      </c>
      <c r="N134" s="2" t="s">
        <v>350</v>
      </c>
      <c r="O134" s="2" t="s">
        <v>350</v>
      </c>
      <c r="P134" s="2" t="s">
        <v>350</v>
      </c>
      <c r="Q134" s="2" t="s">
        <v>350</v>
      </c>
      <c r="R134" s="2" t="s">
        <v>350</v>
      </c>
      <c r="S134" s="2" t="s">
        <v>350</v>
      </c>
      <c r="T134" s="2" t="s">
        <v>350</v>
      </c>
      <c r="U134" s="2" t="s">
        <v>350</v>
      </c>
      <c r="V134" s="2" t="s">
        <v>350</v>
      </c>
      <c r="W134" s="2" t="s">
        <v>350</v>
      </c>
      <c r="X134" s="2" t="s">
        <v>350</v>
      </c>
      <c r="Y134" s="2" t="s">
        <v>350</v>
      </c>
      <c r="Z134" s="2" t="s">
        <v>350</v>
      </c>
      <c r="AA134" s="2" t="s">
        <v>350</v>
      </c>
      <c r="AB134" s="2" t="s">
        <v>350</v>
      </c>
      <c r="AC134" s="2" t="s">
        <v>350</v>
      </c>
      <c r="AD134" s="2" t="s">
        <v>350</v>
      </c>
      <c r="AE134" s="2" t="s">
        <v>350</v>
      </c>
      <c r="AF134" s="2" t="s">
        <v>350</v>
      </c>
      <c r="AG134" s="2" t="s">
        <v>350</v>
      </c>
      <c r="AH134" s="2" t="s">
        <v>350</v>
      </c>
      <c r="AI134" s="2" t="s">
        <v>350</v>
      </c>
      <c r="AJ134" s="2" t="s">
        <v>350</v>
      </c>
      <c r="AK134" s="2" t="s">
        <v>350</v>
      </c>
      <c r="AL134" s="2" t="s">
        <v>350</v>
      </c>
      <c r="AM134" s="2" t="s">
        <v>350</v>
      </c>
      <c r="AN134" s="2" t="s">
        <v>350</v>
      </c>
      <c r="AO134" s="2" t="s">
        <v>350</v>
      </c>
      <c r="AP134" s="2" t="s">
        <v>350</v>
      </c>
      <c r="AQ134" s="2" t="s">
        <v>350</v>
      </c>
      <c r="AR134" s="2" t="s">
        <v>350</v>
      </c>
      <c r="AS134" s="2" t="s">
        <v>350</v>
      </c>
      <c r="AT134" s="2" t="s">
        <v>350</v>
      </c>
      <c r="AU134" s="2" t="s">
        <v>350</v>
      </c>
      <c r="AV134" s="2" t="s">
        <v>350</v>
      </c>
      <c r="AW134" s="2" t="s">
        <v>350</v>
      </c>
      <c r="AX134" s="2" t="s">
        <v>350</v>
      </c>
      <c r="AY134" s="2" t="s">
        <v>350</v>
      </c>
      <c r="AZ134" s="2" t="s">
        <v>350</v>
      </c>
      <c r="BA134" s="2" t="s">
        <v>350</v>
      </c>
      <c r="BB134" s="2" t="s">
        <v>350</v>
      </c>
      <c r="BC134" s="430"/>
    </row>
    <row r="135" spans="1:56" x14ac:dyDescent="0.2">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674"/>
      <c r="BB135" s="674"/>
      <c r="BC135" s="674"/>
      <c r="BD135" s="5"/>
    </row>
    <row r="136" spans="1:56" x14ac:dyDescent="0.2">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674"/>
      <c r="BB136" s="674"/>
      <c r="BC136" s="674"/>
      <c r="BD136" s="5"/>
    </row>
  </sheetData>
  <sheetProtection formatCells="0" formatColumns="0" formatRows="0"/>
  <mergeCells count="26">
    <mergeCell ref="L2:M2"/>
    <mergeCell ref="F3:G3"/>
    <mergeCell ref="H3:I3"/>
    <mergeCell ref="J3:K3"/>
    <mergeCell ref="L3:M3"/>
    <mergeCell ref="B2:D3"/>
    <mergeCell ref="F2:G2"/>
    <mergeCell ref="H2:I2"/>
    <mergeCell ref="J2:K2"/>
    <mergeCell ref="B4:D4"/>
    <mergeCell ref="F4:G4"/>
    <mergeCell ref="H4:I4"/>
    <mergeCell ref="J4:K4"/>
    <mergeCell ref="L4:M4"/>
    <mergeCell ref="D15:K15"/>
    <mergeCell ref="D16:K16"/>
    <mergeCell ref="D17:K17"/>
    <mergeCell ref="D18:K18"/>
    <mergeCell ref="D8:N8"/>
    <mergeCell ref="D10:I10"/>
    <mergeCell ref="J10:K10"/>
    <mergeCell ref="D11:K11"/>
    <mergeCell ref="D12:K12"/>
    <mergeCell ref="D14:N14"/>
    <mergeCell ref="D6:I6"/>
    <mergeCell ref="J6:K6"/>
  </mergeCells>
  <conditionalFormatting sqref="D24:G24 AV24:AW24 AG103:AY112 D103:G112 D118:E127 R118:AF127 AU118:AY127 AU132:AY132 AU27:AY98 D27:U98 AY24 K24:U24">
    <cfRule type="expression" dxfId="333" priority="13" stopIfTrue="1">
      <formula>MSconst_AllowInstEmmisionTotals</formula>
    </cfRule>
  </conditionalFormatting>
  <conditionalFormatting sqref="D26:G26 AU26 AW26:AX26 K26:U26">
    <cfRule type="expression" dxfId="332" priority="12" stopIfTrue="1">
      <formula>MSconst_AllowInstEmmisionTotals</formula>
    </cfRule>
  </conditionalFormatting>
  <conditionalFormatting sqref="AU24">
    <cfRule type="expression" dxfId="331" priority="11" stopIfTrue="1">
      <formula>MSconst_AllowInstEmmisionTotals</formula>
    </cfRule>
  </conditionalFormatting>
  <conditionalFormatting sqref="AX24">
    <cfRule type="expression" dxfId="330" priority="10" stopIfTrue="1">
      <formula>MSconst_AllowInstEmmisionTotals</formula>
    </cfRule>
  </conditionalFormatting>
  <conditionalFormatting sqref="AV26">
    <cfRule type="expression" dxfId="329" priority="9" stopIfTrue="1">
      <formula>MSconst_AllowInstEmmisionTotals</formula>
    </cfRule>
  </conditionalFormatting>
  <conditionalFormatting sqref="AY26">
    <cfRule type="expression" dxfId="328" priority="8" stopIfTrue="1">
      <formula>MSconst_AllowInstEmmisionTotals</formula>
    </cfRule>
  </conditionalFormatting>
  <conditionalFormatting sqref="H24:J24">
    <cfRule type="expression" dxfId="327" priority="7" stopIfTrue="1">
      <formula>MSconst_AllowInstEmmisionTotals</formula>
    </cfRule>
  </conditionalFormatting>
  <conditionalFormatting sqref="H26:J26">
    <cfRule type="expression" dxfId="326" priority="6" stopIfTrue="1">
      <formula>MSconst_AllowInstEmmisionTotals</formula>
    </cfRule>
  </conditionalFormatting>
  <conditionalFormatting sqref="D25:G25 AU25 AW25:AX25 K25:U25">
    <cfRule type="expression" dxfId="325" priority="4" stopIfTrue="1">
      <formula>MSconst_AllowInstEmmisionTotals</formula>
    </cfRule>
  </conditionalFormatting>
  <conditionalFormatting sqref="AV25">
    <cfRule type="expression" dxfId="324" priority="3" stopIfTrue="1">
      <formula>MSconst_AllowInstEmmisionTotals</formula>
    </cfRule>
  </conditionalFormatting>
  <conditionalFormatting sqref="AY25">
    <cfRule type="expression" dxfId="323" priority="2" stopIfTrue="1">
      <formula>MSconst_AllowInstEmmisionTotals</formula>
    </cfRule>
  </conditionalFormatting>
  <conditionalFormatting sqref="H25:J25">
    <cfRule type="expression" dxfId="322" priority="1" stopIfTrue="1">
      <formula>MSconst_AllowInstEmmisionTotals</formula>
    </cfRule>
  </conditionalFormatting>
  <hyperlinks>
    <hyperlink ref="F2:G2" location="JUMP_TOC_Home" display="Table of contents"/>
    <hyperlink ref="L2:M2" location="JUMP_K_I" display="Summary"/>
    <hyperlink ref="J2:K2" location="JUMP_D_Top" display="JUMP_D_Top"/>
    <hyperlink ref="H2:I2" location="JUMP_BY4_Top" display="JUMP_BY4_Top"/>
    <hyperlink ref="E3" location="JUMP_BY5_Top" display="JUMP_BY5_Top"/>
    <hyperlink ref="F3:G3" location="JUMP_BY5_Source" display="Source streams (excl. PFC)"/>
    <hyperlink ref="H3:I3" location="JUMP_BY5_PFC" display="PFC source streams"/>
    <hyperlink ref="J3:K3" location="JUMP_BY5_Emissions" display="Emission Sources (CEMS)"/>
    <hyperlink ref="L3:M3" location="JUMP_BY5_Fallback" display="Fall-back"/>
  </hyperlinks>
  <pageMargins left="0.70866141732283472" right="0.70866141732283472" top="0.78740157480314965" bottom="0.78740157480314965" header="0.31496062992125984" footer="0.31496062992125984"/>
  <pageSetup paperSize="9" scale="13" orientation="portrait" r:id="rId1"/>
  <headerFooter>
    <oddFooter>&amp;L&amp;F; &amp;A&amp;C&amp;P / &amp;N&amp;R&amp;D; &amp;T</oddFooter>
  </headerFooter>
  <colBreaks count="1" manualBreakCount="1">
    <brk id="51" min="4" max="131"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indexed="52"/>
    <pageSetUpPr fitToPage="1"/>
  </sheetPr>
  <dimension ref="A1:X317"/>
  <sheetViews>
    <sheetView zoomScale="85" zoomScaleNormal="85" workbookViewId="0">
      <pane ySplit="4" topLeftCell="A5" activePane="bottomLeft" state="frozen"/>
      <selection activeCell="B2" sqref="B2"/>
      <selection pane="bottomLeft" activeCell="B2" sqref="B2:D4"/>
    </sheetView>
  </sheetViews>
  <sheetFormatPr defaultColWidth="11.42578125" defaultRowHeight="12.75" x14ac:dyDescent="0.2"/>
  <cols>
    <col min="1" max="1" width="3.7109375" style="2" hidden="1" customWidth="1"/>
    <col min="2" max="2" width="2.7109375" style="1" customWidth="1"/>
    <col min="3" max="4" width="4.7109375" style="1" customWidth="1"/>
    <col min="5" max="6" width="12.7109375" style="1" customWidth="1"/>
    <col min="7" max="8" width="14.7109375" style="1" customWidth="1"/>
    <col min="9" max="14" width="13.7109375" style="1" customWidth="1"/>
    <col min="15" max="15" width="4.7109375" style="1" customWidth="1"/>
    <col min="16" max="16" width="12.7109375" style="2" hidden="1" customWidth="1"/>
    <col min="17" max="24" width="11.42578125" style="2" hidden="1" customWidth="1"/>
    <col min="25" max="16384" width="11.42578125" style="700"/>
  </cols>
  <sheetData>
    <row r="1" spans="1:24" s="2" customFormat="1" ht="13.5" hidden="1" thickBot="1" x14ac:dyDescent="0.25">
      <c r="A1" s="2" t="s">
        <v>101</v>
      </c>
      <c r="P1" s="2" t="s">
        <v>101</v>
      </c>
      <c r="Q1" s="2" t="s">
        <v>101</v>
      </c>
      <c r="R1" s="2" t="s">
        <v>101</v>
      </c>
      <c r="S1" s="2" t="s">
        <v>101</v>
      </c>
      <c r="T1" s="2" t="s">
        <v>101</v>
      </c>
      <c r="U1" s="2" t="s">
        <v>101</v>
      </c>
      <c r="V1" s="2" t="s">
        <v>101</v>
      </c>
      <c r="W1" s="2" t="s">
        <v>101</v>
      </c>
      <c r="X1" s="2" t="s">
        <v>101</v>
      </c>
    </row>
    <row r="2" spans="1:24" ht="13.5" thickBot="1" x14ac:dyDescent="0.25">
      <c r="B2" s="1548" t="str">
        <f>Translations!$B$351</f>
        <v>D. Emissions</v>
      </c>
      <c r="C2" s="1549"/>
      <c r="D2" s="1550"/>
      <c r="E2" s="790" t="str">
        <f>Translations!$B$2</f>
        <v>Obszar nawigacji:</v>
      </c>
      <c r="F2" s="791"/>
      <c r="G2" s="1558" t="str">
        <f>Translations!$B$18</f>
        <v>Spis treści</v>
      </c>
      <c r="H2" s="1339"/>
      <c r="I2" s="1339" t="str">
        <f>Translations!$B$19</f>
        <v>Poprzedni arkusz</v>
      </c>
      <c r="J2" s="1339"/>
      <c r="K2" s="1339" t="str">
        <f>Translations!$B$3</f>
        <v>Następny arkusz</v>
      </c>
      <c r="L2" s="1339"/>
      <c r="M2" s="1339" t="str">
        <f>Translations!$B$4</f>
        <v>Podsumowanie</v>
      </c>
      <c r="N2" s="1339"/>
      <c r="O2" s="7"/>
      <c r="P2" s="8"/>
      <c r="Q2" s="8"/>
      <c r="R2" s="8"/>
      <c r="S2" s="8"/>
      <c r="T2" s="8"/>
      <c r="U2" s="8"/>
      <c r="V2" s="8"/>
      <c r="W2" s="8"/>
      <c r="X2" s="8"/>
    </row>
    <row r="3" spans="1:24" ht="13.5" thickBot="1" x14ac:dyDescent="0.25">
      <c r="B3" s="1551"/>
      <c r="C3" s="1552"/>
      <c r="D3" s="1553"/>
      <c r="E3" s="1339" t="str">
        <f>Translations!$B$5</f>
        <v>Początek arkusza</v>
      </c>
      <c r="F3" s="1542"/>
      <c r="G3" s="1543" t="str">
        <f>Translations!$B$352</f>
        <v>Emisje i energia wejściowa</v>
      </c>
      <c r="H3" s="1544"/>
      <c r="I3" s="1544" t="str">
        <f>Translations!$B$353</f>
        <v>Przypisywanie emisji</v>
      </c>
      <c r="J3" s="1544"/>
      <c r="K3" s="1544" t="str">
        <f>Translations!$B$354</f>
        <v>Kogeneracja (1)</v>
      </c>
      <c r="L3" s="1544"/>
      <c r="M3" s="1544" t="str">
        <f>Translations!$B$355</f>
        <v>Kogeneracja (2)</v>
      </c>
      <c r="N3" s="1544"/>
      <c r="O3" s="7"/>
      <c r="P3" s="8"/>
      <c r="Q3" s="8"/>
      <c r="R3" s="8"/>
      <c r="S3" s="8"/>
      <c r="T3" s="8"/>
      <c r="U3" s="8"/>
      <c r="V3" s="8"/>
      <c r="W3" s="8"/>
      <c r="X3" s="8"/>
    </row>
    <row r="4" spans="1:24" ht="13.5" thickBot="1" x14ac:dyDescent="0.25">
      <c r="B4" s="1554"/>
      <c r="C4" s="1555"/>
      <c r="D4" s="1556"/>
      <c r="E4" s="1339" t="str">
        <f>Translations!$B$6</f>
        <v>Koniec arkusza</v>
      </c>
      <c r="F4" s="1339"/>
      <c r="G4" s="1557" t="str">
        <f>Translations!$B$356</f>
        <v>Gazy odlotowe (1)</v>
      </c>
      <c r="H4" s="1545"/>
      <c r="I4" s="1545" t="str">
        <f>Translations!$B$357</f>
        <v>Gazy odlotowe (2)</v>
      </c>
      <c r="J4" s="1545"/>
      <c r="K4" s="1545"/>
      <c r="L4" s="1545"/>
      <c r="M4" s="1545"/>
      <c r="N4" s="1545"/>
      <c r="O4" s="7"/>
      <c r="P4" s="8"/>
      <c r="Q4" s="8"/>
      <c r="R4" s="8"/>
      <c r="S4" s="8"/>
      <c r="T4" s="8"/>
      <c r="U4" s="8"/>
      <c r="V4" s="8"/>
      <c r="W4" s="8"/>
      <c r="X4" s="8"/>
    </row>
    <row r="5" spans="1:24" x14ac:dyDescent="0.2">
      <c r="B5" s="3"/>
      <c r="C5" s="4"/>
      <c r="D5" s="5"/>
      <c r="E5" s="5"/>
      <c r="F5" s="6"/>
      <c r="G5" s="6"/>
      <c r="H5" s="6"/>
      <c r="I5" s="3"/>
      <c r="J5" s="3"/>
      <c r="K5" s="3"/>
      <c r="L5" s="3"/>
      <c r="M5" s="7"/>
      <c r="N5" s="7"/>
      <c r="O5" s="7"/>
      <c r="P5" s="8"/>
      <c r="Q5" s="8"/>
      <c r="R5" s="8"/>
      <c r="S5" s="8"/>
      <c r="T5" s="8"/>
      <c r="U5" s="8"/>
      <c r="V5" s="8"/>
      <c r="W5" s="8"/>
      <c r="X5" s="8"/>
    </row>
    <row r="6" spans="1:24" ht="23.25" customHeight="1" x14ac:dyDescent="0.2">
      <c r="B6" s="3"/>
      <c r="C6" s="9" t="s">
        <v>263</v>
      </c>
      <c r="D6" s="1371" t="str">
        <f>Translations!$B$358</f>
        <v>Arkusz „Emissions” (Emisje) – PRZYPISYWANIE EMISJI</v>
      </c>
      <c r="E6" s="1370"/>
      <c r="F6" s="1370"/>
      <c r="G6" s="1370"/>
      <c r="H6" s="1370"/>
      <c r="I6" s="1370"/>
      <c r="J6" s="1370"/>
      <c r="K6" s="1370"/>
      <c r="L6" s="1370"/>
      <c r="M6" s="1370"/>
      <c r="N6" s="1370"/>
      <c r="O6" s="7"/>
      <c r="P6" s="10" t="s">
        <v>75</v>
      </c>
      <c r="Q6" s="10" t="s">
        <v>75</v>
      </c>
      <c r="R6" s="10" t="s">
        <v>75</v>
      </c>
      <c r="S6" s="10" t="s">
        <v>75</v>
      </c>
      <c r="T6" s="10" t="s">
        <v>75</v>
      </c>
      <c r="U6" s="10" t="s">
        <v>75</v>
      </c>
      <c r="V6" s="10" t="s">
        <v>75</v>
      </c>
      <c r="W6" s="10" t="s">
        <v>75</v>
      </c>
      <c r="X6" s="10" t="s">
        <v>75</v>
      </c>
    </row>
    <row r="7" spans="1:24" x14ac:dyDescent="0.2">
      <c r="B7" s="20"/>
      <c r="C7" s="124"/>
      <c r="D7" s="124"/>
      <c r="E7" s="124"/>
      <c r="F7" s="124"/>
      <c r="G7" s="124"/>
      <c r="H7" s="124"/>
      <c r="I7" s="124"/>
      <c r="J7" s="124"/>
      <c r="K7" s="124"/>
      <c r="L7" s="124"/>
      <c r="M7" s="124"/>
      <c r="N7" s="124"/>
      <c r="O7" s="20"/>
      <c r="P7" s="11" t="s">
        <v>274</v>
      </c>
      <c r="Q7" s="11" t="s">
        <v>274</v>
      </c>
      <c r="R7" s="11" t="s">
        <v>274</v>
      </c>
      <c r="S7" s="11" t="s">
        <v>274</v>
      </c>
      <c r="T7" s="11" t="s">
        <v>274</v>
      </c>
      <c r="U7" s="11" t="s">
        <v>274</v>
      </c>
      <c r="V7" s="11" t="s">
        <v>274</v>
      </c>
      <c r="W7" s="11" t="s">
        <v>274</v>
      </c>
      <c r="X7" s="11" t="s">
        <v>274</v>
      </c>
    </row>
    <row r="8" spans="1:24" ht="15.75" x14ac:dyDescent="0.25">
      <c r="B8" s="3"/>
      <c r="C8" s="12" t="s">
        <v>407</v>
      </c>
      <c r="D8" s="1384" t="str">
        <f>Translations!$B$359</f>
        <v>Całkowite bezpośrednie emisje gazów cieplarnianych i energia wejściowa z paliw</v>
      </c>
      <c r="E8" s="1384"/>
      <c r="F8" s="1384"/>
      <c r="G8" s="1384"/>
      <c r="H8" s="1384"/>
      <c r="I8" s="1384"/>
      <c r="J8" s="1384"/>
      <c r="K8" s="1384"/>
      <c r="L8" s="1384"/>
      <c r="M8" s="1384"/>
      <c r="N8" s="1384"/>
      <c r="O8" s="7"/>
      <c r="P8" s="8"/>
      <c r="Q8" s="8"/>
      <c r="R8" s="8"/>
      <c r="S8" s="8"/>
      <c r="T8" s="8"/>
      <c r="U8" s="8"/>
      <c r="X8" s="8"/>
    </row>
    <row r="9" spans="1:24" ht="5.0999999999999996" customHeight="1" x14ac:dyDescent="0.2">
      <c r="B9" s="3"/>
      <c r="C9" s="3"/>
      <c r="D9" s="3"/>
      <c r="E9" s="3"/>
      <c r="F9" s="3"/>
      <c r="G9" s="3"/>
      <c r="H9" s="3"/>
      <c r="I9" s="3"/>
      <c r="J9" s="3"/>
      <c r="K9" s="3"/>
      <c r="L9" s="3"/>
      <c r="M9" s="7"/>
      <c r="N9" s="7"/>
      <c r="O9" s="7"/>
      <c r="P9" s="8"/>
      <c r="Q9" s="8"/>
    </row>
    <row r="10" spans="1:24" ht="39.950000000000003" customHeight="1" x14ac:dyDescent="0.2">
      <c r="B10" s="20"/>
      <c r="C10" s="124"/>
      <c r="D10" s="1621" t="str">
        <f>Translations!$B$360</f>
        <v>Niniejsza część zawiera zestawienie danych dotyczących emisji i wartości opałowej z pięciu arkuszy „B+C_EmissionsY1 to Y5”. W przypadku gdy państwo członkowskie dopuszcza wprowadzanie danych zbiorczych zamiast wypełniania tych pięciu arkuszy, należy podać odpowiednie informacje w części 2 poniżej.</v>
      </c>
      <c r="E10" s="1621"/>
      <c r="F10" s="1621"/>
      <c r="G10" s="1621"/>
      <c r="H10" s="1621"/>
      <c r="I10" s="1621"/>
      <c r="J10" s="1621"/>
      <c r="K10" s="1621"/>
      <c r="L10" s="1621"/>
      <c r="M10" s="1621"/>
      <c r="N10" s="1621"/>
      <c r="O10" s="7"/>
      <c r="P10" s="8"/>
    </row>
    <row r="11" spans="1:24" x14ac:dyDescent="0.2">
      <c r="B11" s="20"/>
      <c r="C11" s="124"/>
      <c r="D11" s="1623" t="str">
        <f>Translations!$B$361</f>
        <v>Więcej informacji znajduje się w uwagach ogólnych na początku arkusza B.</v>
      </c>
      <c r="E11" s="1623"/>
      <c r="F11" s="1623"/>
      <c r="G11" s="1623"/>
      <c r="H11" s="1623"/>
      <c r="I11" s="1623"/>
      <c r="J11" s="1623"/>
      <c r="K11" s="1623"/>
      <c r="L11" s="1623"/>
      <c r="M11" s="1623"/>
      <c r="N11" s="1623"/>
      <c r="O11" s="7"/>
      <c r="P11" s="8"/>
    </row>
    <row r="12" spans="1:24" x14ac:dyDescent="0.2">
      <c r="B12" s="20"/>
      <c r="C12" s="20"/>
      <c r="D12" s="20"/>
      <c r="E12" s="20"/>
      <c r="F12" s="20"/>
      <c r="G12" s="20"/>
      <c r="H12" s="20"/>
      <c r="I12" s="20"/>
      <c r="J12" s="20"/>
      <c r="K12" s="20"/>
      <c r="L12" s="20"/>
      <c r="M12" s="20"/>
      <c r="N12" s="20"/>
      <c r="O12" s="7"/>
      <c r="P12" s="8"/>
      <c r="Q12" s="8"/>
    </row>
    <row r="13" spans="1:24" ht="15" x14ac:dyDescent="0.25">
      <c r="B13" s="3"/>
      <c r="C13" s="18">
        <v>1</v>
      </c>
      <c r="D13" s="1439" t="str">
        <f>Translations!$B$362</f>
        <v>Dane obliczane automatycznie na poziomie instalacji</v>
      </c>
      <c r="E13" s="1370"/>
      <c r="F13" s="1370"/>
      <c r="G13" s="1370"/>
      <c r="H13" s="1370"/>
      <c r="I13" s="1370"/>
      <c r="J13" s="1370"/>
      <c r="K13" s="1370"/>
      <c r="L13" s="1370"/>
      <c r="M13" s="1370"/>
      <c r="N13" s="1370"/>
      <c r="O13" s="7"/>
      <c r="P13" s="8"/>
      <c r="Q13" s="8"/>
    </row>
    <row r="14" spans="1:24" x14ac:dyDescent="0.2">
      <c r="B14" s="20"/>
      <c r="C14" s="20"/>
      <c r="D14" s="20"/>
      <c r="E14" s="1408" t="str">
        <f>Translations!$B$363</f>
        <v>Dane wyświetlane w tym miejscu to automatyczne podsumowanie danych umieszczonych w arkuszach B+C.</v>
      </c>
      <c r="F14" s="1619"/>
      <c r="G14" s="1619"/>
      <c r="H14" s="1619"/>
      <c r="I14" s="1619"/>
      <c r="J14" s="1619"/>
      <c r="K14" s="1619"/>
      <c r="L14" s="1619"/>
      <c r="M14" s="1619"/>
      <c r="N14" s="1619"/>
      <c r="O14" s="7"/>
    </row>
    <row r="15" spans="1:24" ht="5.0999999999999996" customHeight="1" thickBot="1" x14ac:dyDescent="0.25">
      <c r="B15" s="3"/>
      <c r="C15" s="3"/>
      <c r="D15" s="3"/>
      <c r="E15" s="3"/>
      <c r="F15" s="3"/>
      <c r="G15" s="3"/>
      <c r="H15" s="3"/>
      <c r="I15" s="3"/>
      <c r="J15" s="3"/>
      <c r="K15" s="3"/>
      <c r="L15" s="3"/>
      <c r="M15" s="7"/>
      <c r="N15" s="7"/>
      <c r="O15" s="7"/>
      <c r="P15" s="8"/>
      <c r="Q15" s="8"/>
    </row>
    <row r="16" spans="1:24" ht="13.5" thickBot="1" x14ac:dyDescent="0.25">
      <c r="B16" s="3"/>
      <c r="C16" s="3"/>
      <c r="D16" s="14"/>
      <c r="E16" s="1430" t="str">
        <f>Translations!$B$364</f>
        <v>Dane na poziomie instalacji:</v>
      </c>
      <c r="F16" s="1430"/>
      <c r="G16" s="1430"/>
      <c r="H16" s="35" t="str">
        <f>EUconst_Unit</f>
        <v>Jednostka</v>
      </c>
      <c r="I16" s="396">
        <f>I$309</f>
        <v>2014</v>
      </c>
      <c r="J16" s="396">
        <f>J$309</f>
        <v>2015</v>
      </c>
      <c r="K16" s="396">
        <f>K$309</f>
        <v>2016</v>
      </c>
      <c r="L16" s="396">
        <f>L$309</f>
        <v>2017</v>
      </c>
      <c r="M16" s="396">
        <f>M$309</f>
        <v>2018</v>
      </c>
      <c r="N16" s="20"/>
      <c r="O16" s="7"/>
      <c r="P16" s="8"/>
      <c r="Q16" s="176"/>
      <c r="R16" s="709">
        <f>I16</f>
        <v>2014</v>
      </c>
      <c r="S16" s="775">
        <f>J16</f>
        <v>2015</v>
      </c>
      <c r="T16" s="775">
        <f>K16</f>
        <v>2016</v>
      </c>
      <c r="U16" s="775">
        <f>L16</f>
        <v>2017</v>
      </c>
      <c r="V16" s="776">
        <f>M16</f>
        <v>2018</v>
      </c>
    </row>
    <row r="17" spans="1:24" x14ac:dyDescent="0.2">
      <c r="B17" s="20"/>
      <c r="C17" s="20"/>
      <c r="D17" s="20"/>
      <c r="E17" s="1618" t="str">
        <f>Translations!$B$365</f>
        <v>Całkowite emisje CO2</v>
      </c>
      <c r="F17" s="1618"/>
      <c r="G17" s="1618"/>
      <c r="H17" s="37" t="str">
        <f>EUconst_tCO2pa</f>
        <v>t CO2 / rok</v>
      </c>
      <c r="I17" s="1271">
        <f t="shared" ref="I17:M20" si="0">IF(R17&gt;0,R17,"")</f>
        <v>148236.37359999999</v>
      </c>
      <c r="J17" s="1271">
        <f t="shared" si="0"/>
        <v>138664.32636000001</v>
      </c>
      <c r="K17" s="1271">
        <f t="shared" si="0"/>
        <v>152976.0267966</v>
      </c>
      <c r="L17" s="1271">
        <f t="shared" si="0"/>
        <v>132702.0955344</v>
      </c>
      <c r="M17" s="1271">
        <f t="shared" si="0"/>
        <v>150089.32827</v>
      </c>
      <c r="N17" s="20"/>
      <c r="O17" s="7"/>
      <c r="P17" s="163" t="str">
        <f>EUconst_SumCO2</f>
        <v>SUM_CO2</v>
      </c>
      <c r="Q17" s="176"/>
      <c r="R17" s="772">
        <f>SUMIF('B+C_Emissions_Y1'!$BA$20:$BA$133,$P17,'B+C_Emissions_Y1'!$AU$20:$AU$133)</f>
        <v>148236.37359999999</v>
      </c>
      <c r="S17" s="773">
        <f>SUMIF('B+C_Emissions_Y2'!$BA$20:$BA$133,$P17,'B+C_Emissions_Y2'!$AU$20:$AU$133)</f>
        <v>138664.32636000001</v>
      </c>
      <c r="T17" s="773">
        <f>SUMIF('B+C_Emissions_Y3'!$BA$20:$BA$133,$P17,'B+C_Emissions_Y3'!$AU$20:$AU$133)</f>
        <v>152976.0267966</v>
      </c>
      <c r="U17" s="773">
        <f>SUMIF('B+C_Emissions_Y4'!$BA$20:$BA$133,$P17,'B+C_Emissions_Y4'!$AU$20:$AU$133)</f>
        <v>132702.0955344</v>
      </c>
      <c r="V17" s="774">
        <f>SUMIF('B+C_Emissions_Y5'!$BA$20:$BA$133,$P17,'B+C_Emissions_Y5'!$AU$20:$AU$133)</f>
        <v>150089.32827</v>
      </c>
    </row>
    <row r="18" spans="1:24" x14ac:dyDescent="0.2">
      <c r="B18" s="20"/>
      <c r="C18" s="20"/>
      <c r="D18" s="20"/>
      <c r="E18" s="1614" t="str">
        <f>Translations!$B$366</f>
        <v>Emisje pochodzące z biomasy</v>
      </c>
      <c r="F18" s="1614"/>
      <c r="G18" s="1614"/>
      <c r="H18" s="184" t="str">
        <f>EUconst_tCO2pa</f>
        <v>t CO2 / rok</v>
      </c>
      <c r="I18" s="1272">
        <f t="shared" si="0"/>
        <v>143360</v>
      </c>
      <c r="J18" s="1272">
        <f t="shared" si="0"/>
        <v>134400</v>
      </c>
      <c r="K18" s="1272">
        <f t="shared" si="0"/>
        <v>148736</v>
      </c>
      <c r="L18" s="1272">
        <f t="shared" si="0"/>
        <v>129024</v>
      </c>
      <c r="M18" s="1272">
        <f t="shared" si="0"/>
        <v>145152</v>
      </c>
      <c r="N18" s="20"/>
      <c r="O18" s="7"/>
      <c r="P18" s="163" t="str">
        <f>EUconst_SumCO2</f>
        <v>SUM_CO2</v>
      </c>
      <c r="R18" s="770">
        <f>SUMIF('B+C_Emissions_Y1'!$BA$20:$BA$133,$P18,'B+C_Emissions_Y1'!$AV$20:$AV$133)</f>
        <v>143360</v>
      </c>
      <c r="S18" s="116">
        <f>SUMIF('B+C_Emissions_Y2'!$BA$20:$BA$133,$P18,'B+C_Emissions_Y2'!$AV$20:$AV$133)</f>
        <v>134400</v>
      </c>
      <c r="T18" s="116">
        <f>SUMIF('B+C_Emissions_Y3'!$BA$20:$BA$133,$P18,'B+C_Emissions_Y3'!$AV$20:$AV$133)</f>
        <v>148736</v>
      </c>
      <c r="U18" s="116">
        <f>SUMIF('B+C_Emissions_Y4'!$BA$20:$BA$133,$P18,'B+C_Emissions_Y4'!$AV$20:$AV$133)</f>
        <v>129024</v>
      </c>
      <c r="V18" s="117">
        <f>SUMIF('B+C_Emissions_Y5'!$BA$20:$BA$133,$P18,'B+C_Emissions_Y5'!$AV$20:$AV$133)</f>
        <v>145152</v>
      </c>
    </row>
    <row r="19" spans="1:24" x14ac:dyDescent="0.2">
      <c r="B19" s="20"/>
      <c r="C19" s="20"/>
      <c r="D19" s="20"/>
      <c r="E19" s="1613" t="str">
        <f>Translations!$B$367</f>
        <v>Całkowite emisje N2O</v>
      </c>
      <c r="F19" s="1613"/>
      <c r="G19" s="1613"/>
      <c r="H19" s="38" t="str">
        <f>EUconst_tCO2epa</f>
        <v>t CO2e/rok</v>
      </c>
      <c r="I19" s="1273" t="str">
        <f t="shared" si="0"/>
        <v/>
      </c>
      <c r="J19" s="1273" t="str">
        <f t="shared" si="0"/>
        <v/>
      </c>
      <c r="K19" s="1273" t="str">
        <f t="shared" si="0"/>
        <v/>
      </c>
      <c r="L19" s="1273" t="str">
        <f t="shared" si="0"/>
        <v/>
      </c>
      <c r="M19" s="1273" t="str">
        <f t="shared" si="0"/>
        <v/>
      </c>
      <c r="N19" s="20"/>
      <c r="O19" s="7"/>
      <c r="P19" s="163" t="str">
        <f>EUconst_SumN2O</f>
        <v>SUM_N2O</v>
      </c>
      <c r="R19" s="770">
        <f>SUMIF('B+C_Emissions_Y1'!$BA$20:$BA$133,$P19,'B+C_Emissions_Y1'!$AU$20:$AU$133)</f>
        <v>0</v>
      </c>
      <c r="S19" s="116">
        <f>SUMIF('B+C_Emissions_Y2'!$BA$20:$BA$133,$P19,'B+C_Emissions_Y2'!$AU$20:$AU$133)</f>
        <v>0</v>
      </c>
      <c r="T19" s="116">
        <f>SUMIF('B+C_Emissions_Y3'!$BA$20:$BA$133,$P19,'B+C_Emissions_Y3'!$AU$20:$AU$133)</f>
        <v>0</v>
      </c>
      <c r="U19" s="116">
        <f>SUMIF('B+C_Emissions_Y4'!$BA$20:$BA$133,$P19,'B+C_Emissions_Y4'!$AU$20:$AU$133)</f>
        <v>0</v>
      </c>
      <c r="V19" s="117">
        <f>SUMIF('B+C_Emissions_Y5'!$BA$20:$BA$133,$P19,'B+C_Emissions_Y5'!$AU$20:$AU$133)</f>
        <v>0</v>
      </c>
    </row>
    <row r="20" spans="1:24" ht="13.5" thickBot="1" x14ac:dyDescent="0.25">
      <c r="B20" s="20"/>
      <c r="C20" s="20"/>
      <c r="D20" s="20"/>
      <c r="E20" s="1615" t="str">
        <f>Translations!$B$368</f>
        <v>Całkowite emisje PFC</v>
      </c>
      <c r="F20" s="1615"/>
      <c r="G20" s="1615"/>
      <c r="H20" s="41" t="str">
        <f>EUconst_tCO2epa</f>
        <v>t CO2e/rok</v>
      </c>
      <c r="I20" s="1274" t="str">
        <f t="shared" si="0"/>
        <v/>
      </c>
      <c r="J20" s="1274" t="str">
        <f t="shared" si="0"/>
        <v/>
      </c>
      <c r="K20" s="1274" t="str">
        <f t="shared" si="0"/>
        <v/>
      </c>
      <c r="L20" s="1274" t="str">
        <f t="shared" si="0"/>
        <v/>
      </c>
      <c r="M20" s="1274" t="str">
        <f t="shared" si="0"/>
        <v/>
      </c>
      <c r="N20" s="20"/>
      <c r="O20" s="7"/>
      <c r="P20" s="163" t="str">
        <f>EUconst_SumPFC</f>
        <v>SUM_PFC</v>
      </c>
      <c r="R20" s="118">
        <f>SUMIF('B+C_Emissions_Y1'!$BA$20:$BA$133,$P20,'B+C_Emissions_Y1'!$AU$20:$AU$133)</f>
        <v>0</v>
      </c>
      <c r="S20" s="119">
        <f>SUMIF('B+C_Emissions_Y2'!$BA$20:$BA$133,$P20,'B+C_Emissions_Y2'!$AU$20:$AU$133)</f>
        <v>0</v>
      </c>
      <c r="T20" s="119">
        <f>SUMIF('B+C_Emissions_Y3'!$BA$20:$BA$133,$P20,'B+C_Emissions_Y3'!$AU$20:$AU$133)</f>
        <v>0</v>
      </c>
      <c r="U20" s="119">
        <f>SUMIF('B+C_Emissions_Y4'!$BA$20:$BA$133,$P20,'B+C_Emissions_Y4'!$AU$20:$AU$133)</f>
        <v>0</v>
      </c>
      <c r="V20" s="120">
        <f>SUMIF('B+C_Emissions_Y5'!$BA$20:$BA$133,$P20,'B+C_Emissions_Y5'!$AU$20:$AU$133)</f>
        <v>0</v>
      </c>
    </row>
    <row r="21" spans="1:24" ht="13.5" thickBot="1" x14ac:dyDescent="0.25">
      <c r="B21" s="20"/>
      <c r="C21" s="20"/>
      <c r="D21" s="20"/>
      <c r="E21" s="1611" t="str">
        <f>Translations!$B$369</f>
        <v>Suma emisji bezpośrednich</v>
      </c>
      <c r="F21" s="1611"/>
      <c r="G21" s="1611"/>
      <c r="H21" s="131" t="str">
        <f>EUconst_tCO2epa</f>
        <v>t CO2e/rok</v>
      </c>
      <c r="I21" s="1275">
        <f>IF(COUNT(I17,I19:I20)&gt;0,SUM(I17,I19:I20),"")</f>
        <v>148236.37359999999</v>
      </c>
      <c r="J21" s="1275">
        <f>IF(COUNT(J17,J19:J20)&gt;0,SUM(J17,J19:J20),"")</f>
        <v>138664.32636000001</v>
      </c>
      <c r="K21" s="1275">
        <f>IF(COUNT(K17,K19:K20)&gt;0,SUM(K17,K19:K20),"")</f>
        <v>152976.0267966</v>
      </c>
      <c r="L21" s="1275">
        <f>IF(COUNT(L17,L19:L20)&gt;0,SUM(L17,L19:L20),"")</f>
        <v>132702.0955344</v>
      </c>
      <c r="M21" s="1275">
        <f>IF(COUNT(M17,M19:M20)&gt;0,SUM(M17,M19:M20),"")</f>
        <v>150089.32827</v>
      </c>
      <c r="N21" s="20"/>
      <c r="O21" s="7"/>
      <c r="P21" s="45"/>
      <c r="R21" s="771"/>
      <c r="V21" s="275"/>
    </row>
    <row r="22" spans="1:24" ht="13.5" thickBot="1" x14ac:dyDescent="0.25">
      <c r="B22" s="20"/>
      <c r="C22" s="20"/>
      <c r="D22" s="20"/>
      <c r="E22" s="1610" t="str">
        <f>Translations!$B$370</f>
        <v>Wyprowadzony przenoszony CO2</v>
      </c>
      <c r="F22" s="1610"/>
      <c r="G22" s="1610"/>
      <c r="H22" s="678" t="str">
        <f>EUconst_tCO2pa</f>
        <v>t CO2 / rok</v>
      </c>
      <c r="I22" s="1276" t="str">
        <f>IF(R22&lt;0,R22,"")</f>
        <v/>
      </c>
      <c r="J22" s="1276" t="str">
        <f>IF(S22&lt;0,S22,"")</f>
        <v/>
      </c>
      <c r="K22" s="1276" t="str">
        <f>IF(T22&lt;0,T22,"")</f>
        <v/>
      </c>
      <c r="L22" s="1276" t="str">
        <f>IF(U22&lt;0,U22,"")</f>
        <v/>
      </c>
      <c r="M22" s="1276" t="str">
        <f>IF(V22&lt;0,V22,"")</f>
        <v/>
      </c>
      <c r="N22" s="20"/>
      <c r="O22" s="7"/>
      <c r="P22" s="163" t="str">
        <f>EUconst_SumTransferCO2</f>
        <v>SUM_Tranfer_CO2</v>
      </c>
      <c r="R22" s="442">
        <f>SUMIF('B+C_Emissions_Y1'!$BA$20:$BA$133,$P22,'B+C_Emissions_Y1'!$AU$20:$AU$133)</f>
        <v>0</v>
      </c>
      <c r="S22" s="443">
        <f>SUMIF('B+C_Emissions_Y2'!$BA$20:$BA$133,$P22,'B+C_Emissions_Y2'!$AU$20:$AU$133)</f>
        <v>0</v>
      </c>
      <c r="T22" s="443">
        <f>SUMIF('B+C_Emissions_Y3'!$BA$20:$BA$133,$P22,'B+C_Emissions_Y3'!$AU$20:$AU$133)</f>
        <v>0</v>
      </c>
      <c r="U22" s="443">
        <f>SUMIF('B+C_Emissions_Y4'!$BA$20:$BA$133,$P22,'B+C_Emissions_Y4'!$AU$20:$AU$133)</f>
        <v>0</v>
      </c>
      <c r="V22" s="444">
        <f>SUMIF('B+C_Emissions_Y5'!$BA$20:$BA$133,$P22,'B+C_Emissions_Y5'!$AU$20:$AU$133)</f>
        <v>0</v>
      </c>
    </row>
    <row r="23" spans="1:24" ht="13.5" thickBot="1" x14ac:dyDescent="0.25">
      <c r="B23" s="20"/>
      <c r="C23" s="20"/>
      <c r="D23" s="20"/>
      <c r="E23" s="1616" t="str">
        <f>Translations!$B$371</f>
        <v>Całkowite emisje bezpośrednie instalacji</v>
      </c>
      <c r="F23" s="1617"/>
      <c r="G23" s="1617"/>
      <c r="H23" s="679" t="str">
        <f>EUconst_tCO2epa</f>
        <v>t CO2e/rok</v>
      </c>
      <c r="I23" s="1277">
        <f>IF(COUNT(I21:I22)&gt;0,SUM(I21:I22),"")</f>
        <v>148236.37359999999</v>
      </c>
      <c r="J23" s="1277">
        <f>IF(COUNT(J21:J22)&gt;0,SUM(J21:J22),"")</f>
        <v>138664.32636000001</v>
      </c>
      <c r="K23" s="1277">
        <f>IF(COUNT(K21:K22)&gt;0,SUM(K21:K22),"")</f>
        <v>152976.0267966</v>
      </c>
      <c r="L23" s="1277">
        <f>IF(COUNT(L21:L22)&gt;0,SUM(L21:L22),"")</f>
        <v>132702.0955344</v>
      </c>
      <c r="M23" s="1278">
        <f>IF(COUNT(M21:M22)&gt;0,SUM(M21:M22),"")</f>
        <v>150089.32827</v>
      </c>
      <c r="N23" s="20"/>
      <c r="O23" s="7"/>
      <c r="R23" s="771"/>
      <c r="V23" s="275"/>
    </row>
    <row r="24" spans="1:24" s="705" customFormat="1" ht="13.5" thickBot="1" x14ac:dyDescent="0.25">
      <c r="A24" s="45"/>
      <c r="B24" s="44"/>
      <c r="C24" s="44"/>
      <c r="D24" s="44"/>
      <c r="E24" s="1616" t="str">
        <f>Translations!$B$372</f>
        <v>Łączna energia wejściowa z paliw</v>
      </c>
      <c r="F24" s="1617"/>
      <c r="G24" s="1617"/>
      <c r="H24" s="679" t="str">
        <f>EUconst_TJpa</f>
        <v>TJ / rok</v>
      </c>
      <c r="I24" s="1277">
        <f>IF(R24&gt;0,R24,"")</f>
        <v>2800</v>
      </c>
      <c r="J24" s="1277">
        <f>IF(S24&gt;0,S24,"")</f>
        <v>2625</v>
      </c>
      <c r="K24" s="1277">
        <f>IF(T24&gt;0,T24,"")</f>
        <v>2905</v>
      </c>
      <c r="L24" s="1277">
        <f>IF(U24&gt;0,U24,"")</f>
        <v>2520</v>
      </c>
      <c r="M24" s="1278">
        <f>IF(V24&gt;0,V24,"")</f>
        <v>2835</v>
      </c>
      <c r="N24" s="20"/>
      <c r="O24" s="7"/>
      <c r="P24" s="163" t="str">
        <f>EUconst_SumEnergyIN</f>
        <v>SUM_EnergyIN</v>
      </c>
      <c r="Q24" s="45"/>
      <c r="R24" s="442">
        <f>SUMIF('B+C_Emissions_Y1'!$BB$20:$BB$133,$P24,'B+C_Emissions_Y1'!$AX$20:$AX$133)+SUMIF('B+C_Emissions_Y1'!$BB$20:$BB$133,$P24,'B+C_Emissions_Y1'!$AY$20:$AY$133)</f>
        <v>2800</v>
      </c>
      <c r="S24" s="443">
        <f>SUMIF('B+C_Emissions_Y2'!$BB$20:$BB$133,$P24,'B+C_Emissions_Y2'!$AX$20:$AX$133)+SUMIF('B+C_Emissions_Y2'!$BB$20:$BB$133,$P24,'B+C_Emissions_Y2'!$AY$20:$AY$133)</f>
        <v>2625</v>
      </c>
      <c r="T24" s="443">
        <f>SUMIF('B+C_Emissions_Y3'!$BB$20:$BB$133,$P24,'B+C_Emissions_Y3'!$AX$20:$AX$133)+SUMIF('B+C_Emissions_Y3'!$BB$20:$BB$133,$P24,'B+C_Emissions_Y3'!$AY$20:$AY$133)</f>
        <v>2905</v>
      </c>
      <c r="U24" s="443">
        <f>SUMIF('B+C_Emissions_Y4'!$BB$20:$BB$133,$P24,'B+C_Emissions_Y4'!$AX$20:$AX$133)+SUMIF('B+C_Emissions_Y4'!$BB$20:$BB$133,$P24,'B+C_Emissions_Y4'!$AY$20:$AY$133)</f>
        <v>2520</v>
      </c>
      <c r="V24" s="444">
        <f>SUMIF('B+C_Emissions_Y5'!$BB$20:$BB$133,$P24,'B+C_Emissions_Y5'!$AX$20:$AX$133)+SUMIF('B+C_Emissions_Y5'!$BB$20:$BB$133,$P24,'B+C_Emissions_Y5'!$AY$20:$AY$133)</f>
        <v>2835</v>
      </c>
      <c r="W24" s="2"/>
      <c r="X24" s="2"/>
    </row>
    <row r="25" spans="1:24" ht="5.0999999999999996" customHeight="1" x14ac:dyDescent="0.2">
      <c r="B25" s="3"/>
      <c r="C25" s="3"/>
      <c r="D25" s="3"/>
      <c r="E25" s="3"/>
      <c r="F25" s="3"/>
      <c r="G25" s="3"/>
      <c r="H25" s="3"/>
      <c r="I25" s="3"/>
      <c r="J25" s="3"/>
      <c r="K25" s="3"/>
      <c r="L25" s="3"/>
      <c r="M25" s="7"/>
      <c r="N25" s="7"/>
      <c r="O25" s="7"/>
      <c r="P25" s="8"/>
      <c r="Q25" s="8"/>
    </row>
    <row r="26" spans="1:24" ht="15" x14ac:dyDescent="0.25">
      <c r="B26" s="3"/>
      <c r="C26" s="18">
        <v>2</v>
      </c>
      <c r="D26" s="1439" t="str">
        <f>Translations!$B$373</f>
        <v>Dane należy wprowadzić, w przypadku gdy państwo członkowskie dopuszcza podawanie danych zbiorczych na poziomie instalacji</v>
      </c>
      <c r="E26" s="1370"/>
      <c r="F26" s="1370"/>
      <c r="G26" s="1370"/>
      <c r="H26" s="1370"/>
      <c r="I26" s="1370"/>
      <c r="J26" s="1370"/>
      <c r="K26" s="1370"/>
      <c r="L26" s="1370"/>
      <c r="M26" s="1370"/>
      <c r="N26" s="1370"/>
      <c r="O26" s="7"/>
      <c r="P26" s="8"/>
      <c r="Q26" s="8"/>
    </row>
    <row r="27" spans="1:24" ht="25.5" customHeight="1" x14ac:dyDescent="0.2">
      <c r="B27" s="20"/>
      <c r="C27" s="20"/>
      <c r="D27" s="20"/>
      <c r="E27" s="1408" t="str">
        <f>Translations!$B$374</f>
        <v>Jeżeli zgodnie z częścią B.I. mają Państwo prawo podać całkowite emisje zamiast szczegółowych danych dotyczących strumienia materiałów wsadowych, wprowadzenie danych w tej części jest obowiązkowe.</v>
      </c>
      <c r="F27" s="1619"/>
      <c r="G27" s="1619"/>
      <c r="H27" s="1619"/>
      <c r="I27" s="1619"/>
      <c r="J27" s="1619"/>
      <c r="K27" s="1619"/>
      <c r="L27" s="1619"/>
      <c r="M27" s="1619"/>
      <c r="N27" s="1619"/>
      <c r="O27" s="7"/>
    </row>
    <row r="28" spans="1:24" x14ac:dyDescent="0.2">
      <c r="B28" s="20"/>
      <c r="C28" s="20"/>
      <c r="D28" s="20"/>
      <c r="E28" s="1408" t="str">
        <f>Translations!$B$375</f>
        <v>W takim przypadku proszę wpisać poniżej zgodnie z zasadami określonymi w MRR:</v>
      </c>
      <c r="F28" s="1619"/>
      <c r="G28" s="1619"/>
      <c r="H28" s="1619"/>
      <c r="I28" s="1619"/>
      <c r="J28" s="1619"/>
      <c r="K28" s="1619"/>
      <c r="L28" s="1619"/>
      <c r="M28" s="1619"/>
      <c r="N28" s="1619"/>
      <c r="O28" s="7"/>
    </row>
    <row r="29" spans="1:24" ht="12.75" customHeight="1" x14ac:dyDescent="0.2">
      <c r="B29" s="20"/>
      <c r="C29" s="20"/>
      <c r="D29" s="20"/>
      <c r="E29" s="123" t="s">
        <v>408</v>
      </c>
      <c r="F29" s="1416" t="str">
        <f>Translations!$B$376</f>
        <v>Całkowite emisje CO2: zweryfikowane emisje CO2 ze strumieni materiałów wsadowych i źródeł emisji, w tym z biomasy niezrównoważonej</v>
      </c>
      <c r="G29" s="1416"/>
      <c r="H29" s="1416"/>
      <c r="I29" s="1416"/>
      <c r="J29" s="1416"/>
      <c r="K29" s="1416"/>
      <c r="L29" s="1416"/>
      <c r="M29" s="1416"/>
      <c r="N29" s="1416"/>
      <c r="O29" s="7"/>
    </row>
    <row r="30" spans="1:24" ht="25.5" customHeight="1" x14ac:dyDescent="0.2">
      <c r="B30" s="20"/>
      <c r="C30" s="20"/>
      <c r="D30" s="20"/>
      <c r="E30" s="123" t="s">
        <v>408</v>
      </c>
      <c r="F30" s="1416" t="str">
        <f>Translations!$B$377</f>
        <v>Emisje pochodzące z biomasy: emisje pochodzące z biomasy zrównoważonej albo biomasy, do której nie stosuje się kryteriów zrównoważonego rozwoju, tak jakby były niezerowe</v>
      </c>
      <c r="G30" s="1416"/>
      <c r="H30" s="1416"/>
      <c r="I30" s="1416"/>
      <c r="J30" s="1416"/>
      <c r="K30" s="1416"/>
      <c r="L30" s="1416"/>
      <c r="M30" s="1416"/>
      <c r="N30" s="1416"/>
      <c r="O30" s="7"/>
    </row>
    <row r="31" spans="1:24" ht="12.75" customHeight="1" x14ac:dyDescent="0.2">
      <c r="B31" s="20"/>
      <c r="C31" s="20"/>
      <c r="D31" s="20"/>
      <c r="E31" s="123" t="s">
        <v>408</v>
      </c>
      <c r="F31" s="1416" t="str">
        <f>Translations!$B$378</f>
        <v>Całkowite emisje N2O ze źródeł emisji</v>
      </c>
      <c r="G31" s="1416"/>
      <c r="H31" s="1416"/>
      <c r="I31" s="1416"/>
      <c r="J31" s="1416"/>
      <c r="K31" s="1416"/>
      <c r="L31" s="1416"/>
      <c r="M31" s="1416"/>
      <c r="N31" s="1416"/>
      <c r="O31" s="7"/>
    </row>
    <row r="32" spans="1:24" ht="12.75" customHeight="1" x14ac:dyDescent="0.2">
      <c r="B32" s="20"/>
      <c r="C32" s="20"/>
      <c r="D32" s="20"/>
      <c r="E32" s="123" t="s">
        <v>408</v>
      </c>
      <c r="F32" s="1416" t="str">
        <f>Translations!$B$379</f>
        <v>Całkowite emisje PFC z produkcji pierwotnego aluminium</v>
      </c>
      <c r="G32" s="1416"/>
      <c r="H32" s="1416"/>
      <c r="I32" s="1416"/>
      <c r="J32" s="1416"/>
      <c r="K32" s="1416"/>
      <c r="L32" s="1416"/>
      <c r="M32" s="1416"/>
      <c r="N32" s="1416"/>
      <c r="O32" s="7"/>
    </row>
    <row r="33" spans="2:17" ht="12.75" customHeight="1" x14ac:dyDescent="0.2">
      <c r="B33" s="20"/>
      <c r="C33" s="20"/>
      <c r="D33" s="20"/>
      <c r="E33" s="123" t="s">
        <v>408</v>
      </c>
      <c r="F33" s="1416" t="str">
        <f>Translations!$B$380</f>
        <v>Przenoszona ilość CO2 wyprowadzonego z instalacji, podana jako wartości ujemne</v>
      </c>
      <c r="G33" s="1416"/>
      <c r="H33" s="1416"/>
      <c r="I33" s="1416"/>
      <c r="J33" s="1416"/>
      <c r="K33" s="1416"/>
      <c r="L33" s="1416"/>
      <c r="M33" s="1416"/>
      <c r="N33" s="1416"/>
      <c r="O33" s="7"/>
    </row>
    <row r="34" spans="2:17" ht="12.75" customHeight="1" x14ac:dyDescent="0.2">
      <c r="B34" s="20"/>
      <c r="C34" s="20"/>
      <c r="D34" s="20"/>
      <c r="E34" s="123" t="s">
        <v>408</v>
      </c>
      <c r="F34" s="1416" t="str">
        <f>Translations!$B$381</f>
        <v>Całkowita energia wejściowa z paliw, w tym z biomasy i gazów odlotowych</v>
      </c>
      <c r="G34" s="1416"/>
      <c r="H34" s="1416"/>
      <c r="I34" s="1416"/>
      <c r="J34" s="1416"/>
      <c r="K34" s="1416"/>
      <c r="L34" s="1416"/>
      <c r="M34" s="1416"/>
      <c r="N34" s="1416"/>
      <c r="O34" s="7"/>
    </row>
    <row r="35" spans="2:17" ht="5.0999999999999996" customHeight="1" x14ac:dyDescent="0.2">
      <c r="B35" s="3"/>
      <c r="C35" s="3"/>
      <c r="D35" s="3"/>
      <c r="E35" s="3"/>
      <c r="F35" s="3"/>
      <c r="G35" s="3"/>
      <c r="H35" s="3"/>
      <c r="I35" s="3"/>
      <c r="J35" s="3"/>
      <c r="K35" s="3"/>
      <c r="L35" s="3"/>
      <c r="M35" s="7"/>
      <c r="N35" s="7"/>
      <c r="O35" s="7"/>
      <c r="P35" s="8"/>
      <c r="Q35" s="8"/>
    </row>
    <row r="36" spans="2:17" x14ac:dyDescent="0.2">
      <c r="B36" s="3"/>
      <c r="C36" s="3"/>
      <c r="D36" s="14"/>
      <c r="E36" s="1430" t="str">
        <f>Translations!$B$364</f>
        <v>Dane na poziomie instalacji:</v>
      </c>
      <c r="F36" s="1430"/>
      <c r="G36" s="1430"/>
      <c r="H36" s="35" t="str">
        <f>EUconst_Unit</f>
        <v>Jednostka</v>
      </c>
      <c r="I36" s="396">
        <f>I$309</f>
        <v>2014</v>
      </c>
      <c r="J36" s="396">
        <f>J$309</f>
        <v>2015</v>
      </c>
      <c r="K36" s="396">
        <f>K$309</f>
        <v>2016</v>
      </c>
      <c r="L36" s="396">
        <f>L$309</f>
        <v>2017</v>
      </c>
      <c r="M36" s="396">
        <f>M$309</f>
        <v>2018</v>
      </c>
      <c r="N36" s="20"/>
      <c r="O36" s="7"/>
      <c r="Q36" s="8"/>
    </row>
    <row r="37" spans="2:17" x14ac:dyDescent="0.2">
      <c r="B37" s="20"/>
      <c r="C37" s="20"/>
      <c r="D37" s="20"/>
      <c r="E37" s="1618" t="str">
        <f>Translations!$B$365</f>
        <v>Całkowite emisje CO2</v>
      </c>
      <c r="F37" s="1618"/>
      <c r="G37" s="1618"/>
      <c r="H37" s="37" t="str">
        <f>EUconst_tCO2pa</f>
        <v>t CO2 / rok</v>
      </c>
      <c r="I37" s="1279"/>
      <c r="J37" s="1279"/>
      <c r="K37" s="1279"/>
      <c r="L37" s="1279"/>
      <c r="M37" s="1279"/>
      <c r="N37" s="398"/>
      <c r="O37" s="7"/>
    </row>
    <row r="38" spans="2:17" x14ac:dyDescent="0.2">
      <c r="B38" s="20"/>
      <c r="C38" s="20"/>
      <c r="D38" s="20"/>
      <c r="E38" s="1614" t="str">
        <f>Translations!$B$366</f>
        <v>Emisje pochodzące z biomasy</v>
      </c>
      <c r="F38" s="1614"/>
      <c r="G38" s="1614"/>
      <c r="H38" s="184" t="str">
        <f>EUconst_tCO2pa</f>
        <v>t CO2 / rok</v>
      </c>
      <c r="I38" s="1280"/>
      <c r="J38" s="1280"/>
      <c r="K38" s="1280"/>
      <c r="L38" s="1280"/>
      <c r="M38" s="1280"/>
      <c r="N38" s="20"/>
      <c r="O38" s="7"/>
    </row>
    <row r="39" spans="2:17" x14ac:dyDescent="0.2">
      <c r="B39" s="20"/>
      <c r="C39" s="20"/>
      <c r="D39" s="20"/>
      <c r="E39" s="1613" t="str">
        <f>Translations!$B$367</f>
        <v>Całkowite emisje N2O</v>
      </c>
      <c r="F39" s="1613"/>
      <c r="G39" s="1613"/>
      <c r="H39" s="38" t="str">
        <f>EUconst_tCO2epa</f>
        <v>t CO2e/rok</v>
      </c>
      <c r="I39" s="1281"/>
      <c r="J39" s="1281"/>
      <c r="K39" s="1281"/>
      <c r="L39" s="1281"/>
      <c r="M39" s="1281"/>
      <c r="N39" s="20"/>
      <c r="O39" s="7"/>
    </row>
    <row r="40" spans="2:17" x14ac:dyDescent="0.2">
      <c r="B40" s="20"/>
      <c r="C40" s="20"/>
      <c r="D40" s="20"/>
      <c r="E40" s="1615" t="str">
        <f>Translations!$B$368</f>
        <v>Całkowite emisje PFC</v>
      </c>
      <c r="F40" s="1615"/>
      <c r="G40" s="1615"/>
      <c r="H40" s="41" t="str">
        <f>EUconst_tCO2epa</f>
        <v>t CO2e/rok</v>
      </c>
      <c r="I40" s="1282"/>
      <c r="J40" s="1282"/>
      <c r="K40" s="1282"/>
      <c r="L40" s="1282"/>
      <c r="M40" s="1282"/>
      <c r="N40" s="20"/>
      <c r="O40" s="7"/>
    </row>
    <row r="41" spans="2:17" x14ac:dyDescent="0.2">
      <c r="B41" s="20"/>
      <c r="C41" s="20"/>
      <c r="D41" s="20"/>
      <c r="E41" s="1611" t="str">
        <f>Translations!$B$369</f>
        <v>Suma emisji bezpośrednich</v>
      </c>
      <c r="F41" s="1611"/>
      <c r="G41" s="1611"/>
      <c r="H41" s="131" t="str">
        <f>EUconst_tCO2epa</f>
        <v>t CO2e/rok</v>
      </c>
      <c r="I41" s="1283" t="str">
        <f>IF(COUNT(I37,I39:I40)&gt;0,SUM(I37,I39:I40),"")</f>
        <v/>
      </c>
      <c r="J41" s="1284" t="str">
        <f>IF(COUNT(J37,J39:J40)&gt;0,SUM(J37,J39:J40),"")</f>
        <v/>
      </c>
      <c r="K41" s="1284" t="str">
        <f>IF(COUNT(K37,K39:K40)&gt;0,SUM(K37,K39:K40),"")</f>
        <v/>
      </c>
      <c r="L41" s="1284" t="str">
        <f>IF(COUNT(L37,L39:L40)&gt;0,SUM(L37,L39:L40),"")</f>
        <v/>
      </c>
      <c r="M41" s="1284" t="str">
        <f>IF(COUNT(M37,M39:M40)&gt;0,SUM(M37,M39:M40),"")</f>
        <v/>
      </c>
      <c r="N41" s="20"/>
      <c r="O41" s="7"/>
    </row>
    <row r="42" spans="2:17" ht="13.5" thickBot="1" x14ac:dyDescent="0.25">
      <c r="B42" s="20"/>
      <c r="C42" s="20"/>
      <c r="D42" s="20"/>
      <c r="E42" s="1610" t="str">
        <f>Translations!$B$370</f>
        <v>Wyprowadzony przenoszony CO2</v>
      </c>
      <c r="F42" s="1610"/>
      <c r="G42" s="1610"/>
      <c r="H42" s="678" t="str">
        <f>EUconst_tCO2pa</f>
        <v>t CO2 / rok</v>
      </c>
      <c r="I42" s="1285"/>
      <c r="J42" s="1285"/>
      <c r="K42" s="1285"/>
      <c r="L42" s="1285"/>
      <c r="M42" s="1285"/>
      <c r="N42" s="20"/>
      <c r="O42" s="7"/>
    </row>
    <row r="43" spans="2:17" ht="12.75" customHeight="1" thickBot="1" x14ac:dyDescent="0.25">
      <c r="B43" s="20"/>
      <c r="C43" s="20"/>
      <c r="D43" s="20"/>
      <c r="E43" s="1616" t="str">
        <f>Translations!$B$371</f>
        <v>Całkowite emisje bezpośrednie instalacji</v>
      </c>
      <c r="F43" s="1617"/>
      <c r="G43" s="1617"/>
      <c r="H43" s="679" t="str">
        <f>EUconst_tCO2epa</f>
        <v>t CO2e/rok</v>
      </c>
      <c r="I43" s="1277" t="str">
        <f>IF(COUNT(I41:I42)&gt;0,SUM(I41:I42),"")</f>
        <v/>
      </c>
      <c r="J43" s="1277" t="str">
        <f>IF(COUNT(J41:J42)&gt;0,SUM(J41:J42),"")</f>
        <v/>
      </c>
      <c r="K43" s="1277" t="str">
        <f>IF(COUNT(K41:K42)&gt;0,SUM(K41:K42),"")</f>
        <v/>
      </c>
      <c r="L43" s="1277" t="str">
        <f>IF(COUNT(L41:L42)&gt;0,SUM(L41:L42),"")</f>
        <v/>
      </c>
      <c r="M43" s="1278" t="str">
        <f>IF(COUNT(M41:M42)&gt;0,SUM(M41:M42),"")</f>
        <v/>
      </c>
      <c r="N43" s="20"/>
      <c r="O43" s="7"/>
    </row>
    <row r="44" spans="2:17" ht="12.75" customHeight="1" thickBot="1" x14ac:dyDescent="0.25">
      <c r="B44" s="20"/>
      <c r="C44" s="20"/>
      <c r="D44" s="44"/>
      <c r="E44" s="1616" t="str">
        <f>Translations!$B$372</f>
        <v>Łączna energia wejściowa z paliw</v>
      </c>
      <c r="F44" s="1617"/>
      <c r="G44" s="1617"/>
      <c r="H44" s="679" t="str">
        <f>EUconst_TJpa</f>
        <v>TJ / rok</v>
      </c>
      <c r="I44" s="1286"/>
      <c r="J44" s="1286"/>
      <c r="K44" s="1286"/>
      <c r="L44" s="1286"/>
      <c r="M44" s="1287"/>
      <c r="N44" s="398"/>
      <c r="O44" s="7"/>
    </row>
    <row r="45" spans="2:17" x14ac:dyDescent="0.2">
      <c r="B45" s="20"/>
      <c r="C45" s="20"/>
      <c r="D45" s="20"/>
      <c r="E45" s="20"/>
      <c r="F45" s="20"/>
      <c r="G45" s="20"/>
      <c r="H45" s="20"/>
      <c r="I45" s="20"/>
      <c r="J45" s="20"/>
      <c r="K45" s="20"/>
      <c r="L45" s="20"/>
      <c r="M45" s="20"/>
      <c r="N45" s="20"/>
      <c r="O45" s="7"/>
    </row>
    <row r="46" spans="2:17" ht="5.0999999999999996" customHeight="1" x14ac:dyDescent="0.2">
      <c r="B46" s="3"/>
      <c r="C46" s="3"/>
      <c r="D46" s="3"/>
      <c r="E46" s="3"/>
      <c r="F46" s="3"/>
      <c r="G46" s="3"/>
      <c r="H46" s="3"/>
      <c r="I46" s="3"/>
      <c r="J46" s="3"/>
      <c r="K46" s="3"/>
      <c r="L46" s="3"/>
      <c r="M46" s="7"/>
      <c r="N46" s="7"/>
      <c r="O46" s="7"/>
      <c r="P46" s="8"/>
      <c r="Q46" s="8"/>
    </row>
    <row r="47" spans="2:17" ht="15" x14ac:dyDescent="0.25">
      <c r="B47" s="3"/>
      <c r="C47" s="18">
        <v>3</v>
      </c>
      <c r="D47" s="1439" t="str">
        <f>Translations!$B$382</f>
        <v>Wynik danych na poziomie instalacji wykorzystywany w arkuszach „D_Emissions” i „E_EnergyFlows”:</v>
      </c>
      <c r="E47" s="1370"/>
      <c r="F47" s="1370"/>
      <c r="G47" s="1370"/>
      <c r="H47" s="1370"/>
      <c r="I47" s="1370"/>
      <c r="J47" s="1370"/>
      <c r="K47" s="1370"/>
      <c r="L47" s="1370"/>
      <c r="M47" s="1370"/>
      <c r="N47" s="1370"/>
      <c r="O47" s="7"/>
      <c r="P47" s="8"/>
      <c r="Q47" s="8"/>
    </row>
    <row r="48" spans="2:17" ht="25.5" customHeight="1" x14ac:dyDescent="0.2">
      <c r="B48" s="20"/>
      <c r="C48" s="20"/>
      <c r="D48" s="20"/>
      <c r="E48" s="1448" t="str">
        <f>Translations!$B$383</f>
        <v>W przypadku gdy dane są wyświetlane w punktach 1 ORAZ 2, wykorzystane zostaną dane z punktu 2, ponieważ nie ma możliwości sprawdzenia kompletności danych w arkuszach B+C.</v>
      </c>
      <c r="F48" s="1370"/>
      <c r="G48" s="1370"/>
      <c r="H48" s="1370"/>
      <c r="I48" s="1370"/>
      <c r="J48" s="1370"/>
      <c r="K48" s="1370"/>
      <c r="L48" s="1370"/>
      <c r="M48" s="1370"/>
      <c r="N48" s="1370"/>
      <c r="O48" s="7"/>
    </row>
    <row r="49" spans="2:16" x14ac:dyDescent="0.2">
      <c r="B49" s="20"/>
      <c r="C49" s="20"/>
      <c r="D49" s="20"/>
      <c r="E49" s="1448" t="str">
        <f>Translations!$B$384</f>
        <v>Wszelkie wartości sprzeczne są zaznaczane za pomocą czerwonych cyfr w tabeli poniżej.</v>
      </c>
      <c r="F49" s="1370"/>
      <c r="G49" s="1370"/>
      <c r="H49" s="1370"/>
      <c r="I49" s="1370"/>
      <c r="J49" s="1370"/>
      <c r="K49" s="1370"/>
      <c r="L49" s="1370"/>
      <c r="M49" s="1370"/>
      <c r="N49" s="1370"/>
      <c r="O49" s="7"/>
    </row>
    <row r="50" spans="2:16" x14ac:dyDescent="0.2">
      <c r="B50" s="20"/>
      <c r="C50" s="20"/>
      <c r="D50" s="20"/>
      <c r="E50" s="1448" t="str">
        <f>Translations!$B$385</f>
        <v>Odpowiedzialność za unikanie sprzecznych wpisów spoczywa wyłącznie na prowadzącym instalację.</v>
      </c>
      <c r="F50" s="1370"/>
      <c r="G50" s="1370"/>
      <c r="H50" s="1370"/>
      <c r="I50" s="1370"/>
      <c r="J50" s="1370"/>
      <c r="K50" s="1370"/>
      <c r="L50" s="1370"/>
      <c r="M50" s="1370"/>
      <c r="N50" s="1370"/>
      <c r="O50" s="7"/>
    </row>
    <row r="51" spans="2:16" x14ac:dyDescent="0.2">
      <c r="B51" s="20"/>
      <c r="C51" s="20"/>
      <c r="D51" s="20"/>
      <c r="E51" s="1430" t="str">
        <f>Translations!$B$364</f>
        <v>Dane na poziomie instalacji:</v>
      </c>
      <c r="F51" s="1430"/>
      <c r="G51" s="1430"/>
      <c r="H51" s="35" t="str">
        <f>EUconst_Unit</f>
        <v>Jednostka</v>
      </c>
      <c r="I51" s="396">
        <f>I$309</f>
        <v>2014</v>
      </c>
      <c r="J51" s="396">
        <f>J$309</f>
        <v>2015</v>
      </c>
      <c r="K51" s="396">
        <f>K$309</f>
        <v>2016</v>
      </c>
      <c r="L51" s="396">
        <f>L$309</f>
        <v>2017</v>
      </c>
      <c r="M51" s="396">
        <f>M$309</f>
        <v>2018</v>
      </c>
      <c r="N51" s="20"/>
      <c r="O51" s="7"/>
    </row>
    <row r="52" spans="2:16" x14ac:dyDescent="0.2">
      <c r="B52" s="20"/>
      <c r="C52" s="20"/>
      <c r="D52" s="20"/>
      <c r="E52" s="1618" t="str">
        <f>Translations!$B$365</f>
        <v>Całkowite emisje CO2</v>
      </c>
      <c r="F52" s="1618"/>
      <c r="G52" s="1618"/>
      <c r="H52" s="37" t="str">
        <f>EUconst_tCO2pa</f>
        <v>t CO2 / rok</v>
      </c>
      <c r="I52" s="1271">
        <f t="shared" ref="I52:M55" si="1">IF(ISNUMBER(I37),I37,IF(ISNUMBER(I17),I17,""))</f>
        <v>148236.37359999999</v>
      </c>
      <c r="J52" s="1271">
        <f t="shared" si="1"/>
        <v>138664.32636000001</v>
      </c>
      <c r="K52" s="1271">
        <f t="shared" si="1"/>
        <v>152976.0267966</v>
      </c>
      <c r="L52" s="1271">
        <f t="shared" si="1"/>
        <v>132702.0955344</v>
      </c>
      <c r="M52" s="1271">
        <f t="shared" si="1"/>
        <v>150089.32827</v>
      </c>
      <c r="N52" s="20"/>
      <c r="O52" s="7"/>
    </row>
    <row r="53" spans="2:16" x14ac:dyDescent="0.2">
      <c r="B53" s="20"/>
      <c r="C53" s="20"/>
      <c r="D53" s="20"/>
      <c r="E53" s="1614" t="str">
        <f>Translations!$B$366</f>
        <v>Emisje pochodzące z biomasy</v>
      </c>
      <c r="F53" s="1614"/>
      <c r="G53" s="1614"/>
      <c r="H53" s="184" t="str">
        <f>EUconst_tCO2pa</f>
        <v>t CO2 / rok</v>
      </c>
      <c r="I53" s="1272">
        <f t="shared" si="1"/>
        <v>143360</v>
      </c>
      <c r="J53" s="1272">
        <f t="shared" si="1"/>
        <v>134400</v>
      </c>
      <c r="K53" s="1272">
        <f t="shared" si="1"/>
        <v>148736</v>
      </c>
      <c r="L53" s="1272">
        <f t="shared" si="1"/>
        <v>129024</v>
      </c>
      <c r="M53" s="1272">
        <f t="shared" si="1"/>
        <v>145152</v>
      </c>
      <c r="N53" s="20"/>
      <c r="O53" s="7"/>
    </row>
    <row r="54" spans="2:16" x14ac:dyDescent="0.2">
      <c r="B54" s="20"/>
      <c r="C54" s="20"/>
      <c r="D54" s="20"/>
      <c r="E54" s="1613" t="str">
        <f>Translations!$B$367</f>
        <v>Całkowite emisje N2O</v>
      </c>
      <c r="F54" s="1613"/>
      <c r="G54" s="1613"/>
      <c r="H54" s="38" t="str">
        <f>EUconst_tCO2epa</f>
        <v>t CO2e/rok</v>
      </c>
      <c r="I54" s="1273" t="str">
        <f t="shared" si="1"/>
        <v/>
      </c>
      <c r="J54" s="1273" t="str">
        <f t="shared" si="1"/>
        <v/>
      </c>
      <c r="K54" s="1273" t="str">
        <f t="shared" si="1"/>
        <v/>
      </c>
      <c r="L54" s="1273" t="str">
        <f t="shared" si="1"/>
        <v/>
      </c>
      <c r="M54" s="1273" t="str">
        <f t="shared" si="1"/>
        <v/>
      </c>
      <c r="N54" s="20"/>
      <c r="O54" s="7"/>
    </row>
    <row r="55" spans="2:16" ht="12.75" customHeight="1" x14ac:dyDescent="0.2">
      <c r="B55" s="20"/>
      <c r="C55" s="20"/>
      <c r="D55" s="20"/>
      <c r="E55" s="1615" t="str">
        <f>Translations!$B$368</f>
        <v>Całkowite emisje PFC</v>
      </c>
      <c r="F55" s="1615"/>
      <c r="G55" s="1615"/>
      <c r="H55" s="41" t="str">
        <f>EUconst_tCO2epa</f>
        <v>t CO2e/rok</v>
      </c>
      <c r="I55" s="1288" t="str">
        <f t="shared" si="1"/>
        <v/>
      </c>
      <c r="J55" s="1288" t="str">
        <f t="shared" si="1"/>
        <v/>
      </c>
      <c r="K55" s="1288" t="str">
        <f t="shared" si="1"/>
        <v/>
      </c>
      <c r="L55" s="1288" t="str">
        <f t="shared" si="1"/>
        <v/>
      </c>
      <c r="M55" s="1288" t="str">
        <f t="shared" si="1"/>
        <v/>
      </c>
      <c r="N55" s="20"/>
      <c r="O55" s="7"/>
    </row>
    <row r="56" spans="2:16" ht="12.75" customHeight="1" x14ac:dyDescent="0.2">
      <c r="B56" s="20"/>
      <c r="C56" s="20"/>
      <c r="D56" s="20"/>
      <c r="E56" s="1611" t="str">
        <f>Translations!$B$369</f>
        <v>Suma emisji bezpośrednich</v>
      </c>
      <c r="F56" s="1611"/>
      <c r="G56" s="1611"/>
      <c r="H56" s="131" t="str">
        <f>EUconst_tCO2epa</f>
        <v>t CO2e/rok</v>
      </c>
      <c r="I56" s="1289">
        <f>IF(COUNT(I52,I54:I55)&gt;0,SUM(I52,I54:I55),"")</f>
        <v>148236.37359999999</v>
      </c>
      <c r="J56" s="1290">
        <f>IF(COUNT(J52,J54:J55)&gt;0,SUM(J52,J54:J55),"")</f>
        <v>138664.32636000001</v>
      </c>
      <c r="K56" s="1290">
        <f>IF(COUNT(K52,K54:K55)&gt;0,SUM(K52,K54:K55),"")</f>
        <v>152976.0267966</v>
      </c>
      <c r="L56" s="1290">
        <f>IF(COUNT(L52,L54:L55)&gt;0,SUM(L52,L54:L55),"")</f>
        <v>132702.0955344</v>
      </c>
      <c r="M56" s="1290">
        <f>IF(COUNT(M52,M54:M55)&gt;0,SUM(M52,M54:M55),"")</f>
        <v>150089.32827</v>
      </c>
      <c r="N56" s="20"/>
      <c r="O56" s="7"/>
    </row>
    <row r="57" spans="2:16" ht="13.5" thickBot="1" x14ac:dyDescent="0.25">
      <c r="B57" s="20"/>
      <c r="C57" s="20"/>
      <c r="D57" s="20"/>
      <c r="E57" s="1610" t="str">
        <f>Translations!$B$370</f>
        <v>Wyprowadzony przenoszony CO2</v>
      </c>
      <c r="F57" s="1610"/>
      <c r="G57" s="1610"/>
      <c r="H57" s="678" t="str">
        <f>EUconst_tCO2pa</f>
        <v>t CO2 / rok</v>
      </c>
      <c r="I57" s="1291" t="str">
        <f>IF(ISNUMBER(I42),I42,IF(ISNUMBER(I22),I22,""))</f>
        <v/>
      </c>
      <c r="J57" s="1292" t="str">
        <f>IF(ISNUMBER(J42),J42,IF(ISNUMBER(J22),J22,""))</f>
        <v/>
      </c>
      <c r="K57" s="1292" t="str">
        <f>IF(ISNUMBER(K42),K42,IF(ISNUMBER(K22),K22,""))</f>
        <v/>
      </c>
      <c r="L57" s="1292" t="str">
        <f>IF(ISNUMBER(L42),L42,IF(ISNUMBER(L22),L22,""))</f>
        <v/>
      </c>
      <c r="M57" s="1292" t="str">
        <f>IF(ISNUMBER(M42),M42,IF(ISNUMBER(M22),M22,""))</f>
        <v/>
      </c>
      <c r="N57" s="20"/>
      <c r="O57" s="7"/>
    </row>
    <row r="58" spans="2:16" ht="13.5" customHeight="1" thickBot="1" x14ac:dyDescent="0.25">
      <c r="B58" s="20"/>
      <c r="C58" s="20"/>
      <c r="D58" s="20"/>
      <c r="E58" s="1616" t="str">
        <f>Translations!$B$371</f>
        <v>Całkowite emisje bezpośrednie instalacji</v>
      </c>
      <c r="F58" s="1617"/>
      <c r="G58" s="1617"/>
      <c r="H58" s="679" t="str">
        <f>EUconst_tCO2epa</f>
        <v>t CO2e/rok</v>
      </c>
      <c r="I58" s="1277">
        <f>IF(COUNT(I56:I57)&gt;0,SUM(I56:I57),"")</f>
        <v>148236.37359999999</v>
      </c>
      <c r="J58" s="1277">
        <f>IF(COUNT(J56:J57)&gt;0,SUM(J56:J57),"")</f>
        <v>138664.32636000001</v>
      </c>
      <c r="K58" s="1277">
        <f>IF(COUNT(K56:K57)&gt;0,SUM(K56:K57),"")</f>
        <v>152976.0267966</v>
      </c>
      <c r="L58" s="1277">
        <f>IF(COUNT(L56:L57)&gt;0,SUM(L56:L57),"")</f>
        <v>132702.0955344</v>
      </c>
      <c r="M58" s="1278">
        <f>IF(COUNT(M56:M57)&gt;0,SUM(M56:M57),"")</f>
        <v>150089.32827</v>
      </c>
      <c r="N58" s="20"/>
      <c r="O58" s="7"/>
    </row>
    <row r="59" spans="2:16" ht="13.5" thickBot="1" x14ac:dyDescent="0.25">
      <c r="B59" s="20"/>
      <c r="C59" s="20"/>
      <c r="D59" s="20"/>
      <c r="E59" s="1616" t="str">
        <f>Translations!$B$372</f>
        <v>Łączna energia wejściowa z paliw</v>
      </c>
      <c r="F59" s="1617"/>
      <c r="G59" s="1617"/>
      <c r="H59" s="679" t="str">
        <f>EUconst_TJpa</f>
        <v>TJ / rok</v>
      </c>
      <c r="I59" s="1277">
        <f>IF(ISNUMBER(I44),I44,IF(ISNUMBER(I24),I24,""))</f>
        <v>2800</v>
      </c>
      <c r="J59" s="1277">
        <f>IF(ISNUMBER(J44),J44,IF(ISNUMBER(J24),J24,""))</f>
        <v>2625</v>
      </c>
      <c r="K59" s="1277">
        <f>IF(ISNUMBER(K44),K44,IF(ISNUMBER(K24),K24,""))</f>
        <v>2905</v>
      </c>
      <c r="L59" s="1277">
        <f>IF(ISNUMBER(L44),L44,IF(ISNUMBER(L24),L24,""))</f>
        <v>2520</v>
      </c>
      <c r="M59" s="1278">
        <f>IF(ISNUMBER(M44),M44,IF(ISNUMBER(M24),M24,""))</f>
        <v>2835</v>
      </c>
      <c r="N59" s="20"/>
      <c r="O59" s="7"/>
    </row>
    <row r="60" spans="2:16" x14ac:dyDescent="0.2">
      <c r="B60" s="20"/>
      <c r="C60" s="124"/>
      <c r="D60" s="124"/>
      <c r="E60" s="124"/>
      <c r="F60" s="124"/>
      <c r="G60" s="124"/>
      <c r="H60" s="124"/>
      <c r="I60" s="124"/>
      <c r="J60" s="124"/>
      <c r="K60" s="124"/>
      <c r="L60" s="124"/>
      <c r="M60" s="124"/>
      <c r="N60" s="124"/>
      <c r="O60" s="7"/>
      <c r="P60" s="8"/>
    </row>
    <row r="61" spans="2:16" ht="15.75" customHeight="1" x14ac:dyDescent="0.25">
      <c r="B61" s="3"/>
      <c r="C61" s="12" t="s">
        <v>352</v>
      </c>
      <c r="D61" s="1384" t="str">
        <f>Translations!$B$386</f>
        <v>Przypisywanie emisji do podinstalacji</v>
      </c>
      <c r="E61" s="1384"/>
      <c r="F61" s="1384"/>
      <c r="G61" s="1384"/>
      <c r="H61" s="1384"/>
      <c r="I61" s="1384"/>
      <c r="J61" s="1384"/>
      <c r="K61" s="1384"/>
      <c r="L61" s="1384"/>
      <c r="M61" s="1384"/>
      <c r="N61" s="1384"/>
      <c r="O61" s="7"/>
      <c r="P61" s="8"/>
    </row>
    <row r="62" spans="2:16" ht="5.0999999999999996" customHeight="1" x14ac:dyDescent="0.2">
      <c r="B62" s="3"/>
      <c r="C62" s="3"/>
      <c r="D62" s="3"/>
      <c r="E62" s="3"/>
      <c r="F62" s="3"/>
      <c r="G62" s="3"/>
      <c r="H62" s="3"/>
      <c r="I62" s="3"/>
      <c r="J62" s="3"/>
      <c r="K62" s="3"/>
      <c r="L62" s="3"/>
      <c r="M62" s="7"/>
      <c r="N62" s="7"/>
      <c r="O62" s="7"/>
      <c r="P62" s="8"/>
    </row>
    <row r="63" spans="2:16" ht="15" customHeight="1" x14ac:dyDescent="0.25">
      <c r="B63" s="3"/>
      <c r="C63" s="18">
        <v>1</v>
      </c>
      <c r="D63" s="1439" t="str">
        <f>Translations!$B$387</f>
        <v>Całkowite emisje na poziomie instalacji (informacje pobrane z części D.I.3)</v>
      </c>
      <c r="E63" s="1439"/>
      <c r="F63" s="1439"/>
      <c r="G63" s="1439"/>
      <c r="H63" s="1439"/>
      <c r="I63" s="1439"/>
      <c r="J63" s="1439"/>
      <c r="K63" s="1439"/>
      <c r="L63" s="1439"/>
      <c r="M63" s="1439"/>
      <c r="N63" s="1439"/>
      <c r="O63" s="7"/>
      <c r="P63" s="8"/>
    </row>
    <row r="64" spans="2:16" ht="5.0999999999999996" customHeight="1" x14ac:dyDescent="0.2">
      <c r="B64" s="3"/>
      <c r="C64" s="3"/>
      <c r="D64" s="3"/>
      <c r="E64" s="3"/>
      <c r="F64" s="3"/>
      <c r="G64" s="3"/>
      <c r="H64" s="3"/>
      <c r="I64" s="3"/>
      <c r="J64" s="3"/>
      <c r="K64" s="3"/>
      <c r="L64" s="3"/>
      <c r="M64" s="7"/>
      <c r="N64" s="7"/>
      <c r="O64" s="7"/>
      <c r="P64" s="8"/>
    </row>
    <row r="65" spans="2:19" ht="12.75" customHeight="1" x14ac:dyDescent="0.2">
      <c r="B65" s="3"/>
      <c r="C65" s="3"/>
      <c r="D65" s="14"/>
      <c r="E65" s="1430" t="str">
        <f>Translations!$B$364</f>
        <v>Dane na poziomie instalacji:</v>
      </c>
      <c r="F65" s="1430"/>
      <c r="G65" s="1430"/>
      <c r="H65" s="43" t="str">
        <f>EUconst_Unit</f>
        <v>Jednostka</v>
      </c>
      <c r="I65" s="396">
        <f>I$309</f>
        <v>2014</v>
      </c>
      <c r="J65" s="396">
        <f>J$309</f>
        <v>2015</v>
      </c>
      <c r="K65" s="396">
        <f>K$309</f>
        <v>2016</v>
      </c>
      <c r="L65" s="396">
        <f>L$309</f>
        <v>2017</v>
      </c>
      <c r="M65" s="396">
        <f>M$309</f>
        <v>2018</v>
      </c>
      <c r="N65" s="7"/>
      <c r="O65" s="7"/>
      <c r="P65" s="8"/>
    </row>
    <row r="66" spans="2:19" ht="12.75" customHeight="1" x14ac:dyDescent="0.2">
      <c r="B66" s="20"/>
      <c r="C66" s="20"/>
      <c r="D66" s="20"/>
      <c r="E66" s="1611" t="str">
        <f>Translations!$B$388</f>
        <v>Całkowite emisje bezpośrednie instalacji</v>
      </c>
      <c r="F66" s="1611"/>
      <c r="G66" s="1611"/>
      <c r="H66" s="131" t="str">
        <f>EUconst_tCO2epa</f>
        <v>t CO2e/rok</v>
      </c>
      <c r="I66" s="427">
        <f>IF(ISNUMBER(I$58),I$58,"")</f>
        <v>148236.37359999999</v>
      </c>
      <c r="J66" s="427">
        <f>IF(ISNUMBER(J$58),J$58,"")</f>
        <v>138664.32636000001</v>
      </c>
      <c r="K66" s="427">
        <f>IF(ISNUMBER(K$58),K$58,"")</f>
        <v>152976.0267966</v>
      </c>
      <c r="L66" s="427">
        <f>IF(ISNUMBER(L$58),L$58,"")</f>
        <v>132702.0955344</v>
      </c>
      <c r="M66" s="427">
        <f>IF(ISNUMBER(M$58),M$58,"")</f>
        <v>150089.32827</v>
      </c>
      <c r="N66" s="7"/>
      <c r="O66" s="7"/>
    </row>
    <row r="67" spans="2:19" ht="5.0999999999999996" customHeight="1" x14ac:dyDescent="0.2">
      <c r="B67" s="3"/>
      <c r="C67" s="3"/>
      <c r="D67" s="3"/>
      <c r="E67" s="3"/>
      <c r="F67" s="3"/>
      <c r="G67" s="3"/>
      <c r="H67" s="3"/>
      <c r="I67" s="3"/>
      <c r="J67" s="3"/>
      <c r="K67" s="3"/>
      <c r="L67" s="3"/>
      <c r="M67" s="7"/>
      <c r="N67" s="7"/>
      <c r="O67" s="7"/>
      <c r="P67" s="8"/>
    </row>
    <row r="68" spans="2:19" ht="15" customHeight="1" x14ac:dyDescent="0.25">
      <c r="B68" s="3"/>
      <c r="C68" s="18">
        <v>2</v>
      </c>
      <c r="D68" s="1439" t="str">
        <f>Translations!$B$389</f>
        <v>Przypisywanie do podinstalacji</v>
      </c>
      <c r="E68" s="1439"/>
      <c r="F68" s="1439"/>
      <c r="G68" s="1439"/>
      <c r="H68" s="1439"/>
      <c r="I68" s="1439"/>
      <c r="J68" s="1439"/>
      <c r="K68" s="1439"/>
      <c r="L68" s="1439"/>
      <c r="M68" s="1439"/>
      <c r="N68" s="1439"/>
      <c r="O68" s="7"/>
    </row>
    <row r="69" spans="2:19" ht="5.0999999999999996" customHeight="1" x14ac:dyDescent="0.2">
      <c r="B69" s="20"/>
      <c r="C69" s="5"/>
      <c r="D69" s="5"/>
      <c r="E69" s="5"/>
      <c r="F69" s="5"/>
      <c r="G69" s="5"/>
      <c r="H69" s="5"/>
      <c r="I69" s="5"/>
      <c r="J69" s="5"/>
      <c r="K69" s="5"/>
      <c r="L69" s="5"/>
      <c r="M69" s="5"/>
      <c r="N69" s="5"/>
      <c r="O69" s="7"/>
      <c r="R69" s="8"/>
      <c r="S69" s="8"/>
    </row>
    <row r="70" spans="2:19" ht="12.75" customHeight="1" x14ac:dyDescent="0.2">
      <c r="B70" s="20"/>
      <c r="C70" s="5"/>
      <c r="D70" s="5"/>
      <c r="E70" s="1408" t="str">
        <f>Translations!$B$390</f>
        <v xml:space="preserve">Przypisania emisji do podinstalacji należy dokonać w arkuszach F i G dla każdej podinstalacji. </v>
      </c>
      <c r="F70" s="1370"/>
      <c r="G70" s="1370"/>
      <c r="H70" s="1370"/>
      <c r="I70" s="1370"/>
      <c r="J70" s="1370"/>
      <c r="K70" s="1370"/>
      <c r="L70" s="1370"/>
      <c r="M70" s="1370"/>
      <c r="N70" s="1370"/>
      <c r="O70" s="7"/>
      <c r="R70" s="8"/>
      <c r="S70" s="8"/>
    </row>
    <row r="71" spans="2:19" ht="12.75" customHeight="1" x14ac:dyDescent="0.2">
      <c r="B71" s="20"/>
      <c r="C71" s="5"/>
      <c r="D71" s="5"/>
      <c r="E71" s="1408" t="str">
        <f>Translations!$B$391</f>
        <v>Tabelę podsumowującą przypisane emisje można znaleźć w arkuszu podsumowania (zob. link poniżej).</v>
      </c>
      <c r="F71" s="1370"/>
      <c r="G71" s="1370"/>
      <c r="H71" s="1370"/>
      <c r="I71" s="1370"/>
      <c r="J71" s="1370"/>
      <c r="K71" s="1370"/>
      <c r="L71" s="1370"/>
      <c r="M71" s="1370"/>
      <c r="N71" s="1370"/>
      <c r="O71" s="7"/>
      <c r="R71" s="8"/>
      <c r="S71" s="8"/>
    </row>
    <row r="72" spans="2:19" ht="12.75" customHeight="1" x14ac:dyDescent="0.2">
      <c r="B72" s="20"/>
      <c r="C72" s="20"/>
      <c r="D72" s="20"/>
      <c r="E72" s="1620" t="str">
        <f>CONCATENATE(EUconst_MsgAttrEm," (K.III.2)")</f>
        <v>Informacje dotyczące przypisania emisji do podinstalacji znajdują się w arkuszu podsumowania. (K.III.2)</v>
      </c>
      <c r="F72" s="1620"/>
      <c r="G72" s="1620"/>
      <c r="H72" s="1620"/>
      <c r="I72" s="1620"/>
      <c r="J72" s="1620"/>
      <c r="K72" s="1620"/>
      <c r="L72" s="1620"/>
      <c r="M72" s="1620"/>
      <c r="N72" s="20"/>
      <c r="O72" s="7"/>
      <c r="R72" s="8"/>
      <c r="S72" s="8"/>
    </row>
    <row r="73" spans="2:19" ht="12.75" customHeight="1" x14ac:dyDescent="0.2">
      <c r="B73" s="20"/>
      <c r="C73" s="20"/>
      <c r="D73" s="20"/>
      <c r="E73" s="20"/>
      <c r="F73" s="20"/>
      <c r="G73" s="20"/>
      <c r="H73" s="20"/>
      <c r="I73" s="20"/>
      <c r="J73" s="20"/>
      <c r="K73" s="20"/>
      <c r="L73" s="20"/>
      <c r="M73" s="20"/>
      <c r="N73" s="20"/>
      <c r="O73" s="7"/>
      <c r="R73" s="8"/>
      <c r="S73" s="8"/>
    </row>
    <row r="74" spans="2:19" ht="15.75" x14ac:dyDescent="0.25">
      <c r="B74" s="3"/>
      <c r="C74" s="12" t="s">
        <v>357</v>
      </c>
      <c r="D74" s="1384" t="str">
        <f>Translations!$B$392</f>
        <v>Narzędzie dotyczące kogeneracji</v>
      </c>
      <c r="E74" s="1384"/>
      <c r="F74" s="1384"/>
      <c r="G74" s="1384"/>
      <c r="H74" s="1384"/>
      <c r="I74" s="1384"/>
      <c r="J74" s="1384"/>
      <c r="K74" s="1384"/>
      <c r="L74" s="1384"/>
      <c r="M74" s="1384"/>
      <c r="N74" s="1384"/>
      <c r="O74" s="7"/>
      <c r="P74" s="8"/>
    </row>
    <row r="75" spans="2:19" ht="5.0999999999999996" customHeight="1" x14ac:dyDescent="0.2">
      <c r="B75" s="3"/>
      <c r="C75" s="3"/>
      <c r="D75" s="3"/>
      <c r="E75" s="3"/>
      <c r="F75" s="3"/>
      <c r="G75" s="3"/>
      <c r="H75" s="3"/>
      <c r="I75" s="3"/>
      <c r="J75" s="3"/>
      <c r="K75" s="3"/>
      <c r="L75" s="3"/>
      <c r="M75" s="7"/>
      <c r="N75" s="7"/>
      <c r="O75" s="7"/>
      <c r="P75" s="8"/>
    </row>
    <row r="76" spans="2:19" ht="12.75" customHeight="1" x14ac:dyDescent="0.2">
      <c r="B76" s="3"/>
      <c r="C76" s="3"/>
      <c r="D76" s="3"/>
      <c r="E76" s="1466" t="str">
        <f>Translations!$B$393</f>
        <v>Czy jednostki kogeneracji (CHP) dotyczą Państwa instalacji?</v>
      </c>
      <c r="F76" s="1466"/>
      <c r="G76" s="1466"/>
      <c r="H76" s="1466"/>
      <c r="I76" s="1466"/>
      <c r="J76" s="1466"/>
      <c r="K76" s="1466"/>
      <c r="L76" s="1603"/>
      <c r="M76" s="517" t="b">
        <v>0</v>
      </c>
      <c r="N76" s="7"/>
      <c r="O76" s="7"/>
      <c r="P76" s="8"/>
    </row>
    <row r="77" spans="2:19" ht="12.75" customHeight="1" x14ac:dyDescent="0.2">
      <c r="B77" s="3"/>
      <c r="C77" s="3"/>
      <c r="D77" s="3"/>
      <c r="E77" s="1408" t="str">
        <f>Translations!$B$394</f>
        <v>Jest to narzędzie do przypisywania paliw i emisji w CHP w celu aktualizacji wartości wskaźników zgodnie z rozdziałem 8 załącznika VII.</v>
      </c>
      <c r="F77" s="1370"/>
      <c r="G77" s="1370"/>
      <c r="H77" s="1370"/>
      <c r="I77" s="1370"/>
      <c r="J77" s="1370"/>
      <c r="K77" s="1370"/>
      <c r="L77" s="1370"/>
      <c r="M77" s="1370"/>
      <c r="N77" s="1370"/>
      <c r="O77" s="7"/>
      <c r="P77" s="8"/>
    </row>
    <row r="78" spans="2:19" ht="12.75" customHeight="1" x14ac:dyDescent="0.2">
      <c r="B78" s="3"/>
      <c r="C78" s="3"/>
      <c r="D78" s="3"/>
      <c r="E78" s="1448" t="str">
        <f>Translations!$B$395</f>
        <v>Proszę ustawić wartość tej komórki na „Fałsz”, jeżeli w Państwa instalacji nie ma odpowiedniej CHP. W takim przypadku narzędzie nie jest przydatne i zostanie wyszarzone.</v>
      </c>
      <c r="F78" s="1434"/>
      <c r="G78" s="1434"/>
      <c r="H78" s="1434"/>
      <c r="I78" s="1434"/>
      <c r="J78" s="1434"/>
      <c r="K78" s="1434"/>
      <c r="L78" s="1434"/>
      <c r="M78" s="1434"/>
      <c r="N78" s="1434"/>
      <c r="O78" s="7"/>
      <c r="P78" s="8"/>
    </row>
    <row r="79" spans="2:19" ht="25.5" customHeight="1" x14ac:dyDescent="0.2">
      <c r="B79" s="3"/>
      <c r="C79" s="3"/>
      <c r="D79" s="3"/>
      <c r="E79" s="1448" t="str">
        <f>Translations!$B$396</f>
        <v>Proszę zauważyć, że emisje związane z ciepłem wprowadzonym mogą również dotyczyć niektórych podinstalacji. W przypadku gdy takie ciepło wprowadzone jest produkowane z CHP w innych instalacjach, narzędzie to może być również przydatne, jeżeli znane są dalsze informacje na temat odpowiednich danych od dostawcy.</v>
      </c>
      <c r="F79" s="1434"/>
      <c r="G79" s="1434"/>
      <c r="H79" s="1434"/>
      <c r="I79" s="1434"/>
      <c r="J79" s="1434"/>
      <c r="K79" s="1434"/>
      <c r="L79" s="1434"/>
      <c r="M79" s="1434"/>
      <c r="N79" s="1434"/>
      <c r="O79" s="7"/>
      <c r="P79" s="8"/>
    </row>
    <row r="80" spans="2:19" ht="25.5" customHeight="1" x14ac:dyDescent="0.2">
      <c r="B80" s="3"/>
      <c r="C80" s="3"/>
      <c r="D80" s="16"/>
      <c r="E80" s="1408" t="str">
        <f>Translations!$B$397</f>
        <v>Narzędzie to występuje w niniejszym formularzu dwukrotnie, a każde narzędzie należy stosować wyłącznie w odniesieniu do jednej CHP. Jeżeli dotyczy to większej liczby CHP, w celu dostarczenia istotnych informacji można wykorzystać odrębny formularz.</v>
      </c>
      <c r="F80" s="1370"/>
      <c r="G80" s="1370"/>
      <c r="H80" s="1370"/>
      <c r="I80" s="1370"/>
      <c r="J80" s="1370"/>
      <c r="K80" s="1370"/>
      <c r="L80" s="1370"/>
      <c r="M80" s="1370"/>
      <c r="N80" s="1370"/>
      <c r="O80" s="7"/>
      <c r="P80" s="8"/>
    </row>
    <row r="81" spans="2:24" ht="25.5" customHeight="1" x14ac:dyDescent="0.2">
      <c r="B81" s="3"/>
      <c r="C81" s="3"/>
      <c r="D81" s="16"/>
      <c r="E81" s="1408" t="str">
        <f>Translations!$B$398</f>
        <v>Okresy, w których CHP działa wyłącznie w trybie wytwarzania ciepła lub energii elektrycznej (tj. w okresach, w których wyprodukowano tylko jeden z dwóch produktów), należy wykluczyć, a paliwa i emisje przypisać oddzielnie zgodnie z przepisami pkt 10.1.2 i 10.1.3 załącznika VII.</v>
      </c>
      <c r="F81" s="1370"/>
      <c r="G81" s="1370"/>
      <c r="H81" s="1370"/>
      <c r="I81" s="1370"/>
      <c r="J81" s="1370"/>
      <c r="K81" s="1370"/>
      <c r="L81" s="1370"/>
      <c r="M81" s="1370"/>
      <c r="N81" s="1370"/>
      <c r="O81" s="7"/>
      <c r="P81" s="8"/>
    </row>
    <row r="82" spans="2:24" ht="5.0999999999999996" customHeight="1" x14ac:dyDescent="0.2">
      <c r="B82" s="3"/>
      <c r="C82" s="3"/>
      <c r="D82" s="3"/>
      <c r="E82" s="3"/>
      <c r="F82" s="3"/>
      <c r="G82" s="3"/>
      <c r="H82" s="3"/>
      <c r="I82" s="3"/>
      <c r="J82" s="3"/>
      <c r="K82" s="3"/>
      <c r="L82" s="3"/>
      <c r="M82" s="7"/>
      <c r="N82" s="7"/>
      <c r="O82" s="7"/>
      <c r="P82" s="8"/>
    </row>
    <row r="83" spans="2:24" ht="15" x14ac:dyDescent="0.25">
      <c r="B83" s="3"/>
      <c r="C83" s="18">
        <v>1</v>
      </c>
      <c r="D83" s="1439" t="str">
        <f>Translations!$B$399</f>
        <v>Narzędzie do obliczania emisji, które można przypisać do produkcji ciepła w jednostkach kogeneracji (CHP)</v>
      </c>
      <c r="E83" s="1370"/>
      <c r="F83" s="1370"/>
      <c r="G83" s="1370"/>
      <c r="H83" s="1370"/>
      <c r="I83" s="1370"/>
      <c r="J83" s="1370"/>
      <c r="K83" s="1370"/>
      <c r="L83" s="1370"/>
      <c r="M83" s="1370"/>
      <c r="N83" s="1370"/>
      <c r="O83" s="7"/>
      <c r="P83" s="8"/>
    </row>
    <row r="84" spans="2:24" ht="5.0999999999999996" customHeight="1" x14ac:dyDescent="0.2">
      <c r="B84" s="3"/>
      <c r="C84" s="3"/>
      <c r="D84" s="3"/>
      <c r="E84" s="3"/>
      <c r="F84" s="3"/>
      <c r="G84" s="3"/>
      <c r="H84" s="3"/>
      <c r="I84" s="3"/>
      <c r="J84" s="3"/>
      <c r="K84" s="3"/>
      <c r="L84" s="3"/>
      <c r="M84" s="7"/>
      <c r="N84" s="7"/>
      <c r="O84" s="7"/>
      <c r="P84" s="8"/>
    </row>
    <row r="85" spans="2:24" x14ac:dyDescent="0.2">
      <c r="B85" s="3"/>
      <c r="C85" s="3"/>
      <c r="D85" s="14" t="s">
        <v>173</v>
      </c>
      <c r="E85" s="1375" t="str">
        <f>Translations!$B$400</f>
        <v>Łączna ilość wsadu paliwa do jednostek CHP</v>
      </c>
      <c r="F85" s="1370"/>
      <c r="G85" s="1370"/>
      <c r="H85" s="1370"/>
      <c r="I85" s="1370"/>
      <c r="J85" s="1370"/>
      <c r="K85" s="1370"/>
      <c r="L85" s="1370"/>
      <c r="M85" s="1370"/>
      <c r="N85" s="1370"/>
      <c r="O85" s="7"/>
      <c r="P85" s="8"/>
    </row>
    <row r="86" spans="2:24" x14ac:dyDescent="0.2">
      <c r="B86" s="3"/>
      <c r="C86" s="3"/>
      <c r="D86" s="16"/>
      <c r="E86" s="1408" t="str">
        <f>Translations!$B$401</f>
        <v>W tym miejscu proszę podać roczny wsad paliwa do jednostki CHP.</v>
      </c>
      <c r="F86" s="1370"/>
      <c r="G86" s="1370"/>
      <c r="H86" s="1370"/>
      <c r="I86" s="1370"/>
      <c r="J86" s="1370"/>
      <c r="K86" s="1370"/>
      <c r="L86" s="1370"/>
      <c r="M86" s="1370"/>
      <c r="N86" s="1370"/>
      <c r="O86" s="7"/>
      <c r="P86" s="8"/>
    </row>
    <row r="87" spans="2:24" ht="13.5" thickBot="1" x14ac:dyDescent="0.25">
      <c r="B87" s="20"/>
      <c r="C87" s="20"/>
      <c r="D87" s="20"/>
      <c r="E87" s="1609"/>
      <c r="F87" s="1377"/>
      <c r="G87" s="1377"/>
      <c r="H87" s="35" t="str">
        <f>EUconst_Unit</f>
        <v>Jednostka</v>
      </c>
      <c r="I87" s="396">
        <f>I$309</f>
        <v>2014</v>
      </c>
      <c r="J87" s="396">
        <f>J$309</f>
        <v>2015</v>
      </c>
      <c r="K87" s="396">
        <f>K$309</f>
        <v>2016</v>
      </c>
      <c r="L87" s="396">
        <f>L$309</f>
        <v>2017</v>
      </c>
      <c r="M87" s="396">
        <f>M$309</f>
        <v>2018</v>
      </c>
      <c r="N87" s="20"/>
      <c r="O87" s="7"/>
      <c r="X87" s="422" t="s">
        <v>466</v>
      </c>
    </row>
    <row r="88" spans="2:24" x14ac:dyDescent="0.2">
      <c r="B88" s="20"/>
      <c r="C88" s="20"/>
      <c r="D88" s="20"/>
      <c r="E88" s="1611" t="str">
        <f>Translations!$B$402</f>
        <v>Wsad paliwa do CHP</v>
      </c>
      <c r="F88" s="1612"/>
      <c r="G88" s="1612"/>
      <c r="H88" s="48" t="str">
        <f>EUconst_TJpa</f>
        <v>TJ / rok</v>
      </c>
      <c r="I88" s="313"/>
      <c r="J88" s="313"/>
      <c r="K88" s="313"/>
      <c r="L88" s="313"/>
      <c r="M88" s="313"/>
      <c r="N88" s="20"/>
      <c r="O88" s="7"/>
      <c r="P88" s="8"/>
      <c r="X88" s="714" t="b">
        <f>AND(M76&lt;&gt;"",M76=FALSE)</f>
        <v>1</v>
      </c>
    </row>
    <row r="89" spans="2:24" ht="5.0999999999999996" customHeight="1" x14ac:dyDescent="0.2">
      <c r="B89" s="20"/>
      <c r="C89" s="20"/>
      <c r="D89" s="20"/>
      <c r="E89" s="20"/>
      <c r="F89" s="20"/>
      <c r="G89" s="20"/>
      <c r="H89" s="20"/>
      <c r="I89" s="20"/>
      <c r="J89" s="20"/>
      <c r="K89" s="20"/>
      <c r="L89" s="20"/>
      <c r="M89" s="20"/>
      <c r="N89" s="20"/>
      <c r="O89" s="7"/>
      <c r="X89" s="608"/>
    </row>
    <row r="90" spans="2:24" x14ac:dyDescent="0.2">
      <c r="B90" s="3"/>
      <c r="C90" s="3"/>
      <c r="D90" s="14" t="s">
        <v>353</v>
      </c>
      <c r="E90" s="1375" t="str">
        <f>Translations!$B$403</f>
        <v>Ciepło wytworzone przez CHP</v>
      </c>
      <c r="F90" s="1370"/>
      <c r="G90" s="1370"/>
      <c r="H90" s="1370"/>
      <c r="I90" s="1370"/>
      <c r="J90" s="1370"/>
      <c r="K90" s="1370"/>
      <c r="L90" s="1370"/>
      <c r="M90" s="1370"/>
      <c r="N90" s="1370"/>
      <c r="O90" s="7"/>
      <c r="P90" s="8"/>
      <c r="X90" s="608"/>
    </row>
    <row r="91" spans="2:24" x14ac:dyDescent="0.2">
      <c r="B91" s="3"/>
      <c r="C91" s="3"/>
      <c r="D91" s="16"/>
      <c r="E91" s="1408" t="str">
        <f>Translations!$B$404</f>
        <v>Jest to łączna ilość ciepła wytworzonego przez CHP.</v>
      </c>
      <c r="F91" s="1370"/>
      <c r="G91" s="1370"/>
      <c r="H91" s="1370"/>
      <c r="I91" s="1370"/>
      <c r="J91" s="1370"/>
      <c r="K91" s="1370"/>
      <c r="L91" s="1370"/>
      <c r="M91" s="1370"/>
      <c r="N91" s="1370"/>
      <c r="O91" s="7"/>
      <c r="P91" s="8"/>
      <c r="X91" s="608"/>
    </row>
    <row r="92" spans="2:24" x14ac:dyDescent="0.2">
      <c r="B92" s="3"/>
      <c r="C92" s="3"/>
      <c r="D92" s="16"/>
      <c r="E92" s="1609"/>
      <c r="F92" s="1377"/>
      <c r="G92" s="1377"/>
      <c r="H92" s="35" t="str">
        <f>EUconst_Unit</f>
        <v>Jednostka</v>
      </c>
      <c r="I92" s="396">
        <f>I$309</f>
        <v>2014</v>
      </c>
      <c r="J92" s="396">
        <f>J$309</f>
        <v>2015</v>
      </c>
      <c r="K92" s="396">
        <f>K$309</f>
        <v>2016</v>
      </c>
      <c r="L92" s="396">
        <f>L$309</f>
        <v>2017</v>
      </c>
      <c r="M92" s="396">
        <f>M$309</f>
        <v>2018</v>
      </c>
      <c r="N92" s="445"/>
      <c r="O92" s="7"/>
      <c r="P92" s="8"/>
      <c r="X92" s="608"/>
    </row>
    <row r="93" spans="2:24" x14ac:dyDescent="0.2">
      <c r="B93" s="20"/>
      <c r="C93" s="20"/>
      <c r="D93" s="20"/>
      <c r="E93" s="1611" t="str">
        <f>Translations!$B$403</f>
        <v>Ciepło wytworzone przez CHP</v>
      </c>
      <c r="F93" s="1612"/>
      <c r="G93" s="1612"/>
      <c r="H93" s="48" t="str">
        <f>EUconst_TJpa</f>
        <v>TJ / rok</v>
      </c>
      <c r="I93" s="313"/>
      <c r="J93" s="313"/>
      <c r="K93" s="313"/>
      <c r="L93" s="313"/>
      <c r="M93" s="313"/>
      <c r="N93" s="20"/>
      <c r="O93" s="7"/>
      <c r="X93" s="715" t="b">
        <f>X88</f>
        <v>1</v>
      </c>
    </row>
    <row r="94" spans="2:24" ht="5.0999999999999996" customHeight="1" x14ac:dyDescent="0.2">
      <c r="B94" s="20"/>
      <c r="C94" s="20"/>
      <c r="D94" s="20"/>
      <c r="E94" s="20"/>
      <c r="F94" s="20"/>
      <c r="G94" s="20"/>
      <c r="H94" s="20"/>
      <c r="I94" s="20"/>
      <c r="J94" s="20"/>
      <c r="K94" s="20"/>
      <c r="L94" s="20"/>
      <c r="M94" s="20"/>
      <c r="N94" s="20"/>
      <c r="O94" s="7"/>
      <c r="X94" s="608"/>
    </row>
    <row r="95" spans="2:24" x14ac:dyDescent="0.2">
      <c r="B95" s="3"/>
      <c r="C95" s="3"/>
      <c r="D95" s="14" t="s">
        <v>11</v>
      </c>
      <c r="E95" s="1375" t="str">
        <f>Translations!$B$405</f>
        <v>Energia elektryczna wytworzona przez CHP</v>
      </c>
      <c r="F95" s="1370"/>
      <c r="G95" s="1370"/>
      <c r="H95" s="1370"/>
      <c r="I95" s="1370"/>
      <c r="J95" s="1370"/>
      <c r="K95" s="1370"/>
      <c r="L95" s="1370"/>
      <c r="M95" s="1370"/>
      <c r="N95" s="1370"/>
      <c r="O95" s="7"/>
      <c r="P95" s="8"/>
      <c r="X95" s="608"/>
    </row>
    <row r="96" spans="2:24" ht="12.75" customHeight="1" x14ac:dyDescent="0.2">
      <c r="B96" s="3"/>
      <c r="C96" s="3"/>
      <c r="D96" s="16"/>
      <c r="E96" s="1408" t="str">
        <f>Translations!$B$406</f>
        <v>Jest to łączna ilość energii elektrycznej (lub, w stosownych przypadkach, energii mechanicznej) wytworzonej przez CHP.</v>
      </c>
      <c r="F96" s="1370"/>
      <c r="G96" s="1370"/>
      <c r="H96" s="1370"/>
      <c r="I96" s="1370"/>
      <c r="J96" s="1370"/>
      <c r="K96" s="1370"/>
      <c r="L96" s="1370"/>
      <c r="M96" s="1370"/>
      <c r="N96" s="1370"/>
      <c r="O96" s="7"/>
      <c r="P96" s="8"/>
      <c r="X96" s="608"/>
    </row>
    <row r="97" spans="2:24" x14ac:dyDescent="0.2">
      <c r="B97" s="3"/>
      <c r="C97" s="3"/>
      <c r="D97" s="16"/>
      <c r="E97" s="1609"/>
      <c r="F97" s="1377"/>
      <c r="G97" s="1377"/>
      <c r="H97" s="35" t="str">
        <f>EUconst_Unit</f>
        <v>Jednostka</v>
      </c>
      <c r="I97" s="396">
        <f>I$309</f>
        <v>2014</v>
      </c>
      <c r="J97" s="396">
        <f>J$309</f>
        <v>2015</v>
      </c>
      <c r="K97" s="396">
        <f>K$309</f>
        <v>2016</v>
      </c>
      <c r="L97" s="396">
        <f>L$309</f>
        <v>2017</v>
      </c>
      <c r="M97" s="396">
        <f>M$309</f>
        <v>2018</v>
      </c>
      <c r="N97" s="445"/>
      <c r="O97" s="7"/>
      <c r="P97" s="8"/>
      <c r="X97" s="608"/>
    </row>
    <row r="98" spans="2:24" x14ac:dyDescent="0.2">
      <c r="B98" s="3"/>
      <c r="C98" s="3"/>
      <c r="D98" s="16"/>
      <c r="E98" s="1611" t="str">
        <f>Translations!$B$407</f>
        <v>Energia elektryczna wytworzona przez CHP</v>
      </c>
      <c r="F98" s="1612"/>
      <c r="G98" s="1612"/>
      <c r="H98" s="48" t="str">
        <f>EUconst_MWhpa</f>
        <v>MWh / rok</v>
      </c>
      <c r="I98" s="313"/>
      <c r="J98" s="313"/>
      <c r="K98" s="313"/>
      <c r="L98" s="313"/>
      <c r="M98" s="313"/>
      <c r="N98" s="20"/>
      <c r="O98" s="7"/>
      <c r="P98" s="8"/>
      <c r="X98" s="715" t="b">
        <f>X93</f>
        <v>1</v>
      </c>
    </row>
    <row r="99" spans="2:24" x14ac:dyDescent="0.2">
      <c r="B99" s="20"/>
      <c r="C99" s="20"/>
      <c r="D99" s="20"/>
      <c r="E99" s="1611" t="str">
        <f>Translations!$B$407</f>
        <v>Energia elektryczna wytworzona przez CHP</v>
      </c>
      <c r="F99" s="1612"/>
      <c r="G99" s="1612"/>
      <c r="H99" s="48" t="str">
        <f>EUconst_TJpa</f>
        <v>TJ / rok</v>
      </c>
      <c r="I99" s="433" t="str">
        <f>IF(ISBLANK(I98),"",I98*3.6/1000)</f>
        <v/>
      </c>
      <c r="J99" s="433" t="str">
        <f>IF(ISBLANK(J98),"",J98*3.6/1000)</f>
        <v/>
      </c>
      <c r="K99" s="433" t="str">
        <f>IF(ISBLANK(K98),"",K98*3.6/1000)</f>
        <v/>
      </c>
      <c r="L99" s="433" t="str">
        <f>IF(ISBLANK(L98),"",L98*3.6/1000)</f>
        <v/>
      </c>
      <c r="M99" s="433" t="str">
        <f>IF(ISBLANK(M98),"",M98*3.6/1000)</f>
        <v/>
      </c>
      <c r="N99" s="20"/>
      <c r="O99" s="7"/>
      <c r="X99" s="715" t="b">
        <f>X93</f>
        <v>1</v>
      </c>
    </row>
    <row r="100" spans="2:24" ht="5.0999999999999996" customHeight="1" x14ac:dyDescent="0.2">
      <c r="B100" s="20"/>
      <c r="C100" s="20"/>
      <c r="D100" s="20"/>
      <c r="E100" s="20"/>
      <c r="F100" s="20"/>
      <c r="G100" s="20"/>
      <c r="H100" s="20"/>
      <c r="I100" s="20"/>
      <c r="J100" s="20"/>
      <c r="K100" s="20"/>
      <c r="L100" s="20"/>
      <c r="M100" s="20"/>
      <c r="N100" s="20"/>
      <c r="O100" s="7"/>
      <c r="X100" s="608"/>
    </row>
    <row r="101" spans="2:24" x14ac:dyDescent="0.2">
      <c r="B101" s="3"/>
      <c r="C101" s="3"/>
      <c r="D101" s="14" t="s">
        <v>356</v>
      </c>
      <c r="E101" s="1375" t="str">
        <f>Translations!$B$408</f>
        <v>Całkowite emisje z CHP</v>
      </c>
      <c r="F101" s="1370"/>
      <c r="G101" s="1370"/>
      <c r="H101" s="1370"/>
      <c r="I101" s="1370"/>
      <c r="J101" s="1370"/>
      <c r="K101" s="1370"/>
      <c r="L101" s="1370"/>
      <c r="M101" s="1370"/>
      <c r="N101" s="1370"/>
      <c r="O101" s="7"/>
      <c r="P101" s="8"/>
      <c r="X101" s="608"/>
    </row>
    <row r="102" spans="2:24" x14ac:dyDescent="0.2">
      <c r="B102" s="3"/>
      <c r="C102" s="3"/>
      <c r="D102" s="16"/>
      <c r="E102" s="1408" t="str">
        <f>Translations!$B$409</f>
        <v>Wartości należy podać z rozróżnieniem emisji pochodzących z wsadu paliwa i z oczyszczania spalin.</v>
      </c>
      <c r="F102" s="1370"/>
      <c r="G102" s="1370"/>
      <c r="H102" s="1370"/>
      <c r="I102" s="1370"/>
      <c r="J102" s="1370"/>
      <c r="K102" s="1370"/>
      <c r="L102" s="1370"/>
      <c r="M102" s="1370"/>
      <c r="N102" s="1370"/>
      <c r="O102" s="7"/>
      <c r="P102" s="8"/>
      <c r="X102" s="608"/>
    </row>
    <row r="103" spans="2:24" x14ac:dyDescent="0.2">
      <c r="B103" s="3"/>
      <c r="C103" s="3"/>
      <c r="D103" s="16"/>
      <c r="E103" s="1609"/>
      <c r="F103" s="1377"/>
      <c r="G103" s="1377"/>
      <c r="H103" s="35" t="str">
        <f>EUconst_Unit</f>
        <v>Jednostka</v>
      </c>
      <c r="I103" s="396">
        <f>I$309</f>
        <v>2014</v>
      </c>
      <c r="J103" s="396">
        <f>J$309</f>
        <v>2015</v>
      </c>
      <c r="K103" s="396">
        <f>K$309</f>
        <v>2016</v>
      </c>
      <c r="L103" s="396">
        <f>L$309</f>
        <v>2017</v>
      </c>
      <c r="M103" s="396">
        <f>M$309</f>
        <v>2018</v>
      </c>
      <c r="N103" s="445"/>
      <c r="O103" s="7"/>
      <c r="P103" s="8"/>
      <c r="X103" s="608"/>
    </row>
    <row r="104" spans="2:24" x14ac:dyDescent="0.2">
      <c r="B104" s="20"/>
      <c r="C104" s="20"/>
      <c r="D104" s="20"/>
      <c r="E104" s="1611" t="str">
        <f>Translations!$B$410</f>
        <v>Z wsadu paliwa do CHP</v>
      </c>
      <c r="F104" s="1612"/>
      <c r="G104" s="1612"/>
      <c r="H104" s="48" t="str">
        <f>EUconst_tCO2pa</f>
        <v>t CO2 / rok</v>
      </c>
      <c r="I104" s="313"/>
      <c r="J104" s="313"/>
      <c r="K104" s="313"/>
      <c r="L104" s="313"/>
      <c r="M104" s="313"/>
      <c r="N104" s="20"/>
      <c r="O104" s="7"/>
      <c r="X104" s="715" t="b">
        <f>X99</f>
        <v>1</v>
      </c>
    </row>
    <row r="105" spans="2:24" x14ac:dyDescent="0.2">
      <c r="B105" s="20"/>
      <c r="C105" s="20"/>
      <c r="D105" s="20"/>
      <c r="E105" s="1611" t="str">
        <f>Translations!$B$411</f>
        <v>Z oczyszczania spalin</v>
      </c>
      <c r="F105" s="1612"/>
      <c r="G105" s="1612"/>
      <c r="H105" s="48" t="str">
        <f>EUconst_tCO2pa</f>
        <v>t CO2 / rok</v>
      </c>
      <c r="I105" s="313"/>
      <c r="J105" s="313"/>
      <c r="K105" s="313"/>
      <c r="L105" s="313"/>
      <c r="M105" s="313"/>
      <c r="N105" s="20"/>
      <c r="O105" s="7"/>
      <c r="X105" s="715" t="b">
        <f>X104</f>
        <v>1</v>
      </c>
    </row>
    <row r="106" spans="2:24" x14ac:dyDescent="0.2">
      <c r="B106" s="20"/>
      <c r="C106" s="20"/>
      <c r="D106" s="20"/>
      <c r="E106" s="1611" t="str">
        <f>Translations!$B$412</f>
        <v>Całkowite emisje</v>
      </c>
      <c r="F106" s="1612"/>
      <c r="G106" s="1612"/>
      <c r="H106" s="48" t="str">
        <f>EUconst_tCO2pa</f>
        <v>t CO2 / rok</v>
      </c>
      <c r="I106" s="433" t="str">
        <f>IF(COUNT(I104:I105)&gt;0,SUM(I104:I105),"")</f>
        <v/>
      </c>
      <c r="J106" s="433" t="str">
        <f>IF(COUNT(J104:J105)&gt;0,SUM(J104:J105),"")</f>
        <v/>
      </c>
      <c r="K106" s="433" t="str">
        <f>IF(COUNT(K104:K105)&gt;0,SUM(K104:K105),"")</f>
        <v/>
      </c>
      <c r="L106" s="433" t="str">
        <f>IF(COUNT(L104:L105)&gt;0,SUM(L104:L105),"")</f>
        <v/>
      </c>
      <c r="M106" s="433" t="str">
        <f>IF(COUNT(M104:M105)&gt;0,SUM(M104:M105),"")</f>
        <v/>
      </c>
      <c r="N106" s="20"/>
      <c r="O106" s="7"/>
      <c r="X106" s="608"/>
    </row>
    <row r="107" spans="2:24" ht="5.0999999999999996" customHeight="1" x14ac:dyDescent="0.2">
      <c r="B107" s="20"/>
      <c r="C107" s="20"/>
      <c r="D107" s="20"/>
      <c r="E107" s="20"/>
      <c r="F107" s="20"/>
      <c r="G107" s="20"/>
      <c r="H107" s="20"/>
      <c r="I107" s="20"/>
      <c r="J107" s="20"/>
      <c r="K107" s="20"/>
      <c r="L107" s="20"/>
      <c r="M107" s="20"/>
      <c r="N107" s="20"/>
      <c r="O107" s="7"/>
      <c r="X107" s="608"/>
    </row>
    <row r="108" spans="2:24" ht="12.75" customHeight="1" x14ac:dyDescent="0.2">
      <c r="B108" s="20"/>
      <c r="C108" s="20"/>
      <c r="D108" s="14" t="s">
        <v>12</v>
      </c>
      <c r="E108" s="1645" t="str">
        <f>Translations!$B$413</f>
        <v>Domyślne sprawności:</v>
      </c>
      <c r="F108" s="1645"/>
      <c r="G108" s="1645"/>
      <c r="H108" s="1645"/>
      <c r="I108" s="707" t="str">
        <f>Translations!$B$414</f>
        <v>Ciepło:</v>
      </c>
      <c r="J108" s="787">
        <v>0.55000000000000004</v>
      </c>
      <c r="K108" s="20"/>
      <c r="L108" s="707" t="str">
        <f>Translations!$B$415</f>
        <v>Energia elektryczna:</v>
      </c>
      <c r="M108" s="787">
        <v>0.25</v>
      </c>
      <c r="N108" s="700"/>
      <c r="O108" s="7"/>
      <c r="X108" s="608"/>
    </row>
    <row r="109" spans="2:24" ht="5.0999999999999996" customHeight="1" x14ac:dyDescent="0.2">
      <c r="B109" s="20"/>
      <c r="C109" s="20"/>
      <c r="D109" s="20"/>
      <c r="E109" s="20"/>
      <c r="F109" s="20"/>
      <c r="G109" s="20"/>
      <c r="H109" s="20"/>
      <c r="I109" s="20"/>
      <c r="J109" s="20"/>
      <c r="K109" s="20"/>
      <c r="L109" s="20"/>
      <c r="M109" s="20"/>
      <c r="N109" s="20"/>
      <c r="O109" s="7"/>
      <c r="X109" s="608"/>
    </row>
    <row r="110" spans="2:24" x14ac:dyDescent="0.2">
      <c r="B110" s="3"/>
      <c r="C110" s="3"/>
      <c r="D110" s="14" t="s">
        <v>13</v>
      </c>
      <c r="E110" s="1375" t="str">
        <f>Translations!$B$416</f>
        <v>Sprawność dla ciepła i energii elektrycznej</v>
      </c>
      <c r="F110" s="1370"/>
      <c r="G110" s="1370"/>
      <c r="H110" s="1370"/>
      <c r="I110" s="1370"/>
      <c r="J110" s="1370"/>
      <c r="K110" s="1370"/>
      <c r="L110" s="1370"/>
      <c r="M110" s="1370"/>
      <c r="N110" s="1370"/>
      <c r="O110" s="7"/>
      <c r="P110" s="8"/>
      <c r="X110" s="608"/>
    </row>
    <row r="111" spans="2:24" ht="12.75" customHeight="1" x14ac:dyDescent="0.2">
      <c r="B111" s="3"/>
      <c r="C111" s="3"/>
      <c r="D111" s="16"/>
      <c r="E111" s="1408" t="str">
        <f>Translations!$B$417</f>
        <v>Wartości te są bezwymiarowe i automatycznie obliczane na podstawie danych zawartych w lit. a)–c) powyżej.</v>
      </c>
      <c r="F111" s="1370"/>
      <c r="G111" s="1370"/>
      <c r="H111" s="1370"/>
      <c r="I111" s="1370"/>
      <c r="J111" s="1370"/>
      <c r="K111" s="1370"/>
      <c r="L111" s="1370"/>
      <c r="M111" s="1370"/>
      <c r="N111" s="1370"/>
      <c r="O111" s="7"/>
      <c r="P111" s="8"/>
      <c r="X111" s="608"/>
    </row>
    <row r="112" spans="2:24" ht="38.25" customHeight="1" x14ac:dyDescent="0.2">
      <c r="B112" s="3"/>
      <c r="C112" s="3"/>
      <c r="D112" s="16"/>
      <c r="E112" s="1408" t="str">
        <f>Translations!$B$418</f>
        <v>Jeżeli nie zostaną wprowadzone żadne wartości poza całkowitymi emisjami w lit. d) powyżej, w tym miejscu zostaną zastosowane domyślne sprawności podane w lit. e). Należy zauważyć, że jest to dozwolone jedynie w przypadku, gdy przedstawią Państwo dowody na to, że ustalenie sprawności jest technicznie niewykonalne lub pociągałoby za sobą nieracjonalne koszty, a wartości oparte na dokumentacji technicznej (wartości projektowe) instalacji także nie są dostępne.</v>
      </c>
      <c r="F112" s="1370"/>
      <c r="G112" s="1370"/>
      <c r="H112" s="1370"/>
      <c r="I112" s="1370"/>
      <c r="J112" s="1370"/>
      <c r="K112" s="1370"/>
      <c r="L112" s="1370"/>
      <c r="M112" s="1370"/>
      <c r="N112" s="1370"/>
      <c r="O112" s="7"/>
      <c r="P112" s="8"/>
      <c r="X112" s="608"/>
    </row>
    <row r="113" spans="2:24" x14ac:dyDescent="0.2">
      <c r="B113" s="20"/>
      <c r="C113" s="20"/>
      <c r="D113" s="20"/>
      <c r="E113" s="1609"/>
      <c r="F113" s="1377"/>
      <c r="G113" s="1377"/>
      <c r="H113" s="35" t="str">
        <f>EUconst_Unit</f>
        <v>Jednostka</v>
      </c>
      <c r="I113" s="396">
        <f>I$309</f>
        <v>2014</v>
      </c>
      <c r="J113" s="396">
        <f>J$309</f>
        <v>2015</v>
      </c>
      <c r="K113" s="396">
        <f>K$309</f>
        <v>2016</v>
      </c>
      <c r="L113" s="396">
        <f>L$309</f>
        <v>2017</v>
      </c>
      <c r="M113" s="396">
        <f>M$309</f>
        <v>2018</v>
      </c>
      <c r="N113" s="20"/>
      <c r="O113" s="7"/>
      <c r="X113" s="608"/>
    </row>
    <row r="114" spans="2:24" ht="12.75" customHeight="1" x14ac:dyDescent="0.2">
      <c r="B114" s="20"/>
      <c r="C114" s="20"/>
      <c r="D114" s="20"/>
      <c r="E114" s="1611" t="str">
        <f>Translations!$B$419</f>
        <v>Wytwarzanie ciepła</v>
      </c>
      <c r="F114" s="1612"/>
      <c r="G114" s="1612"/>
      <c r="H114" s="447" t="s">
        <v>408</v>
      </c>
      <c r="I114" s="708" t="str">
        <f>IF(AND(ISNUMBER(I88),ISNUMBER(I93)),I93/I88,IF(ISNUMBER(I106),$J108,""))</f>
        <v/>
      </c>
      <c r="J114" s="708" t="str">
        <f>IF(AND(ISNUMBER(J88),ISNUMBER(J93)),J93/J88,IF(ISNUMBER(J106),$J108,""))</f>
        <v/>
      </c>
      <c r="K114" s="708" t="str">
        <f>IF(AND(ISNUMBER(K88),ISNUMBER(K93)),K93/K88,IF(ISNUMBER(K106),$J108,""))</f>
        <v/>
      </c>
      <c r="L114" s="708" t="str">
        <f>IF(AND(ISNUMBER(L88),ISNUMBER(L93)),L93/L88,IF(ISNUMBER(L106),$J108,""))</f>
        <v/>
      </c>
      <c r="M114" s="708" t="str">
        <f>IF(AND(ISNUMBER(M88),ISNUMBER(M93)),M93/M88,IF(ISNUMBER(M106),$J108,""))</f>
        <v/>
      </c>
      <c r="N114" s="398"/>
      <c r="O114" s="7"/>
      <c r="X114" s="608"/>
    </row>
    <row r="115" spans="2:24" ht="12.75" customHeight="1" x14ac:dyDescent="0.2">
      <c r="B115" s="20"/>
      <c r="C115" s="20"/>
      <c r="D115" s="20"/>
      <c r="E115" s="1611" t="str">
        <f>Translations!$B$420</f>
        <v>Wytwarzanie energii elektrycznej</v>
      </c>
      <c r="F115" s="1612"/>
      <c r="G115" s="1612"/>
      <c r="H115" s="447" t="s">
        <v>408</v>
      </c>
      <c r="I115" s="708" t="str">
        <f>IF(AND(ISNUMBER(I88),ISNUMBER(I99)),I99/I88,IF(ISNUMBER(I106),$M108,""))</f>
        <v/>
      </c>
      <c r="J115" s="708" t="str">
        <f>IF(AND(ISNUMBER(J88),ISNUMBER(J99)),J99/J88,IF(ISNUMBER(J106),$M108,""))</f>
        <v/>
      </c>
      <c r="K115" s="708" t="str">
        <f>IF(AND(ISNUMBER(K88),ISNUMBER(K99)),K99/K88,IF(ISNUMBER(K106),$M108,""))</f>
        <v/>
      </c>
      <c r="L115" s="708" t="str">
        <f>IF(AND(ISNUMBER(L88),ISNUMBER(L99)),L99/L88,IF(ISNUMBER(L106),$M108,""))</f>
        <v/>
      </c>
      <c r="M115" s="708" t="str">
        <f>IF(AND(ISNUMBER(M88),ISNUMBER(M99)),M99/M88,IF(ISNUMBER(M106),$M108,""))</f>
        <v/>
      </c>
      <c r="N115" s="20"/>
      <c r="O115" s="7"/>
      <c r="X115" s="608"/>
    </row>
    <row r="116" spans="2:24" ht="5.0999999999999996" customHeight="1" x14ac:dyDescent="0.2">
      <c r="B116" s="20"/>
      <c r="C116" s="20"/>
      <c r="D116" s="20"/>
      <c r="E116" s="20"/>
      <c r="F116" s="20"/>
      <c r="G116" s="20"/>
      <c r="H116" s="20"/>
      <c r="I116" s="20"/>
      <c r="J116" s="20"/>
      <c r="K116" s="20"/>
      <c r="L116" s="20"/>
      <c r="M116" s="20"/>
      <c r="N116" s="20"/>
      <c r="O116" s="7"/>
      <c r="X116" s="608"/>
    </row>
    <row r="117" spans="2:24" x14ac:dyDescent="0.2">
      <c r="B117" s="3"/>
      <c r="C117" s="3"/>
      <c r="D117" s="14" t="s">
        <v>87</v>
      </c>
      <c r="E117" s="1375" t="str">
        <f>Translations!$B$421</f>
        <v>Sprawności referencyjne</v>
      </c>
      <c r="F117" s="1370"/>
      <c r="G117" s="1370"/>
      <c r="H117" s="1370"/>
      <c r="I117" s="1370"/>
      <c r="J117" s="1370"/>
      <c r="K117" s="1370"/>
      <c r="L117" s="1370"/>
      <c r="M117" s="1370"/>
      <c r="N117" s="1370"/>
      <c r="O117" s="7"/>
      <c r="P117" s="8"/>
      <c r="X117" s="608"/>
    </row>
    <row r="118" spans="2:24" ht="12.75" customHeight="1" x14ac:dyDescent="0.2">
      <c r="B118" s="3"/>
      <c r="C118" s="3"/>
      <c r="D118" s="16"/>
      <c r="E118" s="1408" t="str">
        <f>Translations!$B$422</f>
        <v xml:space="preserve">Są to sprawność referencyjna wytwarzania ciepła w kotłach autonomicznych oraz sprawność referencyjna wytwarzania energii elektrycznej bez kogeneracji. </v>
      </c>
      <c r="F118" s="1370"/>
      <c r="G118" s="1370"/>
      <c r="H118" s="1370"/>
      <c r="I118" s="1370"/>
      <c r="J118" s="1370"/>
      <c r="K118" s="1370"/>
      <c r="L118" s="1370"/>
      <c r="M118" s="1370"/>
      <c r="N118" s="1370"/>
      <c r="O118" s="7"/>
      <c r="P118" s="8"/>
      <c r="X118" s="608"/>
    </row>
    <row r="119" spans="2:24" ht="38.25" customHeight="1" x14ac:dyDescent="0.2">
      <c r="B119" s="3"/>
      <c r="C119" s="3"/>
      <c r="D119" s="16"/>
      <c r="E119" s="1408" t="str">
        <f>Translations!$B$423</f>
        <v>W odniesieniu do sprawności referencyjnych należy stosować odpowiednie wartości dla poszczególnych paliw określone w rozporządzeniu delegowanym Komisji (UE) 2015/2402 bez zastosowania współczynników korekcyjnych związanych z warunkami klimatycznymi, określonych w załączniku III, oraz z uniknięciem strat sieciowych, określonych w załączniku IV do tego rozporządzenia. Rozporządzenie to jest dostępne pod następującym adresem:</v>
      </c>
      <c r="F119" s="1370"/>
      <c r="G119" s="1370"/>
      <c r="H119" s="1370"/>
      <c r="I119" s="1370"/>
      <c r="J119" s="1370"/>
      <c r="K119" s="1370"/>
      <c r="L119" s="1370"/>
      <c r="M119" s="1370"/>
      <c r="N119" s="1370"/>
      <c r="O119" s="7"/>
      <c r="P119" s="8"/>
      <c r="X119" s="608"/>
    </row>
    <row r="120" spans="2:24" ht="12.75" customHeight="1" x14ac:dyDescent="0.2">
      <c r="B120" s="3"/>
      <c r="C120" s="3"/>
      <c r="D120" s="16"/>
      <c r="E120" s="1396" t="str">
        <f>Translations!$B$424</f>
        <v>https://eur-lex.europa.eu/eli/reg_del/2015/2402/oj?locale=pl</v>
      </c>
      <c r="F120" s="1624"/>
      <c r="G120" s="1624"/>
      <c r="H120" s="1624"/>
      <c r="I120" s="1624"/>
      <c r="J120" s="1624"/>
      <c r="K120" s="1624"/>
      <c r="L120" s="1624"/>
      <c r="M120" s="1624"/>
      <c r="N120" s="1624"/>
      <c r="O120" s="7"/>
      <c r="P120" s="8"/>
      <c r="X120" s="608"/>
    </row>
    <row r="121" spans="2:24" ht="12.75" customHeight="1" x14ac:dyDescent="0.2">
      <c r="B121" s="3"/>
      <c r="C121" s="3"/>
      <c r="D121" s="16"/>
      <c r="E121" s="1408" t="str">
        <f>Translations!$B$425</f>
        <v>Domyślne sprawności poniżej odnoszą się do jednostek CHP zasilanych gazem ziemnym, wytwarzających energię elektryczną i ciepłą wodę.</v>
      </c>
      <c r="F121" s="1370"/>
      <c r="G121" s="1370"/>
      <c r="H121" s="1370"/>
      <c r="I121" s="1370"/>
      <c r="J121" s="1370"/>
      <c r="K121" s="1370"/>
      <c r="L121" s="1370"/>
      <c r="M121" s="1370"/>
      <c r="N121" s="1370"/>
      <c r="O121" s="7"/>
      <c r="P121" s="8"/>
      <c r="X121" s="608"/>
    </row>
    <row r="122" spans="2:24" x14ac:dyDescent="0.2">
      <c r="B122" s="20"/>
      <c r="C122" s="20"/>
      <c r="D122" s="20"/>
      <c r="E122" s="1609"/>
      <c r="F122" s="1377"/>
      <c r="G122" s="1377"/>
      <c r="H122" s="35" t="str">
        <f>EUconst_Unit</f>
        <v>Jednostka</v>
      </c>
      <c r="I122" s="396">
        <f>I$309</f>
        <v>2014</v>
      </c>
      <c r="J122" s="396">
        <f>J$309</f>
        <v>2015</v>
      </c>
      <c r="K122" s="396">
        <f>K$309</f>
        <v>2016</v>
      </c>
      <c r="L122" s="396">
        <f>L$309</f>
        <v>2017</v>
      </c>
      <c r="M122" s="396">
        <f>M$309</f>
        <v>2018</v>
      </c>
      <c r="N122" s="20"/>
      <c r="O122" s="7"/>
      <c r="X122" s="608"/>
    </row>
    <row r="123" spans="2:24" ht="12.75" customHeight="1" x14ac:dyDescent="0.2">
      <c r="B123" s="20"/>
      <c r="C123" s="20"/>
      <c r="D123" s="20"/>
      <c r="E123" s="1611" t="str">
        <f>Translations!$B$419</f>
        <v>Wytwarzanie ciepła</v>
      </c>
      <c r="F123" s="1612"/>
      <c r="G123" s="1612"/>
      <c r="H123" s="447" t="s">
        <v>408</v>
      </c>
      <c r="I123" s="880"/>
      <c r="J123" s="880"/>
      <c r="K123" s="880"/>
      <c r="L123" s="880"/>
      <c r="M123" s="880"/>
      <c r="N123" s="20"/>
      <c r="O123" s="7"/>
      <c r="X123" s="715" t="b">
        <f>X105</f>
        <v>1</v>
      </c>
    </row>
    <row r="124" spans="2:24" ht="12.75" customHeight="1" x14ac:dyDescent="0.2">
      <c r="B124" s="20"/>
      <c r="C124" s="20"/>
      <c r="D124" s="20"/>
      <c r="E124" s="1611" t="str">
        <f>Translations!$B$420</f>
        <v>Wytwarzanie energii elektrycznej</v>
      </c>
      <c r="F124" s="1612"/>
      <c r="G124" s="1612"/>
      <c r="H124" s="447" t="s">
        <v>408</v>
      </c>
      <c r="I124" s="880"/>
      <c r="J124" s="880"/>
      <c r="K124" s="880"/>
      <c r="L124" s="880"/>
      <c r="M124" s="880"/>
      <c r="N124" s="20"/>
      <c r="O124" s="7"/>
      <c r="X124" s="715" t="b">
        <f>X123</f>
        <v>1</v>
      </c>
    </row>
    <row r="125" spans="2:24" ht="5.0999999999999996" customHeight="1" x14ac:dyDescent="0.2">
      <c r="B125" s="20"/>
      <c r="C125" s="20"/>
      <c r="D125" s="20"/>
      <c r="E125" s="20"/>
      <c r="F125" s="20"/>
      <c r="G125" s="20"/>
      <c r="H125" s="20"/>
      <c r="I125" s="20"/>
      <c r="J125" s="20"/>
      <c r="K125" s="20"/>
      <c r="L125" s="20"/>
      <c r="M125" s="20"/>
      <c r="N125" s="20"/>
      <c r="O125" s="7"/>
      <c r="X125" s="608"/>
    </row>
    <row r="126" spans="2:24" x14ac:dyDescent="0.2">
      <c r="B126" s="3"/>
      <c r="C126" s="3"/>
      <c r="D126" s="14" t="s">
        <v>88</v>
      </c>
      <c r="E126" s="1375" t="str">
        <f>Translations!$B$426</f>
        <v>Emisje, które można przypisać do wytwarzania ciepła przez CHP</v>
      </c>
      <c r="F126" s="1370"/>
      <c r="G126" s="1370"/>
      <c r="H126" s="1370"/>
      <c r="I126" s="1370"/>
      <c r="J126" s="1370"/>
      <c r="K126" s="1370"/>
      <c r="L126" s="1370"/>
      <c r="M126" s="1370"/>
      <c r="N126" s="1370"/>
      <c r="O126" s="7"/>
      <c r="P126" s="8"/>
      <c r="X126" s="608"/>
    </row>
    <row r="127" spans="2:24" x14ac:dyDescent="0.2">
      <c r="B127" s="3"/>
      <c r="C127" s="3"/>
      <c r="D127" s="16"/>
      <c r="E127" s="1408" t="str">
        <f>Translations!$B$427</f>
        <v>Jest to wynik końcowy zastosowania tego narzędzia. Wartości wyświetlone w tym miejscu należy podać w arkuszach F lub G dla emisji, które można przypisać do odpowiedniej podinstalacji.</v>
      </c>
      <c r="F127" s="1370"/>
      <c r="G127" s="1370"/>
      <c r="H127" s="1370"/>
      <c r="I127" s="1370"/>
      <c r="J127" s="1370"/>
      <c r="K127" s="1370"/>
      <c r="L127" s="1370"/>
      <c r="M127" s="1370"/>
      <c r="N127" s="1370"/>
      <c r="O127" s="7"/>
      <c r="P127" s="8"/>
      <c r="X127" s="608"/>
    </row>
    <row r="128" spans="2:24" ht="25.5" customHeight="1" x14ac:dyDescent="0.2">
      <c r="B128" s="3"/>
      <c r="C128" s="3"/>
      <c r="D128" s="16"/>
      <c r="E128" s="1408" t="str">
        <f>Translations!$B$428</f>
        <v>Wynik końcowy może na przykład obejmować emisje, które można przypisać, a które należy wziąć pod uwagę w przypadku całkowitych emisji bezpośrednich lub wykorzystania współczynnika emisji w odniesieniu do jakiegokolwiek mierzalnego ciepła wprowadzonego.</v>
      </c>
      <c r="F128" s="1370"/>
      <c r="G128" s="1370"/>
      <c r="H128" s="1370"/>
      <c r="I128" s="1370"/>
      <c r="J128" s="1370"/>
      <c r="K128" s="1370"/>
      <c r="L128" s="1370"/>
      <c r="M128" s="1370"/>
      <c r="N128" s="1370"/>
      <c r="O128" s="7"/>
      <c r="P128" s="8"/>
      <c r="X128" s="608"/>
    </row>
    <row r="129" spans="2:24" x14ac:dyDescent="0.2">
      <c r="B129" s="3"/>
      <c r="C129" s="3"/>
      <c r="D129" s="16"/>
      <c r="E129" s="1408" t="str">
        <f>Translations!$B$429</f>
        <v>Wyniki obliczeń można uznać za prawidłowe tylko wówczas, gdy w częściach powyżej podano kompletne i spójne dane.</v>
      </c>
      <c r="F129" s="1370"/>
      <c r="G129" s="1370"/>
      <c r="H129" s="1370"/>
      <c r="I129" s="1370"/>
      <c r="J129" s="1370"/>
      <c r="K129" s="1370"/>
      <c r="L129" s="1370"/>
      <c r="M129" s="1370"/>
      <c r="N129" s="1370"/>
      <c r="O129" s="7"/>
      <c r="P129" s="8"/>
      <c r="X129" s="608"/>
    </row>
    <row r="130" spans="2:24" x14ac:dyDescent="0.2">
      <c r="B130" s="20"/>
      <c r="C130" s="20"/>
      <c r="D130" s="20"/>
      <c r="E130" s="1609"/>
      <c r="F130" s="1377"/>
      <c r="G130" s="1377"/>
      <c r="H130" s="35" t="str">
        <f>EUconst_Unit</f>
        <v>Jednostka</v>
      </c>
      <c r="I130" s="396">
        <f>I$309</f>
        <v>2014</v>
      </c>
      <c r="J130" s="396">
        <f>J$309</f>
        <v>2015</v>
      </c>
      <c r="K130" s="396">
        <f>K$309</f>
        <v>2016</v>
      </c>
      <c r="L130" s="396">
        <f>L$309</f>
        <v>2017</v>
      </c>
      <c r="M130" s="396">
        <f>M$309</f>
        <v>2018</v>
      </c>
      <c r="N130" s="20"/>
      <c r="O130" s="7"/>
      <c r="X130" s="608"/>
    </row>
    <row r="131" spans="2:24" x14ac:dyDescent="0.2">
      <c r="B131" s="20"/>
      <c r="C131" s="20"/>
      <c r="D131" s="20"/>
      <c r="E131" s="1611" t="str">
        <f>Translations!$B$430</f>
        <v>Emisje, które można przypisać do wytworzonego ciepła</v>
      </c>
      <c r="F131" s="1612"/>
      <c r="G131" s="1612"/>
      <c r="H131" s="48" t="str">
        <f>EUconst_tCO2pa</f>
        <v>t CO2 / rok</v>
      </c>
      <c r="I131" s="311" t="str">
        <f>IF(AND(ISNUMBER(I114),ISNUMBER(I115),ISNUMBER(I106)),I114/I123/(I114/I123+I115/I124)*I106,"")</f>
        <v/>
      </c>
      <c r="J131" s="311" t="str">
        <f>IF(AND(ISNUMBER(J114),ISNUMBER(J115),ISNUMBER(J106)),J114/J123/(J114/J123+J115/J124)*J106,"")</f>
        <v/>
      </c>
      <c r="K131" s="311" t="str">
        <f>IF(AND(ISNUMBER(K114),ISNUMBER(K115),ISNUMBER(K106)),K114/K123/(K114/K123+K115/K124)*K106,"")</f>
        <v/>
      </c>
      <c r="L131" s="311" t="str">
        <f>IF(AND(ISNUMBER(L114),ISNUMBER(L115),ISNUMBER(L106)),L114/L123/(L114/L123+L115/L124)*L106,"")</f>
        <v/>
      </c>
      <c r="M131" s="311" t="str">
        <f>IF(AND(ISNUMBER(M114),ISNUMBER(M115),ISNUMBER(M106)),M114/M123/(M114/M123+M115/M124)*M106,"")</f>
        <v/>
      </c>
      <c r="N131" s="20"/>
      <c r="O131" s="7"/>
      <c r="X131" s="608"/>
    </row>
    <row r="132" spans="2:24" x14ac:dyDescent="0.2">
      <c r="B132" s="20"/>
      <c r="C132" s="20"/>
      <c r="D132" s="20"/>
      <c r="E132" s="1611" t="str">
        <f>Translations!$B$431</f>
        <v>Współczynnik emisji, ciepło</v>
      </c>
      <c r="F132" s="1612"/>
      <c r="G132" s="1612"/>
      <c r="H132" s="48" t="str">
        <f>EUconst_tCO2pTJ</f>
        <v>t CO2 / TJ</v>
      </c>
      <c r="I132" s="311" t="str">
        <f>IF(AND(ISNUMBER(I93),ISNUMBER(I131)),I131/I93,"")</f>
        <v/>
      </c>
      <c r="J132" s="311" t="str">
        <f>IF(AND(ISNUMBER(J93),ISNUMBER(J131)),J131/J93,"")</f>
        <v/>
      </c>
      <c r="K132" s="311" t="str">
        <f>IF(AND(ISNUMBER(K93),ISNUMBER(K131)),K131/K93,"")</f>
        <v/>
      </c>
      <c r="L132" s="311" t="str">
        <f>IF(AND(ISNUMBER(L93),ISNUMBER(L131)),L131/L93,"")</f>
        <v/>
      </c>
      <c r="M132" s="311" t="str">
        <f>IF(AND(ISNUMBER(M93),ISNUMBER(M131)),M131/M93,"")</f>
        <v/>
      </c>
      <c r="N132" s="398"/>
      <c r="O132" s="7"/>
      <c r="X132" s="608"/>
    </row>
    <row r="133" spans="2:24" ht="5.0999999999999996" customHeight="1" x14ac:dyDescent="0.2">
      <c r="B133" s="20"/>
      <c r="C133" s="20"/>
      <c r="D133" s="20"/>
      <c r="E133" s="20"/>
      <c r="F133" s="20"/>
      <c r="G133" s="20"/>
      <c r="H133" s="20"/>
      <c r="I133" s="20"/>
      <c r="J133" s="20"/>
      <c r="K133" s="20"/>
      <c r="L133" s="20"/>
      <c r="M133" s="20"/>
      <c r="N133" s="20"/>
      <c r="O133" s="7"/>
      <c r="X133" s="608"/>
    </row>
    <row r="134" spans="2:24" x14ac:dyDescent="0.2">
      <c r="B134" s="3"/>
      <c r="C134" s="3"/>
      <c r="D134" s="14" t="s">
        <v>89</v>
      </c>
      <c r="E134" s="1375" t="str">
        <f>Translations!$B$432</f>
        <v>Wsad paliwa, który można przypisać do wytwarzania ciepła i energii elektrycznej</v>
      </c>
      <c r="F134" s="1370"/>
      <c r="G134" s="1370"/>
      <c r="H134" s="1370"/>
      <c r="I134" s="1370"/>
      <c r="J134" s="1370"/>
      <c r="K134" s="1370"/>
      <c r="L134" s="1370"/>
      <c r="M134" s="1370"/>
      <c r="N134" s="1370"/>
      <c r="O134" s="7"/>
      <c r="P134" s="8"/>
      <c r="X134" s="608"/>
    </row>
    <row r="135" spans="2:24" ht="12.75" customHeight="1" x14ac:dyDescent="0.2">
      <c r="B135" s="3"/>
      <c r="C135" s="3"/>
      <c r="D135" s="16"/>
      <c r="E135" s="1408" t="str">
        <f>Translations!$B$433</f>
        <v>Jest to wynik końcowy zastosowania tego narzędzia. Wartości wyświetlone w tym miejscu należy wpisać w odpowiednich częściach arkuszy E, F i G.</v>
      </c>
      <c r="F135" s="1370"/>
      <c r="G135" s="1370"/>
      <c r="H135" s="1370"/>
      <c r="I135" s="1370"/>
      <c r="J135" s="1370"/>
      <c r="K135" s="1370"/>
      <c r="L135" s="1370"/>
      <c r="M135" s="1370"/>
      <c r="N135" s="1370"/>
      <c r="O135" s="7"/>
      <c r="P135" s="8"/>
      <c r="X135" s="608"/>
    </row>
    <row r="136" spans="2:24" x14ac:dyDescent="0.2">
      <c r="B136" s="20"/>
      <c r="C136" s="20"/>
      <c r="D136" s="20"/>
      <c r="E136" s="1609"/>
      <c r="F136" s="1377"/>
      <c r="G136" s="1377"/>
      <c r="H136" s="35" t="str">
        <f>EUconst_Unit</f>
        <v>Jednostka</v>
      </c>
      <c r="I136" s="396">
        <f>I$309</f>
        <v>2014</v>
      </c>
      <c r="J136" s="396">
        <f>J$309</f>
        <v>2015</v>
      </c>
      <c r="K136" s="396">
        <f>K$309</f>
        <v>2016</v>
      </c>
      <c r="L136" s="396">
        <f>L$309</f>
        <v>2017</v>
      </c>
      <c r="M136" s="396">
        <f>M$309</f>
        <v>2018</v>
      </c>
      <c r="N136" s="20"/>
      <c r="O136" s="7"/>
      <c r="X136" s="608"/>
    </row>
    <row r="137" spans="2:24" x14ac:dyDescent="0.2">
      <c r="B137" s="20"/>
      <c r="C137" s="20"/>
      <c r="D137" s="20"/>
      <c r="E137" s="1611" t="str">
        <f>Translations!$B$434</f>
        <v>Wsad paliwa do wytworzenia ciepła</v>
      </c>
      <c r="F137" s="1612"/>
      <c r="G137" s="1612"/>
      <c r="H137" s="48" t="str">
        <f>EUconst_TJpa</f>
        <v>TJ / rok</v>
      </c>
      <c r="I137" s="311" t="str">
        <f>IF(AND(ISNUMBER(I114),ISNUMBER(I115),ISNUMBER(I88)),I114/I123/(I114/I123+I115/I124)*I88,"")</f>
        <v/>
      </c>
      <c r="J137" s="311" t="str">
        <f>IF(AND(ISNUMBER(J114),ISNUMBER(J115),ISNUMBER(J88)),J114/J123/(J114/J123+J115/J124)*J88,"")</f>
        <v/>
      </c>
      <c r="K137" s="311" t="str">
        <f>IF(AND(ISNUMBER(K114),ISNUMBER(K115),ISNUMBER(K88)),K114/K123/(K114/K123+K115/K124)*K88,"")</f>
        <v/>
      </c>
      <c r="L137" s="311" t="str">
        <f>IF(AND(ISNUMBER(L114),ISNUMBER(L115),ISNUMBER(L88)),L114/L123/(L114/L123+L115/L124)*L88,"")</f>
        <v/>
      </c>
      <c r="M137" s="311" t="str">
        <f>IF(AND(ISNUMBER(M114),ISNUMBER(M115),ISNUMBER(M88)),M114/M123/(M114/M123+M115/M124)*M88,"")</f>
        <v/>
      </c>
      <c r="N137" s="398"/>
      <c r="O137" s="7"/>
      <c r="X137" s="608"/>
    </row>
    <row r="138" spans="2:24" x14ac:dyDescent="0.2">
      <c r="B138" s="20"/>
      <c r="C138" s="20"/>
      <c r="D138" s="20"/>
      <c r="E138" s="1611" t="str">
        <f>Translations!$B$435</f>
        <v>Wsad paliwa do wytworzenia energii elektrycznej</v>
      </c>
      <c r="F138" s="1612"/>
      <c r="G138" s="1612"/>
      <c r="H138" s="48" t="str">
        <f>EUconst_TJpa</f>
        <v>TJ / rok</v>
      </c>
      <c r="I138" s="311" t="str">
        <f>IF(ISNUMBER(I137),I88-I137,"")</f>
        <v/>
      </c>
      <c r="J138" s="311" t="str">
        <f>IF(ISNUMBER(J137),J88-J137,"")</f>
        <v/>
      </c>
      <c r="K138" s="311" t="str">
        <f>IF(ISNUMBER(K137),K88-K137,"")</f>
        <v/>
      </c>
      <c r="L138" s="311" t="str">
        <f>IF(ISNUMBER(L137),L88-L137,"")</f>
        <v/>
      </c>
      <c r="M138" s="311" t="str">
        <f>IF(ISNUMBER(M137),M88-M137,"")</f>
        <v/>
      </c>
      <c r="N138" s="20"/>
      <c r="O138" s="7"/>
      <c r="X138" s="608"/>
    </row>
    <row r="139" spans="2:24" x14ac:dyDescent="0.2">
      <c r="B139" s="20"/>
      <c r="C139" s="20"/>
      <c r="D139" s="20"/>
      <c r="E139" s="107"/>
      <c r="F139" s="20"/>
      <c r="G139" s="20"/>
      <c r="H139" s="20"/>
      <c r="I139" s="20"/>
      <c r="J139" s="20"/>
      <c r="K139" s="20"/>
      <c r="L139" s="20"/>
      <c r="M139" s="20"/>
      <c r="N139" s="20"/>
      <c r="O139" s="7"/>
      <c r="X139" s="608"/>
    </row>
    <row r="140" spans="2:24" ht="15" x14ac:dyDescent="0.25">
      <c r="B140" s="3"/>
      <c r="C140" s="18">
        <v>2</v>
      </c>
      <c r="D140" s="1439" t="str">
        <f>Translations!$B$399</f>
        <v>Narzędzie do obliczania emisji, które można przypisać do produkcji ciepła w jednostkach kogeneracji (CHP)</v>
      </c>
      <c r="E140" s="1370"/>
      <c r="F140" s="1370"/>
      <c r="G140" s="1370"/>
      <c r="H140" s="1370"/>
      <c r="I140" s="1370"/>
      <c r="J140" s="1370"/>
      <c r="K140" s="1370"/>
      <c r="L140" s="1370"/>
      <c r="M140" s="1370"/>
      <c r="N140" s="1370"/>
      <c r="O140" s="7"/>
      <c r="P140" s="8"/>
      <c r="X140" s="608"/>
    </row>
    <row r="141" spans="2:24" ht="5.0999999999999996" customHeight="1" x14ac:dyDescent="0.2">
      <c r="B141" s="3"/>
      <c r="C141" s="3"/>
      <c r="D141" s="3"/>
      <c r="E141" s="3"/>
      <c r="F141" s="3"/>
      <c r="G141" s="3"/>
      <c r="H141" s="3"/>
      <c r="I141" s="3"/>
      <c r="J141" s="3"/>
      <c r="K141" s="3"/>
      <c r="L141" s="3"/>
      <c r="M141" s="7"/>
      <c r="N141" s="7"/>
      <c r="O141" s="7"/>
      <c r="P141" s="8"/>
      <c r="X141" s="608"/>
    </row>
    <row r="142" spans="2:24" x14ac:dyDescent="0.2">
      <c r="B142" s="20"/>
      <c r="C142" s="20"/>
      <c r="D142" s="20"/>
      <c r="E142" s="1622" t="str">
        <f>HYPERLINK(Q142,CONCATENATE(EUconst_MsgSeeFirst," (D.III.1)"))</f>
        <v>Szczegółowe instrukcje dotyczące wprowadzania danych w tym narzędziu znajdują się w pierwszej kopii tego narzędzia.  (D.III.1)</v>
      </c>
      <c r="F142" s="1622"/>
      <c r="G142" s="1622"/>
      <c r="H142" s="1622"/>
      <c r="I142" s="1622"/>
      <c r="J142" s="1622"/>
      <c r="K142" s="1622"/>
      <c r="L142" s="1622"/>
      <c r="M142" s="1622"/>
      <c r="N142" s="1622"/>
      <c r="O142" s="7"/>
      <c r="P142" s="2" t="s">
        <v>199</v>
      </c>
      <c r="Q142" s="346" t="str">
        <f>"#"&amp;ADDRESS(ROW(C83),COLUMN(C83))</f>
        <v>#$C$83</v>
      </c>
      <c r="X142" s="608"/>
    </row>
    <row r="143" spans="2:24" ht="5.0999999999999996" customHeight="1" x14ac:dyDescent="0.2">
      <c r="B143" s="3"/>
      <c r="C143" s="3"/>
      <c r="D143" s="3"/>
      <c r="E143" s="3"/>
      <c r="F143" s="3"/>
      <c r="G143" s="3"/>
      <c r="H143" s="3"/>
      <c r="I143" s="3"/>
      <c r="J143" s="3"/>
      <c r="K143" s="3"/>
      <c r="L143" s="3"/>
      <c r="M143" s="7"/>
      <c r="N143" s="7"/>
      <c r="O143" s="7"/>
      <c r="P143" s="8"/>
      <c r="X143" s="608"/>
    </row>
    <row r="144" spans="2:24" x14ac:dyDescent="0.2">
      <c r="B144" s="3"/>
      <c r="C144" s="3"/>
      <c r="D144" s="14" t="s">
        <v>173</v>
      </c>
      <c r="E144" s="1375" t="str">
        <f>Translations!$B$400</f>
        <v>Łączna ilość wsadu paliwa do jednostek CHP</v>
      </c>
      <c r="F144" s="1370"/>
      <c r="G144" s="1370"/>
      <c r="H144" s="1370"/>
      <c r="I144" s="1370"/>
      <c r="J144" s="1370"/>
      <c r="K144" s="1370"/>
      <c r="L144" s="1370"/>
      <c r="M144" s="1370"/>
      <c r="N144" s="1370"/>
      <c r="O144" s="7"/>
      <c r="P144" s="8"/>
      <c r="X144" s="608"/>
    </row>
    <row r="145" spans="2:24" x14ac:dyDescent="0.2">
      <c r="B145" s="20"/>
      <c r="C145" s="20"/>
      <c r="D145" s="20"/>
      <c r="E145" s="1609"/>
      <c r="F145" s="1377"/>
      <c r="G145" s="1377"/>
      <c r="H145" s="35" t="str">
        <f>EUconst_Unit</f>
        <v>Jednostka</v>
      </c>
      <c r="I145" s="396">
        <f>I$309</f>
        <v>2014</v>
      </c>
      <c r="J145" s="396">
        <f>J$309</f>
        <v>2015</v>
      </c>
      <c r="K145" s="396">
        <f>K$309</f>
        <v>2016</v>
      </c>
      <c r="L145" s="396">
        <f>L$309</f>
        <v>2017</v>
      </c>
      <c r="M145" s="396">
        <f>M$309</f>
        <v>2018</v>
      </c>
      <c r="N145" s="20"/>
      <c r="O145" s="7"/>
      <c r="X145" s="608"/>
    </row>
    <row r="146" spans="2:24" x14ac:dyDescent="0.2">
      <c r="B146" s="20"/>
      <c r="C146" s="20"/>
      <c r="D146" s="20"/>
      <c r="E146" s="1611" t="str">
        <f>Translations!$B$402</f>
        <v>Wsad paliwa do CHP</v>
      </c>
      <c r="F146" s="1612"/>
      <c r="G146" s="1612"/>
      <c r="H146" s="48" t="str">
        <f>EUconst_TJpa</f>
        <v>TJ / rok</v>
      </c>
      <c r="I146" s="313"/>
      <c r="J146" s="313"/>
      <c r="K146" s="313"/>
      <c r="L146" s="313"/>
      <c r="M146" s="313"/>
      <c r="N146" s="20"/>
      <c r="O146" s="7"/>
      <c r="P146" s="8"/>
      <c r="X146" s="715" t="b">
        <f>X124</f>
        <v>1</v>
      </c>
    </row>
    <row r="147" spans="2:24" ht="5.0999999999999996" customHeight="1" x14ac:dyDescent="0.2">
      <c r="B147" s="20"/>
      <c r="C147" s="20"/>
      <c r="D147" s="20"/>
      <c r="E147" s="20"/>
      <c r="F147" s="20"/>
      <c r="G147" s="20"/>
      <c r="H147" s="20"/>
      <c r="I147" s="20"/>
      <c r="J147" s="20"/>
      <c r="K147" s="20"/>
      <c r="L147" s="20"/>
      <c r="M147" s="20"/>
      <c r="N147" s="20"/>
      <c r="O147" s="7"/>
      <c r="X147" s="608"/>
    </row>
    <row r="148" spans="2:24" x14ac:dyDescent="0.2">
      <c r="B148" s="3"/>
      <c r="C148" s="3"/>
      <c r="D148" s="14" t="s">
        <v>353</v>
      </c>
      <c r="E148" s="1375" t="str">
        <f>Translations!$B$403</f>
        <v>Ciepło wytworzone przez CHP</v>
      </c>
      <c r="F148" s="1370"/>
      <c r="G148" s="1370"/>
      <c r="H148" s="1370"/>
      <c r="I148" s="1370"/>
      <c r="J148" s="1370"/>
      <c r="K148" s="1370"/>
      <c r="L148" s="1370"/>
      <c r="M148" s="1370"/>
      <c r="N148" s="1370"/>
      <c r="O148" s="7"/>
      <c r="P148" s="8"/>
      <c r="X148" s="608"/>
    </row>
    <row r="149" spans="2:24" x14ac:dyDescent="0.2">
      <c r="B149" s="3"/>
      <c r="C149" s="3"/>
      <c r="D149" s="16"/>
      <c r="E149" s="1609"/>
      <c r="F149" s="1377"/>
      <c r="G149" s="1377"/>
      <c r="H149" s="35" t="str">
        <f>EUconst_Unit</f>
        <v>Jednostka</v>
      </c>
      <c r="I149" s="396">
        <f>I$309</f>
        <v>2014</v>
      </c>
      <c r="J149" s="396">
        <f>J$309</f>
        <v>2015</v>
      </c>
      <c r="K149" s="396">
        <f>K$309</f>
        <v>2016</v>
      </c>
      <c r="L149" s="396">
        <f>L$309</f>
        <v>2017</v>
      </c>
      <c r="M149" s="396">
        <f>M$309</f>
        <v>2018</v>
      </c>
      <c r="N149" s="445"/>
      <c r="O149" s="7"/>
      <c r="P149" s="8"/>
      <c r="X149" s="608"/>
    </row>
    <row r="150" spans="2:24" x14ac:dyDescent="0.2">
      <c r="B150" s="20"/>
      <c r="C150" s="20"/>
      <c r="D150" s="20"/>
      <c r="E150" s="1611" t="str">
        <f>Translations!$B$403</f>
        <v>Ciepło wytworzone przez CHP</v>
      </c>
      <c r="F150" s="1612"/>
      <c r="G150" s="1612"/>
      <c r="H150" s="48" t="str">
        <f>EUconst_TJpa</f>
        <v>TJ / rok</v>
      </c>
      <c r="I150" s="313"/>
      <c r="J150" s="313"/>
      <c r="K150" s="313"/>
      <c r="L150" s="313"/>
      <c r="M150" s="313"/>
      <c r="N150" s="20"/>
      <c r="O150" s="7"/>
      <c r="X150" s="715" t="b">
        <f>X146</f>
        <v>1</v>
      </c>
    </row>
    <row r="151" spans="2:24" ht="5.0999999999999996" customHeight="1" x14ac:dyDescent="0.2">
      <c r="B151" s="20"/>
      <c r="C151" s="20"/>
      <c r="D151" s="20"/>
      <c r="E151" s="20"/>
      <c r="F151" s="20"/>
      <c r="G151" s="20"/>
      <c r="H151" s="20"/>
      <c r="I151" s="20"/>
      <c r="J151" s="20"/>
      <c r="K151" s="20"/>
      <c r="L151" s="20"/>
      <c r="M151" s="20"/>
      <c r="N151" s="20"/>
      <c r="O151" s="7"/>
      <c r="X151" s="608"/>
    </row>
    <row r="152" spans="2:24" x14ac:dyDescent="0.2">
      <c r="B152" s="3"/>
      <c r="C152" s="3"/>
      <c r="D152" s="14" t="s">
        <v>11</v>
      </c>
      <c r="E152" s="1375" t="str">
        <f>Translations!$B$405</f>
        <v>Energia elektryczna wytworzona przez CHP</v>
      </c>
      <c r="F152" s="1370"/>
      <c r="G152" s="1370"/>
      <c r="H152" s="1370"/>
      <c r="I152" s="1370"/>
      <c r="J152" s="1370"/>
      <c r="K152" s="1370"/>
      <c r="L152" s="1370"/>
      <c r="M152" s="1370"/>
      <c r="N152" s="1370"/>
      <c r="O152" s="7"/>
      <c r="P152" s="8"/>
      <c r="X152" s="608"/>
    </row>
    <row r="153" spans="2:24" x14ac:dyDescent="0.2">
      <c r="B153" s="3"/>
      <c r="C153" s="3"/>
      <c r="D153" s="16"/>
      <c r="E153" s="1609"/>
      <c r="F153" s="1377"/>
      <c r="G153" s="1377"/>
      <c r="H153" s="35" t="str">
        <f>EUconst_Unit</f>
        <v>Jednostka</v>
      </c>
      <c r="I153" s="396">
        <f>I$309</f>
        <v>2014</v>
      </c>
      <c r="J153" s="396">
        <f>J$309</f>
        <v>2015</v>
      </c>
      <c r="K153" s="396">
        <f>K$309</f>
        <v>2016</v>
      </c>
      <c r="L153" s="396">
        <f>L$309</f>
        <v>2017</v>
      </c>
      <c r="M153" s="396">
        <f>M$309</f>
        <v>2018</v>
      </c>
      <c r="N153" s="445"/>
      <c r="O153" s="7"/>
      <c r="P153" s="8"/>
      <c r="X153" s="608"/>
    </row>
    <row r="154" spans="2:24" x14ac:dyDescent="0.2">
      <c r="B154" s="3"/>
      <c r="C154" s="3"/>
      <c r="D154" s="16"/>
      <c r="E154" s="1611" t="str">
        <f>Translations!$B$407</f>
        <v>Energia elektryczna wytworzona przez CHP</v>
      </c>
      <c r="F154" s="1612"/>
      <c r="G154" s="1612"/>
      <c r="H154" s="48" t="str">
        <f>EUconst_MWhpa</f>
        <v>MWh / rok</v>
      </c>
      <c r="I154" s="313"/>
      <c r="J154" s="313"/>
      <c r="K154" s="313"/>
      <c r="L154" s="313"/>
      <c r="M154" s="313"/>
      <c r="N154" s="20"/>
      <c r="O154" s="7"/>
      <c r="P154" s="8"/>
      <c r="X154" s="715" t="b">
        <f>X150</f>
        <v>1</v>
      </c>
    </row>
    <row r="155" spans="2:24" x14ac:dyDescent="0.2">
      <c r="B155" s="20"/>
      <c r="C155" s="20"/>
      <c r="D155" s="20"/>
      <c r="E155" s="1611" t="str">
        <f>Translations!$B$405</f>
        <v>Energia elektryczna wytworzona przez CHP</v>
      </c>
      <c r="F155" s="1612"/>
      <c r="G155" s="1612"/>
      <c r="H155" s="48" t="str">
        <f>EUconst_TJpa</f>
        <v>TJ / rok</v>
      </c>
      <c r="I155" s="433" t="str">
        <f>IF(ISBLANK(I154),"",I154*3.6/1000)</f>
        <v/>
      </c>
      <c r="J155" s="433" t="str">
        <f>IF(ISBLANK(J154),"",J154*3.6/1000)</f>
        <v/>
      </c>
      <c r="K155" s="433" t="str">
        <f>IF(ISBLANK(K154),"",K154*3.6/1000)</f>
        <v/>
      </c>
      <c r="L155" s="433" t="str">
        <f>IF(ISBLANK(L154),"",L154*3.6/1000)</f>
        <v/>
      </c>
      <c r="M155" s="433" t="str">
        <f>IF(ISBLANK(M154),"",M154*3.6/1000)</f>
        <v/>
      </c>
      <c r="N155" s="20"/>
      <c r="O155" s="7"/>
      <c r="X155" s="715" t="b">
        <f>X150</f>
        <v>1</v>
      </c>
    </row>
    <row r="156" spans="2:24" ht="5.0999999999999996" customHeight="1" x14ac:dyDescent="0.2">
      <c r="B156" s="20"/>
      <c r="C156" s="20"/>
      <c r="D156" s="20"/>
      <c r="E156" s="20"/>
      <c r="F156" s="20"/>
      <c r="G156" s="20"/>
      <c r="H156" s="20"/>
      <c r="I156" s="20"/>
      <c r="J156" s="20"/>
      <c r="K156" s="20"/>
      <c r="L156" s="20"/>
      <c r="M156" s="20"/>
      <c r="N156" s="20"/>
      <c r="O156" s="7"/>
      <c r="X156" s="608"/>
    </row>
    <row r="157" spans="2:24" x14ac:dyDescent="0.2">
      <c r="B157" s="3"/>
      <c r="C157" s="3"/>
      <c r="D157" s="14" t="s">
        <v>356</v>
      </c>
      <c r="E157" s="1375" t="str">
        <f>Translations!$B$408</f>
        <v>Całkowite emisje z CHP</v>
      </c>
      <c r="F157" s="1370"/>
      <c r="G157" s="1370"/>
      <c r="H157" s="1370"/>
      <c r="I157" s="1370"/>
      <c r="J157" s="1370"/>
      <c r="K157" s="1370"/>
      <c r="L157" s="1370"/>
      <c r="M157" s="1370"/>
      <c r="N157" s="1370"/>
      <c r="O157" s="7"/>
      <c r="P157" s="8"/>
      <c r="X157" s="608"/>
    </row>
    <row r="158" spans="2:24" x14ac:dyDescent="0.2">
      <c r="B158" s="3"/>
      <c r="C158" s="3"/>
      <c r="D158" s="16"/>
      <c r="E158" s="1609"/>
      <c r="F158" s="1377"/>
      <c r="G158" s="1377"/>
      <c r="H158" s="35" t="str">
        <f>EUconst_Unit</f>
        <v>Jednostka</v>
      </c>
      <c r="I158" s="396">
        <f>I$309</f>
        <v>2014</v>
      </c>
      <c r="J158" s="396">
        <f>J$309</f>
        <v>2015</v>
      </c>
      <c r="K158" s="396">
        <f>K$309</f>
        <v>2016</v>
      </c>
      <c r="L158" s="396">
        <f>L$309</f>
        <v>2017</v>
      </c>
      <c r="M158" s="396">
        <f>M$309</f>
        <v>2018</v>
      </c>
      <c r="N158" s="445"/>
      <c r="O158" s="7"/>
      <c r="P158" s="8"/>
      <c r="X158" s="608"/>
    </row>
    <row r="159" spans="2:24" x14ac:dyDescent="0.2">
      <c r="B159" s="20"/>
      <c r="C159" s="20"/>
      <c r="D159" s="425" t="s">
        <v>2</v>
      </c>
      <c r="E159" s="1611" t="str">
        <f>Translations!$B$410</f>
        <v>Z wsadu paliwa do CHP</v>
      </c>
      <c r="F159" s="1612"/>
      <c r="G159" s="1612"/>
      <c r="H159" s="48" t="str">
        <f>EUconst_tCO2pa</f>
        <v>t CO2 / rok</v>
      </c>
      <c r="I159" s="313"/>
      <c r="J159" s="313"/>
      <c r="K159" s="313"/>
      <c r="L159" s="313"/>
      <c r="M159" s="313"/>
      <c r="N159" s="20"/>
      <c r="O159" s="7"/>
      <c r="X159" s="715" t="b">
        <f>X155</f>
        <v>1</v>
      </c>
    </row>
    <row r="160" spans="2:24" x14ac:dyDescent="0.2">
      <c r="B160" s="20"/>
      <c r="C160" s="20"/>
      <c r="D160" s="425" t="s">
        <v>3</v>
      </c>
      <c r="E160" s="1611" t="str">
        <f>Translations!$B$411</f>
        <v>Z oczyszczania spalin</v>
      </c>
      <c r="F160" s="1612"/>
      <c r="G160" s="1612"/>
      <c r="H160" s="48" t="str">
        <f>EUconst_tCO2pa</f>
        <v>t CO2 / rok</v>
      </c>
      <c r="I160" s="313"/>
      <c r="J160" s="313"/>
      <c r="K160" s="313"/>
      <c r="L160" s="313"/>
      <c r="M160" s="313"/>
      <c r="N160" s="20"/>
      <c r="O160" s="7"/>
      <c r="X160" s="715" t="b">
        <f>X159</f>
        <v>1</v>
      </c>
    </row>
    <row r="161" spans="2:24" x14ac:dyDescent="0.2">
      <c r="B161" s="20"/>
      <c r="C161" s="20"/>
      <c r="D161" s="425" t="s">
        <v>4</v>
      </c>
      <c r="E161" s="1611" t="str">
        <f>Translations!$B$412</f>
        <v>Całkowite emisje</v>
      </c>
      <c r="F161" s="1612"/>
      <c r="G161" s="1612"/>
      <c r="H161" s="48" t="str">
        <f>EUconst_tCO2pa</f>
        <v>t CO2 / rok</v>
      </c>
      <c r="I161" s="433" t="str">
        <f>IF(COUNT(I159:I160)&gt;0,SUM(I159:I160),"")</f>
        <v/>
      </c>
      <c r="J161" s="433" t="str">
        <f>IF(COUNT(J159:J160)&gt;0,SUM(J159:J160),"")</f>
        <v/>
      </c>
      <c r="K161" s="433" t="str">
        <f>IF(COUNT(K159:K160)&gt;0,SUM(K159:K160),"")</f>
        <v/>
      </c>
      <c r="L161" s="433" t="str">
        <f>IF(COUNT(L159:L160)&gt;0,SUM(L159:L160),"")</f>
        <v/>
      </c>
      <c r="M161" s="433" t="str">
        <f>IF(COUNT(M159:M160)&gt;0,SUM(M159:M160),"")</f>
        <v/>
      </c>
      <c r="N161" s="20"/>
      <c r="O161" s="7"/>
      <c r="X161" s="608"/>
    </row>
    <row r="162" spans="2:24" ht="5.0999999999999996" customHeight="1" x14ac:dyDescent="0.2">
      <c r="B162" s="20"/>
      <c r="C162" s="20"/>
      <c r="D162" s="20"/>
      <c r="E162" s="20"/>
      <c r="F162" s="20"/>
      <c r="G162" s="20"/>
      <c r="H162" s="20"/>
      <c r="I162" s="20"/>
      <c r="J162" s="20"/>
      <c r="K162" s="20"/>
      <c r="L162" s="20"/>
      <c r="M162" s="20"/>
      <c r="N162" s="20"/>
      <c r="O162" s="7"/>
      <c r="X162" s="608"/>
    </row>
    <row r="163" spans="2:24" ht="12.75" customHeight="1" x14ac:dyDescent="0.2">
      <c r="B163" s="20"/>
      <c r="C163" s="20"/>
      <c r="D163" s="14" t="s">
        <v>12</v>
      </c>
      <c r="E163" s="1645" t="str">
        <f>Translations!$B$413</f>
        <v>Domyślne sprawności:</v>
      </c>
      <c r="F163" s="1645"/>
      <c r="G163" s="1645"/>
      <c r="H163" s="1645"/>
      <c r="I163" s="707" t="str">
        <f>Translations!$B$414</f>
        <v>Ciepło:</v>
      </c>
      <c r="J163" s="787">
        <v>0.55000000000000004</v>
      </c>
      <c r="K163" s="20"/>
      <c r="L163" s="707" t="str">
        <f>Translations!$B$415</f>
        <v>Energia elektryczna:</v>
      </c>
      <c r="M163" s="787">
        <v>0.25</v>
      </c>
      <c r="N163" s="700"/>
      <c r="O163" s="7"/>
      <c r="X163" s="608"/>
    </row>
    <row r="164" spans="2:24" ht="5.0999999999999996" customHeight="1" x14ac:dyDescent="0.2">
      <c r="B164" s="20"/>
      <c r="C164" s="20"/>
      <c r="D164" s="20"/>
      <c r="E164" s="20"/>
      <c r="F164" s="20"/>
      <c r="G164" s="20"/>
      <c r="H164" s="20"/>
      <c r="I164" s="20"/>
      <c r="J164" s="20"/>
      <c r="K164" s="20"/>
      <c r="L164" s="20"/>
      <c r="M164" s="20"/>
      <c r="N164" s="20"/>
      <c r="O164" s="7"/>
      <c r="X164" s="608"/>
    </row>
    <row r="165" spans="2:24" x14ac:dyDescent="0.2">
      <c r="B165" s="3"/>
      <c r="C165" s="3"/>
      <c r="D165" s="14" t="s">
        <v>13</v>
      </c>
      <c r="E165" s="1375" t="str">
        <f>Translations!$B$416</f>
        <v>Sprawność dla ciepła i energii elektrycznej</v>
      </c>
      <c r="F165" s="1370"/>
      <c r="G165" s="1370"/>
      <c r="H165" s="1370"/>
      <c r="I165" s="1370"/>
      <c r="J165" s="1370"/>
      <c r="K165" s="1370"/>
      <c r="L165" s="1370"/>
      <c r="M165" s="1370"/>
      <c r="N165" s="1370"/>
      <c r="O165" s="7"/>
      <c r="P165" s="8"/>
      <c r="X165" s="608"/>
    </row>
    <row r="166" spans="2:24" x14ac:dyDescent="0.2">
      <c r="B166" s="20"/>
      <c r="C166" s="20"/>
      <c r="D166" s="20"/>
      <c r="E166" s="1609"/>
      <c r="F166" s="1377"/>
      <c r="G166" s="1377"/>
      <c r="H166" s="35" t="str">
        <f>EUconst_Unit</f>
        <v>Jednostka</v>
      </c>
      <c r="I166" s="396">
        <f>I$309</f>
        <v>2014</v>
      </c>
      <c r="J166" s="396">
        <f>J$309</f>
        <v>2015</v>
      </c>
      <c r="K166" s="396">
        <f>K$309</f>
        <v>2016</v>
      </c>
      <c r="L166" s="396">
        <f>L$309</f>
        <v>2017</v>
      </c>
      <c r="M166" s="396">
        <f>M$309</f>
        <v>2018</v>
      </c>
      <c r="N166" s="20"/>
      <c r="O166" s="7"/>
      <c r="X166" s="608"/>
    </row>
    <row r="167" spans="2:24" ht="12.75" customHeight="1" x14ac:dyDescent="0.2">
      <c r="B167" s="20"/>
      <c r="C167" s="20"/>
      <c r="D167" s="425" t="s">
        <v>2</v>
      </c>
      <c r="E167" s="1611" t="str">
        <f>Translations!$B$419</f>
        <v>Wytwarzanie ciepła</v>
      </c>
      <c r="F167" s="1612"/>
      <c r="G167" s="1612"/>
      <c r="H167" s="447" t="s">
        <v>408</v>
      </c>
      <c r="I167" s="708" t="str">
        <f>IF(AND(ISNUMBER(I146),ISNUMBER(I150)),I150/I146,IF(ISNUMBER(I161),$J163,""))</f>
        <v/>
      </c>
      <c r="J167" s="708" t="str">
        <f>IF(AND(ISNUMBER(J146),ISNUMBER(J150)),J150/J146,IF(ISNUMBER(J161),$J163,""))</f>
        <v/>
      </c>
      <c r="K167" s="708" t="str">
        <f>IF(AND(ISNUMBER(K146),ISNUMBER(K150)),K150/K146,IF(ISNUMBER(K161),$J163,""))</f>
        <v/>
      </c>
      <c r="L167" s="708" t="str">
        <f>IF(AND(ISNUMBER(L146),ISNUMBER(L150)),L150/L146,IF(ISNUMBER(L161),$J163,""))</f>
        <v/>
      </c>
      <c r="M167" s="708" t="str">
        <f>IF(AND(ISNUMBER(M146),ISNUMBER(M150)),M150/M146,IF(ISNUMBER(M161),$J163,""))</f>
        <v/>
      </c>
      <c r="N167" s="398"/>
      <c r="O167" s="7"/>
      <c r="X167" s="608"/>
    </row>
    <row r="168" spans="2:24" ht="12.75" customHeight="1" x14ac:dyDescent="0.2">
      <c r="B168" s="20"/>
      <c r="C168" s="20"/>
      <c r="D168" s="425" t="s">
        <v>3</v>
      </c>
      <c r="E168" s="1611" t="str">
        <f>Translations!$B$420</f>
        <v>Wytwarzanie energii elektrycznej</v>
      </c>
      <c r="F168" s="1612"/>
      <c r="G168" s="1612"/>
      <c r="H168" s="447" t="s">
        <v>408</v>
      </c>
      <c r="I168" s="708" t="str">
        <f>IF(AND(ISNUMBER(I146),ISNUMBER(I155)),I155/I146,IF(ISNUMBER(I161),$M163,""))</f>
        <v/>
      </c>
      <c r="J168" s="708" t="str">
        <f>IF(AND(ISNUMBER(J146),ISNUMBER(J155)),J155/J146,IF(ISNUMBER(J161),$M163,""))</f>
        <v/>
      </c>
      <c r="K168" s="708" t="str">
        <f>IF(AND(ISNUMBER(K146),ISNUMBER(K155)),K155/K146,IF(ISNUMBER(K161),$M163,""))</f>
        <v/>
      </c>
      <c r="L168" s="708" t="str">
        <f>IF(AND(ISNUMBER(L146),ISNUMBER(L155)),L155/L146,IF(ISNUMBER(L161),$M163,""))</f>
        <v/>
      </c>
      <c r="M168" s="708" t="str">
        <f>IF(AND(ISNUMBER(M146),ISNUMBER(M155)),M155/M146,IF(ISNUMBER(M161),$M163,""))</f>
        <v/>
      </c>
      <c r="N168" s="20"/>
      <c r="O168" s="7"/>
      <c r="X168" s="608"/>
    </row>
    <row r="169" spans="2:24" ht="5.0999999999999996" customHeight="1" x14ac:dyDescent="0.2">
      <c r="B169" s="20"/>
      <c r="C169" s="20"/>
      <c r="D169" s="20"/>
      <c r="E169" s="20"/>
      <c r="F169" s="20"/>
      <c r="G169" s="20"/>
      <c r="H169" s="20"/>
      <c r="I169" s="20"/>
      <c r="J169" s="20"/>
      <c r="K169" s="20"/>
      <c r="L169" s="20"/>
      <c r="M169" s="20"/>
      <c r="N169" s="20"/>
      <c r="O169" s="7"/>
      <c r="X169" s="608"/>
    </row>
    <row r="170" spans="2:24" x14ac:dyDescent="0.2">
      <c r="B170" s="3"/>
      <c r="C170" s="3"/>
      <c r="D170" s="14" t="s">
        <v>87</v>
      </c>
      <c r="E170" s="1375" t="str">
        <f>Translations!$B$421</f>
        <v>Sprawności referencyjne</v>
      </c>
      <c r="F170" s="1370"/>
      <c r="G170" s="1370"/>
      <c r="H170" s="1370"/>
      <c r="I170" s="1370"/>
      <c r="J170" s="1370"/>
      <c r="K170" s="1370"/>
      <c r="L170" s="1370"/>
      <c r="M170" s="1370"/>
      <c r="N170" s="1370"/>
      <c r="O170" s="7"/>
      <c r="P170" s="8"/>
      <c r="X170" s="608"/>
    </row>
    <row r="171" spans="2:24" x14ac:dyDescent="0.2">
      <c r="B171" s="20"/>
      <c r="C171" s="20"/>
      <c r="D171" s="20"/>
      <c r="E171" s="1609"/>
      <c r="F171" s="1377"/>
      <c r="G171" s="1377"/>
      <c r="H171" s="35" t="str">
        <f>EUconst_Unit</f>
        <v>Jednostka</v>
      </c>
      <c r="I171" s="396">
        <f>I$309</f>
        <v>2014</v>
      </c>
      <c r="J171" s="396">
        <f>J$309</f>
        <v>2015</v>
      </c>
      <c r="K171" s="396">
        <f>K$309</f>
        <v>2016</v>
      </c>
      <c r="L171" s="396">
        <f>L$309</f>
        <v>2017</v>
      </c>
      <c r="M171" s="396">
        <f>M$309</f>
        <v>2018</v>
      </c>
      <c r="N171" s="20"/>
      <c r="O171" s="7"/>
      <c r="X171" s="608"/>
    </row>
    <row r="172" spans="2:24" ht="12.75" customHeight="1" x14ac:dyDescent="0.2">
      <c r="B172" s="20"/>
      <c r="C172" s="20"/>
      <c r="D172" s="425" t="s">
        <v>2</v>
      </c>
      <c r="E172" s="1611" t="str">
        <f>Translations!$B$419</f>
        <v>Wytwarzanie ciepła</v>
      </c>
      <c r="F172" s="1612"/>
      <c r="G172" s="1612"/>
      <c r="H172" s="447" t="s">
        <v>408</v>
      </c>
      <c r="I172" s="880"/>
      <c r="J172" s="880"/>
      <c r="K172" s="880"/>
      <c r="L172" s="880"/>
      <c r="M172" s="880"/>
      <c r="N172" s="20"/>
      <c r="O172" s="7"/>
      <c r="X172" s="715" t="b">
        <f>X160</f>
        <v>1</v>
      </c>
    </row>
    <row r="173" spans="2:24" ht="12.75" customHeight="1" thickBot="1" x14ac:dyDescent="0.25">
      <c r="B173" s="20"/>
      <c r="C173" s="20"/>
      <c r="D173" s="425" t="s">
        <v>3</v>
      </c>
      <c r="E173" s="1611" t="str">
        <f>Translations!$B$420</f>
        <v>Wytwarzanie energii elektrycznej</v>
      </c>
      <c r="F173" s="1612"/>
      <c r="G173" s="1612"/>
      <c r="H173" s="447" t="s">
        <v>408</v>
      </c>
      <c r="I173" s="880"/>
      <c r="J173" s="880"/>
      <c r="K173" s="880"/>
      <c r="L173" s="880"/>
      <c r="M173" s="880"/>
      <c r="N173" s="20"/>
      <c r="O173" s="7"/>
      <c r="X173" s="716" t="b">
        <f>X172</f>
        <v>1</v>
      </c>
    </row>
    <row r="174" spans="2:24" ht="5.0999999999999996" customHeight="1" x14ac:dyDescent="0.2">
      <c r="B174" s="20"/>
      <c r="C174" s="20"/>
      <c r="D174" s="20"/>
      <c r="E174" s="20"/>
      <c r="F174" s="20"/>
      <c r="G174" s="20"/>
      <c r="H174" s="20"/>
      <c r="I174" s="20"/>
      <c r="J174" s="20"/>
      <c r="K174" s="20"/>
      <c r="L174" s="20"/>
      <c r="M174" s="20"/>
      <c r="N174" s="20"/>
      <c r="O174" s="7"/>
    </row>
    <row r="175" spans="2:24" x14ac:dyDescent="0.2">
      <c r="B175" s="3"/>
      <c r="C175" s="3"/>
      <c r="D175" s="14" t="s">
        <v>88</v>
      </c>
      <c r="E175" s="1375" t="str">
        <f>Translations!$B$426</f>
        <v>Emisje, które można przypisać do wytwarzania ciepła przez CHP</v>
      </c>
      <c r="F175" s="1370"/>
      <c r="G175" s="1370"/>
      <c r="H175" s="1370"/>
      <c r="I175" s="1370"/>
      <c r="J175" s="1370"/>
      <c r="K175" s="1370"/>
      <c r="L175" s="1370"/>
      <c r="M175" s="1370"/>
      <c r="N175" s="1370"/>
      <c r="O175" s="7"/>
      <c r="P175" s="8"/>
    </row>
    <row r="176" spans="2:24" x14ac:dyDescent="0.2">
      <c r="B176" s="20"/>
      <c r="C176" s="20"/>
      <c r="D176" s="20"/>
      <c r="E176" s="1609"/>
      <c r="F176" s="1377"/>
      <c r="G176" s="1377"/>
      <c r="H176" s="35" t="str">
        <f>EUconst_Unit</f>
        <v>Jednostka</v>
      </c>
      <c r="I176" s="396">
        <f>I$309</f>
        <v>2014</v>
      </c>
      <c r="J176" s="396">
        <f>J$309</f>
        <v>2015</v>
      </c>
      <c r="K176" s="396">
        <f>K$309</f>
        <v>2016</v>
      </c>
      <c r="L176" s="396">
        <f>L$309</f>
        <v>2017</v>
      </c>
      <c r="M176" s="396">
        <f>M$309</f>
        <v>2018</v>
      </c>
      <c r="N176" s="20"/>
      <c r="O176" s="7"/>
    </row>
    <row r="177" spans="2:24" x14ac:dyDescent="0.2">
      <c r="B177" s="20"/>
      <c r="C177" s="20"/>
      <c r="D177" s="425" t="s">
        <v>2</v>
      </c>
      <c r="E177" s="1611" t="str">
        <f>Translations!$B$430</f>
        <v>Emisje, które można przypisać do wytworzonego ciepła</v>
      </c>
      <c r="F177" s="1612"/>
      <c r="G177" s="1612"/>
      <c r="H177" s="48" t="str">
        <f>EUconst_tCO2pa</f>
        <v>t CO2 / rok</v>
      </c>
      <c r="I177" s="311" t="str">
        <f>IF(AND(ISNUMBER(I167),ISNUMBER(I168),ISNUMBER(I161)),I167/I172/(I167/I172+I168/I173)*I161,"")</f>
        <v/>
      </c>
      <c r="J177" s="311" t="str">
        <f>IF(AND(ISNUMBER(J167),ISNUMBER(J168),ISNUMBER(J161)),J167/J172/(J167/J172+J168/J173)*J161,"")</f>
        <v/>
      </c>
      <c r="K177" s="311" t="str">
        <f>IF(AND(ISNUMBER(K167),ISNUMBER(K168),ISNUMBER(K161)),K167/K172/(K167/K172+K168/K173)*K161,"")</f>
        <v/>
      </c>
      <c r="L177" s="311" t="str">
        <f>IF(AND(ISNUMBER(L167),ISNUMBER(L168),ISNUMBER(L161)),L167/L172/(L167/L172+L168/L173)*L161,"")</f>
        <v/>
      </c>
      <c r="M177" s="311" t="str">
        <f>IF(AND(ISNUMBER(M167),ISNUMBER(M168),ISNUMBER(M161)),M167/M172/(M167/M172+M168/M173)*M161,"")</f>
        <v/>
      </c>
      <c r="N177" s="20"/>
      <c r="O177" s="7"/>
    </row>
    <row r="178" spans="2:24" ht="12.75" customHeight="1" x14ac:dyDescent="0.2">
      <c r="B178" s="20"/>
      <c r="C178" s="20"/>
      <c r="D178" s="425" t="s">
        <v>3</v>
      </c>
      <c r="E178" s="1611" t="str">
        <f>Translations!$B$431</f>
        <v>Współczynnik emisji, ciepło</v>
      </c>
      <c r="F178" s="1612"/>
      <c r="G178" s="1612"/>
      <c r="H178" s="48" t="str">
        <f>EUconst_tCO2pTJ</f>
        <v>t CO2 / TJ</v>
      </c>
      <c r="I178" s="311" t="str">
        <f>IF(AND(ISNUMBER(I150),ISNUMBER(I177)),I177/I150,"")</f>
        <v/>
      </c>
      <c r="J178" s="311" t="str">
        <f>IF(AND(ISNUMBER(J150),ISNUMBER(J177)),J177/J150,"")</f>
        <v/>
      </c>
      <c r="K178" s="311" t="str">
        <f>IF(AND(ISNUMBER(K150),ISNUMBER(K177)),K177/K150,"")</f>
        <v/>
      </c>
      <c r="L178" s="311" t="str">
        <f>IF(AND(ISNUMBER(L150),ISNUMBER(L177)),L177/L150,"")</f>
        <v/>
      </c>
      <c r="M178" s="311" t="str">
        <f>IF(AND(ISNUMBER(M150),ISNUMBER(M177)),M177/M150,"")</f>
        <v/>
      </c>
      <c r="N178" s="398"/>
      <c r="O178" s="7"/>
    </row>
    <row r="179" spans="2:24" ht="5.0999999999999996" customHeight="1" x14ac:dyDescent="0.2">
      <c r="B179" s="20"/>
      <c r="C179" s="20"/>
      <c r="D179" s="20"/>
      <c r="E179" s="20"/>
      <c r="F179" s="20"/>
      <c r="G179" s="20"/>
      <c r="H179" s="20"/>
      <c r="I179" s="20"/>
      <c r="J179" s="20"/>
      <c r="K179" s="20"/>
      <c r="L179" s="20"/>
      <c r="M179" s="20"/>
      <c r="N179" s="20"/>
      <c r="O179" s="7"/>
      <c r="X179" s="608"/>
    </row>
    <row r="180" spans="2:24" x14ac:dyDescent="0.2">
      <c r="B180" s="3"/>
      <c r="C180" s="3"/>
      <c r="D180" s="14" t="s">
        <v>89</v>
      </c>
      <c r="E180" s="1375" t="str">
        <f>Translations!$B$432</f>
        <v>Wsad paliwa, który można przypisać do wytwarzania ciepła i energii elektrycznej</v>
      </c>
      <c r="F180" s="1370"/>
      <c r="G180" s="1370"/>
      <c r="H180" s="1370"/>
      <c r="I180" s="1370"/>
      <c r="J180" s="1370"/>
      <c r="K180" s="1370"/>
      <c r="L180" s="1370"/>
      <c r="M180" s="1370"/>
      <c r="N180" s="1370"/>
      <c r="O180" s="7"/>
      <c r="P180" s="8"/>
      <c r="X180" s="608"/>
    </row>
    <row r="181" spans="2:24" x14ac:dyDescent="0.2">
      <c r="B181" s="20"/>
      <c r="C181" s="20"/>
      <c r="D181" s="20"/>
      <c r="E181" s="1609"/>
      <c r="F181" s="1377"/>
      <c r="G181" s="1377"/>
      <c r="H181" s="35" t="str">
        <f>EUconst_Unit</f>
        <v>Jednostka</v>
      </c>
      <c r="I181" s="396">
        <f>I$309</f>
        <v>2014</v>
      </c>
      <c r="J181" s="396">
        <f>J$309</f>
        <v>2015</v>
      </c>
      <c r="K181" s="396">
        <f>K$309</f>
        <v>2016</v>
      </c>
      <c r="L181" s="396">
        <f>L$309</f>
        <v>2017</v>
      </c>
      <c r="M181" s="396">
        <f>M$309</f>
        <v>2018</v>
      </c>
      <c r="N181" s="20"/>
      <c r="O181" s="7"/>
      <c r="X181" s="608"/>
    </row>
    <row r="182" spans="2:24" x14ac:dyDescent="0.2">
      <c r="B182" s="20"/>
      <c r="C182" s="20"/>
      <c r="D182" s="425" t="s">
        <v>2</v>
      </c>
      <c r="E182" s="1611" t="str">
        <f>Translations!$B$434</f>
        <v>Wsad paliwa do wytworzenia ciepła</v>
      </c>
      <c r="F182" s="1612"/>
      <c r="G182" s="1612"/>
      <c r="H182" s="48" t="str">
        <f>EUconst_TJpa</f>
        <v>TJ / rok</v>
      </c>
      <c r="I182" s="311" t="str">
        <f>IF(AND(ISNUMBER(I167),ISNUMBER(I168),ISNUMBER(I146)),I167/I172/(I167/I172+I168/I173)*I146,"")</f>
        <v/>
      </c>
      <c r="J182" s="311" t="str">
        <f>IF(AND(ISNUMBER(J167),ISNUMBER(J168),ISNUMBER(J146)),J167/J172/(J167/J172+J168/J173)*J146,"")</f>
        <v/>
      </c>
      <c r="K182" s="311" t="str">
        <f>IF(AND(ISNUMBER(K167),ISNUMBER(K168),ISNUMBER(K146)),K167/K172/(K167/K172+K168/K173)*K146,"")</f>
        <v/>
      </c>
      <c r="L182" s="311" t="str">
        <f>IF(AND(ISNUMBER(L167),ISNUMBER(L168),ISNUMBER(L146)),L167/L172/(L167/L172+L168/L173)*L146,"")</f>
        <v/>
      </c>
      <c r="M182" s="311" t="str">
        <f>IF(AND(ISNUMBER(M167),ISNUMBER(M168),ISNUMBER(M146)),M167/M172/(M167/M172+M168/M173)*M146,"")</f>
        <v/>
      </c>
      <c r="N182" s="398"/>
      <c r="O182" s="7"/>
      <c r="X182" s="608"/>
    </row>
    <row r="183" spans="2:24" x14ac:dyDescent="0.2">
      <c r="B183" s="20"/>
      <c r="C183" s="20"/>
      <c r="D183" s="425" t="s">
        <v>3</v>
      </c>
      <c r="E183" s="1611" t="str">
        <f>Translations!$B$435</f>
        <v>Wsad paliwa do wytworzenia energii elektrycznej</v>
      </c>
      <c r="F183" s="1612"/>
      <c r="G183" s="1612"/>
      <c r="H183" s="48" t="str">
        <f>EUconst_TJpa</f>
        <v>TJ / rok</v>
      </c>
      <c r="I183" s="311" t="str">
        <f>IF(ISNUMBER(I182),I146-I182,"")</f>
        <v/>
      </c>
      <c r="J183" s="311" t="str">
        <f>IF(ISNUMBER(J182),J146-J182,"")</f>
        <v/>
      </c>
      <c r="K183" s="311" t="str">
        <f>IF(ISNUMBER(K182),K146-K182,"")</f>
        <v/>
      </c>
      <c r="L183" s="311" t="str">
        <f>IF(ISNUMBER(L182),L146-L182,"")</f>
        <v/>
      </c>
      <c r="M183" s="311" t="str">
        <f>IF(ISNUMBER(M182),M146-M182,"")</f>
        <v/>
      </c>
      <c r="N183" s="20"/>
      <c r="O183" s="7"/>
      <c r="X183" s="608"/>
    </row>
    <row r="184" spans="2:24" x14ac:dyDescent="0.2">
      <c r="B184" s="20"/>
      <c r="C184" s="20"/>
      <c r="D184" s="20"/>
      <c r="E184" s="107"/>
      <c r="F184" s="20"/>
      <c r="G184" s="20"/>
      <c r="H184" s="20"/>
      <c r="I184" s="20"/>
      <c r="J184" s="20"/>
      <c r="K184" s="20"/>
      <c r="L184" s="20"/>
      <c r="M184" s="20"/>
      <c r="N184" s="20"/>
      <c r="O184" s="7"/>
    </row>
    <row r="185" spans="2:24" ht="15.75" x14ac:dyDescent="0.25">
      <c r="B185" s="3"/>
      <c r="C185" s="12" t="s">
        <v>5</v>
      </c>
      <c r="D185" s="1384" t="str">
        <f>Translations!$B$436</f>
        <v>Narzędzie dotyczące gazów odlotowych</v>
      </c>
      <c r="E185" s="1384"/>
      <c r="F185" s="1384"/>
      <c r="G185" s="1384"/>
      <c r="H185" s="1384"/>
      <c r="I185" s="1384"/>
      <c r="J185" s="1384"/>
      <c r="K185" s="1384"/>
      <c r="L185" s="1384"/>
      <c r="M185" s="1384"/>
      <c r="N185" s="1384"/>
      <c r="O185" s="7"/>
      <c r="P185" s="8"/>
    </row>
    <row r="186" spans="2:24" ht="5.0999999999999996" customHeight="1" x14ac:dyDescent="0.2">
      <c r="B186" s="3"/>
      <c r="C186" s="3"/>
      <c r="D186" s="3"/>
      <c r="E186" s="3"/>
      <c r="F186" s="3"/>
      <c r="G186" s="3"/>
      <c r="H186" s="3"/>
      <c r="I186" s="3"/>
      <c r="J186" s="3"/>
      <c r="K186" s="3"/>
      <c r="L186" s="3"/>
      <c r="M186" s="7"/>
      <c r="N186" s="7"/>
      <c r="O186" s="7"/>
      <c r="P186" s="8"/>
    </row>
    <row r="187" spans="2:24" ht="12.75" customHeight="1" x14ac:dyDescent="0.2">
      <c r="B187" s="3"/>
      <c r="C187" s="3"/>
      <c r="D187" s="722"/>
      <c r="E187" s="1466" t="str">
        <f>Translations!$B$437</f>
        <v>Czy instalacja zużywa gazy odlotowe wytworzone poza granicami wskaźnika emisyjności dla produktów?</v>
      </c>
      <c r="F187" s="1466"/>
      <c r="G187" s="1466"/>
      <c r="H187" s="1466"/>
      <c r="I187" s="1466"/>
      <c r="J187" s="1466"/>
      <c r="K187" s="1466"/>
      <c r="L187" s="1603"/>
      <c r="M187" s="517" t="b">
        <v>0</v>
      </c>
      <c r="N187" s="7"/>
      <c r="O187" s="7"/>
      <c r="P187" s="8"/>
    </row>
    <row r="188" spans="2:24" x14ac:dyDescent="0.2">
      <c r="B188" s="3"/>
      <c r="C188" s="3"/>
      <c r="D188" s="16"/>
      <c r="E188" s="1408" t="str">
        <f>Translations!$B$438</f>
        <v>Zgodnie z definicją podaną w art. 2 pkt 10 i 11 FAR (palne) gazy odlotowe wykraczające poza granice wskaźników emisyjności dla produktów są uznawane za emisje procesowe.</v>
      </c>
      <c r="F188" s="1370"/>
      <c r="G188" s="1370"/>
      <c r="H188" s="1370"/>
      <c r="I188" s="1370"/>
      <c r="J188" s="1370"/>
      <c r="K188" s="1370"/>
      <c r="L188" s="1370"/>
      <c r="M188" s="1370"/>
      <c r="N188" s="1370"/>
      <c r="O188" s="7"/>
      <c r="P188" s="8"/>
    </row>
    <row r="189" spans="2:24" ht="25.5" customHeight="1" x14ac:dyDescent="0.2">
      <c r="B189" s="3"/>
      <c r="C189" s="3"/>
      <c r="D189" s="16"/>
      <c r="E189" s="1408" t="str">
        <f>Translations!$B$439</f>
        <v>W przypadku gazów odlotowych ilość CO2 równą ilości gazu ziemnego, wykorzystywaną jako „technicznie możliwą do wykorzystania zawartość energii”, odejmuje się od całkowitych emisji procesowych.</v>
      </c>
      <c r="F189" s="1370"/>
      <c r="G189" s="1370"/>
      <c r="H189" s="1370"/>
      <c r="I189" s="1370"/>
      <c r="J189" s="1370"/>
      <c r="K189" s="1370"/>
      <c r="L189" s="1370"/>
      <c r="M189" s="1370"/>
      <c r="N189" s="1370"/>
      <c r="O189" s="7"/>
      <c r="P189" s="8"/>
    </row>
    <row r="190" spans="2:24" x14ac:dyDescent="0.2">
      <c r="B190" s="3"/>
      <c r="C190" s="3"/>
      <c r="D190" s="16"/>
      <c r="E190" s="1408" t="str">
        <f>Translations!$B$440</f>
        <v>Ilość emisji procesowych bez tego odjęcia określa się poniżej jako „nieskorygowane emisje procesowe”.</v>
      </c>
      <c r="F190" s="1370"/>
      <c r="G190" s="1370"/>
      <c r="H190" s="1370"/>
      <c r="I190" s="1370"/>
      <c r="J190" s="1370"/>
      <c r="K190" s="1370"/>
      <c r="L190" s="1370"/>
      <c r="M190" s="1370"/>
      <c r="N190" s="1370"/>
      <c r="O190" s="7"/>
      <c r="P190" s="8"/>
    </row>
    <row r="191" spans="2:24" x14ac:dyDescent="0.2">
      <c r="B191" s="3"/>
      <c r="C191" s="3"/>
      <c r="D191" s="16"/>
      <c r="E191" s="1408" t="str">
        <f>Translations!$B$441</f>
        <v>Do ustalenia „technicznie możliwej do wykorzystania zawartości energii” potrzebne są następujące informacje:</v>
      </c>
      <c r="F191" s="1370"/>
      <c r="G191" s="1370"/>
      <c r="H191" s="1370"/>
      <c r="I191" s="1370"/>
      <c r="J191" s="1370"/>
      <c r="K191" s="1370"/>
      <c r="L191" s="1370"/>
      <c r="M191" s="1370"/>
      <c r="N191" s="1370"/>
      <c r="O191" s="7"/>
      <c r="P191" s="8"/>
    </row>
    <row r="192" spans="2:24" ht="25.5" customHeight="1" x14ac:dyDescent="0.2">
      <c r="B192" s="3"/>
      <c r="C192" s="3"/>
      <c r="D192" s="16"/>
      <c r="E192" s="123" t="s">
        <v>408</v>
      </c>
      <c r="F192" s="1416" t="str">
        <f>Translations!$B$442</f>
        <v>ilość gazów odlotowych wykorzystanych do wytwarzania energii elektrycznej i wytwarzania mierzalnego lub innego rodzaju ciepła poza podinstalacjami objętymi wskaźnikiem emisyjności dla produktów, lub wyprowadzonych poza instalację;</v>
      </c>
      <c r="G192" s="1459"/>
      <c r="H192" s="1459"/>
      <c r="I192" s="1459"/>
      <c r="J192" s="1459"/>
      <c r="K192" s="1459"/>
      <c r="L192" s="1459"/>
      <c r="M192" s="1459"/>
      <c r="N192" s="1459"/>
      <c r="O192" s="7"/>
      <c r="P192" s="8"/>
    </row>
    <row r="193" spans="2:24" x14ac:dyDescent="0.2">
      <c r="B193" s="3"/>
      <c r="C193" s="3"/>
      <c r="D193" s="16"/>
      <c r="E193" s="123" t="s">
        <v>408</v>
      </c>
      <c r="F193" s="1408" t="str">
        <f>Translations!$B$443</f>
        <v>opcjonalnie (w celu weryfikacji spójności) należy podać emisje procesowe związane z tymi ilościami gazów odlotowych;</v>
      </c>
      <c r="G193" s="1370"/>
      <c r="H193" s="1370"/>
      <c r="I193" s="1370"/>
      <c r="J193" s="1370"/>
      <c r="K193" s="1370"/>
      <c r="L193" s="1370"/>
      <c r="M193" s="1370"/>
      <c r="N193" s="1370"/>
      <c r="O193" s="7"/>
      <c r="P193" s="8"/>
    </row>
    <row r="194" spans="2:24" x14ac:dyDescent="0.2">
      <c r="B194" s="3"/>
      <c r="C194" s="3"/>
      <c r="D194" s="16"/>
      <c r="E194" s="123" t="s">
        <v>408</v>
      </c>
      <c r="F194" s="1408" t="str">
        <f>Translations!$B$444</f>
        <v>wartość opałowa gazów odlotowych;</v>
      </c>
      <c r="G194" s="1370"/>
      <c r="H194" s="1370"/>
      <c r="I194" s="1370"/>
      <c r="J194" s="1370"/>
      <c r="K194" s="1370"/>
      <c r="L194" s="1370"/>
      <c r="M194" s="1370"/>
      <c r="N194" s="1370"/>
      <c r="O194" s="7"/>
      <c r="P194" s="8"/>
    </row>
    <row r="195" spans="2:24" ht="25.5" customHeight="1" x14ac:dyDescent="0.2">
      <c r="B195" s="3"/>
      <c r="C195" s="3"/>
      <c r="D195" s="16"/>
      <c r="E195" s="123" t="s">
        <v>408</v>
      </c>
      <c r="F195" s="1416" t="str">
        <f>Translations!$B$445</f>
        <v>założenia dotyczące poszczególnych poziomów wydajności przy wykorzystaniu gazów odlotowych i gazu ziemnego. Założenia te są następujące: wydajność wytwarzania energii elektrycznej z wykorzystaniem gazu ziemnego wynosi 52,5%, a z wykorzystaniem gazów odlotowych – 35%;</v>
      </c>
      <c r="G195" s="1459"/>
      <c r="H195" s="1459"/>
      <c r="I195" s="1459"/>
      <c r="J195" s="1459"/>
      <c r="K195" s="1459"/>
      <c r="L195" s="1459"/>
      <c r="M195" s="1459"/>
      <c r="N195" s="1459"/>
      <c r="O195" s="7"/>
      <c r="P195" s="8"/>
    </row>
    <row r="196" spans="2:24" x14ac:dyDescent="0.2">
      <c r="B196" s="3"/>
      <c r="C196" s="3"/>
      <c r="D196" s="16"/>
      <c r="E196" s="123" t="s">
        <v>408</v>
      </c>
      <c r="F196" s="1408" t="str">
        <f>Translations!$B$446</f>
        <v>współczynnik emisji gazu ziemnego: 56,1 t CO2/TJ.</v>
      </c>
      <c r="G196" s="1370"/>
      <c r="H196" s="1370"/>
      <c r="I196" s="1370"/>
      <c r="J196" s="1370"/>
      <c r="K196" s="1370"/>
      <c r="L196" s="1370"/>
      <c r="M196" s="1370"/>
      <c r="N196" s="1370"/>
      <c r="O196" s="7"/>
      <c r="P196" s="8"/>
    </row>
    <row r="197" spans="2:24" ht="25.5" customHeight="1" x14ac:dyDescent="0.2">
      <c r="B197" s="20"/>
      <c r="C197" s="20"/>
      <c r="D197" s="20"/>
      <c r="E197" s="1408" t="str">
        <f>Translations!$B$447</f>
        <v>Niniejsze „narzędzie dotyczące gazów odlotowych” pojawia się dwukrotnie w niniejszym formularzu, ponieważ obie potencjalne podinstalacje można uwzględnić w jednej instalacji lub mogą pojawić się różne gazy odlotowe.</v>
      </c>
      <c r="F197" s="1370"/>
      <c r="G197" s="1370"/>
      <c r="H197" s="1370"/>
      <c r="I197" s="1370"/>
      <c r="J197" s="1370"/>
      <c r="K197" s="1370"/>
      <c r="L197" s="1370"/>
      <c r="M197" s="1370"/>
      <c r="N197" s="1370"/>
      <c r="O197" s="7"/>
      <c r="X197" s="608"/>
    </row>
    <row r="198" spans="2:24" ht="5.0999999999999996" customHeight="1" x14ac:dyDescent="0.2">
      <c r="B198" s="3"/>
      <c r="C198" s="3"/>
      <c r="D198" s="3"/>
      <c r="E198" s="3"/>
      <c r="F198" s="3"/>
      <c r="G198" s="3"/>
      <c r="H198" s="3"/>
      <c r="I198" s="3"/>
      <c r="J198" s="3"/>
      <c r="K198" s="3"/>
      <c r="L198" s="3"/>
      <c r="M198" s="7"/>
      <c r="N198" s="7"/>
      <c r="O198" s="7"/>
      <c r="P198" s="8"/>
    </row>
    <row r="199" spans="2:24" ht="25.5" customHeight="1" x14ac:dyDescent="0.25">
      <c r="B199" s="3"/>
      <c r="C199" s="18">
        <v>1</v>
      </c>
      <c r="D199" s="1439" t="str">
        <f>Translations!$B$448</f>
        <v>Narzędzie do obliczania ilości emisji procesowych, jeśli gazy odlotowe są wytwarzane poza wskaźnikiem emisyjności dla produktów</v>
      </c>
      <c r="E199" s="1370"/>
      <c r="F199" s="1370"/>
      <c r="G199" s="1370"/>
      <c r="H199" s="1370"/>
      <c r="I199" s="1370"/>
      <c r="J199" s="1370"/>
      <c r="K199" s="1370"/>
      <c r="L199" s="1370"/>
      <c r="M199" s="1370"/>
      <c r="N199" s="1370"/>
      <c r="O199" s="7"/>
      <c r="P199" s="8"/>
      <c r="X199" s="422" t="s">
        <v>466</v>
      </c>
    </row>
    <row r="200" spans="2:24" ht="5.0999999999999996" customHeight="1" thickBot="1" x14ac:dyDescent="0.25">
      <c r="B200" s="3"/>
      <c r="C200" s="3"/>
      <c r="D200" s="3"/>
      <c r="E200" s="3"/>
      <c r="F200" s="3"/>
      <c r="G200" s="3"/>
      <c r="H200" s="3"/>
      <c r="I200" s="3"/>
      <c r="J200" s="3"/>
      <c r="K200" s="3"/>
      <c r="L200" s="3"/>
      <c r="M200" s="7"/>
      <c r="N200" s="7"/>
      <c r="O200" s="7"/>
      <c r="P200" s="8"/>
    </row>
    <row r="201" spans="2:24" ht="14.25" x14ac:dyDescent="0.2">
      <c r="B201" s="3"/>
      <c r="C201" s="3"/>
      <c r="D201" s="14" t="s">
        <v>173</v>
      </c>
      <c r="E201" s="1375" t="str">
        <f>Translations!$B$449</f>
        <v>Niniejsza część dotyczy tego rodzaju podinstalacji wytwarzającej emisje procesowe:</v>
      </c>
      <c r="F201" s="1375"/>
      <c r="G201" s="1375"/>
      <c r="H201" s="1375"/>
      <c r="I201" s="1375"/>
      <c r="J201" s="1375"/>
      <c r="K201" s="1637"/>
      <c r="L201" s="1638"/>
      <c r="M201" s="1639"/>
      <c r="N201" s="1640"/>
      <c r="O201" s="7"/>
      <c r="P201" s="8"/>
      <c r="X201" s="714" t="b">
        <f>AND(M187&lt;&gt;"",M187=FALSE)</f>
        <v>1</v>
      </c>
    </row>
    <row r="202" spans="2:24" x14ac:dyDescent="0.2">
      <c r="B202" s="20"/>
      <c r="C202" s="20"/>
      <c r="D202" s="20"/>
      <c r="E202" s="1408" t="str">
        <f>Translations!$B$450</f>
        <v>W tym miejscu proszę wybrać, do której z dwóch podinstalacji wytwarzających emisje procesowe odnoszą się dane w niniejszym narzędziu.</v>
      </c>
      <c r="F202" s="1370"/>
      <c r="G202" s="1370"/>
      <c r="H202" s="1370"/>
      <c r="I202" s="1370"/>
      <c r="J202" s="1370"/>
      <c r="K202" s="1370"/>
      <c r="L202" s="1370"/>
      <c r="M202" s="1370"/>
      <c r="N202" s="1370"/>
      <c r="O202" s="7"/>
      <c r="X202" s="608"/>
    </row>
    <row r="203" spans="2:24" x14ac:dyDescent="0.2">
      <c r="B203" s="20"/>
      <c r="C203" s="20"/>
      <c r="D203" s="20"/>
      <c r="E203" s="1408" t="str">
        <f>Translations!$B$451</f>
        <v>Do ustalenia właściwej podinstalacji istotne jest wytwarzanie, a nie wykorzystanie gazów odlotowych.</v>
      </c>
      <c r="F203" s="1370"/>
      <c r="G203" s="1370"/>
      <c r="H203" s="1370"/>
      <c r="I203" s="1370"/>
      <c r="J203" s="1370"/>
      <c r="K203" s="1370"/>
      <c r="L203" s="1370"/>
      <c r="M203" s="1370"/>
      <c r="N203" s="1370"/>
      <c r="O203" s="7"/>
      <c r="X203" s="608"/>
    </row>
    <row r="204" spans="2:24" ht="5.0999999999999996" customHeight="1" x14ac:dyDescent="0.2">
      <c r="B204" s="3"/>
      <c r="C204" s="3"/>
      <c r="D204" s="3"/>
      <c r="E204" s="3"/>
      <c r="F204" s="3"/>
      <c r="G204" s="3"/>
      <c r="H204" s="3"/>
      <c r="I204" s="3"/>
      <c r="J204" s="3"/>
      <c r="K204" s="3"/>
      <c r="L204" s="3"/>
      <c r="M204" s="7"/>
      <c r="N204" s="7"/>
      <c r="O204" s="7"/>
      <c r="P204" s="8"/>
      <c r="X204" s="608"/>
    </row>
    <row r="205" spans="2:24" ht="15" x14ac:dyDescent="0.25">
      <c r="B205" s="3"/>
      <c r="C205" s="3"/>
      <c r="D205" s="14" t="s">
        <v>353</v>
      </c>
      <c r="E205" s="1375" t="str">
        <f>Translations!$B$452</f>
        <v>Proszę potwierdzić, czy gazy odlotowe dotyczą tej podinstalacji:</v>
      </c>
      <c r="F205" s="1375"/>
      <c r="G205" s="1375"/>
      <c r="H205" s="1375"/>
      <c r="I205" s="1375"/>
      <c r="J205" s="1375"/>
      <c r="K205" s="1637"/>
      <c r="L205" s="1634"/>
      <c r="M205" s="1635"/>
      <c r="N205" s="1636"/>
      <c r="O205" s="7"/>
      <c r="P205" s="8"/>
      <c r="X205" s="345" t="b">
        <f>X201</f>
        <v>1</v>
      </c>
    </row>
    <row r="206" spans="2:24" ht="5.0999999999999996" customHeight="1" x14ac:dyDescent="0.2">
      <c r="B206" s="3"/>
      <c r="C206" s="3"/>
      <c r="D206" s="3"/>
      <c r="E206" s="3"/>
      <c r="F206" s="3"/>
      <c r="G206" s="3"/>
      <c r="H206" s="3"/>
      <c r="I206" s="3"/>
      <c r="J206" s="3"/>
      <c r="K206" s="3"/>
      <c r="L206" s="3"/>
      <c r="M206" s="7"/>
      <c r="N206" s="7"/>
      <c r="O206" s="7"/>
      <c r="P206" s="8"/>
      <c r="X206" s="608"/>
    </row>
    <row r="207" spans="2:24" x14ac:dyDescent="0.2">
      <c r="B207" s="3"/>
      <c r="C207" s="3"/>
      <c r="D207" s="14" t="s">
        <v>11</v>
      </c>
      <c r="E207" s="1375" t="str">
        <f>Translations!$B$453</f>
        <v>Rodzaj gazu odlotowego:</v>
      </c>
      <c r="F207" s="1370"/>
      <c r="G207" s="1432"/>
      <c r="H207" s="1625"/>
      <c r="I207" s="1626"/>
      <c r="J207" s="1626"/>
      <c r="K207" s="1626"/>
      <c r="L207" s="1626"/>
      <c r="M207" s="1626"/>
      <c r="N207" s="1627"/>
      <c r="O207" s="7"/>
      <c r="P207" s="8"/>
      <c r="X207" s="345" t="b">
        <f>X205</f>
        <v>1</v>
      </c>
    </row>
    <row r="208" spans="2:24" x14ac:dyDescent="0.2">
      <c r="B208" s="20"/>
      <c r="C208" s="20"/>
      <c r="D208" s="20"/>
      <c r="E208" s="1408" t="str">
        <f>Translations!$B$454</f>
        <v>Proszę opisać gaz odlotowy oraz proces, w którym jest on wytwarzany. Powyżej należy wpisać nazwę strumienia gazu, a poniżej – podać krótki opis procesu.</v>
      </c>
      <c r="F208" s="1370"/>
      <c r="G208" s="1370"/>
      <c r="H208" s="1370"/>
      <c r="I208" s="1370"/>
      <c r="J208" s="1370"/>
      <c r="K208" s="1370"/>
      <c r="L208" s="1370"/>
      <c r="M208" s="1370"/>
      <c r="N208" s="1370"/>
      <c r="O208" s="7"/>
      <c r="X208" s="608"/>
    </row>
    <row r="209" spans="2:24" x14ac:dyDescent="0.2">
      <c r="B209" s="20"/>
      <c r="C209" s="20"/>
      <c r="D209" s="20"/>
      <c r="E209" s="1376" t="str">
        <f>Translations!$B$455</f>
        <v>Jeżeli Państwa instalacji dotyczą różne rodzaje gazów odlotowych, proszę przedstawić szczegóły w oddzielnych plikach, wykorzystując niniejsze narzędzie do bardziej złożonych przypadków.</v>
      </c>
      <c r="F209" s="1377"/>
      <c r="G209" s="1377"/>
      <c r="H209" s="1377"/>
      <c r="I209" s="1377"/>
      <c r="J209" s="1377"/>
      <c r="K209" s="1377"/>
      <c r="L209" s="1377"/>
      <c r="M209" s="1377"/>
      <c r="N209" s="1377"/>
      <c r="O209" s="7"/>
      <c r="X209" s="608"/>
    </row>
    <row r="210" spans="2:24" ht="38.25" customHeight="1" x14ac:dyDescent="0.2">
      <c r="B210" s="3"/>
      <c r="C210" s="3"/>
      <c r="D210" s="14"/>
      <c r="E210" s="1628"/>
      <c r="F210" s="1629"/>
      <c r="G210" s="1629"/>
      <c r="H210" s="1629"/>
      <c r="I210" s="1629"/>
      <c r="J210" s="1629"/>
      <c r="K210" s="1629"/>
      <c r="L210" s="1629"/>
      <c r="M210" s="1629"/>
      <c r="N210" s="1630"/>
      <c r="O210" s="7"/>
      <c r="P210" s="8"/>
      <c r="X210" s="345" t="b">
        <f>X207</f>
        <v>1</v>
      </c>
    </row>
    <row r="211" spans="2:24" x14ac:dyDescent="0.2">
      <c r="B211" s="3"/>
      <c r="C211" s="3"/>
      <c r="D211" s="14"/>
      <c r="E211" s="1631"/>
      <c r="F211" s="1632"/>
      <c r="G211" s="1632"/>
      <c r="H211" s="1632"/>
      <c r="I211" s="1632"/>
      <c r="J211" s="1632"/>
      <c r="K211" s="1632"/>
      <c r="L211" s="1632"/>
      <c r="M211" s="1632"/>
      <c r="N211" s="1633"/>
      <c r="O211" s="7"/>
      <c r="P211" s="8"/>
      <c r="X211" s="345" t="b">
        <f>X210</f>
        <v>1</v>
      </c>
    </row>
    <row r="212" spans="2:24" ht="5.0999999999999996" customHeight="1" x14ac:dyDescent="0.2">
      <c r="B212" s="3"/>
      <c r="C212" s="3"/>
      <c r="D212" s="3"/>
      <c r="E212" s="3"/>
      <c r="F212" s="3"/>
      <c r="G212" s="3"/>
      <c r="H212" s="3"/>
      <c r="I212" s="3"/>
      <c r="J212" s="3"/>
      <c r="K212" s="3"/>
      <c r="L212" s="3"/>
      <c r="M212" s="7"/>
      <c r="N212" s="7"/>
      <c r="O212" s="7"/>
      <c r="P212" s="8"/>
      <c r="X212" s="608"/>
    </row>
    <row r="213" spans="2:24" x14ac:dyDescent="0.2">
      <c r="B213" s="3"/>
      <c r="C213" s="3"/>
      <c r="D213" s="14" t="s">
        <v>356</v>
      </c>
      <c r="E213" s="1375" t="str">
        <f>Translations!$B$456</f>
        <v>Całkowite emisje procesowe przed odjęciem ekwiwalentu technicznie możliwej do wykorzystania zawartości energii:</v>
      </c>
      <c r="F213" s="1370"/>
      <c r="G213" s="1370"/>
      <c r="H213" s="1370"/>
      <c r="I213" s="1370"/>
      <c r="J213" s="1370"/>
      <c r="K213" s="1370"/>
      <c r="L213" s="1370"/>
      <c r="M213" s="1370"/>
      <c r="N213" s="1370"/>
      <c r="O213" s="7"/>
      <c r="P213" s="8"/>
      <c r="X213" s="608"/>
    </row>
    <row r="214" spans="2:24" x14ac:dyDescent="0.2">
      <c r="B214" s="3"/>
      <c r="C214" s="3"/>
      <c r="D214" s="16"/>
      <c r="E214" s="1408" t="str">
        <f>Translations!$B$457</f>
        <v>Ilość ta musi być zgodna ze statusem ucieczki emisji wybranym w lit. a) powyżej.</v>
      </c>
      <c r="F214" s="1370"/>
      <c r="G214" s="1370"/>
      <c r="H214" s="1370"/>
      <c r="I214" s="1370"/>
      <c r="J214" s="1370"/>
      <c r="K214" s="1370"/>
      <c r="L214" s="1370"/>
      <c r="M214" s="1370"/>
      <c r="N214" s="1370"/>
      <c r="O214" s="7"/>
      <c r="P214" s="8"/>
      <c r="X214" s="608"/>
    </row>
    <row r="215" spans="2:24" x14ac:dyDescent="0.2">
      <c r="B215" s="20"/>
      <c r="C215" s="20"/>
      <c r="D215" s="14"/>
      <c r="E215" s="25"/>
      <c r="F215" s="22"/>
      <c r="G215" s="22"/>
      <c r="H215" s="35" t="str">
        <f>EUconst_Unit</f>
        <v>Jednostka</v>
      </c>
      <c r="I215" s="396">
        <f>I$309</f>
        <v>2014</v>
      </c>
      <c r="J215" s="396">
        <f>J$309</f>
        <v>2015</v>
      </c>
      <c r="K215" s="396">
        <f>K$309</f>
        <v>2016</v>
      </c>
      <c r="L215" s="396">
        <f>L$309</f>
        <v>2017</v>
      </c>
      <c r="M215" s="396">
        <f>M$309</f>
        <v>2018</v>
      </c>
      <c r="N215" s="7"/>
      <c r="O215" s="7"/>
      <c r="X215" s="608"/>
    </row>
    <row r="216" spans="2:24" x14ac:dyDescent="0.2">
      <c r="B216" s="20"/>
      <c r="C216" s="20"/>
      <c r="D216" s="20"/>
      <c r="E216" s="1612" t="str">
        <f>Translations!$B$458</f>
        <v>Nieskorygowane emisje procesowe</v>
      </c>
      <c r="F216" s="1612"/>
      <c r="G216" s="1612"/>
      <c r="H216" s="48" t="str">
        <f>EUconst_tCO2epa</f>
        <v>t CO2e/rok</v>
      </c>
      <c r="I216" s="313"/>
      <c r="J216" s="313"/>
      <c r="K216" s="313"/>
      <c r="L216" s="313"/>
      <c r="M216" s="313"/>
      <c r="N216" s="7"/>
      <c r="O216" s="7"/>
      <c r="X216" s="345" t="b">
        <f>X211</f>
        <v>1</v>
      </c>
    </row>
    <row r="217" spans="2:24" ht="5.0999999999999996" customHeight="1" x14ac:dyDescent="0.2">
      <c r="B217" s="3"/>
      <c r="C217" s="3"/>
      <c r="D217" s="3"/>
      <c r="E217" s="3"/>
      <c r="F217" s="3"/>
      <c r="G217" s="3"/>
      <c r="H217" s="3"/>
      <c r="I217" s="3"/>
      <c r="J217" s="3"/>
      <c r="K217" s="3"/>
      <c r="L217" s="3"/>
      <c r="M217" s="7"/>
      <c r="N217" s="7"/>
      <c r="O217" s="7"/>
      <c r="P217" s="8"/>
      <c r="X217" s="608"/>
    </row>
    <row r="218" spans="2:24" x14ac:dyDescent="0.2">
      <c r="B218" s="3"/>
      <c r="C218" s="3"/>
      <c r="D218" s="14" t="s">
        <v>12</v>
      </c>
      <c r="E218" s="1375" t="str">
        <f>Translations!$B$459</f>
        <v>Oszacowanie emisji gazów odlotowych</v>
      </c>
      <c r="F218" s="1370"/>
      <c r="G218" s="1370"/>
      <c r="H218" s="1370"/>
      <c r="I218" s="1370"/>
      <c r="J218" s="1370"/>
      <c r="K218" s="1370"/>
      <c r="L218" s="1370"/>
      <c r="M218" s="1370"/>
      <c r="N218" s="1370"/>
      <c r="O218" s="7"/>
      <c r="P218" s="8"/>
      <c r="X218" s="608"/>
    </row>
    <row r="219" spans="2:24" x14ac:dyDescent="0.2">
      <c r="B219" s="3"/>
      <c r="C219" s="3"/>
      <c r="D219" s="16"/>
      <c r="E219" s="1408" t="str">
        <f>Translations!$B$460</f>
        <v>Opcjonalnie i wyłącznie do celów weryfikacji spójności proszę podać szacunkową ilość emisji związanych z wykorzystanymi lub wyprowadzonymi gazami odlotowymi.</v>
      </c>
      <c r="F219" s="1370"/>
      <c r="G219" s="1370"/>
      <c r="H219" s="1370"/>
      <c r="I219" s="1370"/>
      <c r="J219" s="1370"/>
      <c r="K219" s="1370"/>
      <c r="L219" s="1370"/>
      <c r="M219" s="1370"/>
      <c r="N219" s="1370"/>
      <c r="O219" s="7"/>
      <c r="P219" s="8"/>
      <c r="X219" s="608"/>
    </row>
    <row r="220" spans="2:24" x14ac:dyDescent="0.2">
      <c r="B220" s="3"/>
      <c r="C220" s="3"/>
      <c r="D220" s="16"/>
      <c r="E220" s="1408" t="str">
        <f>Translations!$B$461</f>
        <v>Ilość ta musi być zgodna z ilością gazów odlotowych w lit. f) poniżej.</v>
      </c>
      <c r="F220" s="1370"/>
      <c r="G220" s="1370"/>
      <c r="H220" s="1370"/>
      <c r="I220" s="1370"/>
      <c r="J220" s="1370"/>
      <c r="K220" s="1370"/>
      <c r="L220" s="1370"/>
      <c r="M220" s="1370"/>
      <c r="N220" s="1370"/>
      <c r="O220" s="7"/>
      <c r="P220" s="8"/>
      <c r="X220" s="608"/>
    </row>
    <row r="221" spans="2:24" x14ac:dyDescent="0.2">
      <c r="B221" s="20"/>
      <c r="C221" s="20"/>
      <c r="D221" s="14"/>
      <c r="E221" s="1430" t="str">
        <f>Translations!$B$462</f>
        <v>Emisje z gazów odlotowych</v>
      </c>
      <c r="F221" s="1377"/>
      <c r="G221" s="1377"/>
      <c r="H221" s="35" t="str">
        <f>EUconst_Unit</f>
        <v>Jednostka</v>
      </c>
      <c r="I221" s="396">
        <f>I$309</f>
        <v>2014</v>
      </c>
      <c r="J221" s="396">
        <f>J$309</f>
        <v>2015</v>
      </c>
      <c r="K221" s="396">
        <f>K$309</f>
        <v>2016</v>
      </c>
      <c r="L221" s="396">
        <f>L$309</f>
        <v>2017</v>
      </c>
      <c r="M221" s="396">
        <f>M$309</f>
        <v>2018</v>
      </c>
      <c r="N221" s="7"/>
      <c r="O221" s="7"/>
      <c r="X221" s="608"/>
    </row>
    <row r="222" spans="2:24" x14ac:dyDescent="0.2">
      <c r="B222" s="20"/>
      <c r="C222" s="20"/>
      <c r="D222" s="20"/>
      <c r="E222" s="1612" t="str">
        <f>Translations!$B$463</f>
        <v>poza wskaźnikami emisyjności dla produktów</v>
      </c>
      <c r="F222" s="1612"/>
      <c r="G222" s="1612"/>
      <c r="H222" s="48" t="str">
        <f>EUconst_tCO2epa</f>
        <v>t CO2e/rok</v>
      </c>
      <c r="I222" s="312"/>
      <c r="J222" s="312"/>
      <c r="K222" s="312"/>
      <c r="L222" s="312"/>
      <c r="M222" s="312"/>
      <c r="N222" s="7"/>
      <c r="O222" s="7"/>
      <c r="X222" s="345" t="b">
        <f>X216</f>
        <v>1</v>
      </c>
    </row>
    <row r="223" spans="2:24" ht="5.0999999999999996" customHeight="1" x14ac:dyDescent="0.2">
      <c r="B223" s="3"/>
      <c r="C223" s="3"/>
      <c r="D223" s="3"/>
      <c r="E223" s="3"/>
      <c r="F223" s="3"/>
      <c r="G223" s="3"/>
      <c r="H223" s="3"/>
      <c r="I223" s="3"/>
      <c r="J223" s="3"/>
      <c r="K223" s="3"/>
      <c r="L223" s="3"/>
      <c r="M223" s="7"/>
      <c r="N223" s="7"/>
      <c r="O223" s="7"/>
      <c r="P223" s="8"/>
      <c r="X223" s="608"/>
    </row>
    <row r="224" spans="2:24" x14ac:dyDescent="0.2">
      <c r="B224" s="3"/>
      <c r="C224" s="3"/>
      <c r="D224" s="14" t="s">
        <v>13</v>
      </c>
      <c r="E224" s="1375" t="str">
        <f>Translations!$B$464</f>
        <v>Ilość gazów odlotowych wytworzonych poza podinstalacjami objętymi wskaźnikiem emisyjności dla produktów, w tym do celów wyprowadzenia:</v>
      </c>
      <c r="F224" s="1370"/>
      <c r="G224" s="1370"/>
      <c r="H224" s="1370"/>
      <c r="I224" s="1370"/>
      <c r="J224" s="1370"/>
      <c r="K224" s="1370"/>
      <c r="L224" s="1370"/>
      <c r="M224" s="1370"/>
      <c r="N224" s="1370"/>
      <c r="O224" s="7"/>
      <c r="P224" s="8"/>
      <c r="X224" s="608"/>
    </row>
    <row r="225" spans="2:24" ht="12.75" customHeight="1" x14ac:dyDescent="0.2">
      <c r="B225" s="3"/>
      <c r="C225" s="3"/>
      <c r="D225" s="16"/>
      <c r="E225" s="1408" t="str">
        <f>Translations!$B$457</f>
        <v>Ilość ta musi być zgodna ze statusem ucieczki emisji wybranym w lit. a) powyżej.</v>
      </c>
      <c r="F225" s="1370"/>
      <c r="G225" s="1370"/>
      <c r="H225" s="1370"/>
      <c r="I225" s="1370"/>
      <c r="J225" s="1370"/>
      <c r="K225" s="1370"/>
      <c r="L225" s="1370"/>
      <c r="M225" s="1370"/>
      <c r="N225" s="1370"/>
      <c r="O225" s="7"/>
      <c r="P225" s="8"/>
      <c r="X225" s="608"/>
    </row>
    <row r="226" spans="2:24" ht="25.5" customHeight="1" x14ac:dyDescent="0.2">
      <c r="B226" s="3"/>
      <c r="C226" s="3"/>
      <c r="D226" s="16"/>
      <c r="E226" s="1408" t="str">
        <f>Translations!$B$465</f>
        <v>Dotyczy wyłącznie gazów odlotowych wykorzystywanych do wytwarzania ciepła lub energii elektrycznej. Jeżeli gazy odlotowe są spalane na pochodniach, należy podać tylko ilość odnoszącą się do spalania na pochodniach dla zapewnienia bezpieczeństwa.</v>
      </c>
      <c r="F226" s="1370"/>
      <c r="G226" s="1370"/>
      <c r="H226" s="1370"/>
      <c r="I226" s="1370"/>
      <c r="J226" s="1370"/>
      <c r="K226" s="1370"/>
      <c r="L226" s="1370"/>
      <c r="M226" s="1370"/>
      <c r="N226" s="1370"/>
      <c r="O226" s="7"/>
      <c r="P226" s="8"/>
      <c r="X226" s="608"/>
    </row>
    <row r="227" spans="2:24" x14ac:dyDescent="0.2">
      <c r="B227" s="3"/>
      <c r="C227" s="3"/>
      <c r="D227" s="16"/>
      <c r="E227" s="1408" t="str">
        <f>Translations!$B$466</f>
        <v>Jako jednostkę można wybrać tony albo 1000 Nm3 (metry sześcienne w warunkach standardowych). Jednostki muszą być zgodne z poniższymi jednostkami dotyczącymi wartości opałowej.</v>
      </c>
      <c r="F227" s="1370"/>
      <c r="G227" s="1370"/>
      <c r="H227" s="1370"/>
      <c r="I227" s="1370"/>
      <c r="J227" s="1370"/>
      <c r="K227" s="1370"/>
      <c r="L227" s="1370"/>
      <c r="M227" s="1370"/>
      <c r="N227" s="1370"/>
      <c r="O227" s="7"/>
      <c r="P227" s="8"/>
      <c r="X227" s="608"/>
    </row>
    <row r="228" spans="2:24" x14ac:dyDescent="0.2">
      <c r="B228" s="20"/>
      <c r="C228" s="20"/>
      <c r="D228" s="14"/>
      <c r="E228" s="1609" t="str">
        <f>Translations!$B$467</f>
        <v>Ilość gazów odlotowych rocznie</v>
      </c>
      <c r="F228" s="1377"/>
      <c r="G228" s="1377"/>
      <c r="H228" s="35" t="str">
        <f>EUconst_Unit</f>
        <v>Jednostka</v>
      </c>
      <c r="I228" s="396">
        <f>I$309</f>
        <v>2014</v>
      </c>
      <c r="J228" s="396">
        <f>J$309</f>
        <v>2015</v>
      </c>
      <c r="K228" s="396">
        <f>K$309</f>
        <v>2016</v>
      </c>
      <c r="L228" s="396">
        <f>L$309</f>
        <v>2017</v>
      </c>
      <c r="M228" s="396">
        <f>M$309</f>
        <v>2018</v>
      </c>
      <c r="N228" s="20"/>
      <c r="O228" s="7"/>
      <c r="X228" s="608"/>
    </row>
    <row r="229" spans="2:24" x14ac:dyDescent="0.2">
      <c r="B229" s="20"/>
      <c r="C229" s="20"/>
      <c r="D229" s="20"/>
      <c r="E229" s="1612" t="str">
        <f>Translations!$B$463</f>
        <v>poza wskaźnikami emisyjności dla produktów</v>
      </c>
      <c r="F229" s="1612"/>
      <c r="G229" s="1612"/>
      <c r="H229" s="232"/>
      <c r="I229" s="313"/>
      <c r="J229" s="313"/>
      <c r="K229" s="313"/>
      <c r="L229" s="313"/>
      <c r="M229" s="313"/>
      <c r="N229" s="20"/>
      <c r="O229" s="7"/>
      <c r="X229" s="345" t="b">
        <f>X222</f>
        <v>1</v>
      </c>
    </row>
    <row r="230" spans="2:24" ht="5.0999999999999996" customHeight="1" x14ac:dyDescent="0.2">
      <c r="B230" s="3"/>
      <c r="C230" s="3"/>
      <c r="D230" s="3"/>
      <c r="E230" s="3"/>
      <c r="F230" s="3"/>
      <c r="G230" s="3"/>
      <c r="H230" s="3"/>
      <c r="I230" s="3"/>
      <c r="J230" s="3"/>
      <c r="K230" s="3"/>
      <c r="L230" s="3"/>
      <c r="M230" s="7"/>
      <c r="N230" s="7"/>
      <c r="O230" s="7"/>
      <c r="P230" s="8"/>
      <c r="X230" s="608"/>
    </row>
    <row r="231" spans="2:24" x14ac:dyDescent="0.2">
      <c r="B231" s="3"/>
      <c r="C231" s="3"/>
      <c r="D231" s="14" t="s">
        <v>87</v>
      </c>
      <c r="E231" s="1375" t="str">
        <f>Translations!$B$468</f>
        <v>Wartość opałowa gazów odlotowych</v>
      </c>
      <c r="F231" s="1370"/>
      <c r="G231" s="1370"/>
      <c r="H231" s="1370"/>
      <c r="I231" s="1370"/>
      <c r="J231" s="1370"/>
      <c r="K231" s="1370"/>
      <c r="L231" s="1370"/>
      <c r="M231" s="1370"/>
      <c r="N231" s="1370"/>
      <c r="O231" s="7"/>
      <c r="P231" s="8"/>
      <c r="X231" s="608"/>
    </row>
    <row r="232" spans="2:24" x14ac:dyDescent="0.2">
      <c r="B232" s="3"/>
      <c r="C232" s="3"/>
      <c r="D232" s="16"/>
      <c r="E232" s="1408" t="str">
        <f>Translations!$B$469</f>
        <v>Jako jednostkę można wybrać GJ/t albo GJ/1000 Nm3. Jednostki muszą być zgodne z jednostkami, w których podano powyższe ilości.</v>
      </c>
      <c r="F232" s="1370"/>
      <c r="G232" s="1370"/>
      <c r="H232" s="1370"/>
      <c r="I232" s="1370"/>
      <c r="J232" s="1370"/>
      <c r="K232" s="1370"/>
      <c r="L232" s="1370"/>
      <c r="M232" s="1370"/>
      <c r="N232" s="1370"/>
      <c r="O232" s="7"/>
      <c r="P232" s="8"/>
      <c r="X232" s="608"/>
    </row>
    <row r="233" spans="2:24" x14ac:dyDescent="0.2">
      <c r="B233" s="20"/>
      <c r="C233" s="20"/>
      <c r="D233" s="14"/>
      <c r="E233" s="22"/>
      <c r="F233" s="22"/>
      <c r="G233" s="22"/>
      <c r="H233" s="35" t="str">
        <f>EUconst_Unit</f>
        <v>Jednostka</v>
      </c>
      <c r="I233" s="396">
        <f>I$309</f>
        <v>2014</v>
      </c>
      <c r="J233" s="396">
        <f>J$309</f>
        <v>2015</v>
      </c>
      <c r="K233" s="396">
        <f>K$309</f>
        <v>2016</v>
      </c>
      <c r="L233" s="396">
        <f>L$309</f>
        <v>2017</v>
      </c>
      <c r="M233" s="396">
        <f>M$309</f>
        <v>2018</v>
      </c>
      <c r="N233" s="20"/>
      <c r="O233" s="7"/>
      <c r="S233" s="45">
        <f>I233</f>
        <v>2014</v>
      </c>
      <c r="T233" s="45">
        <f>J233</f>
        <v>2015</v>
      </c>
      <c r="U233" s="45">
        <f>K233</f>
        <v>2016</v>
      </c>
      <c r="V233" s="45">
        <f>L233</f>
        <v>2017</v>
      </c>
      <c r="W233" s="45">
        <f>M233</f>
        <v>2018</v>
      </c>
      <c r="X233" s="608"/>
    </row>
    <row r="234" spans="2:24" x14ac:dyDescent="0.2">
      <c r="B234" s="20"/>
      <c r="C234" s="20"/>
      <c r="D234" s="20"/>
      <c r="E234" s="1612" t="str">
        <f>Translations!$B$470</f>
        <v>Wartość opałowa</v>
      </c>
      <c r="F234" s="1612"/>
      <c r="G234" s="1612"/>
      <c r="H234" s="98" t="str">
        <f>IF(ISBLANK(H229),EUconst_GJperUnit,INDEX(EUconst_GJperTorKNm3,MATCH(H229,EUconst_TonnesOrkNm3pa,0)))</f>
        <v>GJ / Jednostka</v>
      </c>
      <c r="I234" s="313"/>
      <c r="J234" s="313"/>
      <c r="K234" s="313"/>
      <c r="L234" s="313"/>
      <c r="M234" s="313"/>
      <c r="N234" s="20"/>
      <c r="O234" s="7"/>
      <c r="P234" s="438" t="str">
        <f>EUconst_CNTR_WGProduced &amp; C199</f>
        <v>WasteGasProd_1</v>
      </c>
      <c r="R234" s="973" t="s">
        <v>547</v>
      </c>
      <c r="S234" s="116" t="str">
        <f>IF(COUNT(I229,I234)&gt;0,I229*I234/1000,"")</f>
        <v/>
      </c>
      <c r="T234" s="116" t="str">
        <f>IF(COUNT(J229,J234)&gt;0,J229*J234/1000,"")</f>
        <v/>
      </c>
      <c r="U234" s="116" t="str">
        <f>IF(COUNT(K229,K234)&gt;0,K229*K234/1000,"")</f>
        <v/>
      </c>
      <c r="V234" s="116" t="str">
        <f>IF(COUNT(L229,L234)&gt;0,L229*L234/1000,"")</f>
        <v/>
      </c>
      <c r="W234" s="164" t="str">
        <f>IF(COUNT(M229,M234)&gt;0,M229*M234/1000,"")</f>
        <v/>
      </c>
      <c r="X234" s="345" t="b">
        <f>X229</f>
        <v>1</v>
      </c>
    </row>
    <row r="235" spans="2:24" ht="5.0999999999999996" customHeight="1" x14ac:dyDescent="0.2">
      <c r="B235" s="3"/>
      <c r="C235" s="3"/>
      <c r="D235" s="3"/>
      <c r="E235" s="3"/>
      <c r="F235" s="3"/>
      <c r="G235" s="3"/>
      <c r="H235" s="3"/>
      <c r="I235" s="3"/>
      <c r="J235" s="3"/>
      <c r="K235" s="3"/>
      <c r="L235" s="3"/>
      <c r="M235" s="7"/>
      <c r="N235" s="7"/>
      <c r="O235" s="7"/>
      <c r="P235" s="8"/>
      <c r="X235" s="608"/>
    </row>
    <row r="236" spans="2:24" x14ac:dyDescent="0.2">
      <c r="B236" s="3"/>
      <c r="C236" s="3"/>
      <c r="D236" s="14" t="s">
        <v>88</v>
      </c>
      <c r="E236" s="1375" t="str">
        <f>Translations!$B$471</f>
        <v>Niezbędne założenia:</v>
      </c>
      <c r="F236" s="1370"/>
      <c r="G236" s="1370"/>
      <c r="H236" s="1370"/>
      <c r="I236" s="1370"/>
      <c r="J236" s="1370"/>
      <c r="K236" s="1370"/>
      <c r="L236" s="1370"/>
      <c r="M236" s="1370"/>
      <c r="N236" s="1370"/>
      <c r="O236" s="7"/>
      <c r="P236" s="8"/>
      <c r="X236" s="608"/>
    </row>
    <row r="237" spans="2:24" x14ac:dyDescent="0.2">
      <c r="B237" s="20"/>
      <c r="C237" s="20"/>
      <c r="D237" s="20"/>
      <c r="E237" s="1641" t="str">
        <f>Translations!$B$472</f>
        <v>Sprawność referencyjna wytwarzania energii elektrycznej:</v>
      </c>
      <c r="F237" s="1641"/>
      <c r="G237" s="1641"/>
      <c r="H237" s="1641"/>
      <c r="I237" s="125"/>
      <c r="J237" s="125" t="str">
        <f>Translations!$B$473</f>
        <v>z wykorzystaniem gazu ziemnego:</v>
      </c>
      <c r="K237" s="233">
        <v>0.52500000000000002</v>
      </c>
      <c r="L237" s="31"/>
      <c r="M237" s="125" t="str">
        <f>Translations!$B$474</f>
        <v>z wykorzystaniem gazów odlotowych:</v>
      </c>
      <c r="N237" s="233">
        <v>0.35</v>
      </c>
      <c r="O237" s="7"/>
      <c r="X237" s="608"/>
    </row>
    <row r="238" spans="2:24" x14ac:dyDescent="0.2">
      <c r="B238" s="20"/>
      <c r="C238" s="20"/>
      <c r="D238" s="20"/>
      <c r="E238" s="1644" t="str">
        <f>Translations!$B$475</f>
        <v>Współczynnik emisji dotyczący gazu ziemnego:</v>
      </c>
      <c r="F238" s="1642"/>
      <c r="G238" s="1643"/>
      <c r="H238" s="24">
        <f>EUconst_NGEFvalue</f>
        <v>56.1</v>
      </c>
      <c r="I238" s="31" t="str">
        <f>EUconst_tCO2pTJ</f>
        <v>t CO2 / TJ</v>
      </c>
      <c r="J238" s="20"/>
      <c r="K238" s="20"/>
      <c r="L238" s="20"/>
      <c r="M238" s="20"/>
      <c r="N238" s="20"/>
      <c r="O238" s="7"/>
      <c r="X238" s="608"/>
    </row>
    <row r="239" spans="2:24" ht="5.0999999999999996" customHeight="1" x14ac:dyDescent="0.2">
      <c r="B239" s="3"/>
      <c r="C239" s="3"/>
      <c r="D239" s="3"/>
      <c r="E239" s="3"/>
      <c r="F239" s="3"/>
      <c r="G239" s="3"/>
      <c r="H239" s="3"/>
      <c r="I239" s="3"/>
      <c r="J239" s="3"/>
      <c r="K239" s="3"/>
      <c r="L239" s="3"/>
      <c r="M239" s="7"/>
      <c r="N239" s="7"/>
      <c r="O239" s="7"/>
      <c r="P239" s="8"/>
      <c r="X239" s="608"/>
    </row>
    <row r="240" spans="2:24" x14ac:dyDescent="0.2">
      <c r="B240" s="3"/>
      <c r="C240" s="3"/>
      <c r="D240" s="14" t="s">
        <v>89</v>
      </c>
      <c r="E240" s="1375" t="str">
        <f>Translations!$B$476</f>
        <v>Emisje, które należy odjąć przy uwzględnieniu technicznie możliwej do wykorzystania zawartości energii:</v>
      </c>
      <c r="F240" s="1370"/>
      <c r="G240" s="1370"/>
      <c r="H240" s="1370"/>
      <c r="I240" s="1370"/>
      <c r="J240" s="1370"/>
      <c r="K240" s="1370"/>
      <c r="L240" s="1370"/>
      <c r="M240" s="1370"/>
      <c r="N240" s="1370"/>
      <c r="O240" s="7"/>
      <c r="P240" s="8"/>
      <c r="X240" s="608"/>
    </row>
    <row r="241" spans="2:24" x14ac:dyDescent="0.2">
      <c r="B241" s="3"/>
      <c r="C241" s="3"/>
      <c r="D241" s="16"/>
      <c r="E241" s="1408" t="str">
        <f>Translations!$B$477</f>
        <v>Ilości te są automatycznie obliczane na podstawie liczb wprowadzonych powyżej. Wzór opisano w wytycznych nr 8.</v>
      </c>
      <c r="F241" s="1370"/>
      <c r="G241" s="1370"/>
      <c r="H241" s="1370"/>
      <c r="I241" s="1370"/>
      <c r="J241" s="1370"/>
      <c r="K241" s="1370"/>
      <c r="L241" s="1370"/>
      <c r="M241" s="1370"/>
      <c r="N241" s="1370"/>
      <c r="O241" s="7"/>
      <c r="P241" s="8"/>
      <c r="X241" s="608"/>
    </row>
    <row r="242" spans="2:24" x14ac:dyDescent="0.2">
      <c r="B242" s="20"/>
      <c r="C242" s="20"/>
      <c r="D242" s="14"/>
      <c r="E242" s="1609" t="str">
        <f>Translations!$B$478</f>
        <v>Odjęcie z tytułu gazów odlotowych</v>
      </c>
      <c r="F242" s="1377"/>
      <c r="G242" s="1377"/>
      <c r="H242" s="35" t="str">
        <f>EUconst_Unit</f>
        <v>Jednostka</v>
      </c>
      <c r="I242" s="396">
        <f>I$309</f>
        <v>2014</v>
      </c>
      <c r="J242" s="396">
        <f>J$309</f>
        <v>2015</v>
      </c>
      <c r="K242" s="396">
        <f>K$309</f>
        <v>2016</v>
      </c>
      <c r="L242" s="396">
        <f>L$309</f>
        <v>2017</v>
      </c>
      <c r="M242" s="396">
        <f>M$309</f>
        <v>2018</v>
      </c>
      <c r="N242" s="20"/>
      <c r="O242" s="7"/>
      <c r="X242" s="608"/>
    </row>
    <row r="243" spans="2:24" x14ac:dyDescent="0.2">
      <c r="B243" s="20"/>
      <c r="C243" s="20"/>
      <c r="D243" s="20"/>
      <c r="E243" s="1612" t="str">
        <f>Translations!$B$463</f>
        <v>poza wskaźnikami emisyjności dla produktów</v>
      </c>
      <c r="F243" s="1612"/>
      <c r="G243" s="1612"/>
      <c r="H243" s="48" t="str">
        <f>EUconst_tCO2pa</f>
        <v>t CO2 / rok</v>
      </c>
      <c r="I243" s="311" t="str">
        <f>IF(AND(ISNUMBER(I229),ISNUMBER(I234)),(I229*I234/1000)*$H238*$N237/$K237,"")</f>
        <v/>
      </c>
      <c r="J243" s="311" t="str">
        <f>IF(AND(ISNUMBER(J229),ISNUMBER(J234)),(J229*J234/1000)*$H238*$N237/$K237,"")</f>
        <v/>
      </c>
      <c r="K243" s="311" t="str">
        <f>IF(AND(ISNUMBER(K229),ISNUMBER(K234)),(K229*K234/1000)*$H238*$N237/$K237,"")</f>
        <v/>
      </c>
      <c r="L243" s="311" t="str">
        <f>IF(AND(ISNUMBER(L229),ISNUMBER(L234)),(L229*L234/1000)*$H238*$N237/$K237,"")</f>
        <v/>
      </c>
      <c r="M243" s="311" t="str">
        <f>IF(AND(ISNUMBER(M229),ISNUMBER(M234)),(M229*M234/1000)*$H238*$N237/$K237,"")</f>
        <v/>
      </c>
      <c r="N243" s="20"/>
      <c r="O243" s="7"/>
      <c r="X243" s="608"/>
    </row>
    <row r="244" spans="2:24" x14ac:dyDescent="0.2">
      <c r="B244" s="20"/>
      <c r="C244" s="20"/>
      <c r="D244" s="20"/>
      <c r="E244" s="20"/>
      <c r="F244" s="20"/>
      <c r="G244" s="20"/>
      <c r="H244" s="20"/>
      <c r="I244" s="20"/>
      <c r="J244" s="20"/>
      <c r="K244" s="20"/>
      <c r="L244" s="20"/>
      <c r="M244" s="20"/>
      <c r="N244" s="20"/>
      <c r="O244" s="7"/>
      <c r="X244" s="608"/>
    </row>
    <row r="245" spans="2:24" x14ac:dyDescent="0.2">
      <c r="B245" s="3"/>
      <c r="C245" s="3"/>
      <c r="D245" s="14" t="s">
        <v>218</v>
      </c>
      <c r="E245" s="1375" t="str">
        <f>Translations!$B$479</f>
        <v>Emisje procesowe obliczone z uwzględnieniem korekty gazów odlotowych (=d-i)</v>
      </c>
      <c r="F245" s="1370"/>
      <c r="G245" s="1370"/>
      <c r="H245" s="1370"/>
      <c r="I245" s="1370"/>
      <c r="J245" s="1370"/>
      <c r="K245" s="1370"/>
      <c r="L245" s="1370"/>
      <c r="M245" s="1370"/>
      <c r="N245" s="1370"/>
      <c r="O245" s="7"/>
      <c r="P245" s="8"/>
      <c r="X245" s="608"/>
    </row>
    <row r="246" spans="2:24" ht="25.5" customHeight="1" x14ac:dyDescent="0.2">
      <c r="B246" s="3"/>
      <c r="C246" s="3"/>
      <c r="D246" s="16"/>
      <c r="E246" s="1448" t="str">
        <f>Translations!$B$480</f>
        <v>Jest to wynik końcowy zastosowania tego narzędzia. Wartości wyświetlone w tym miejscu należy wpisać w arkuszu G dla odpowiedniej podinstalacji wytwarzającej emisje procesowe.</v>
      </c>
      <c r="F246" s="1434"/>
      <c r="G246" s="1434"/>
      <c r="H246" s="1434"/>
      <c r="I246" s="1434"/>
      <c r="J246" s="1434"/>
      <c r="K246" s="1434"/>
      <c r="L246" s="1434"/>
      <c r="M246" s="1434"/>
      <c r="N246" s="1434"/>
      <c r="O246" s="7"/>
      <c r="P246" s="8"/>
      <c r="X246" s="608"/>
    </row>
    <row r="247" spans="2:24" x14ac:dyDescent="0.2">
      <c r="B247" s="3"/>
      <c r="C247" s="3"/>
      <c r="D247" s="16"/>
      <c r="E247" s="1408" t="str">
        <f>Translations!$B$429</f>
        <v>Wyniki obliczeń można uznać za prawidłowe tylko wówczas, gdy w częściach powyżej podano kompletne i spójne dane.</v>
      </c>
      <c r="F247" s="1370"/>
      <c r="G247" s="1370"/>
      <c r="H247" s="1370"/>
      <c r="I247" s="1370"/>
      <c r="J247" s="1370"/>
      <c r="K247" s="1370"/>
      <c r="L247" s="1370"/>
      <c r="M247" s="1370"/>
      <c r="N247" s="1370"/>
      <c r="O247" s="7"/>
      <c r="P247" s="8"/>
      <c r="X247" s="608"/>
    </row>
    <row r="248" spans="2:24" x14ac:dyDescent="0.2">
      <c r="B248" s="3"/>
      <c r="C248" s="3"/>
      <c r="D248" s="16"/>
      <c r="E248" s="1408" t="str">
        <f>Translations!$B$481</f>
        <v>W przypadku gdy wynik jest ujemny, ustala się go na zero.</v>
      </c>
      <c r="F248" s="1370"/>
      <c r="G248" s="1370"/>
      <c r="H248" s="1370"/>
      <c r="I248" s="1370"/>
      <c r="J248" s="1370"/>
      <c r="K248" s="1370"/>
      <c r="L248" s="1370"/>
      <c r="M248" s="1370"/>
      <c r="N248" s="1370"/>
      <c r="O248" s="7"/>
      <c r="P248" s="8"/>
      <c r="X248" s="608"/>
    </row>
    <row r="249" spans="2:24" x14ac:dyDescent="0.2">
      <c r="B249" s="20"/>
      <c r="C249" s="20"/>
      <c r="D249" s="14"/>
      <c r="E249" s="22"/>
      <c r="F249" s="22"/>
      <c r="G249" s="22"/>
      <c r="H249" s="35" t="str">
        <f>EUconst_Unit</f>
        <v>Jednostka</v>
      </c>
      <c r="I249" s="396">
        <f>I$309</f>
        <v>2014</v>
      </c>
      <c r="J249" s="396">
        <f>J$309</f>
        <v>2015</v>
      </c>
      <c r="K249" s="396">
        <f>K$309</f>
        <v>2016</v>
      </c>
      <c r="L249" s="396">
        <f>L$309</f>
        <v>2017</v>
      </c>
      <c r="M249" s="396">
        <f>M$309</f>
        <v>2018</v>
      </c>
      <c r="N249" s="20"/>
      <c r="O249" s="7"/>
      <c r="X249" s="608"/>
    </row>
    <row r="250" spans="2:24" ht="25.5" customHeight="1" x14ac:dyDescent="0.2">
      <c r="B250" s="20"/>
      <c r="C250" s="20"/>
      <c r="D250" s="20"/>
      <c r="E250" s="1612" t="str">
        <f>Translations!$B$482</f>
        <v>Wynik zastosowania narzędzia dotyczącego gazów odlotowych:</v>
      </c>
      <c r="F250" s="1612"/>
      <c r="G250" s="1612"/>
      <c r="H250" s="52" t="str">
        <f>EUconst_tCO2pa</f>
        <v>t CO2 / rok</v>
      </c>
      <c r="I250" s="311" t="str">
        <f>IF(ISNUMBER(I243),IF((IF(ISNUMBER(I216),I216,0)-SUM(I243))&lt;0,0,IF(ISNUMBER(I216),I216,0)-SUM(I243)),"")</f>
        <v/>
      </c>
      <c r="J250" s="311" t="str">
        <f>IF(ISNUMBER(J243),IF((IF(ISNUMBER(J216),J216,0)-SUM(J243))&lt;0,0,IF(ISNUMBER(J216),J216,0)-SUM(J243)),"")</f>
        <v/>
      </c>
      <c r="K250" s="311" t="str">
        <f>IF(ISNUMBER(K243),IF((IF(ISNUMBER(K216),K216,0)-SUM(K243))&lt;0,0,IF(ISNUMBER(K216),K216,0)-SUM(K243)),"")</f>
        <v/>
      </c>
      <c r="L250" s="311" t="str">
        <f>IF(ISNUMBER(L243),IF((IF(ISNUMBER(L216),L216,0)-SUM(L243))&lt;0,0,IF(ISNUMBER(L216),L216,0)-SUM(L243)),"")</f>
        <v/>
      </c>
      <c r="M250" s="311" t="str">
        <f>IF(ISNUMBER(M243),IF((IF(ISNUMBER(M216),M216,0)-SUM(M243))&lt;0,0,IF(ISNUMBER(M216),M216,0)-SUM(M243)),"")</f>
        <v/>
      </c>
      <c r="N250" s="20"/>
      <c r="O250" s="7"/>
      <c r="X250" s="608"/>
    </row>
    <row r="251" spans="2:24" x14ac:dyDescent="0.2">
      <c r="B251" s="20"/>
      <c r="C251" s="20"/>
      <c r="D251" s="20"/>
      <c r="E251" s="20"/>
      <c r="F251" s="20"/>
      <c r="G251" s="20"/>
      <c r="H251" s="20"/>
      <c r="I251" s="20"/>
      <c r="J251" s="20"/>
      <c r="K251" s="20"/>
      <c r="L251" s="20"/>
      <c r="M251" s="20"/>
      <c r="N251" s="20"/>
      <c r="O251" s="7"/>
      <c r="X251" s="608"/>
    </row>
    <row r="252" spans="2:24" ht="5.0999999999999996" customHeight="1" x14ac:dyDescent="0.2">
      <c r="B252" s="3"/>
      <c r="C252" s="3"/>
      <c r="D252" s="3"/>
      <c r="E252" s="3"/>
      <c r="F252" s="3"/>
      <c r="G252" s="3"/>
      <c r="H252" s="3"/>
      <c r="I252" s="3"/>
      <c r="J252" s="3"/>
      <c r="K252" s="3"/>
      <c r="L252" s="3"/>
      <c r="M252" s="7"/>
      <c r="N252" s="7"/>
      <c r="O252" s="7"/>
      <c r="P252" s="8"/>
      <c r="X252" s="608"/>
    </row>
    <row r="253" spans="2:24" ht="25.5" customHeight="1" x14ac:dyDescent="0.25">
      <c r="B253" s="3"/>
      <c r="C253" s="18">
        <v>2</v>
      </c>
      <c r="D253" s="1439" t="str">
        <f>Translations!$B$448</f>
        <v>Narzędzie do obliczania ilości emisji procesowych, jeśli gazy odlotowe są wytwarzane poza wskaźnikiem emisyjności dla produktów</v>
      </c>
      <c r="E253" s="1370"/>
      <c r="F253" s="1370"/>
      <c r="G253" s="1370"/>
      <c r="H253" s="1370"/>
      <c r="I253" s="1370"/>
      <c r="J253" s="1370"/>
      <c r="K253" s="1370"/>
      <c r="L253" s="1370"/>
      <c r="M253" s="1370"/>
      <c r="N253" s="1370"/>
      <c r="O253" s="7"/>
      <c r="P253" s="8"/>
      <c r="X253" s="608"/>
    </row>
    <row r="254" spans="2:24" ht="5.0999999999999996" customHeight="1" x14ac:dyDescent="0.2">
      <c r="B254" s="3"/>
      <c r="C254" s="3"/>
      <c r="D254" s="3"/>
      <c r="E254" s="3"/>
      <c r="F254" s="3"/>
      <c r="G254" s="3"/>
      <c r="H254" s="3"/>
      <c r="I254" s="3"/>
      <c r="J254" s="3"/>
      <c r="K254" s="3"/>
      <c r="L254" s="3"/>
      <c r="M254" s="7"/>
      <c r="N254" s="7"/>
      <c r="O254" s="7"/>
      <c r="P254" s="8"/>
      <c r="X254" s="608"/>
    </row>
    <row r="255" spans="2:24" x14ac:dyDescent="0.2">
      <c r="B255" s="20"/>
      <c r="C255" s="20"/>
      <c r="D255" s="20"/>
      <c r="E255" s="1622" t="str">
        <f>HYPERLINK($Q255,CONCATENATE(EUconst_MsgSeeFirst," (D.IV.1)"))</f>
        <v>Szczegółowe instrukcje dotyczące wprowadzania danych w tym narzędziu znajdują się w pierwszej kopii tego narzędzia.  (D.IV.1)</v>
      </c>
      <c r="F255" s="1622"/>
      <c r="G255" s="1622"/>
      <c r="H255" s="1622"/>
      <c r="I255" s="1622"/>
      <c r="J255" s="1622"/>
      <c r="K255" s="1622"/>
      <c r="L255" s="1622"/>
      <c r="M255" s="1622"/>
      <c r="N255" s="1622"/>
      <c r="O255" s="7"/>
      <c r="P255" s="2" t="s">
        <v>199</v>
      </c>
      <c r="Q255" s="346" t="str">
        <f>"#"&amp;ADDRESS(ROW(C199),COLUMN(C199))</f>
        <v>#$C$199</v>
      </c>
      <c r="X255" s="608"/>
    </row>
    <row r="256" spans="2:24" ht="5.0999999999999996" customHeight="1" x14ac:dyDescent="0.2">
      <c r="B256" s="3"/>
      <c r="C256" s="3"/>
      <c r="D256" s="3"/>
      <c r="E256" s="3"/>
      <c r="F256" s="3"/>
      <c r="G256" s="3"/>
      <c r="H256" s="3"/>
      <c r="I256" s="3"/>
      <c r="J256" s="3"/>
      <c r="K256" s="3"/>
      <c r="L256" s="3"/>
      <c r="M256" s="7"/>
      <c r="N256" s="7"/>
      <c r="O256" s="7"/>
      <c r="P256" s="8"/>
      <c r="X256" s="608"/>
    </row>
    <row r="257" spans="2:24" ht="14.25" x14ac:dyDescent="0.2">
      <c r="B257" s="3"/>
      <c r="C257" s="3"/>
      <c r="D257" s="14" t="s">
        <v>173</v>
      </c>
      <c r="E257" s="1375" t="str">
        <f>Translations!$B$449</f>
        <v>Niniejsza część dotyczy tego rodzaju podinstalacji wytwarzającej emisje procesowe:</v>
      </c>
      <c r="F257" s="1375"/>
      <c r="G257" s="1375"/>
      <c r="H257" s="1375"/>
      <c r="I257" s="1375"/>
      <c r="J257" s="1375"/>
      <c r="K257" s="1637"/>
      <c r="L257" s="1638"/>
      <c r="M257" s="1639"/>
      <c r="N257" s="1640"/>
      <c r="O257" s="7"/>
      <c r="P257" s="8"/>
      <c r="X257" s="345" t="b">
        <f>X234</f>
        <v>1</v>
      </c>
    </row>
    <row r="258" spans="2:24" ht="5.0999999999999996" customHeight="1" x14ac:dyDescent="0.2">
      <c r="B258" s="3"/>
      <c r="C258" s="3"/>
      <c r="D258" s="3"/>
      <c r="E258" s="3"/>
      <c r="F258" s="3"/>
      <c r="G258" s="3"/>
      <c r="H258" s="3"/>
      <c r="I258" s="3"/>
      <c r="J258" s="3"/>
      <c r="K258" s="3"/>
      <c r="L258" s="3"/>
      <c r="M258" s="7"/>
      <c r="N258" s="7"/>
      <c r="O258" s="7"/>
      <c r="P258" s="8"/>
      <c r="X258" s="608"/>
    </row>
    <row r="259" spans="2:24" ht="15" x14ac:dyDescent="0.25">
      <c r="B259" s="3"/>
      <c r="C259" s="3"/>
      <c r="D259" s="14" t="s">
        <v>353</v>
      </c>
      <c r="E259" s="1375" t="str">
        <f>Translations!$B$452</f>
        <v>Proszę potwierdzić, czy gazy odlotowe dotyczą tej podinstalacji:</v>
      </c>
      <c r="F259" s="1375"/>
      <c r="G259" s="1375"/>
      <c r="H259" s="1375"/>
      <c r="I259" s="1375"/>
      <c r="J259" s="1375"/>
      <c r="K259" s="1637"/>
      <c r="L259" s="1634"/>
      <c r="M259" s="1635"/>
      <c r="N259" s="1636"/>
      <c r="O259" s="7"/>
      <c r="P259" s="8"/>
      <c r="X259" s="345" t="b">
        <f>X257</f>
        <v>1</v>
      </c>
    </row>
    <row r="260" spans="2:24" ht="5.0999999999999996" customHeight="1" x14ac:dyDescent="0.2">
      <c r="B260" s="3"/>
      <c r="C260" s="3"/>
      <c r="D260" s="3"/>
      <c r="E260" s="3"/>
      <c r="F260" s="3"/>
      <c r="G260" s="3"/>
      <c r="H260" s="3"/>
      <c r="I260" s="3"/>
      <c r="J260" s="3"/>
      <c r="K260" s="3"/>
      <c r="L260" s="3"/>
      <c r="M260" s="7"/>
      <c r="N260" s="7"/>
      <c r="O260" s="7"/>
      <c r="P260" s="8"/>
      <c r="X260" s="608"/>
    </row>
    <row r="261" spans="2:24" x14ac:dyDescent="0.2">
      <c r="B261" s="3"/>
      <c r="C261" s="3"/>
      <c r="D261" s="14" t="s">
        <v>11</v>
      </c>
      <c r="E261" s="1375" t="str">
        <f>Translations!$B$453</f>
        <v>Rodzaj gazu odlotowego:</v>
      </c>
      <c r="F261" s="1370"/>
      <c r="G261" s="1432"/>
      <c r="H261" s="1625"/>
      <c r="I261" s="1626"/>
      <c r="J261" s="1626"/>
      <c r="K261" s="1626"/>
      <c r="L261" s="1626"/>
      <c r="M261" s="1626"/>
      <c r="N261" s="1627"/>
      <c r="O261" s="7"/>
      <c r="P261" s="8"/>
      <c r="X261" s="345" t="b">
        <f>X259</f>
        <v>1</v>
      </c>
    </row>
    <row r="262" spans="2:24" ht="5.0999999999999996" customHeight="1" x14ac:dyDescent="0.2">
      <c r="B262" s="3"/>
      <c r="C262" s="3"/>
      <c r="D262" s="3"/>
      <c r="E262" s="3"/>
      <c r="F262" s="3"/>
      <c r="G262" s="3"/>
      <c r="H262" s="3"/>
      <c r="I262" s="3"/>
      <c r="J262" s="3"/>
      <c r="K262" s="3"/>
      <c r="L262" s="3"/>
      <c r="M262" s="7"/>
      <c r="N262" s="7"/>
      <c r="O262" s="7"/>
      <c r="P262" s="8"/>
      <c r="X262" s="608"/>
    </row>
    <row r="263" spans="2:24" ht="25.5" customHeight="1" x14ac:dyDescent="0.2">
      <c r="B263" s="3"/>
      <c r="C263" s="3"/>
      <c r="D263" s="14"/>
      <c r="E263" s="1628"/>
      <c r="F263" s="1629"/>
      <c r="G263" s="1629"/>
      <c r="H263" s="1629"/>
      <c r="I263" s="1629"/>
      <c r="J263" s="1629"/>
      <c r="K263" s="1629"/>
      <c r="L263" s="1629"/>
      <c r="M263" s="1629"/>
      <c r="N263" s="1630"/>
      <c r="O263" s="7"/>
      <c r="P263" s="8"/>
      <c r="X263" s="345" t="b">
        <f>X261</f>
        <v>1</v>
      </c>
    </row>
    <row r="264" spans="2:24" x14ac:dyDescent="0.2">
      <c r="B264" s="3"/>
      <c r="C264" s="3"/>
      <c r="D264" s="14"/>
      <c r="E264" s="1631"/>
      <c r="F264" s="1632"/>
      <c r="G264" s="1632"/>
      <c r="H264" s="1632"/>
      <c r="I264" s="1632"/>
      <c r="J264" s="1632"/>
      <c r="K264" s="1632"/>
      <c r="L264" s="1632"/>
      <c r="M264" s="1632"/>
      <c r="N264" s="1633"/>
      <c r="O264" s="7"/>
      <c r="P264" s="8"/>
      <c r="X264" s="345" t="b">
        <f>X263</f>
        <v>1</v>
      </c>
    </row>
    <row r="265" spans="2:24" ht="5.0999999999999996" customHeight="1" x14ac:dyDescent="0.2">
      <c r="B265" s="3"/>
      <c r="C265" s="3"/>
      <c r="D265" s="3"/>
      <c r="E265" s="3"/>
      <c r="F265" s="3"/>
      <c r="G265" s="3"/>
      <c r="H265" s="3"/>
      <c r="I265" s="3"/>
      <c r="J265" s="3"/>
      <c r="K265" s="3"/>
      <c r="L265" s="3"/>
      <c r="M265" s="7"/>
      <c r="N265" s="7"/>
      <c r="O265" s="7"/>
      <c r="P265" s="8"/>
      <c r="X265" s="608"/>
    </row>
    <row r="266" spans="2:24" x14ac:dyDescent="0.2">
      <c r="B266" s="3"/>
      <c r="C266" s="3"/>
      <c r="D266" s="14" t="s">
        <v>356</v>
      </c>
      <c r="E266" s="1375" t="str">
        <f>Translations!$B$456</f>
        <v>Całkowite emisje procesowe przed odjęciem ekwiwalentu technicznie możliwej do wykorzystania zawartości energii:</v>
      </c>
      <c r="F266" s="1370"/>
      <c r="G266" s="1370"/>
      <c r="H266" s="1370"/>
      <c r="I266" s="1370"/>
      <c r="J266" s="1370"/>
      <c r="K266" s="1370"/>
      <c r="L266" s="1370"/>
      <c r="M266" s="1370"/>
      <c r="N266" s="1370"/>
      <c r="O266" s="7"/>
      <c r="P266" s="8"/>
      <c r="X266" s="608"/>
    </row>
    <row r="267" spans="2:24" ht="5.0999999999999996" customHeight="1" x14ac:dyDescent="0.2">
      <c r="B267" s="3"/>
      <c r="C267" s="3"/>
      <c r="D267" s="3"/>
      <c r="E267" s="3"/>
      <c r="F267" s="3"/>
      <c r="G267" s="3"/>
      <c r="H267" s="3"/>
      <c r="I267" s="3"/>
      <c r="J267" s="3"/>
      <c r="K267" s="3"/>
      <c r="L267" s="3"/>
      <c r="M267" s="7"/>
      <c r="N267" s="7"/>
      <c r="O267" s="7"/>
      <c r="P267" s="8"/>
      <c r="X267" s="608"/>
    </row>
    <row r="268" spans="2:24" x14ac:dyDescent="0.2">
      <c r="B268" s="20"/>
      <c r="C268" s="20"/>
      <c r="D268" s="14"/>
      <c r="E268" s="25"/>
      <c r="F268" s="22"/>
      <c r="G268" s="22"/>
      <c r="H268" s="35" t="str">
        <f>EUconst_Unit</f>
        <v>Jednostka</v>
      </c>
      <c r="I268" s="396">
        <f>I$309</f>
        <v>2014</v>
      </c>
      <c r="J268" s="396">
        <f>J$309</f>
        <v>2015</v>
      </c>
      <c r="K268" s="396">
        <f>K$309</f>
        <v>2016</v>
      </c>
      <c r="L268" s="396">
        <f>L$309</f>
        <v>2017</v>
      </c>
      <c r="M268" s="396">
        <f>M$309</f>
        <v>2018</v>
      </c>
      <c r="N268" s="7"/>
      <c r="O268" s="7"/>
      <c r="X268" s="608"/>
    </row>
    <row r="269" spans="2:24" x14ac:dyDescent="0.2">
      <c r="B269" s="20"/>
      <c r="C269" s="20"/>
      <c r="D269" s="20"/>
      <c r="E269" s="1612" t="str">
        <f>Translations!$B$458</f>
        <v>Nieskorygowane emisje procesowe</v>
      </c>
      <c r="F269" s="1612"/>
      <c r="G269" s="1612"/>
      <c r="H269" s="48" t="str">
        <f>EUconst_tCO2epa</f>
        <v>t CO2e/rok</v>
      </c>
      <c r="I269" s="313"/>
      <c r="J269" s="313"/>
      <c r="K269" s="313"/>
      <c r="L269" s="313"/>
      <c r="M269" s="313"/>
      <c r="N269" s="7"/>
      <c r="O269" s="7"/>
      <c r="X269" s="345" t="b">
        <f>X264</f>
        <v>1</v>
      </c>
    </row>
    <row r="270" spans="2:24" ht="5.0999999999999996" customHeight="1" x14ac:dyDescent="0.2">
      <c r="B270" s="3"/>
      <c r="C270" s="3"/>
      <c r="D270" s="3"/>
      <c r="E270" s="3"/>
      <c r="F270" s="3"/>
      <c r="G270" s="3"/>
      <c r="H270" s="3"/>
      <c r="I270" s="3"/>
      <c r="J270" s="3"/>
      <c r="K270" s="3"/>
      <c r="L270" s="3"/>
      <c r="M270" s="7"/>
      <c r="N270" s="7"/>
      <c r="O270" s="7"/>
      <c r="P270" s="8"/>
      <c r="X270" s="608"/>
    </row>
    <row r="271" spans="2:24" x14ac:dyDescent="0.2">
      <c r="B271" s="3"/>
      <c r="C271" s="3"/>
      <c r="D271" s="14" t="s">
        <v>12</v>
      </c>
      <c r="E271" s="1375" t="str">
        <f>Translations!$B$459</f>
        <v>Oszacowanie emisji gazów odlotowych</v>
      </c>
      <c r="F271" s="1370"/>
      <c r="G271" s="1370"/>
      <c r="H271" s="1370"/>
      <c r="I271" s="1370"/>
      <c r="J271" s="1370"/>
      <c r="K271" s="1370"/>
      <c r="L271" s="1370"/>
      <c r="M271" s="1370"/>
      <c r="N271" s="1370"/>
      <c r="O271" s="7"/>
      <c r="P271" s="8"/>
      <c r="X271" s="608"/>
    </row>
    <row r="272" spans="2:24" ht="5.0999999999999996" customHeight="1" x14ac:dyDescent="0.2">
      <c r="B272" s="3"/>
      <c r="C272" s="3"/>
      <c r="D272" s="3"/>
      <c r="E272" s="3"/>
      <c r="F272" s="3"/>
      <c r="G272" s="3"/>
      <c r="H272" s="3"/>
      <c r="I272" s="3"/>
      <c r="J272" s="3"/>
      <c r="K272" s="3"/>
      <c r="L272" s="3"/>
      <c r="M272" s="7"/>
      <c r="N272" s="7"/>
      <c r="O272" s="7"/>
      <c r="P272" s="8"/>
      <c r="X272" s="608"/>
    </row>
    <row r="273" spans="2:24" x14ac:dyDescent="0.2">
      <c r="B273" s="20"/>
      <c r="C273" s="20"/>
      <c r="D273" s="14"/>
      <c r="E273" s="1430" t="str">
        <f>Translations!$B$462</f>
        <v>Emisje z gazów odlotowych</v>
      </c>
      <c r="F273" s="1377"/>
      <c r="G273" s="1377"/>
      <c r="H273" s="35" t="str">
        <f>EUconst_Unit</f>
        <v>Jednostka</v>
      </c>
      <c r="I273" s="396">
        <f>I$309</f>
        <v>2014</v>
      </c>
      <c r="J273" s="396">
        <f>J$309</f>
        <v>2015</v>
      </c>
      <c r="K273" s="396">
        <f>K$309</f>
        <v>2016</v>
      </c>
      <c r="L273" s="396">
        <f>L$309</f>
        <v>2017</v>
      </c>
      <c r="M273" s="396">
        <f>M$309</f>
        <v>2018</v>
      </c>
      <c r="N273" s="7"/>
      <c r="O273" s="7"/>
      <c r="X273" s="608"/>
    </row>
    <row r="274" spans="2:24" x14ac:dyDescent="0.2">
      <c r="B274" s="20"/>
      <c r="C274" s="20"/>
      <c r="D274" s="20"/>
      <c r="E274" s="1612" t="str">
        <f>Translations!$B$463</f>
        <v>poza wskaźnikami emisyjności dla produktów</v>
      </c>
      <c r="F274" s="1612"/>
      <c r="G274" s="1612"/>
      <c r="H274" s="48" t="str">
        <f>EUconst_tCO2epa</f>
        <v>t CO2e/rok</v>
      </c>
      <c r="I274" s="312"/>
      <c r="J274" s="312"/>
      <c r="K274" s="312"/>
      <c r="L274" s="312"/>
      <c r="M274" s="312"/>
      <c r="N274" s="7"/>
      <c r="O274" s="7"/>
      <c r="X274" s="345" t="b">
        <f>X269</f>
        <v>1</v>
      </c>
    </row>
    <row r="275" spans="2:24" ht="5.0999999999999996" customHeight="1" x14ac:dyDescent="0.2">
      <c r="B275" s="3"/>
      <c r="C275" s="3"/>
      <c r="D275" s="3"/>
      <c r="E275" s="3"/>
      <c r="F275" s="3"/>
      <c r="G275" s="3"/>
      <c r="H275" s="3"/>
      <c r="I275" s="3"/>
      <c r="J275" s="3"/>
      <c r="K275" s="3"/>
      <c r="L275" s="3"/>
      <c r="M275" s="7"/>
      <c r="N275" s="7"/>
      <c r="O275" s="7"/>
      <c r="P275" s="8"/>
      <c r="X275" s="608"/>
    </row>
    <row r="276" spans="2:24" x14ac:dyDescent="0.2">
      <c r="B276" s="3"/>
      <c r="C276" s="3"/>
      <c r="D276" s="14" t="s">
        <v>13</v>
      </c>
      <c r="E276" s="1375" t="str">
        <f>Translations!$B$464</f>
        <v>Ilość gazów odlotowych wytworzonych poza podinstalacjami objętymi wskaźnikiem emisyjności dla produktów, w tym do celów wyprowadzenia:</v>
      </c>
      <c r="F276" s="1370"/>
      <c r="G276" s="1370"/>
      <c r="H276" s="1370"/>
      <c r="I276" s="1370"/>
      <c r="J276" s="1370"/>
      <c r="K276" s="1370"/>
      <c r="L276" s="1370"/>
      <c r="M276" s="1370"/>
      <c r="N276" s="1370"/>
      <c r="O276" s="7"/>
      <c r="P276" s="8"/>
      <c r="X276" s="608"/>
    </row>
    <row r="277" spans="2:24" ht="5.0999999999999996" customHeight="1" x14ac:dyDescent="0.2">
      <c r="B277" s="3"/>
      <c r="C277" s="3"/>
      <c r="D277" s="3"/>
      <c r="E277" s="3"/>
      <c r="F277" s="3"/>
      <c r="G277" s="3"/>
      <c r="H277" s="3"/>
      <c r="I277" s="3"/>
      <c r="J277" s="3"/>
      <c r="K277" s="3"/>
      <c r="L277" s="3"/>
      <c r="M277" s="7"/>
      <c r="N277" s="7"/>
      <c r="O277" s="7"/>
      <c r="P277" s="8"/>
      <c r="X277" s="608"/>
    </row>
    <row r="278" spans="2:24" x14ac:dyDescent="0.2">
      <c r="B278" s="20"/>
      <c r="C278" s="20"/>
      <c r="D278" s="14"/>
      <c r="E278" s="1609" t="str">
        <f>Translations!$B$467</f>
        <v>Ilość gazów odlotowych rocznie</v>
      </c>
      <c r="F278" s="1377"/>
      <c r="G278" s="1377"/>
      <c r="H278" s="35" t="str">
        <f>EUconst_Unit</f>
        <v>Jednostka</v>
      </c>
      <c r="I278" s="396">
        <f>I$309</f>
        <v>2014</v>
      </c>
      <c r="J278" s="396">
        <f>J$309</f>
        <v>2015</v>
      </c>
      <c r="K278" s="396">
        <f>K$309</f>
        <v>2016</v>
      </c>
      <c r="L278" s="396">
        <f>L$309</f>
        <v>2017</v>
      </c>
      <c r="M278" s="396">
        <f>M$309</f>
        <v>2018</v>
      </c>
      <c r="N278" s="7"/>
      <c r="O278" s="7"/>
      <c r="X278" s="608"/>
    </row>
    <row r="279" spans="2:24" ht="12.75" customHeight="1" x14ac:dyDescent="0.2">
      <c r="B279" s="20"/>
      <c r="C279" s="20"/>
      <c r="D279" s="20"/>
      <c r="E279" s="1612" t="str">
        <f>Translations!$B$463</f>
        <v>poza wskaźnikami emisyjności dla produktów</v>
      </c>
      <c r="F279" s="1612"/>
      <c r="G279" s="1612"/>
      <c r="H279" s="232"/>
      <c r="I279" s="313"/>
      <c r="J279" s="313"/>
      <c r="K279" s="313"/>
      <c r="L279" s="313"/>
      <c r="M279" s="313"/>
      <c r="N279" s="7"/>
      <c r="O279" s="7"/>
      <c r="X279" s="345" t="b">
        <f>X274</f>
        <v>1</v>
      </c>
    </row>
    <row r="280" spans="2:24" ht="5.0999999999999996" customHeight="1" x14ac:dyDescent="0.2">
      <c r="B280" s="3"/>
      <c r="C280" s="3"/>
      <c r="D280" s="3"/>
      <c r="E280" s="3"/>
      <c r="F280" s="3"/>
      <c r="G280" s="3"/>
      <c r="H280" s="3"/>
      <c r="I280" s="3"/>
      <c r="J280" s="3"/>
      <c r="K280" s="3"/>
      <c r="L280" s="3"/>
      <c r="M280" s="7"/>
      <c r="N280" s="7"/>
      <c r="O280" s="7"/>
      <c r="P280" s="8"/>
      <c r="X280" s="608"/>
    </row>
    <row r="281" spans="2:24" x14ac:dyDescent="0.2">
      <c r="B281" s="3"/>
      <c r="C281" s="3"/>
      <c r="D281" s="14" t="s">
        <v>87</v>
      </c>
      <c r="E281" s="1375" t="str">
        <f>Translations!$B$468</f>
        <v>Wartość opałowa gazów odlotowych</v>
      </c>
      <c r="F281" s="1370"/>
      <c r="G281" s="1370"/>
      <c r="H281" s="1370"/>
      <c r="I281" s="1370"/>
      <c r="J281" s="1370"/>
      <c r="K281" s="1370"/>
      <c r="L281" s="1370"/>
      <c r="M281" s="1370"/>
      <c r="N281" s="1370"/>
      <c r="O281" s="7"/>
      <c r="P281" s="8"/>
      <c r="X281" s="608"/>
    </row>
    <row r="282" spans="2:24" x14ac:dyDescent="0.2">
      <c r="B282" s="20"/>
      <c r="C282" s="20"/>
      <c r="D282" s="14"/>
      <c r="E282" s="22"/>
      <c r="F282" s="22"/>
      <c r="G282" s="22"/>
      <c r="H282" s="35" t="str">
        <f>EUconst_Unit</f>
        <v>Jednostka</v>
      </c>
      <c r="I282" s="396">
        <f>I$309</f>
        <v>2014</v>
      </c>
      <c r="J282" s="396">
        <f>J$309</f>
        <v>2015</v>
      </c>
      <c r="K282" s="396">
        <f>K$309</f>
        <v>2016</v>
      </c>
      <c r="L282" s="396">
        <f>L$309</f>
        <v>2017</v>
      </c>
      <c r="M282" s="396">
        <f>M$309</f>
        <v>2018</v>
      </c>
      <c r="N282" s="7"/>
      <c r="O282" s="7"/>
      <c r="S282" s="45">
        <f>I282</f>
        <v>2014</v>
      </c>
      <c r="T282" s="45">
        <f>J282</f>
        <v>2015</v>
      </c>
      <c r="U282" s="45">
        <f>K282</f>
        <v>2016</v>
      </c>
      <c r="V282" s="45">
        <f>L282</f>
        <v>2017</v>
      </c>
      <c r="W282" s="45">
        <f>M282</f>
        <v>2018</v>
      </c>
      <c r="X282" s="608"/>
    </row>
    <row r="283" spans="2:24" ht="13.5" thickBot="1" x14ac:dyDescent="0.25">
      <c r="B283" s="20"/>
      <c r="C283" s="20"/>
      <c r="D283" s="20"/>
      <c r="E283" s="1612" t="str">
        <f>Translations!$B$470</f>
        <v>Wartość opałowa</v>
      </c>
      <c r="F283" s="1612"/>
      <c r="G283" s="1612"/>
      <c r="H283" s="98" t="str">
        <f>IF(ISBLANK(H279),EUconst_GJperUnit,INDEX(EUconst_GJperTorKNm3,MATCH(H279,EUconst_TonnesOrkNm3pa,0)))</f>
        <v>GJ / Jednostka</v>
      </c>
      <c r="I283" s="313"/>
      <c r="J283" s="313"/>
      <c r="K283" s="313"/>
      <c r="L283" s="313"/>
      <c r="M283" s="313"/>
      <c r="N283" s="7"/>
      <c r="O283" s="7"/>
      <c r="P283" s="438" t="str">
        <f>EUconst_CNTR_WGProduced &amp; C253</f>
        <v>WasteGasProd_2</v>
      </c>
      <c r="R283" s="973" t="s">
        <v>547</v>
      </c>
      <c r="S283" s="116" t="str">
        <f>IF(COUNT(I279,I283)&gt;0,I279*I283/1000,"")</f>
        <v/>
      </c>
      <c r="T283" s="116" t="str">
        <f>IF(COUNT(J279,J283)&gt;0,J279*J283/1000,"")</f>
        <v/>
      </c>
      <c r="U283" s="116" t="str">
        <f>IF(COUNT(K279,K283)&gt;0,K279*K283/1000,"")</f>
        <v/>
      </c>
      <c r="V283" s="116" t="str">
        <f>IF(COUNT(L279,L283)&gt;0,L279*L283/1000,"")</f>
        <v/>
      </c>
      <c r="W283" s="164" t="str">
        <f>IF(COUNT(M279,M283)&gt;0,M279*M283/1000,"")</f>
        <v/>
      </c>
      <c r="X283" s="168" t="b">
        <f>X279</f>
        <v>1</v>
      </c>
    </row>
    <row r="284" spans="2:24" ht="5.0999999999999996" customHeight="1" x14ac:dyDescent="0.2">
      <c r="B284" s="3"/>
      <c r="C284" s="3"/>
      <c r="D284" s="3"/>
      <c r="E284" s="3"/>
      <c r="F284" s="3"/>
      <c r="G284" s="3"/>
      <c r="H284" s="3"/>
      <c r="I284" s="3"/>
      <c r="J284" s="3"/>
      <c r="K284" s="3"/>
      <c r="L284" s="3"/>
      <c r="M284" s="7"/>
      <c r="N284" s="7"/>
      <c r="O284" s="7"/>
      <c r="P284" s="8"/>
    </row>
    <row r="285" spans="2:24" x14ac:dyDescent="0.2">
      <c r="B285" s="3"/>
      <c r="C285" s="3"/>
      <c r="D285" s="14" t="s">
        <v>88</v>
      </c>
      <c r="E285" s="1375" t="str">
        <f>Translations!$B$471</f>
        <v>Niezbędne założenia:</v>
      </c>
      <c r="F285" s="1370"/>
      <c r="G285" s="1370"/>
      <c r="H285" s="1370"/>
      <c r="I285" s="1370"/>
      <c r="J285" s="1370"/>
      <c r="K285" s="1370"/>
      <c r="L285" s="1370"/>
      <c r="M285" s="1370"/>
      <c r="N285" s="1370"/>
      <c r="O285" s="7"/>
      <c r="P285" s="8"/>
    </row>
    <row r="286" spans="2:24" ht="5.0999999999999996" customHeight="1" x14ac:dyDescent="0.2">
      <c r="B286" s="3"/>
      <c r="C286" s="3"/>
      <c r="D286" s="3"/>
      <c r="E286" s="3"/>
      <c r="F286" s="3"/>
      <c r="G286" s="3"/>
      <c r="H286" s="3"/>
      <c r="I286" s="3"/>
      <c r="J286" s="3"/>
      <c r="K286" s="3"/>
      <c r="L286" s="3"/>
      <c r="M286" s="7"/>
      <c r="N286" s="7"/>
      <c r="O286" s="7"/>
      <c r="P286" s="8"/>
    </row>
    <row r="287" spans="2:24" x14ac:dyDescent="0.2">
      <c r="B287" s="20"/>
      <c r="C287" s="20"/>
      <c r="D287" s="20"/>
      <c r="E287" s="1641" t="str">
        <f>Translations!$B$472</f>
        <v>Sprawność referencyjna wytwarzania energii elektrycznej:</v>
      </c>
      <c r="F287" s="1641"/>
      <c r="G287" s="1641"/>
      <c r="H287" s="1641"/>
      <c r="I287" s="125"/>
      <c r="J287" s="125" t="str">
        <f>Translations!$B$473</f>
        <v>z wykorzystaniem gazu ziemnego:</v>
      </c>
      <c r="K287" s="233">
        <v>0.52500000000000002</v>
      </c>
      <c r="L287" s="31"/>
      <c r="M287" s="125" t="str">
        <f>Translations!$B$474</f>
        <v>z wykorzystaniem gazów odlotowych:</v>
      </c>
      <c r="N287" s="233">
        <v>0.35</v>
      </c>
      <c r="O287" s="7"/>
    </row>
    <row r="288" spans="2:24" x14ac:dyDescent="0.2">
      <c r="B288" s="20"/>
      <c r="C288" s="20"/>
      <c r="D288" s="20"/>
      <c r="E288" s="1642" t="str">
        <f>Translations!$B$475</f>
        <v>Współczynnik emisji dotyczący gazu ziemnego:</v>
      </c>
      <c r="F288" s="1642"/>
      <c r="G288" s="1643"/>
      <c r="H288" s="24">
        <f>EUconst_NGEFvalue</f>
        <v>56.1</v>
      </c>
      <c r="I288" s="31" t="str">
        <f>EUconst_tCO2pTJ</f>
        <v>t CO2 / TJ</v>
      </c>
      <c r="J288" s="20"/>
      <c r="K288" s="20"/>
      <c r="L288" s="20"/>
      <c r="M288" s="20"/>
      <c r="N288" s="20"/>
      <c r="O288" s="7"/>
    </row>
    <row r="289" spans="1:24" ht="5.0999999999999996" customHeight="1" x14ac:dyDescent="0.2">
      <c r="B289" s="3"/>
      <c r="C289" s="3"/>
      <c r="D289" s="3"/>
      <c r="E289" s="3"/>
      <c r="F289" s="3"/>
      <c r="G289" s="3"/>
      <c r="H289" s="3"/>
      <c r="I289" s="3"/>
      <c r="J289" s="3"/>
      <c r="K289" s="3"/>
      <c r="L289" s="3"/>
      <c r="M289" s="7"/>
      <c r="N289" s="7"/>
      <c r="O289" s="7"/>
      <c r="P289" s="8"/>
    </row>
    <row r="290" spans="1:24" x14ac:dyDescent="0.2">
      <c r="B290" s="3"/>
      <c r="C290" s="3"/>
      <c r="D290" s="14" t="s">
        <v>89</v>
      </c>
      <c r="E290" s="1375" t="str">
        <f>Translations!$B$476</f>
        <v>Emisje, które należy odjąć przy uwzględnieniu technicznie możliwej do wykorzystania zawartości energii:</v>
      </c>
      <c r="F290" s="1370"/>
      <c r="G290" s="1370"/>
      <c r="H290" s="1370"/>
      <c r="I290" s="1370"/>
      <c r="J290" s="1370"/>
      <c r="K290" s="1370"/>
      <c r="L290" s="1370"/>
      <c r="M290" s="1370"/>
      <c r="N290" s="1370"/>
      <c r="O290" s="7"/>
      <c r="P290" s="8"/>
    </row>
    <row r="291" spans="1:24" ht="5.0999999999999996" customHeight="1" x14ac:dyDescent="0.2">
      <c r="B291" s="3"/>
      <c r="C291" s="3"/>
      <c r="D291" s="3"/>
      <c r="E291" s="3"/>
      <c r="F291" s="3"/>
      <c r="G291" s="3"/>
      <c r="H291" s="3"/>
      <c r="I291" s="3"/>
      <c r="J291" s="3"/>
      <c r="K291" s="3"/>
      <c r="L291" s="3"/>
      <c r="M291" s="7"/>
      <c r="N291" s="7"/>
      <c r="O291" s="7"/>
      <c r="P291" s="8"/>
    </row>
    <row r="292" spans="1:24" x14ac:dyDescent="0.2">
      <c r="B292" s="20"/>
      <c r="C292" s="20"/>
      <c r="D292" s="14"/>
      <c r="E292" s="1609" t="str">
        <f>Translations!$B$478</f>
        <v>Odjęcie z tytułu gazów odlotowych</v>
      </c>
      <c r="F292" s="1377"/>
      <c r="G292" s="1377"/>
      <c r="H292" s="35" t="str">
        <f>EUconst_Unit</f>
        <v>Jednostka</v>
      </c>
      <c r="I292" s="396">
        <f>I$309</f>
        <v>2014</v>
      </c>
      <c r="J292" s="396">
        <f>J$309</f>
        <v>2015</v>
      </c>
      <c r="K292" s="396">
        <f>K$309</f>
        <v>2016</v>
      </c>
      <c r="L292" s="396">
        <f>L$309</f>
        <v>2017</v>
      </c>
      <c r="M292" s="396">
        <f>M$309</f>
        <v>2018</v>
      </c>
      <c r="N292" s="7"/>
      <c r="O292" s="7"/>
    </row>
    <row r="293" spans="1:24" x14ac:dyDescent="0.2">
      <c r="B293" s="20"/>
      <c r="C293" s="20"/>
      <c r="D293" s="20"/>
      <c r="E293" s="1612" t="str">
        <f>Translations!$B$463</f>
        <v>poza wskaźnikami emisyjności dla produktów</v>
      </c>
      <c r="F293" s="1612"/>
      <c r="G293" s="1612"/>
      <c r="H293" s="48" t="str">
        <f>EUconst_tCO2pa</f>
        <v>t CO2 / rok</v>
      </c>
      <c r="I293" s="311" t="str">
        <f>IF(AND(ISNUMBER(I279),ISNUMBER(I283)),(I279*I283/1000)*$H288*$N287/$K287,"")</f>
        <v/>
      </c>
      <c r="J293" s="311" t="str">
        <f>IF(AND(ISNUMBER(J279),ISNUMBER(J283)),(J279*J283/1000)*$H288*$N287/$K287,"")</f>
        <v/>
      </c>
      <c r="K293" s="311" t="str">
        <f>IF(AND(ISNUMBER(K279),ISNUMBER(K283)),(K279*K283/1000)*$H288*$N287/$K287,"")</f>
        <v/>
      </c>
      <c r="L293" s="311" t="str">
        <f>IF(AND(ISNUMBER(L279),ISNUMBER(L283)),(L279*L283/1000)*$H288*$N287/$K287,"")</f>
        <v/>
      </c>
      <c r="M293" s="311" t="str">
        <f>IF(AND(ISNUMBER(M279),ISNUMBER(M283)),(M279*M283/1000)*$H288*$N287/$K287,"")</f>
        <v/>
      </c>
      <c r="N293" s="7"/>
      <c r="O293" s="7"/>
    </row>
    <row r="294" spans="1:24" ht="5.0999999999999996" customHeight="1" x14ac:dyDescent="0.2">
      <c r="B294" s="3"/>
      <c r="C294" s="3"/>
      <c r="D294" s="3"/>
      <c r="E294" s="3"/>
      <c r="F294" s="3"/>
      <c r="G294" s="3"/>
      <c r="H294" s="3"/>
      <c r="I294" s="3"/>
      <c r="J294" s="3"/>
      <c r="K294" s="3"/>
      <c r="L294" s="3"/>
      <c r="M294" s="7"/>
      <c r="N294" s="7"/>
      <c r="O294" s="7"/>
      <c r="P294" s="8"/>
    </row>
    <row r="295" spans="1:24" x14ac:dyDescent="0.2">
      <c r="B295" s="3"/>
      <c r="C295" s="3"/>
      <c r="D295" s="14" t="s">
        <v>218</v>
      </c>
      <c r="E295" s="1375" t="str">
        <f>Translations!$B$479</f>
        <v>Emisje procesowe obliczone z uwzględnieniem korekty gazów odlotowych (=d-i)</v>
      </c>
      <c r="F295" s="1370"/>
      <c r="G295" s="1370"/>
      <c r="H295" s="1370"/>
      <c r="I295" s="1370"/>
      <c r="J295" s="1370"/>
      <c r="K295" s="1370"/>
      <c r="L295" s="1370"/>
      <c r="M295" s="1370"/>
      <c r="N295" s="1370"/>
      <c r="O295" s="7"/>
      <c r="P295" s="8"/>
    </row>
    <row r="296" spans="1:24" ht="5.0999999999999996" customHeight="1" x14ac:dyDescent="0.2">
      <c r="B296" s="3"/>
      <c r="C296" s="3"/>
      <c r="D296" s="3"/>
      <c r="E296" s="3"/>
      <c r="F296" s="3"/>
      <c r="G296" s="3"/>
      <c r="H296" s="3"/>
      <c r="I296" s="3"/>
      <c r="J296" s="3"/>
      <c r="K296" s="3"/>
      <c r="L296" s="3"/>
      <c r="M296" s="7"/>
      <c r="N296" s="7"/>
      <c r="O296" s="7"/>
      <c r="P296" s="8"/>
    </row>
    <row r="297" spans="1:24" x14ac:dyDescent="0.2">
      <c r="B297" s="20"/>
      <c r="C297" s="20"/>
      <c r="D297" s="14"/>
      <c r="E297" s="22"/>
      <c r="F297" s="22"/>
      <c r="G297" s="22"/>
      <c r="H297" s="35" t="str">
        <f>EUconst_Unit</f>
        <v>Jednostka</v>
      </c>
      <c r="I297" s="396">
        <f>I$309</f>
        <v>2014</v>
      </c>
      <c r="J297" s="396">
        <f>J$309</f>
        <v>2015</v>
      </c>
      <c r="K297" s="396">
        <f>K$309</f>
        <v>2016</v>
      </c>
      <c r="L297" s="396">
        <f>L$309</f>
        <v>2017</v>
      </c>
      <c r="M297" s="396">
        <f>M$309</f>
        <v>2018</v>
      </c>
      <c r="N297" s="7"/>
      <c r="O297" s="7"/>
    </row>
    <row r="298" spans="1:24" ht="25.5" customHeight="1" x14ac:dyDescent="0.2">
      <c r="B298" s="20"/>
      <c r="C298" s="20"/>
      <c r="D298" s="20"/>
      <c r="E298" s="1612" t="str">
        <f>Translations!$B$482</f>
        <v>Wynik zastosowania narzędzia dotyczącego gazów odlotowych:</v>
      </c>
      <c r="F298" s="1612"/>
      <c r="G298" s="1612"/>
      <c r="H298" s="52" t="str">
        <f>EUconst_tCO2pa</f>
        <v>t CO2 / rok</v>
      </c>
      <c r="I298" s="311" t="str">
        <f>IF(ISNUMBER(I293),IF((IF(ISNUMBER(I269),I269,0)-SUM(I293))&lt;0,0,IF(ISNUMBER(I269),I269,0)-SUM(I293)),"")</f>
        <v/>
      </c>
      <c r="J298" s="311" t="str">
        <f>IF(ISNUMBER(J293),IF((IF(ISNUMBER(J269),J269,0)-SUM(J293))&lt;0,0,IF(ISNUMBER(J269),J269,0)-SUM(J293)),"")</f>
        <v/>
      </c>
      <c r="K298" s="311" t="str">
        <f>IF(ISNUMBER(K293),IF((IF(ISNUMBER(K269),K269,0)-SUM(K293))&lt;0,0,IF(ISNUMBER(K269),K269,0)-SUM(K293)),"")</f>
        <v/>
      </c>
      <c r="L298" s="311" t="str">
        <f>IF(ISNUMBER(L293),IF((IF(ISNUMBER(L269),L269,0)-SUM(L293))&lt;0,0,IF(ISNUMBER(L269),L269,0)-SUM(L293)),"")</f>
        <v/>
      </c>
      <c r="M298" s="311" t="str">
        <f>IF(ISNUMBER(M293),IF((IF(ISNUMBER(M269),M269,0)-SUM(M293))&lt;0,0,IF(ISNUMBER(M269),M269,0)-SUM(M293)),"")</f>
        <v/>
      </c>
      <c r="N298" s="7"/>
      <c r="O298" s="7"/>
    </row>
    <row r="299" spans="1:24" x14ac:dyDescent="0.2">
      <c r="B299" s="20"/>
      <c r="C299" s="20"/>
      <c r="D299" s="20"/>
      <c r="E299" s="20"/>
      <c r="F299" s="20"/>
      <c r="G299" s="20"/>
      <c r="H299" s="20"/>
      <c r="I299" s="20"/>
      <c r="J299" s="20"/>
      <c r="K299" s="20"/>
      <c r="L299" s="20"/>
      <c r="M299" s="20"/>
      <c r="N299" s="20"/>
      <c r="O299" s="7"/>
    </row>
    <row r="300" spans="1:24" x14ac:dyDescent="0.2">
      <c r="B300" s="20"/>
      <c r="C300" s="20"/>
      <c r="D300" s="1622" t="str">
        <f>Translations!$B$73</f>
        <v xml:space="preserve">&lt;&lt;&lt; Proszę kliknąć tutaj, aby przejść do kolejnego arkusza &gt;&gt;&gt; </v>
      </c>
      <c r="E300" s="1622"/>
      <c r="F300" s="1622"/>
      <c r="G300" s="1622"/>
      <c r="H300" s="1622"/>
      <c r="I300" s="1622"/>
      <c r="J300" s="1622"/>
      <c r="K300" s="1622"/>
      <c r="L300" s="1622"/>
      <c r="M300" s="1622"/>
      <c r="N300" s="1622"/>
      <c r="O300" s="7"/>
    </row>
    <row r="301" spans="1:24" x14ac:dyDescent="0.2">
      <c r="B301" s="20"/>
      <c r="C301" s="20"/>
      <c r="D301" s="20"/>
      <c r="E301" s="20"/>
      <c r="F301" s="20"/>
      <c r="G301" s="20"/>
      <c r="H301" s="20"/>
      <c r="I301" s="20"/>
      <c r="J301" s="20"/>
      <c r="K301" s="20"/>
      <c r="L301" s="20"/>
      <c r="M301" s="20"/>
      <c r="N301" s="20"/>
      <c r="O301" s="7"/>
    </row>
    <row r="302" spans="1:24" hidden="1" x14ac:dyDescent="0.2">
      <c r="A302" s="2" t="s">
        <v>101</v>
      </c>
      <c r="B302" s="2" t="s">
        <v>350</v>
      </c>
      <c r="C302" s="2" t="s">
        <v>350</v>
      </c>
      <c r="D302" s="2" t="s">
        <v>350</v>
      </c>
      <c r="E302" s="2" t="s">
        <v>350</v>
      </c>
      <c r="F302" s="2" t="s">
        <v>350</v>
      </c>
      <c r="G302" s="2" t="s">
        <v>350</v>
      </c>
      <c r="H302" s="2" t="s">
        <v>350</v>
      </c>
      <c r="I302" s="2" t="s">
        <v>350</v>
      </c>
      <c r="J302" s="2" t="s">
        <v>350</v>
      </c>
      <c r="K302" s="2" t="s">
        <v>350</v>
      </c>
      <c r="L302" s="2" t="s">
        <v>350</v>
      </c>
      <c r="M302" s="2" t="s">
        <v>350</v>
      </c>
      <c r="N302" s="2" t="s">
        <v>350</v>
      </c>
      <c r="O302" s="2" t="s">
        <v>350</v>
      </c>
      <c r="P302" s="2" t="s">
        <v>350</v>
      </c>
      <c r="Q302" s="2" t="s">
        <v>350</v>
      </c>
      <c r="R302" s="2" t="s">
        <v>350</v>
      </c>
      <c r="S302" s="2" t="s">
        <v>350</v>
      </c>
      <c r="T302" s="2" t="s">
        <v>350</v>
      </c>
      <c r="U302" s="2" t="s">
        <v>350</v>
      </c>
      <c r="V302" s="2" t="s">
        <v>350</v>
      </c>
      <c r="W302" s="2" t="s">
        <v>350</v>
      </c>
      <c r="X302" s="2" t="s">
        <v>350</v>
      </c>
    </row>
    <row r="303" spans="1:24" hidden="1" x14ac:dyDescent="0.2">
      <c r="A303" s="2" t="s">
        <v>101</v>
      </c>
    </row>
    <row r="304" spans="1:24" hidden="1" x14ac:dyDescent="0.2">
      <c r="A304" s="2" t="s">
        <v>101</v>
      </c>
      <c r="B304" s="2"/>
      <c r="C304" s="2"/>
      <c r="D304" s="45" t="s">
        <v>351</v>
      </c>
      <c r="E304" s="2"/>
      <c r="F304" s="2"/>
      <c r="G304" s="2"/>
      <c r="H304" s="2"/>
      <c r="I304" s="2"/>
      <c r="J304" s="2"/>
      <c r="K304" s="2"/>
      <c r="L304" s="2"/>
      <c r="M304" s="2"/>
      <c r="N304" s="2"/>
      <c r="O304" s="2"/>
    </row>
    <row r="305" spans="1:15" ht="13.5" hidden="1" thickBot="1" x14ac:dyDescent="0.25">
      <c r="A305" s="2" t="s">
        <v>101</v>
      </c>
    </row>
    <row r="306" spans="1:15" hidden="1" x14ac:dyDescent="0.2">
      <c r="A306" s="2" t="s">
        <v>101</v>
      </c>
      <c r="E306" s="162" t="s">
        <v>236</v>
      </c>
      <c r="F306" s="66"/>
      <c r="G306" s="66"/>
      <c r="H306" s="66"/>
      <c r="I306" s="66"/>
      <c r="J306" s="66"/>
      <c r="K306" s="66"/>
      <c r="L306" s="66"/>
      <c r="M306" s="66"/>
      <c r="N306" s="68"/>
    </row>
    <row r="307" spans="1:15" hidden="1" x14ac:dyDescent="0.2">
      <c r="A307" s="2" t="s">
        <v>101</v>
      </c>
      <c r="E307" s="101" t="s">
        <v>354</v>
      </c>
      <c r="F307" s="23"/>
      <c r="G307" s="23"/>
      <c r="H307" s="23"/>
      <c r="I307" s="152">
        <v>1</v>
      </c>
      <c r="J307" s="152">
        <v>2</v>
      </c>
      <c r="K307" s="152">
        <v>3</v>
      </c>
      <c r="L307" s="152">
        <v>4</v>
      </c>
      <c r="M307" s="152">
        <v>5</v>
      </c>
      <c r="N307" s="155"/>
    </row>
    <row r="308" spans="1:15" hidden="1" x14ac:dyDescent="0.2">
      <c r="A308" s="2" t="s">
        <v>101</v>
      </c>
      <c r="E308" s="156" t="s">
        <v>473</v>
      </c>
      <c r="F308" s="23"/>
      <c r="G308" s="23"/>
      <c r="H308" s="23"/>
      <c r="I308" s="152">
        <f>INDEX(EUconst_ReportingYears,I307)</f>
        <v>2014</v>
      </c>
      <c r="J308" s="152">
        <f>INDEX(EUconst_ReportingYears,J307)</f>
        <v>2015</v>
      </c>
      <c r="K308" s="152">
        <f>INDEX(EUconst_ReportingYears,K307)</f>
        <v>2016</v>
      </c>
      <c r="L308" s="152">
        <f>INDEX(EUconst_ReportingYears,L307)</f>
        <v>2017</v>
      </c>
      <c r="M308" s="152">
        <f>INDEX(EUconst_ReportingYears,M307)</f>
        <v>2018</v>
      </c>
      <c r="N308" s="155"/>
    </row>
    <row r="309" spans="1:15" hidden="1" x14ac:dyDescent="0.2">
      <c r="A309" s="2" t="s">
        <v>101</v>
      </c>
      <c r="E309" s="156" t="s">
        <v>472</v>
      </c>
      <c r="F309" s="153"/>
      <c r="G309" s="153"/>
      <c r="H309" s="153"/>
      <c r="I309" s="154">
        <f>IF(CNTR_BaselinePeriod=EUconst_NA,I308,INDEX(EUconst_ReportingYears,I307)+(CNTR_BaselinePeriod-1)*5)</f>
        <v>2014</v>
      </c>
      <c r="J309" s="154">
        <f>IF(CNTR_BaselinePeriod=EUconst_NA,J308,INDEX(EUconst_ReportingYears,J307)+(CNTR_BaselinePeriod-1)*5)</f>
        <v>2015</v>
      </c>
      <c r="K309" s="154">
        <f>IF(CNTR_BaselinePeriod=EUconst_NA,K308,INDEX(EUconst_ReportingYears,K307)+(CNTR_BaselinePeriod-1)*5)</f>
        <v>2016</v>
      </c>
      <c r="L309" s="154">
        <f>IF(CNTR_BaselinePeriod=EUconst_NA,L308,INDEX(EUconst_ReportingYears,L307)+(CNTR_BaselinePeriod-1)*5)</f>
        <v>2017</v>
      </c>
      <c r="M309" s="154">
        <f>IF(CNTR_BaselinePeriod=EUconst_NA,M308,INDEX(EUconst_ReportingYears,M307)+(CNTR_BaselinePeriod-1)*5)</f>
        <v>2018</v>
      </c>
      <c r="N309" s="157"/>
      <c r="O309" s="20"/>
    </row>
    <row r="310" spans="1:15" hidden="1" x14ac:dyDescent="0.2">
      <c r="A310" s="2" t="s">
        <v>101</v>
      </c>
      <c r="E310" s="156" t="s">
        <v>235</v>
      </c>
      <c r="F310" s="153"/>
      <c r="G310" s="153"/>
      <c r="H310" s="153"/>
      <c r="I310" s="154">
        <v>1</v>
      </c>
      <c r="J310" s="154">
        <v>1</v>
      </c>
      <c r="K310" s="154">
        <v>1</v>
      </c>
      <c r="L310" s="154">
        <v>1</v>
      </c>
      <c r="M310" s="154">
        <v>1</v>
      </c>
      <c r="N310" s="157"/>
    </row>
    <row r="311" spans="1:15" hidden="1" x14ac:dyDescent="0.2">
      <c r="A311" s="2" t="s">
        <v>101</v>
      </c>
      <c r="E311" s="156" t="s">
        <v>233</v>
      </c>
      <c r="F311" s="153"/>
      <c r="G311" s="153"/>
      <c r="H311" s="153"/>
      <c r="I311" s="153" t="b">
        <f>(I310=CNTR_BaselinePeriod)</f>
        <v>1</v>
      </c>
      <c r="J311" s="153" t="b">
        <f>(J310=CNTR_BaselinePeriod)</f>
        <v>1</v>
      </c>
      <c r="K311" s="153" t="b">
        <f>(K310=CNTR_BaselinePeriod)</f>
        <v>1</v>
      </c>
      <c r="L311" s="153" t="b">
        <f>(L310=CNTR_BaselinePeriod)</f>
        <v>1</v>
      </c>
      <c r="M311" s="153" t="b">
        <f>(M310=CNTR_BaselinePeriod)</f>
        <v>1</v>
      </c>
      <c r="N311" s="158"/>
    </row>
    <row r="312" spans="1:15" ht="13.5" hidden="1" thickBot="1" x14ac:dyDescent="0.25">
      <c r="A312" s="2" t="s">
        <v>101</v>
      </c>
      <c r="E312" s="159" t="s">
        <v>234</v>
      </c>
      <c r="F312" s="160"/>
      <c r="G312" s="160"/>
      <c r="H312" s="160"/>
      <c r="I312" s="160" t="b">
        <f>INDEX(CNTR_BaslineYearRelevant,I307)</f>
        <v>1</v>
      </c>
      <c r="J312" s="160" t="b">
        <f>INDEX(CNTR_BaslineYearRelevant,J307)</f>
        <v>1</v>
      </c>
      <c r="K312" s="160" t="b">
        <f>INDEX(CNTR_BaslineYearRelevant,K307)</f>
        <v>1</v>
      </c>
      <c r="L312" s="160" t="b">
        <f>INDEX(CNTR_BaslineYearRelevant,L307)</f>
        <v>1</v>
      </c>
      <c r="M312" s="160" t="b">
        <f>INDEX(CNTR_BaslineYearRelevant,M307)</f>
        <v>1</v>
      </c>
      <c r="N312" s="161"/>
    </row>
    <row r="313" spans="1:15" hidden="1" x14ac:dyDescent="0.2">
      <c r="A313" s="2" t="s">
        <v>101</v>
      </c>
    </row>
    <row r="314" spans="1:15" ht="13.5" hidden="1" thickBot="1" x14ac:dyDescent="0.25">
      <c r="A314" s="2" t="s">
        <v>101</v>
      </c>
      <c r="E314" s="1" t="s">
        <v>31</v>
      </c>
    </row>
    <row r="315" spans="1:15" hidden="1" x14ac:dyDescent="0.2">
      <c r="A315" s="2" t="s">
        <v>101</v>
      </c>
      <c r="D315" s="1">
        <v>6</v>
      </c>
      <c r="E315" s="115" t="str">
        <f>INDEX(EUconst_FallBackListNames,D315)</f>
        <v>Podinstalacja wytwarzająca emisje procesowe, „CL”</v>
      </c>
      <c r="F315" s="114"/>
      <c r="G315" s="114"/>
      <c r="H315" s="174" t="str">
        <f>EUconst_tCO2epa</f>
        <v>t CO2e/rok</v>
      </c>
      <c r="I315" s="111" t="str">
        <f>IF(ISNUMBER(K_Summary!I108),INDEX(K_Summary!I$92:I$130,MATCH(EUconst_CNTR_HAL&amp;$E315,K_Summary!$P$92:$P$130,0)),"")</f>
        <v/>
      </c>
      <c r="J315" s="111" t="str">
        <f>IF(ISNUMBER(K_Summary!J108),INDEX(K_Summary!J$92:J$130,MATCH(EUconst_CNTR_HAL&amp;$E315,K_Summary!$P$92:$P$130,0)),"")</f>
        <v/>
      </c>
      <c r="K315" s="111" t="str">
        <f>IF(ISNUMBER(K_Summary!K108),INDEX(K_Summary!K$92:K$130,MATCH(EUconst_CNTR_HAL&amp;$E315,K_Summary!$P$92:$P$130,0)),"")</f>
        <v/>
      </c>
      <c r="L315" s="111" t="str">
        <f>IF(ISNUMBER(K_Summary!L108),INDEX(K_Summary!L$92:L$130,MATCH(EUconst_CNTR_HAL&amp;$E315,K_Summary!$P$92:$P$130,0)),"")</f>
        <v/>
      </c>
      <c r="M315" s="110" t="str">
        <f>IF(ISNUMBER(K_Summary!M108),INDEX(K_Summary!M$92:M$130,MATCH(EUconst_CNTR_HAL&amp;$E315,K_Summary!$P$92:$P$130,0)),"")</f>
        <v/>
      </c>
    </row>
    <row r="316" spans="1:15" ht="13.5" hidden="1" thickBot="1" x14ac:dyDescent="0.25">
      <c r="A316" s="2" t="s">
        <v>101</v>
      </c>
      <c r="D316" s="1">
        <v>7</v>
      </c>
      <c r="E316" s="113" t="str">
        <f>INDEX(EUconst_FallBackListNames,D316)</f>
        <v>Podinstalacja wytwarzająca emisje procesowe, „nie-CL”</v>
      </c>
      <c r="F316" s="112"/>
      <c r="G316" s="112"/>
      <c r="H316" s="175" t="str">
        <f>EUconst_tCO2epa</f>
        <v>t CO2e/rok</v>
      </c>
      <c r="I316" s="109" t="str">
        <f>IF(ISNUMBER(K_Summary!I109),INDEX(K_Summary!I$92:I$130,MATCH(EUconst_CNTR_HAL&amp;$E316,K_Summary!$P$92:$P$130,0)),"")</f>
        <v/>
      </c>
      <c r="J316" s="109" t="str">
        <f>IF(ISNUMBER(K_Summary!J109),INDEX(K_Summary!J$92:J$130,MATCH(EUconst_CNTR_HAL&amp;$E316,K_Summary!$P$92:$P$130,0)),"")</f>
        <v/>
      </c>
      <c r="K316" s="109" t="str">
        <f>IF(ISNUMBER(K_Summary!K109),INDEX(K_Summary!K$92:K$130,MATCH(EUconst_CNTR_HAL&amp;$E316,K_Summary!$P$92:$P$130,0)),"")</f>
        <v/>
      </c>
      <c r="L316" s="109" t="str">
        <f>IF(ISNUMBER(K_Summary!L109),INDEX(K_Summary!L$92:L$130,MATCH(EUconst_CNTR_HAL&amp;$E316,K_Summary!$P$92:$P$130,0)),"")</f>
        <v/>
      </c>
      <c r="M316" s="108" t="str">
        <f>IF(ISNUMBER(K_Summary!M109),INDEX(K_Summary!M$92:M$130,MATCH(EUconst_CNTR_HAL&amp;$E316,K_Summary!$P$92:$P$130,0)),"")</f>
        <v/>
      </c>
    </row>
    <row r="317" spans="1:15" hidden="1" x14ac:dyDescent="0.2">
      <c r="A317" s="2" t="s">
        <v>101</v>
      </c>
    </row>
  </sheetData>
  <sheetProtection sheet="1" objects="1" scenarios="1" formatCells="0" formatColumns="0" formatRows="0"/>
  <mergeCells count="238">
    <mergeCell ref="D185:N185"/>
    <mergeCell ref="E157:N157"/>
    <mergeCell ref="E158:G158"/>
    <mergeCell ref="E159:G159"/>
    <mergeCell ref="E121:N121"/>
    <mergeCell ref="E183:G183"/>
    <mergeCell ref="E180:N180"/>
    <mergeCell ref="E168:G168"/>
    <mergeCell ref="E170:N170"/>
    <mergeCell ref="E171:G171"/>
    <mergeCell ref="E163:H163"/>
    <mergeCell ref="E165:N165"/>
    <mergeCell ref="E161:G161"/>
    <mergeCell ref="E173:G173"/>
    <mergeCell ref="E167:G167"/>
    <mergeCell ref="E160:G160"/>
    <mergeCell ref="E176:G176"/>
    <mergeCell ref="E177:G177"/>
    <mergeCell ref="E178:G178"/>
    <mergeCell ref="E172:G172"/>
    <mergeCell ref="E175:N175"/>
    <mergeCell ref="E166:G166"/>
    <mergeCell ref="E150:G150"/>
    <mergeCell ref="E152:N152"/>
    <mergeCell ref="E298:G298"/>
    <mergeCell ref="E290:N290"/>
    <mergeCell ref="E292:G292"/>
    <mergeCell ref="E293:G293"/>
    <mergeCell ref="E295:N295"/>
    <mergeCell ref="E283:G283"/>
    <mergeCell ref="E108:H108"/>
    <mergeCell ref="E77:N77"/>
    <mergeCell ref="E79:N79"/>
    <mergeCell ref="E81:N81"/>
    <mergeCell ref="E85:N85"/>
    <mergeCell ref="E131:G131"/>
    <mergeCell ref="E130:G130"/>
    <mergeCell ref="E96:N96"/>
    <mergeCell ref="E99:G99"/>
    <mergeCell ref="E86:N86"/>
    <mergeCell ref="E115:G115"/>
    <mergeCell ref="E124:G124"/>
    <mergeCell ref="E126:N126"/>
    <mergeCell ref="E123:G123"/>
    <mergeCell ref="E132:G132"/>
    <mergeCell ref="E142:N142"/>
    <mergeCell ref="E134:N134"/>
    <mergeCell ref="E135:N135"/>
    <mergeCell ref="E287:H287"/>
    <mergeCell ref="E288:G288"/>
    <mergeCell ref="E238:G238"/>
    <mergeCell ref="E276:N276"/>
    <mergeCell ref="E278:G278"/>
    <mergeCell ref="E279:G279"/>
    <mergeCell ref="E281:N281"/>
    <mergeCell ref="E269:G269"/>
    <mergeCell ref="E271:N271"/>
    <mergeCell ref="L259:N259"/>
    <mergeCell ref="L257:N257"/>
    <mergeCell ref="H261:N261"/>
    <mergeCell ref="E273:G273"/>
    <mergeCell ref="E274:G274"/>
    <mergeCell ref="E257:K257"/>
    <mergeCell ref="E259:K259"/>
    <mergeCell ref="E261:G261"/>
    <mergeCell ref="E266:N266"/>
    <mergeCell ref="E263:N264"/>
    <mergeCell ref="E240:N240"/>
    <mergeCell ref="E241:N241"/>
    <mergeCell ref="E242:G242"/>
    <mergeCell ref="E255:N255"/>
    <mergeCell ref="E243:G243"/>
    <mergeCell ref="E246:N246"/>
    <mergeCell ref="E247:N247"/>
    <mergeCell ref="E248:N248"/>
    <mergeCell ref="E250:G250"/>
    <mergeCell ref="D253:N253"/>
    <mergeCell ref="E285:N285"/>
    <mergeCell ref="E224:N224"/>
    <mergeCell ref="E225:N225"/>
    <mergeCell ref="E226:N226"/>
    <mergeCell ref="E236:N236"/>
    <mergeCell ref="E237:H237"/>
    <mergeCell ref="E227:N227"/>
    <mergeCell ref="E228:G228"/>
    <mergeCell ref="E229:G229"/>
    <mergeCell ref="E231:N231"/>
    <mergeCell ref="E232:N232"/>
    <mergeCell ref="E234:G234"/>
    <mergeCell ref="E245:N245"/>
    <mergeCell ref="E214:N214"/>
    <mergeCell ref="E216:G216"/>
    <mergeCell ref="E203:N203"/>
    <mergeCell ref="E205:K205"/>
    <mergeCell ref="E207:G207"/>
    <mergeCell ref="E208:N208"/>
    <mergeCell ref="E209:N209"/>
    <mergeCell ref="E213:N213"/>
    <mergeCell ref="E222:G222"/>
    <mergeCell ref="E218:N218"/>
    <mergeCell ref="E219:N219"/>
    <mergeCell ref="E220:N220"/>
    <mergeCell ref="E221:G221"/>
    <mergeCell ref="E202:N202"/>
    <mergeCell ref="H207:N207"/>
    <mergeCell ref="E210:N211"/>
    <mergeCell ref="L205:N205"/>
    <mergeCell ref="E197:N197"/>
    <mergeCell ref="E191:N191"/>
    <mergeCell ref="F193:N193"/>
    <mergeCell ref="F194:N194"/>
    <mergeCell ref="F196:N196"/>
    <mergeCell ref="E201:K201"/>
    <mergeCell ref="F195:N195"/>
    <mergeCell ref="F192:N192"/>
    <mergeCell ref="L201:N201"/>
    <mergeCell ref="D199:N199"/>
    <mergeCell ref="E190:N190"/>
    <mergeCell ref="E105:G105"/>
    <mergeCell ref="E106:G106"/>
    <mergeCell ref="E188:N188"/>
    <mergeCell ref="D140:N140"/>
    <mergeCell ref="E189:N189"/>
    <mergeCell ref="E155:G155"/>
    <mergeCell ref="E127:N127"/>
    <mergeCell ref="E129:N129"/>
    <mergeCell ref="E128:N128"/>
    <mergeCell ref="E136:G136"/>
    <mergeCell ref="E137:G137"/>
    <mergeCell ref="E138:G138"/>
    <mergeCell ref="E144:N144"/>
    <mergeCell ref="E149:G149"/>
    <mergeCell ref="E145:G145"/>
    <mergeCell ref="E146:G146"/>
    <mergeCell ref="E181:G181"/>
    <mergeCell ref="E182:G182"/>
    <mergeCell ref="E148:N148"/>
    <mergeCell ref="E187:L187"/>
    <mergeCell ref="E120:N120"/>
    <mergeCell ref="E119:N119"/>
    <mergeCell ref="E154:G154"/>
    <mergeCell ref="D300:N300"/>
    <mergeCell ref="E4:F4"/>
    <mergeCell ref="G4:H4"/>
    <mergeCell ref="I4:J4"/>
    <mergeCell ref="K4:L4"/>
    <mergeCell ref="E36:G36"/>
    <mergeCell ref="E54:G54"/>
    <mergeCell ref="E44:G44"/>
    <mergeCell ref="E50:N50"/>
    <mergeCell ref="E39:G39"/>
    <mergeCell ref="D11:N11"/>
    <mergeCell ref="E43:G43"/>
    <mergeCell ref="E51:G51"/>
    <mergeCell ref="E53:G53"/>
    <mergeCell ref="E23:G23"/>
    <mergeCell ref="E52:G52"/>
    <mergeCell ref="E18:G18"/>
    <mergeCell ref="E16:G16"/>
    <mergeCell ref="E17:G17"/>
    <mergeCell ref="E22:G22"/>
    <mergeCell ref="E78:N78"/>
    <mergeCell ref="E122:G122"/>
    <mergeCell ref="E90:N90"/>
    <mergeCell ref="E101:N101"/>
    <mergeCell ref="E14:N14"/>
    <mergeCell ref="M2:N2"/>
    <mergeCell ref="K3:L3"/>
    <mergeCell ref="M3:N3"/>
    <mergeCell ref="E3:F3"/>
    <mergeCell ref="G3:H3"/>
    <mergeCell ref="D6:N6"/>
    <mergeCell ref="D13:N13"/>
    <mergeCell ref="D8:N8"/>
    <mergeCell ref="B2:D4"/>
    <mergeCell ref="G2:H2"/>
    <mergeCell ref="K2:L2"/>
    <mergeCell ref="I2:J2"/>
    <mergeCell ref="D10:N10"/>
    <mergeCell ref="M4:N4"/>
    <mergeCell ref="I3:J3"/>
    <mergeCell ref="E19:G19"/>
    <mergeCell ref="E38:G38"/>
    <mergeCell ref="E20:G20"/>
    <mergeCell ref="E40:G40"/>
    <mergeCell ref="E55:G55"/>
    <mergeCell ref="E48:N48"/>
    <mergeCell ref="D47:N47"/>
    <mergeCell ref="E21:G21"/>
    <mergeCell ref="D83:N83"/>
    <mergeCell ref="E24:G24"/>
    <mergeCell ref="E37:G37"/>
    <mergeCell ref="E27:N27"/>
    <mergeCell ref="E41:G41"/>
    <mergeCell ref="E42:G42"/>
    <mergeCell ref="E56:G56"/>
    <mergeCell ref="D26:N26"/>
    <mergeCell ref="E49:N49"/>
    <mergeCell ref="E28:N28"/>
    <mergeCell ref="F32:N32"/>
    <mergeCell ref="E80:N80"/>
    <mergeCell ref="E72:M72"/>
    <mergeCell ref="E70:N70"/>
    <mergeCell ref="E58:G58"/>
    <mergeCell ref="E59:G59"/>
    <mergeCell ref="E97:G97"/>
    <mergeCell ref="E112:N112"/>
    <mergeCell ref="E110:N110"/>
    <mergeCell ref="E111:N111"/>
    <mergeCell ref="E113:G113"/>
    <mergeCell ref="E98:G98"/>
    <mergeCell ref="E92:G92"/>
    <mergeCell ref="E87:G87"/>
    <mergeCell ref="E93:G93"/>
    <mergeCell ref="E153:G153"/>
    <mergeCell ref="F31:N31"/>
    <mergeCell ref="F30:N30"/>
    <mergeCell ref="F29:N29"/>
    <mergeCell ref="E71:N71"/>
    <mergeCell ref="E76:L76"/>
    <mergeCell ref="E57:G57"/>
    <mergeCell ref="E65:G65"/>
    <mergeCell ref="D74:N74"/>
    <mergeCell ref="F33:N33"/>
    <mergeCell ref="F34:N34"/>
    <mergeCell ref="E66:G66"/>
    <mergeCell ref="D68:N68"/>
    <mergeCell ref="D61:N61"/>
    <mergeCell ref="D63:N63"/>
    <mergeCell ref="E88:G88"/>
    <mergeCell ref="E91:N91"/>
    <mergeCell ref="E117:N117"/>
    <mergeCell ref="E118:N118"/>
    <mergeCell ref="E104:G104"/>
    <mergeCell ref="E102:N102"/>
    <mergeCell ref="E95:N95"/>
    <mergeCell ref="E103:G103"/>
    <mergeCell ref="E114:G114"/>
  </mergeCells>
  <phoneticPr fontId="35" type="noConversion"/>
  <conditionalFormatting sqref="I59:M59 I52:M56">
    <cfRule type="expression" dxfId="321" priority="29" stopIfTrue="1">
      <formula>AND(ISNUMBER(I17),ISNUMBER(I37))</formula>
    </cfRule>
  </conditionalFormatting>
  <conditionalFormatting sqref="I106:M106">
    <cfRule type="expression" dxfId="320" priority="18" stopIfTrue="1">
      <formula>AND(NOT(MSconst_RequireAllYears),NOT(INDEX(CNTR_BaselineHighlight,I$309-2004)))</formula>
    </cfRule>
  </conditionalFormatting>
  <conditionalFormatting sqref="I37:M40 I42:M42 I44:M44">
    <cfRule type="expression" dxfId="319" priority="15" stopIfTrue="1">
      <formula>(MSconst_AllowInstEmmisionTotals=FALSE)</formula>
    </cfRule>
  </conditionalFormatting>
  <conditionalFormatting sqref="I57:M57">
    <cfRule type="expression" dxfId="318" priority="192" stopIfTrue="1">
      <formula>AND(ISNUMBER(I21),ISNUMBER(I41))</formula>
    </cfRule>
  </conditionalFormatting>
  <conditionalFormatting sqref="I104:M105 I88:M88 I99:M99 I93:M93 I123:M124">
    <cfRule type="expression" dxfId="317" priority="12" stopIfTrue="1">
      <formula>$X88</formula>
    </cfRule>
  </conditionalFormatting>
  <conditionalFormatting sqref="I161:M161">
    <cfRule type="expression" dxfId="316" priority="11" stopIfTrue="1">
      <formula>AND(NOT(MSconst_RequireAllYears),NOT(INDEX(CNTR_BaselineHighlight,I$309-2004)))</formula>
    </cfRule>
  </conditionalFormatting>
  <conditionalFormatting sqref="I159:M160 I150:M150 I146:M146">
    <cfRule type="expression" dxfId="315" priority="10" stopIfTrue="1">
      <formula>$X146</formula>
    </cfRule>
  </conditionalFormatting>
  <conditionalFormatting sqref="I283:M283 I279:M279 I274:M274 I269:M269 E263:N264 H261:N261 L259:N259 L257:N257 I234:M234 I229:M229 I222:M222 I216:M216 E210:N211 H207:N207 L205:N205 L201:N201">
    <cfRule type="expression" dxfId="314" priority="9" stopIfTrue="1">
      <formula>$X201</formula>
    </cfRule>
  </conditionalFormatting>
  <conditionalFormatting sqref="I172:M173">
    <cfRule type="expression" dxfId="313" priority="5" stopIfTrue="1">
      <formula>$X172</formula>
    </cfRule>
  </conditionalFormatting>
  <conditionalFormatting sqref="I98:M98">
    <cfRule type="expression" dxfId="312" priority="4" stopIfTrue="1">
      <formula>$X98</formula>
    </cfRule>
  </conditionalFormatting>
  <conditionalFormatting sqref="I154:M154">
    <cfRule type="expression" dxfId="311" priority="3" stopIfTrue="1">
      <formula>$X154</formula>
    </cfRule>
  </conditionalFormatting>
  <conditionalFormatting sqref="I155:M155">
    <cfRule type="expression" dxfId="310" priority="1" stopIfTrue="1">
      <formula>$X155</formula>
    </cfRule>
  </conditionalFormatting>
  <dataValidations count="7">
    <dataValidation type="list" allowBlank="1" showInputMessage="1" showErrorMessage="1" sqref="H279 H229">
      <formula1>EUconst_TonnesOrkNm3pa</formula1>
    </dataValidation>
    <dataValidation type="list" allowBlank="1" showInputMessage="1" showErrorMessage="1" sqref="L259:N259 L205:N205">
      <formula1>EUconst_RelevantNotRelevant</formula1>
    </dataValidation>
    <dataValidation type="list" allowBlank="1" showInputMessage="1" showErrorMessage="1" sqref="L201:N201 L257:N257">
      <formula1>EUconst_CLnonCL</formula1>
    </dataValidation>
    <dataValidation type="list" allowBlank="1" showInputMessage="1" showErrorMessage="1" sqref="M76 M187">
      <formula1>Euconst_TrueFalse</formula1>
    </dataValidation>
    <dataValidation type="decimal" allowBlank="1" showInputMessage="1" showErrorMessage="1" errorTitle="0 &lt; value &lt; 1" error="Values should be between 0 and 1" sqref="I123:M124 I172:M173">
      <formula1>0</formula1>
      <formula2>1</formula2>
    </dataValidation>
    <dataValidation type="decimal" operator="lessThanOrEqual" allowBlank="1" showInputMessage="1" showErrorMessage="1" errorTitle="Data error!" error="Exported amounts should be reported as negative values." sqref="I42:M42">
      <formula1>0</formula1>
    </dataValidation>
    <dataValidation type="decimal" operator="lessThanOrEqual" allowBlank="1" showInputMessage="1" showErrorMessage="1" sqref="I57:M57">
      <formula1>0</formula1>
    </dataValidation>
  </dataValidations>
  <hyperlinks>
    <hyperlink ref="G2:H2" location="JUMP_TOC_Home" display="Table of contents"/>
    <hyperlink ref="M2:N2" location="JUMP_K_I" display="Summary"/>
    <hyperlink ref="I2:J2" location="JUMP_BY5_Top" display="JUMP_BY5_Top"/>
    <hyperlink ref="E3:F3" location="JUMP_D_Top" display="Top of sheet"/>
    <hyperlink ref="E4:F4" location="JUMP_D_Bottom" display="End of sheet"/>
    <hyperlink ref="K2:L2" location="JUMP_E_Top" display="Next sheet"/>
    <hyperlink ref="D300:N300" location="JUMP_E_Top" display="&lt;&lt;&lt; Click here to proceed to next sheet &gt;&gt;&gt; "/>
    <hyperlink ref="G3:H3" location="JUMP_D_I" display="Emissions and Energy Input"/>
    <hyperlink ref="I3:J3" location="JUMP_D_II" display="Emissions Attribution"/>
    <hyperlink ref="G4:H4" location="JUMP_D_IV" display="JUMP_D_IV"/>
    <hyperlink ref="I4:J4" location="JUMP_D_IV2" display="JUMP_D_IV2"/>
    <hyperlink ref="D11:N11" location="JUMP_B_I" display="JUMP_B_I"/>
    <hyperlink ref="E120" r:id="rId1" display="https://eur-lex.europa.eu/eli/reg_del/2015/2402/oj"/>
    <hyperlink ref="K3:L3" location="JUMP_D_III" display="Cogeneration (1)"/>
    <hyperlink ref="M3:N3" location="JUMP_D_III2" display="Cogeneration (2)"/>
    <hyperlink ref="E72:M72" location="JUMP_K_III2" display="JUMP_K_III2"/>
  </hyperlinks>
  <pageMargins left="0.78740157480314965" right="0.78740157480314965" top="0.78740157480314965" bottom="0.78740157480314965" header="0.51181102362204722" footer="0.51181102362204722"/>
  <pageSetup paperSize="9" scale="59" fitToHeight="10" orientation="portrait" r:id="rId2"/>
  <headerFooter alignWithMargins="0">
    <oddHeader>&amp;L&amp;F; &amp;A&amp;R&amp;D; &amp;T</oddHeader>
    <oddFooter>&amp;C&amp;P / &amp;N</oddFooter>
  </headerFooter>
  <rowBreaks count="3" manualBreakCount="3">
    <brk id="59" min="2" max="13" man="1"/>
    <brk id="138" min="2" max="13" man="1"/>
    <brk id="184" min="2" max="1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20</vt:i4>
      </vt:variant>
      <vt:variant>
        <vt:lpstr>Zakresy nazwane</vt:lpstr>
      </vt:variant>
      <vt:variant>
        <vt:i4>356</vt:i4>
      </vt:variant>
    </vt:vector>
  </HeadingPairs>
  <TitlesOfParts>
    <vt:vector size="376" baseType="lpstr">
      <vt:lpstr>a_Contents</vt:lpstr>
      <vt:lpstr>b_Guidelines &amp; conditions</vt:lpstr>
      <vt:lpstr>A_InstallationData</vt:lpstr>
      <vt:lpstr>B+C_Emissions_Y1</vt:lpstr>
      <vt:lpstr>B+C_Emissions_Y2</vt:lpstr>
      <vt:lpstr>B+C_Emissions_Y3</vt:lpstr>
      <vt:lpstr>B+C_Emissions_Y4</vt:lpstr>
      <vt:lpstr>B+C_Emissions_Y5</vt:lpstr>
      <vt:lpstr>D_Emissions</vt:lpstr>
      <vt:lpstr>E_EnergyFlows</vt:lpstr>
      <vt:lpstr>F_ProductBM</vt:lpstr>
      <vt:lpstr>G_Fall-back</vt:lpstr>
      <vt:lpstr>H_SpecialBM</vt:lpstr>
      <vt:lpstr>I_MSspecific</vt:lpstr>
      <vt:lpstr>J_Comments</vt:lpstr>
      <vt:lpstr>K_Summary</vt:lpstr>
      <vt:lpstr>EUwideConstants</vt:lpstr>
      <vt:lpstr>MSParameters</vt:lpstr>
      <vt:lpstr>Translations</vt:lpstr>
      <vt:lpstr>VersionDocumentation</vt:lpstr>
      <vt:lpstr>CNTR_AnnexIActivities</vt:lpstr>
      <vt:lpstr>CNTR_ApplyLinF</vt:lpstr>
      <vt:lpstr>CNTR_BaselinePeriod</vt:lpstr>
      <vt:lpstr>CNTR_BaslineYearRelevant</vt:lpstr>
      <vt:lpstr>CNTR_ConfirmationOK</vt:lpstr>
      <vt:lpstr>CNTR_ConnectionEntityList</vt:lpstr>
      <vt:lpstr>CNTR_ConnectionEntityListCITL_IDs</vt:lpstr>
      <vt:lpstr>CNTR_ConnectionEntityListTypes</vt:lpstr>
      <vt:lpstr>CNTR_ConnectionListAndWithinInst</vt:lpstr>
      <vt:lpstr>CNTR_Eligible10a</vt:lpstr>
      <vt:lpstr>CNTR_ExistConnectionEntries</vt:lpstr>
      <vt:lpstr>CNTR_ExistProductSubEntries</vt:lpstr>
      <vt:lpstr>CNTR_ExistSubInstEntries</vt:lpstr>
      <vt:lpstr>CNTR_FallBackSubInstListSigChanges</vt:lpstr>
      <vt:lpstr>CNTR_FallBackSubInstRelevant</vt:lpstr>
      <vt:lpstr>CNTR_HasEntries_A_I</vt:lpstr>
      <vt:lpstr>CNTR_HasErrors_A</vt:lpstr>
      <vt:lpstr>CNTR_MinMaxActual</vt:lpstr>
      <vt:lpstr>CNTR_NACEInstallation</vt:lpstr>
      <vt:lpstr>CNTR_OnlyCombustion</vt:lpstr>
      <vt:lpstr>CNTR_ProdElec</vt:lpstr>
      <vt:lpstr>CNTR_SubInstLess1Year</vt:lpstr>
      <vt:lpstr>CNTR_SubInstListBMnumbers</vt:lpstr>
      <vt:lpstr>CNTR_SubInstListHALUnit</vt:lpstr>
      <vt:lpstr>CNTR_SubInstListIsProdBM</vt:lpstr>
      <vt:lpstr>CNTR_SubInstListNames</vt:lpstr>
      <vt:lpstr>CNTR_SubInstStartDate</vt:lpstr>
      <vt:lpstr>CNTR_TemplateVersion</vt:lpstr>
      <vt:lpstr>CNTR_UniqueID</vt:lpstr>
      <vt:lpstr>CTRL_InputMethodFuelDistribution</vt:lpstr>
      <vt:lpstr>CTRL_InputMethodHeatSubInstSplit</vt:lpstr>
      <vt:lpstr>EUconst_AbsRel</vt:lpstr>
      <vt:lpstr>EUconst_AllocPrelim</vt:lpstr>
      <vt:lpstr>EUconst_Allowances</vt:lpstr>
      <vt:lpstr>EUconst_AllYears</vt:lpstr>
      <vt:lpstr>EUconst_AnnexIActivities</vt:lpstr>
      <vt:lpstr>EUconst_BaselinePeriods</vt:lpstr>
      <vt:lpstr>EUconst_BM</vt:lpstr>
      <vt:lpstr>EUconst_BM_ARR_Range</vt:lpstr>
      <vt:lpstr>EUconst_BMlist107</vt:lpstr>
      <vt:lpstr>EUconst_BMlistARR</vt:lpstr>
      <vt:lpstr>EUconst_BMlistBMARRvaluesMatrix</vt:lpstr>
      <vt:lpstr>EUconst_BMlistBMmaxvalues</vt:lpstr>
      <vt:lpstr>EUconst_BMlistBMminvalues</vt:lpstr>
      <vt:lpstr>EUconst_BMlistBMvalues</vt:lpstr>
      <vt:lpstr>EUconst_BMlistBMvaluesMatrix</vt:lpstr>
      <vt:lpstr>EUconst_BMlistCLstatus</vt:lpstr>
      <vt:lpstr>EUconst_BMlistElExchangability</vt:lpstr>
      <vt:lpstr>EUconst_BMlistMatrix</vt:lpstr>
      <vt:lpstr>EUconst_BMlistNames</vt:lpstr>
      <vt:lpstr>EUconst_BMlistNotCWT</vt:lpstr>
      <vt:lpstr>EUconst_BMlistNumberOfActivity</vt:lpstr>
      <vt:lpstr>EUconst_BMlistNumberOfBM</vt:lpstr>
      <vt:lpstr>EUconst_BMlistPulp</vt:lpstr>
      <vt:lpstr>EUconst_BMlistSpecialJumpTable</vt:lpstr>
      <vt:lpstr>EUconst_BMlistSpecialReporting</vt:lpstr>
      <vt:lpstr>EUconst_BMlistUnits</vt:lpstr>
      <vt:lpstr>EUconst_BMSubinst</vt:lpstr>
      <vt:lpstr>EUconst_CLEFDistrict</vt:lpstr>
      <vt:lpstr>EUconst_CLEFYears</vt:lpstr>
      <vt:lpstr>EUconst_CLnonCL</vt:lpstr>
      <vt:lpstr>EUconst_CNTR_AttributedEmissions</vt:lpstr>
      <vt:lpstr>EUconst_CNTR_CO2Feedstock</vt:lpstr>
      <vt:lpstr>EUconst_CNTR_ElectricityExported</vt:lpstr>
      <vt:lpstr>EUconst_CNTR_ELEXCH</vt:lpstr>
      <vt:lpstr>EUconst_CNTR_ELEXCH_max</vt:lpstr>
      <vt:lpstr>EUconst_CNTR_ELEXCH_min</vt:lpstr>
      <vt:lpstr>EUconst_CNTR_Emissions</vt:lpstr>
      <vt:lpstr>EUconst_CNTR_EmissionsIntSource1</vt:lpstr>
      <vt:lpstr>EUconst_CNTR_EmissionsIntSource2</vt:lpstr>
      <vt:lpstr>EUconst_CNTR_FuelEF</vt:lpstr>
      <vt:lpstr>EUconst_CNTR_FuelInput</vt:lpstr>
      <vt:lpstr>EUconst_CNTR_HAL</vt:lpstr>
      <vt:lpstr>EUconst_CNTR_HALPulpTotal</vt:lpstr>
      <vt:lpstr>EUconst_CNTR_HALspecial</vt:lpstr>
      <vt:lpstr>EUconst_CNTR_HEAT</vt:lpstr>
      <vt:lpstr>EUconst_CNTR_HeatExport</vt:lpstr>
      <vt:lpstr>EUconst_CNTR_HeatExportEF</vt:lpstr>
      <vt:lpstr>EUconst_CNTR_HeatImport</vt:lpstr>
      <vt:lpstr>EUconst_CNTR_HeatImportEF</vt:lpstr>
      <vt:lpstr>EUconst_CNTR_HeatImportFuel</vt:lpstr>
      <vt:lpstr>EUconst_CNTR_HeatImportFuelEF</vt:lpstr>
      <vt:lpstr>EUconst_CNTR_HeatImportNitric</vt:lpstr>
      <vt:lpstr>EUconst_CNTR_HeatImportProduct</vt:lpstr>
      <vt:lpstr>EUconst_CNTR_HeatImportProductEF</vt:lpstr>
      <vt:lpstr>EUconst_CNTR_HeatImportPulp</vt:lpstr>
      <vt:lpstr>EUconst_CNTR_HeatImportPulpEF</vt:lpstr>
      <vt:lpstr>EUconst_CNTR_HeatProduced</vt:lpstr>
      <vt:lpstr>EUconst_CNTR_HVC</vt:lpstr>
      <vt:lpstr>EUconst_CNTR_IntermediateExport</vt:lpstr>
      <vt:lpstr>EUconst_CNTR_IntermediateImport</vt:lpstr>
      <vt:lpstr>EUconst_CNTR_nonETSMeasHeat</vt:lpstr>
      <vt:lpstr>EUconst_CNTR_VCM</vt:lpstr>
      <vt:lpstr>EUconst_CNTR_WGConsumed</vt:lpstr>
      <vt:lpstr>EUconst_CNTR_WGConsumedEF</vt:lpstr>
      <vt:lpstr>EUconst_CNTR_WGExport</vt:lpstr>
      <vt:lpstr>EUconst_CNTR_WGExportEF</vt:lpstr>
      <vt:lpstr>EUconst_CNTR_WGFlared</vt:lpstr>
      <vt:lpstr>EUconst_CNTR_WGFlaredEF</vt:lpstr>
      <vt:lpstr>EUconst_CNTR_WGImport</vt:lpstr>
      <vt:lpstr>EUconst_CNTR_WGImportEF</vt:lpstr>
      <vt:lpstr>EUconst_CNTR_WGProduced</vt:lpstr>
      <vt:lpstr>EUconst_CNTR_WGProducedEF</vt:lpstr>
      <vt:lpstr>EUconst_CombustionActivity</vt:lpstr>
      <vt:lpstr>EUconst_ConfirmAllowUseOfData</vt:lpstr>
      <vt:lpstr>EUconst_ConfirmApplicationForAlloc</vt:lpstr>
      <vt:lpstr>EUconst_ConfirmationNotEligible</vt:lpstr>
      <vt:lpstr>EUconst_ConnectedEntityTypes</vt:lpstr>
      <vt:lpstr>EUconst_ConnectionShortTypes</vt:lpstr>
      <vt:lpstr>EUconst_ConnectionTransferTypes</vt:lpstr>
      <vt:lpstr>EUconst_ConnectionTypes</vt:lpstr>
      <vt:lpstr>EUconst_CWTpa</vt:lpstr>
      <vt:lpstr>EUconst_DateMissing</vt:lpstr>
      <vt:lpstr>EUconst_ElBM</vt:lpstr>
      <vt:lpstr>EUconst_ERR_ActivityMissing</vt:lpstr>
      <vt:lpstr>EUconst_ERR_AttrEmBMapplied</vt:lpstr>
      <vt:lpstr>EUconst_ERR_DatesSorting</vt:lpstr>
      <vt:lpstr>EUconst_ERR_DoubleBMentry</vt:lpstr>
      <vt:lpstr>EUconst_ERR_Goto_DI2</vt:lpstr>
      <vt:lpstr>EUconst_ERR_Mandatory_abd</vt:lpstr>
      <vt:lpstr>EUconst_ERR_Mandatory_Bbc</vt:lpstr>
      <vt:lpstr>EUconst_ERR_Mandatory_ef</vt:lpstr>
      <vt:lpstr>EUconst_ERR_Mandatory_g</vt:lpstr>
      <vt:lpstr>EUconst_ERR_MandatoryDII3a</vt:lpstr>
      <vt:lpstr>EUconst_ERR_MandatoryEII4</vt:lpstr>
      <vt:lpstr>EUconst_ERR_MissingFallBackEntry</vt:lpstr>
      <vt:lpstr>EUconst_ERR_MissingSubInstEntry</vt:lpstr>
      <vt:lpstr>EUconst_ERR_StartWithFuels</vt:lpstr>
      <vt:lpstr>EUconst_Error</vt:lpstr>
      <vt:lpstr>EUconst_EUA</vt:lpstr>
      <vt:lpstr>EUconst_EUApa</vt:lpstr>
      <vt:lpstr>EUconst_EUApt</vt:lpstr>
      <vt:lpstr>EUconst_FallBackARR</vt:lpstr>
      <vt:lpstr>EUconst_FallBackListBMARRvaluesMatrix</vt:lpstr>
      <vt:lpstr>EUconst_FallBackListBMvalues</vt:lpstr>
      <vt:lpstr>EUconst_FallBackListBMvaluesMatrix</vt:lpstr>
      <vt:lpstr>EUconst_FallBackListCLstatus</vt:lpstr>
      <vt:lpstr>EUconst_FallBackListMatrix</vt:lpstr>
      <vt:lpstr>EUconst_FallbackListMissing</vt:lpstr>
      <vt:lpstr>EUconst_FallBackListNames</vt:lpstr>
      <vt:lpstr>EUconst_FallBackListNumber</vt:lpstr>
      <vt:lpstr>EUconst_FallBackListUnits</vt:lpstr>
      <vt:lpstr>EUconst_FBSubinst</vt:lpstr>
      <vt:lpstr>EUconst_Fuel</vt:lpstr>
      <vt:lpstr>EUconst_FuelBMvalue</vt:lpstr>
      <vt:lpstr>EUconst_FuelUseTypes</vt:lpstr>
      <vt:lpstr>EUconst_GJ</vt:lpstr>
      <vt:lpstr>EUconst_GJpa</vt:lpstr>
      <vt:lpstr>EUconst_GJperTorKNm3</vt:lpstr>
      <vt:lpstr>EUconst_GJperUnit</vt:lpstr>
      <vt:lpstr>EUconst_GJpt</vt:lpstr>
      <vt:lpstr>EUconst_HALsum</vt:lpstr>
      <vt:lpstr>EUconst_HeatBMvalue</vt:lpstr>
      <vt:lpstr>EUconst_HeatUseTypes</vt:lpstr>
      <vt:lpstr>EUconst_Incomplete</vt:lpstr>
      <vt:lpstr>EUconst_Inconsistent</vt:lpstr>
      <vt:lpstr>EUconst_kNm3pa</vt:lpstr>
      <vt:lpstr>EUconst_MinOrMaxOrActual</vt:lpstr>
      <vt:lpstr>EUconst_MNm3pa</vt:lpstr>
      <vt:lpstr>EUconst_Month</vt:lpstr>
      <vt:lpstr>EUconst_MsgAttrEm</vt:lpstr>
      <vt:lpstr>EUconst_MsgBackToSheetF</vt:lpstr>
      <vt:lpstr>EUconst_MsgEnterThisSection</vt:lpstr>
      <vt:lpstr>EUconst_MsgGoOn</vt:lpstr>
      <vt:lpstr>EUconst_MsgGoOn_cd</vt:lpstr>
      <vt:lpstr>EUconst_MsgGoOn_d</vt:lpstr>
      <vt:lpstr>EUconst_MsgGoOn_e</vt:lpstr>
      <vt:lpstr>EUconst_MsgGoOnIfNotRelevant</vt:lpstr>
      <vt:lpstr>EUconst_MsgGoToNextSubInst</vt:lpstr>
      <vt:lpstr>EUconst_MsgProceedEII2</vt:lpstr>
      <vt:lpstr>EUconst_MsgProceedF</vt:lpstr>
      <vt:lpstr>EUconst_MsgSeeFirst</vt:lpstr>
      <vt:lpstr>EUconst_MsgUseElExchTool</vt:lpstr>
      <vt:lpstr>EUconst_MSlist</vt:lpstr>
      <vt:lpstr>EUconst_MSlistEUTLcodes</vt:lpstr>
      <vt:lpstr>EUconst_MSlistISOcodes</vt:lpstr>
      <vt:lpstr>EUconst_MWh</vt:lpstr>
      <vt:lpstr>EUconst_MWhpa</vt:lpstr>
      <vt:lpstr>EUconst_NA</vt:lpstr>
      <vt:lpstr>EUconst_Negative</vt:lpstr>
      <vt:lpstr>EUconst_NGEFvalue</vt:lpstr>
      <vt:lpstr>EUconst_NotEligible</vt:lpstr>
      <vt:lpstr>EUconst_NotRelevant</vt:lpstr>
      <vt:lpstr>EUconst_OK</vt:lpstr>
      <vt:lpstr>EUconst_Or</vt:lpstr>
      <vt:lpstr>EUconst_ProcessEmissionTypes</vt:lpstr>
      <vt:lpstr>EUconst_Relevant</vt:lpstr>
      <vt:lpstr>EUconst_RelevantNotRelevant</vt:lpstr>
      <vt:lpstr>EUconst_relOrMWhpa</vt:lpstr>
      <vt:lpstr>EUconst_relOrtCO2pa</vt:lpstr>
      <vt:lpstr>EUconst_relOrTJpa</vt:lpstr>
      <vt:lpstr>EUconst_ReportingYears</vt:lpstr>
      <vt:lpstr>EUconst_StatusOfDataCollection</vt:lpstr>
      <vt:lpstr>EUconst_SumBioCO2</vt:lpstr>
      <vt:lpstr>EUconst_SumCO2</vt:lpstr>
      <vt:lpstr>EUconst_SumEnergyIN</vt:lpstr>
      <vt:lpstr>EUconst_SumN2O</vt:lpstr>
      <vt:lpstr>EUconst_SumPFC</vt:lpstr>
      <vt:lpstr>EUconst_SumTransferCO2</vt:lpstr>
      <vt:lpstr>EUconst_t</vt:lpstr>
      <vt:lpstr>EUconst_tCO2</vt:lpstr>
      <vt:lpstr>EUconst_tCO2e</vt:lpstr>
      <vt:lpstr>EUconst_tCO2epa</vt:lpstr>
      <vt:lpstr>EUconst_tCO2ept</vt:lpstr>
      <vt:lpstr>EUconst_tCO2eptN2O</vt:lpstr>
      <vt:lpstr>EUconst_tCO2pa</vt:lpstr>
      <vt:lpstr>EUconst_tCO2pkNm3</vt:lpstr>
      <vt:lpstr>EUconst_tCO2pMWh</vt:lpstr>
      <vt:lpstr>EUconst_tCO2pt</vt:lpstr>
      <vt:lpstr>EUconst_tCO2pTJ</vt:lpstr>
      <vt:lpstr>EUconst_tCO2pTJorT</vt:lpstr>
      <vt:lpstr>EUconst_TJ</vt:lpstr>
      <vt:lpstr>EUconst_TJpa</vt:lpstr>
      <vt:lpstr>EUconst_tN2O</vt:lpstr>
      <vt:lpstr>EUconst_tN2Opa</vt:lpstr>
      <vt:lpstr>EUconst_TonnesOrkNm3pa</vt:lpstr>
      <vt:lpstr>EUconst_Tons</vt:lpstr>
      <vt:lpstr>EUconst_tpa</vt:lpstr>
      <vt:lpstr>Euconst_TrueFalse</vt:lpstr>
      <vt:lpstr>Euconst_TrueFalseNA</vt:lpstr>
      <vt:lpstr>EUconst_Unit</vt:lpstr>
      <vt:lpstr>EUconst_WasteGasCorrFactor</vt:lpstr>
      <vt:lpstr>EUconst_WithinInst</vt:lpstr>
      <vt:lpstr>EUconst_Year</vt:lpstr>
      <vt:lpstr>JUMP_A_Bottom</vt:lpstr>
      <vt:lpstr>JUMP_A_I</vt:lpstr>
      <vt:lpstr>JUMP_A_I1</vt:lpstr>
      <vt:lpstr>JUMP_A_I2</vt:lpstr>
      <vt:lpstr>JUMP_A_I3</vt:lpstr>
      <vt:lpstr>JUMP_A_I4</vt:lpstr>
      <vt:lpstr>JUMP_A_II</vt:lpstr>
      <vt:lpstr>JUMP_A_II1</vt:lpstr>
      <vt:lpstr>JUMP_A_II2</vt:lpstr>
      <vt:lpstr>JUMP_A_III</vt:lpstr>
      <vt:lpstr>JUMP_A_III1</vt:lpstr>
      <vt:lpstr>JUMP_A_IV</vt:lpstr>
      <vt:lpstr>JUMP_A_IV1</vt:lpstr>
      <vt:lpstr>JUMP_B_I</vt:lpstr>
      <vt:lpstr>JUMP_B_II</vt:lpstr>
      <vt:lpstr>JUMP_BY1_Emissions</vt:lpstr>
      <vt:lpstr>JUMP_BY1_Fallback</vt:lpstr>
      <vt:lpstr>JUMP_BY1_PFC</vt:lpstr>
      <vt:lpstr>JUMP_BY1_Source</vt:lpstr>
      <vt:lpstr>JUMP_BY1_Top</vt:lpstr>
      <vt:lpstr>JUMP_BY2_Emissions</vt:lpstr>
      <vt:lpstr>JUMP_BY2_Fallback</vt:lpstr>
      <vt:lpstr>JUMP_BY2_PFC</vt:lpstr>
      <vt:lpstr>JUMP_BY2_Source</vt:lpstr>
      <vt:lpstr>JUMP_BY2_Top</vt:lpstr>
      <vt:lpstr>JUMP_BY3_Emissions</vt:lpstr>
      <vt:lpstr>JUMP_BY3_Fallback</vt:lpstr>
      <vt:lpstr>JUMP_BY3_PFC</vt:lpstr>
      <vt:lpstr>JUMP_BY3_Source</vt:lpstr>
      <vt:lpstr>JUMP_BY3_Top</vt:lpstr>
      <vt:lpstr>JUMP_BY4_Emissions</vt:lpstr>
      <vt:lpstr>JUMP_BY4_Fallback</vt:lpstr>
      <vt:lpstr>JUMP_BY4_PFC</vt:lpstr>
      <vt:lpstr>JUMP_BY4_Source</vt:lpstr>
      <vt:lpstr>JUMP_BY4_Top</vt:lpstr>
      <vt:lpstr>JUMP_BY5_Emissions</vt:lpstr>
      <vt:lpstr>JUMP_BY5_Fallback</vt:lpstr>
      <vt:lpstr>JUMP_BY5_PFC</vt:lpstr>
      <vt:lpstr>JUMP_BY5_Source</vt:lpstr>
      <vt:lpstr>JUMP_BY5_Top</vt:lpstr>
      <vt:lpstr>JUMP_Coverpage_Bottom</vt:lpstr>
      <vt:lpstr>JUMP_Coverpage_Top</vt:lpstr>
      <vt:lpstr>JUMP_D_Bottom</vt:lpstr>
      <vt:lpstr>JUMP_D_I</vt:lpstr>
      <vt:lpstr>JUMP_D_II</vt:lpstr>
      <vt:lpstr>JUMP_D_III</vt:lpstr>
      <vt:lpstr>JUMP_D_III2</vt:lpstr>
      <vt:lpstr>JUMP_D_IV</vt:lpstr>
      <vt:lpstr>JUMP_D_IV2</vt:lpstr>
      <vt:lpstr>JUMP_D_Top</vt:lpstr>
      <vt:lpstr>JUMP_E_Bottom</vt:lpstr>
      <vt:lpstr>JUMP_E_HeatFinal</vt:lpstr>
      <vt:lpstr>JUMP_E_I</vt:lpstr>
      <vt:lpstr>JUMP_E_II</vt:lpstr>
      <vt:lpstr>JUMP_E_II_2</vt:lpstr>
      <vt:lpstr>JUMP_E_III</vt:lpstr>
      <vt:lpstr>JUMP_E_IV</vt:lpstr>
      <vt:lpstr>JUMP_E_Top</vt:lpstr>
      <vt:lpstr>JUMP_EmissionTotals</vt:lpstr>
      <vt:lpstr>JUMP_F_Bottom</vt:lpstr>
      <vt:lpstr>JUMP_F_I</vt:lpstr>
      <vt:lpstr>JUMP_F_Top</vt:lpstr>
      <vt:lpstr>JUMP_F1</vt:lpstr>
      <vt:lpstr>JUMP_F10</vt:lpstr>
      <vt:lpstr>JUMP_F2</vt:lpstr>
      <vt:lpstr>JUMP_F3</vt:lpstr>
      <vt:lpstr>JUMP_F4</vt:lpstr>
      <vt:lpstr>JUMP_F5</vt:lpstr>
      <vt:lpstr>JUMP_F6</vt:lpstr>
      <vt:lpstr>JUMP_F7</vt:lpstr>
      <vt:lpstr>JUMP_F8</vt:lpstr>
      <vt:lpstr>JUMP_F9</vt:lpstr>
      <vt:lpstr>JUMP_G_Bottom</vt:lpstr>
      <vt:lpstr>JUMP_G_I</vt:lpstr>
      <vt:lpstr>JUMP_G_Top</vt:lpstr>
      <vt:lpstr>JUMP_G1</vt:lpstr>
      <vt:lpstr>JUMP_G2</vt:lpstr>
      <vt:lpstr>JUMP_G3</vt:lpstr>
      <vt:lpstr>JUMP_G4</vt:lpstr>
      <vt:lpstr>JUMP_G5</vt:lpstr>
      <vt:lpstr>JUMP_G6</vt:lpstr>
      <vt:lpstr>JUMP_G7</vt:lpstr>
      <vt:lpstr>JUMP_Guidelines_Bottom</vt:lpstr>
      <vt:lpstr>JUMP_Guidelines_Home</vt:lpstr>
      <vt:lpstr>JUMP_H_Bottom</vt:lpstr>
      <vt:lpstr>JUMP_H_I</vt:lpstr>
      <vt:lpstr>JUMP_H_II</vt:lpstr>
      <vt:lpstr>JUMP_H_III</vt:lpstr>
      <vt:lpstr>JUMP_H_IV</vt:lpstr>
      <vt:lpstr>JUMP_H_IX</vt:lpstr>
      <vt:lpstr>JUMP_H_Top</vt:lpstr>
      <vt:lpstr>JUMP_H_V</vt:lpstr>
      <vt:lpstr>JUMP_H_VI</vt:lpstr>
      <vt:lpstr>JUMP_H_VII</vt:lpstr>
      <vt:lpstr>JUMP_H_VIII</vt:lpstr>
      <vt:lpstr>JUMP_I_Bottom</vt:lpstr>
      <vt:lpstr>JUMP_I_MSspecific</vt:lpstr>
      <vt:lpstr>JUMP_I_Top</vt:lpstr>
      <vt:lpstr>JUMP_J_I</vt:lpstr>
      <vt:lpstr>JUMP_J_II</vt:lpstr>
      <vt:lpstr>JUMP_J_Top</vt:lpstr>
      <vt:lpstr>JUMP_K_Bottom</vt:lpstr>
      <vt:lpstr>JUMP_K_I</vt:lpstr>
      <vt:lpstr>JUMP_K_II</vt:lpstr>
      <vt:lpstr>JUMP_K_III</vt:lpstr>
      <vt:lpstr>JUMP_K_III2</vt:lpstr>
      <vt:lpstr>JUMP_K_IV</vt:lpstr>
      <vt:lpstr>JUMP_K_Top</vt:lpstr>
      <vt:lpstr>JUMP_K_V</vt:lpstr>
      <vt:lpstr>JUMP_K_V_Disclaimer</vt:lpstr>
      <vt:lpstr>JUMP_TOC_Home</vt:lpstr>
      <vt:lpstr>MSconst_AllowInstEmmisionTotals</vt:lpstr>
      <vt:lpstr>MSconst_RequireArt27aInfo</vt:lpstr>
      <vt:lpstr>MSconst_RequireArt27Info</vt:lpstr>
      <vt:lpstr>MSconst_RequirePermitInfo</vt:lpstr>
      <vt:lpstr>a_Contents!Obszar_wydruku</vt:lpstr>
      <vt:lpstr>A_InstallationData!Obszar_wydruku</vt:lpstr>
      <vt:lpstr>'b_Guidelines &amp; conditions'!Obszar_wydruku</vt:lpstr>
      <vt:lpstr>'B+C_Emissions_Y1'!Obszar_wydruku</vt:lpstr>
      <vt:lpstr>'B+C_Emissions_Y2'!Obszar_wydruku</vt:lpstr>
      <vt:lpstr>'B+C_Emissions_Y3'!Obszar_wydruku</vt:lpstr>
      <vt:lpstr>'B+C_Emissions_Y4'!Obszar_wydruku</vt:lpstr>
      <vt:lpstr>'B+C_Emissions_Y5'!Obszar_wydruku</vt:lpstr>
      <vt:lpstr>D_Emissions!Obszar_wydruku</vt:lpstr>
      <vt:lpstr>E_EnergyFlows!Obszar_wydruku</vt:lpstr>
      <vt:lpstr>F_ProductBM!Obszar_wydruku</vt:lpstr>
      <vt:lpstr>'G_Fall-back'!Obszar_wydruku</vt:lpstr>
      <vt:lpstr>H_SpecialBM!Obszar_wydruku</vt:lpstr>
      <vt:lpstr>I_MSspecific!Obszar_wydruku</vt:lpstr>
      <vt:lpstr>J_Comments!Obszar_wydruku</vt:lpstr>
      <vt:lpstr>K_Summary!Obszar_wydruku</vt:lpstr>
      <vt:lpstr>VersionDocumentation!Obszar_wydruku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Reporting tool for NIMs under the EU ETS</dc:title>
  <dc:creator>Heller Christian</dc:creator>
  <dc:description>Template developed by Umweltbundesamt GmbH (Austria) for DG CLIMA</dc:description>
  <cp:lastModifiedBy>Chrzan Przemysław</cp:lastModifiedBy>
  <cp:lastPrinted>2019-02-28T16:14:46Z</cp:lastPrinted>
  <dcterms:created xsi:type="dcterms:W3CDTF">2008-05-26T08:52:55Z</dcterms:created>
  <dcterms:modified xsi:type="dcterms:W3CDTF">2019-05-15T10:00:44Z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